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35" windowWidth="15600" windowHeight="7170" activeTab="10"/>
  </bookViews>
  <sheets>
    <sheet name="31.01" sheetId="1" r:id="rId1"/>
    <sheet name="02.02" sheetId="2" r:id="rId2"/>
    <sheet name="03.02" sheetId="5" r:id="rId3"/>
    <sheet name="04.02" sheetId="9" r:id="rId4"/>
    <sheet name="05.02" sheetId="12" r:id="rId5"/>
    <sheet name="06.02" sheetId="15" r:id="rId6"/>
    <sheet name="07.02" sheetId="19" r:id="rId7"/>
    <sheet name="09.02" sheetId="21" r:id="rId8"/>
    <sheet name="09.02 (2)" sheetId="22" r:id="rId9"/>
    <sheet name="cong thuc" sheetId="23" r:id="rId10"/>
    <sheet name="parse" sheetId="24" r:id="rId11"/>
  </sheets>
  <externalReferences>
    <externalReference r:id="rId12"/>
  </externalReferences>
  <definedNames>
    <definedName name="_xlnm._FilterDatabase" localSheetId="1" hidden="1">'02.02'!$D$7:$EF$108</definedName>
    <definedName name="_xlnm._FilterDatabase" localSheetId="2" hidden="1">'03.02'!$D$7:$EF$108</definedName>
    <definedName name="_xlnm._FilterDatabase" localSheetId="3" hidden="1">'04.02'!$D$7:$EF$108</definedName>
    <definedName name="_xlnm._FilterDatabase" localSheetId="4" hidden="1">'05.02'!$D$7:$EF$108</definedName>
    <definedName name="_xlnm._FilterDatabase" localSheetId="5" hidden="1">'06.02'!$D$7:$EF$108</definedName>
    <definedName name="_xlnm._FilterDatabase" localSheetId="6" hidden="1">'07.02'!$D$7:$EF$108</definedName>
    <definedName name="_xlnm._FilterDatabase" localSheetId="7" hidden="1">'09.02'!$D$7:$EF$108</definedName>
    <definedName name="_xlnm._FilterDatabase" localSheetId="8" hidden="1">'09.02 (2)'!$D$7:$EF$108</definedName>
    <definedName name="_xlnm._FilterDatabase" localSheetId="0" hidden="1">'31.01'!$D$7:$EF$108</definedName>
  </definedNames>
  <calcPr calcId="124519"/>
</workbook>
</file>

<file path=xl/calcChain.xml><?xml version="1.0" encoding="utf-8"?>
<calcChain xmlns="http://schemas.openxmlformats.org/spreadsheetml/2006/main">
  <c r="CH108" i="22"/>
  <c r="BZ108"/>
  <c r="AL108"/>
  <c r="CH107"/>
  <c r="BZ107"/>
  <c r="AL107"/>
  <c r="AK107"/>
  <c r="DO106"/>
  <c r="CZ106"/>
  <c r="CY106"/>
  <c r="CS106"/>
  <c r="CR106"/>
  <c r="CQ106"/>
  <c r="DE106" s="1"/>
  <c r="BX106"/>
  <c r="CG106" s="1"/>
  <c r="CH106" s="1"/>
  <c r="BP106"/>
  <c r="BO106"/>
  <c r="BQ106" s="1"/>
  <c r="BJ106"/>
  <c r="BD106"/>
  <c r="AV106"/>
  <c r="AD106" s="1"/>
  <c r="AU106"/>
  <c r="AP106"/>
  <c r="AW106" s="1"/>
  <c r="AJ106"/>
  <c r="AC106"/>
  <c r="CU106" s="1"/>
  <c r="AB106"/>
  <c r="AA106"/>
  <c r="Z106"/>
  <c r="Y106"/>
  <c r="W106"/>
  <c r="S106"/>
  <c r="I106"/>
  <c r="H106"/>
  <c r="G106"/>
  <c r="DO105"/>
  <c r="CZ105"/>
  <c r="CY105"/>
  <c r="CS105"/>
  <c r="CR105"/>
  <c r="CQ105"/>
  <c r="BP105"/>
  <c r="BO105"/>
  <c r="BN105"/>
  <c r="BQ105" s="1"/>
  <c r="BD105"/>
  <c r="AV105"/>
  <c r="AU105"/>
  <c r="AT105"/>
  <c r="AW105" s="1"/>
  <c r="AK105"/>
  <c r="AJ105"/>
  <c r="AL105" s="1"/>
  <c r="DF105" s="1"/>
  <c r="AD105"/>
  <c r="DZ105" s="1"/>
  <c r="AC105"/>
  <c r="CU105" s="1"/>
  <c r="AB105"/>
  <c r="AA105"/>
  <c r="BR105" s="1"/>
  <c r="Z105"/>
  <c r="Y105"/>
  <c r="X105"/>
  <c r="W105"/>
  <c r="AE105" s="1"/>
  <c r="S105"/>
  <c r="I105"/>
  <c r="H105"/>
  <c r="G105"/>
  <c r="CZ104"/>
  <c r="CY104"/>
  <c r="CS104"/>
  <c r="CR104"/>
  <c r="CQ104"/>
  <c r="DE104" s="1"/>
  <c r="BP104"/>
  <c r="BO104"/>
  <c r="BN104"/>
  <c r="BQ104" s="1"/>
  <c r="BD104"/>
  <c r="AV104"/>
  <c r="AU104"/>
  <c r="AW104" s="1"/>
  <c r="AT104"/>
  <c r="AK104"/>
  <c r="AJ104"/>
  <c r="AL104" s="1"/>
  <c r="DF104" s="1"/>
  <c r="AD104"/>
  <c r="CV104" s="1"/>
  <c r="AB104"/>
  <c r="AA104"/>
  <c r="Z104"/>
  <c r="Y104"/>
  <c r="X104"/>
  <c r="W104"/>
  <c r="S104"/>
  <c r="I104"/>
  <c r="H104"/>
  <c r="G104"/>
  <c r="DO103"/>
  <c r="CZ103"/>
  <c r="CY103"/>
  <c r="CS103"/>
  <c r="CR103"/>
  <c r="CQ103"/>
  <c r="DE103" s="1"/>
  <c r="BP103"/>
  <c r="BO103"/>
  <c r="BL103"/>
  <c r="BQ103" s="1"/>
  <c r="BD103"/>
  <c r="AV103"/>
  <c r="AU103"/>
  <c r="AW103" s="1"/>
  <c r="AR103"/>
  <c r="AK103"/>
  <c r="AJ103"/>
  <c r="AL103" s="1"/>
  <c r="DF103" s="1"/>
  <c r="AD103"/>
  <c r="CV103" s="1"/>
  <c r="AB103"/>
  <c r="AA103"/>
  <c r="Z103"/>
  <c r="Y103"/>
  <c r="X103"/>
  <c r="W103"/>
  <c r="S103"/>
  <c r="I103"/>
  <c r="H103"/>
  <c r="G103"/>
  <c r="DZ102"/>
  <c r="DO102"/>
  <c r="CZ102"/>
  <c r="CY102"/>
  <c r="CS102"/>
  <c r="CR102"/>
  <c r="CQ102"/>
  <c r="DE102" s="1"/>
  <c r="BP102"/>
  <c r="BO102"/>
  <c r="BQ102" s="1"/>
  <c r="CA102" s="1"/>
  <c r="BD102"/>
  <c r="AV102"/>
  <c r="AU102"/>
  <c r="AW102" s="1"/>
  <c r="AJ102"/>
  <c r="AD102"/>
  <c r="CV102" s="1"/>
  <c r="AC102"/>
  <c r="CU102" s="1"/>
  <c r="AB102"/>
  <c r="AA102"/>
  <c r="Z102"/>
  <c r="Y102"/>
  <c r="X102"/>
  <c r="W102"/>
  <c r="AE102" s="1"/>
  <c r="S102"/>
  <c r="H102"/>
  <c r="P102" s="1"/>
  <c r="DO101"/>
  <c r="CZ101"/>
  <c r="CY101"/>
  <c r="CS101"/>
  <c r="CR101"/>
  <c r="CQ101"/>
  <c r="DE101" s="1"/>
  <c r="BP101"/>
  <c r="BO101"/>
  <c r="BQ101" s="1"/>
  <c r="CA101" s="1"/>
  <c r="BN101"/>
  <c r="BD101"/>
  <c r="AV101"/>
  <c r="AD101" s="1"/>
  <c r="AU101"/>
  <c r="AT101"/>
  <c r="AW101" s="1"/>
  <c r="AJ101"/>
  <c r="AC101"/>
  <c r="CU101" s="1"/>
  <c r="AA101"/>
  <c r="Z101"/>
  <c r="Y101"/>
  <c r="X101"/>
  <c r="W101"/>
  <c r="S101"/>
  <c r="I101"/>
  <c r="H101"/>
  <c r="G101"/>
  <c r="CZ100"/>
  <c r="CY100"/>
  <c r="S100" s="1"/>
  <c r="CS100"/>
  <c r="CR100"/>
  <c r="CQ100"/>
  <c r="DE100" s="1"/>
  <c r="BP100"/>
  <c r="BO100"/>
  <c r="BQ100" s="1"/>
  <c r="BN100"/>
  <c r="BD100"/>
  <c r="AV100"/>
  <c r="AD100" s="1"/>
  <c r="AU100"/>
  <c r="AT100"/>
  <c r="AW100" s="1"/>
  <c r="AJ100"/>
  <c r="AG100"/>
  <c r="AC100"/>
  <c r="CU100" s="1"/>
  <c r="AA100"/>
  <c r="Z100"/>
  <c r="Y100"/>
  <c r="X100"/>
  <c r="W100"/>
  <c r="I100"/>
  <c r="H100"/>
  <c r="G100"/>
  <c r="DO99"/>
  <c r="CZ99"/>
  <c r="CY99"/>
  <c r="CS99"/>
  <c r="CR99"/>
  <c r="CQ99"/>
  <c r="DE99" s="1"/>
  <c r="BP99"/>
  <c r="BO99"/>
  <c r="BN99"/>
  <c r="BQ99" s="1"/>
  <c r="BD99"/>
  <c r="AV99"/>
  <c r="AU99"/>
  <c r="AW99" s="1"/>
  <c r="AT99"/>
  <c r="AK99"/>
  <c r="AJ99"/>
  <c r="AL99" s="1"/>
  <c r="DF99" s="1"/>
  <c r="AD99"/>
  <c r="CV99" s="1"/>
  <c r="AB99"/>
  <c r="AA99"/>
  <c r="Z99"/>
  <c r="Y99"/>
  <c r="X99"/>
  <c r="W99"/>
  <c r="S99"/>
  <c r="I99"/>
  <c r="H99"/>
  <c r="G99"/>
  <c r="DO98"/>
  <c r="CZ98"/>
  <c r="CY98"/>
  <c r="CV98"/>
  <c r="CS98"/>
  <c r="CR98"/>
  <c r="CQ98"/>
  <c r="DE98" s="1"/>
  <c r="BR98"/>
  <c r="BP98"/>
  <c r="BO98"/>
  <c r="BN98"/>
  <c r="BQ98" s="1"/>
  <c r="BD98"/>
  <c r="AV98"/>
  <c r="AU98"/>
  <c r="AC98" s="1"/>
  <c r="CU98" s="1"/>
  <c r="AT98"/>
  <c r="AK98"/>
  <c r="AJ98"/>
  <c r="AL98" s="1"/>
  <c r="AD98"/>
  <c r="DZ98" s="1"/>
  <c r="AB98"/>
  <c r="AA98"/>
  <c r="Z98"/>
  <c r="Y98"/>
  <c r="X98"/>
  <c r="W98"/>
  <c r="S98"/>
  <c r="I98"/>
  <c r="H98"/>
  <c r="G98"/>
  <c r="DO97"/>
  <c r="CZ97"/>
  <c r="CY97"/>
  <c r="CS97"/>
  <c r="CR97"/>
  <c r="CQ97"/>
  <c r="BP97"/>
  <c r="BO97"/>
  <c r="BI97"/>
  <c r="BQ97" s="1"/>
  <c r="BD97"/>
  <c r="AV97"/>
  <c r="AU97"/>
  <c r="AW97" s="1"/>
  <c r="AO97"/>
  <c r="AK97"/>
  <c r="AJ97"/>
  <c r="AL97" s="1"/>
  <c r="DF97" s="1"/>
  <c r="AD97"/>
  <c r="DZ97" s="1"/>
  <c r="AB97"/>
  <c r="AA97"/>
  <c r="Z97"/>
  <c r="Y97"/>
  <c r="X97"/>
  <c r="S97"/>
  <c r="I97"/>
  <c r="H97"/>
  <c r="G97"/>
  <c r="DO96"/>
  <c r="CZ96"/>
  <c r="CY96"/>
  <c r="CS96"/>
  <c r="CR96"/>
  <c r="CQ96"/>
  <c r="DE96" s="1"/>
  <c r="BP96"/>
  <c r="BO96"/>
  <c r="BJ96"/>
  <c r="BQ96" s="1"/>
  <c r="BD96"/>
  <c r="AV96"/>
  <c r="AU96"/>
  <c r="AW96" s="1"/>
  <c r="AP96"/>
  <c r="AK96"/>
  <c r="AJ96"/>
  <c r="AL96" s="1"/>
  <c r="DF96" s="1"/>
  <c r="AD96"/>
  <c r="CV96" s="1"/>
  <c r="AB96"/>
  <c r="AA96"/>
  <c r="Z96"/>
  <c r="Y96"/>
  <c r="X96"/>
  <c r="W96"/>
  <c r="S96"/>
  <c r="I96"/>
  <c r="H96"/>
  <c r="G96"/>
  <c r="DO95"/>
  <c r="CZ95"/>
  <c r="CY95"/>
  <c r="CS95"/>
  <c r="CR95"/>
  <c r="CQ95"/>
  <c r="DE95" s="1"/>
  <c r="BP95"/>
  <c r="BO95"/>
  <c r="BI95"/>
  <c r="BQ95" s="1"/>
  <c r="BD95"/>
  <c r="AV95"/>
  <c r="AU95"/>
  <c r="AW95" s="1"/>
  <c r="AO95"/>
  <c r="AK95"/>
  <c r="AJ95"/>
  <c r="AL95" s="1"/>
  <c r="DF95" s="1"/>
  <c r="AD95"/>
  <c r="CV95" s="1"/>
  <c r="AB95"/>
  <c r="AA95"/>
  <c r="Z95"/>
  <c r="Y95"/>
  <c r="X95"/>
  <c r="S95"/>
  <c r="I95"/>
  <c r="H95"/>
  <c r="G95"/>
  <c r="CZ94"/>
  <c r="CY94"/>
  <c r="CS94"/>
  <c r="CR94"/>
  <c r="CQ94"/>
  <c r="DE94" s="1"/>
  <c r="BP94"/>
  <c r="BO94"/>
  <c r="BI94"/>
  <c r="BQ94" s="1"/>
  <c r="BD94"/>
  <c r="AV94"/>
  <c r="AU94"/>
  <c r="AW94" s="1"/>
  <c r="AO94"/>
  <c r="AK94"/>
  <c r="AJ94"/>
  <c r="AL94" s="1"/>
  <c r="AD94"/>
  <c r="CV94" s="1"/>
  <c r="AB94"/>
  <c r="AA94"/>
  <c r="Z94"/>
  <c r="Y94"/>
  <c r="X94"/>
  <c r="S94"/>
  <c r="I94"/>
  <c r="H94"/>
  <c r="G94"/>
  <c r="CZ93"/>
  <c r="CY93"/>
  <c r="CS93"/>
  <c r="CR93"/>
  <c r="CQ93"/>
  <c r="DE93" s="1"/>
  <c r="BP93"/>
  <c r="BO93"/>
  <c r="BI93"/>
  <c r="BQ93" s="1"/>
  <c r="BD93"/>
  <c r="AV93"/>
  <c r="AU93"/>
  <c r="AW93" s="1"/>
  <c r="AO93"/>
  <c r="AK93"/>
  <c r="AJ93"/>
  <c r="AL93" s="1"/>
  <c r="AD93"/>
  <c r="CV93" s="1"/>
  <c r="AB93"/>
  <c r="AA93"/>
  <c r="Z93"/>
  <c r="Y93"/>
  <c r="X93"/>
  <c r="S93"/>
  <c r="I93"/>
  <c r="H93"/>
  <c r="G93"/>
  <c r="DO92"/>
  <c r="CZ92"/>
  <c r="CY92"/>
  <c r="CS92"/>
  <c r="CR92"/>
  <c r="CQ92"/>
  <c r="DE92" s="1"/>
  <c r="BP92"/>
  <c r="BO92"/>
  <c r="BI92"/>
  <c r="BQ92" s="1"/>
  <c r="BD92"/>
  <c r="AV92"/>
  <c r="AU92"/>
  <c r="AW92" s="1"/>
  <c r="AO92"/>
  <c r="AK92"/>
  <c r="AJ92"/>
  <c r="AL92" s="1"/>
  <c r="DF92" s="1"/>
  <c r="AD92"/>
  <c r="CV92" s="1"/>
  <c r="AB92"/>
  <c r="AA92"/>
  <c r="Z92"/>
  <c r="Y92"/>
  <c r="X92"/>
  <c r="S92"/>
  <c r="I92"/>
  <c r="H92"/>
  <c r="G92"/>
  <c r="DO91"/>
  <c r="CZ91"/>
  <c r="CY91"/>
  <c r="CS91"/>
  <c r="CR91"/>
  <c r="CQ91"/>
  <c r="DE91" s="1"/>
  <c r="BP91"/>
  <c r="BO91"/>
  <c r="BN91"/>
  <c r="BQ91" s="1"/>
  <c r="BD91"/>
  <c r="AV91"/>
  <c r="AU91"/>
  <c r="AW91" s="1"/>
  <c r="AT91"/>
  <c r="AK91"/>
  <c r="AJ91"/>
  <c r="AL91" s="1"/>
  <c r="DF91" s="1"/>
  <c r="AD91"/>
  <c r="CV91" s="1"/>
  <c r="AB91"/>
  <c r="AA91"/>
  <c r="Z91"/>
  <c r="Y91"/>
  <c r="X91"/>
  <c r="W91"/>
  <c r="S91"/>
  <c r="I91"/>
  <c r="H91"/>
  <c r="G91"/>
  <c r="DZ90"/>
  <c r="DO90"/>
  <c r="CZ90"/>
  <c r="CY90"/>
  <c r="CS90"/>
  <c r="CR90"/>
  <c r="CQ90"/>
  <c r="DE90" s="1"/>
  <c r="BP90"/>
  <c r="BO90"/>
  <c r="BQ90" s="1"/>
  <c r="CA90" s="1"/>
  <c r="BD90"/>
  <c r="AV90"/>
  <c r="AU90"/>
  <c r="AW90" s="1"/>
  <c r="AJ90"/>
  <c r="AD90"/>
  <c r="CV90" s="1"/>
  <c r="AC90"/>
  <c r="CU90" s="1"/>
  <c r="AB90"/>
  <c r="AA90"/>
  <c r="Z90"/>
  <c r="Y90"/>
  <c r="X90"/>
  <c r="W90"/>
  <c r="AE90" s="1"/>
  <c r="S90"/>
  <c r="H90"/>
  <c r="P90" s="1"/>
  <c r="DO89"/>
  <c r="CZ89"/>
  <c r="CY89"/>
  <c r="CS89"/>
  <c r="CR89"/>
  <c r="CQ89"/>
  <c r="DE89" s="1"/>
  <c r="BP89"/>
  <c r="BO89"/>
  <c r="BQ89" s="1"/>
  <c r="BE89"/>
  <c r="BD89"/>
  <c r="BF89" s="1"/>
  <c r="AV89"/>
  <c r="AU89"/>
  <c r="AW89" s="1"/>
  <c r="AK89"/>
  <c r="AJ89"/>
  <c r="AD89"/>
  <c r="AC89"/>
  <c r="CU89" s="1"/>
  <c r="AB89"/>
  <c r="AA89"/>
  <c r="Z89"/>
  <c r="Y89"/>
  <c r="X89"/>
  <c r="W89"/>
  <c r="S89"/>
  <c r="H89"/>
  <c r="P89" s="1"/>
  <c r="I89" s="1"/>
  <c r="Q89" s="1"/>
  <c r="BX89" s="1"/>
  <c r="DO88"/>
  <c r="CZ88"/>
  <c r="CY88"/>
  <c r="CV88"/>
  <c r="CS88"/>
  <c r="CR88"/>
  <c r="CQ88"/>
  <c r="DE88" s="1"/>
  <c r="BP88"/>
  <c r="BO88"/>
  <c r="BI88"/>
  <c r="BD88"/>
  <c r="AV88"/>
  <c r="AU88"/>
  <c r="AC88" s="1"/>
  <c r="CU88" s="1"/>
  <c r="AO88"/>
  <c r="AK88"/>
  <c r="AJ88"/>
  <c r="AL88" s="1"/>
  <c r="AD88"/>
  <c r="DZ88" s="1"/>
  <c r="AB88"/>
  <c r="AA88"/>
  <c r="Z88"/>
  <c r="Y88"/>
  <c r="X88"/>
  <c r="S88"/>
  <c r="I88"/>
  <c r="H88"/>
  <c r="G88"/>
  <c r="CZ87"/>
  <c r="CY87"/>
  <c r="CV87"/>
  <c r="CS87"/>
  <c r="CR87"/>
  <c r="CQ87"/>
  <c r="DE87" s="1"/>
  <c r="BR87"/>
  <c r="BP87"/>
  <c r="BO87"/>
  <c r="BN87"/>
  <c r="BQ87" s="1"/>
  <c r="BD87"/>
  <c r="AV87"/>
  <c r="AU87"/>
  <c r="AC87" s="1"/>
  <c r="CU87" s="1"/>
  <c r="AT87"/>
  <c r="AK87"/>
  <c r="AJ87"/>
  <c r="AL87" s="1"/>
  <c r="DF87" s="1"/>
  <c r="AD87"/>
  <c r="DZ87" s="1"/>
  <c r="AB87"/>
  <c r="AA87"/>
  <c r="Z87"/>
  <c r="Y87"/>
  <c r="X87"/>
  <c r="W87"/>
  <c r="S87"/>
  <c r="I87"/>
  <c r="H87"/>
  <c r="G87"/>
  <c r="CZ86"/>
  <c r="CY86"/>
  <c r="CS86"/>
  <c r="CR86"/>
  <c r="CQ86"/>
  <c r="BP86"/>
  <c r="BO86"/>
  <c r="BI86"/>
  <c r="BD86"/>
  <c r="AV86"/>
  <c r="AU86"/>
  <c r="AC86" s="1"/>
  <c r="AO86"/>
  <c r="AK86"/>
  <c r="AJ86"/>
  <c r="AD86"/>
  <c r="DZ86" s="1"/>
  <c r="AB86"/>
  <c r="AA86"/>
  <c r="Z86"/>
  <c r="Y86"/>
  <c r="X86"/>
  <c r="S86"/>
  <c r="I86"/>
  <c r="H86"/>
  <c r="G86"/>
  <c r="DO85"/>
  <c r="CZ85"/>
  <c r="CY85"/>
  <c r="CS85"/>
  <c r="CR85"/>
  <c r="CQ85"/>
  <c r="BP85"/>
  <c r="BO85"/>
  <c r="BI85"/>
  <c r="BD85"/>
  <c r="AV85"/>
  <c r="AU85"/>
  <c r="AC85" s="1"/>
  <c r="AO85"/>
  <c r="AK85"/>
  <c r="AJ85"/>
  <c r="AD85"/>
  <c r="DZ85" s="1"/>
  <c r="AB85"/>
  <c r="AA85"/>
  <c r="Z85"/>
  <c r="Y85"/>
  <c r="X85"/>
  <c r="I85"/>
  <c r="H85"/>
  <c r="G85"/>
  <c r="CZ84"/>
  <c r="CY84"/>
  <c r="CS84"/>
  <c r="CR84"/>
  <c r="CQ84"/>
  <c r="BP84"/>
  <c r="BO84"/>
  <c r="BQ84" s="1"/>
  <c r="BN84"/>
  <c r="BD84"/>
  <c r="AV84"/>
  <c r="AU84"/>
  <c r="AW84" s="1"/>
  <c r="AT84"/>
  <c r="AK84"/>
  <c r="AJ84"/>
  <c r="AL84" s="1"/>
  <c r="DF84" s="1"/>
  <c r="AD84"/>
  <c r="CV84" s="1"/>
  <c r="AB84"/>
  <c r="AA84"/>
  <c r="Z84"/>
  <c r="Y84"/>
  <c r="X84"/>
  <c r="W84"/>
  <c r="S84"/>
  <c r="I84"/>
  <c r="H84"/>
  <c r="G84"/>
  <c r="CZ83"/>
  <c r="CY83"/>
  <c r="CS83"/>
  <c r="CR83"/>
  <c r="CQ83"/>
  <c r="DE83" s="1"/>
  <c r="BP83"/>
  <c r="BO83"/>
  <c r="BJ83"/>
  <c r="BQ83" s="1"/>
  <c r="BD83"/>
  <c r="AV83"/>
  <c r="AU83"/>
  <c r="AW83" s="1"/>
  <c r="AP83"/>
  <c r="AK83"/>
  <c r="AJ83"/>
  <c r="AL83" s="1"/>
  <c r="DF83" s="1"/>
  <c r="AD83"/>
  <c r="CV83" s="1"/>
  <c r="AB83"/>
  <c r="AA83"/>
  <c r="Z83"/>
  <c r="Y83"/>
  <c r="X83"/>
  <c r="W83"/>
  <c r="S83"/>
  <c r="I83"/>
  <c r="H83"/>
  <c r="G83"/>
  <c r="CZ82"/>
  <c r="CY82"/>
  <c r="CS82"/>
  <c r="CR82"/>
  <c r="CQ82"/>
  <c r="DE82" s="1"/>
  <c r="BP82"/>
  <c r="BO82"/>
  <c r="BK82"/>
  <c r="BQ82" s="1"/>
  <c r="BD82"/>
  <c r="AV82"/>
  <c r="AU82"/>
  <c r="AW82" s="1"/>
  <c r="AQ82"/>
  <c r="AK82"/>
  <c r="AJ82"/>
  <c r="AL82" s="1"/>
  <c r="AG82"/>
  <c r="AH82" s="1"/>
  <c r="AD82"/>
  <c r="CV82" s="1"/>
  <c r="AB82"/>
  <c r="AA82"/>
  <c r="Z82"/>
  <c r="X82"/>
  <c r="W82"/>
  <c r="S82"/>
  <c r="I82"/>
  <c r="H82"/>
  <c r="G82"/>
  <c r="CZ81"/>
  <c r="CY81"/>
  <c r="S81" s="1"/>
  <c r="CS81"/>
  <c r="CR81"/>
  <c r="CQ81"/>
  <c r="DE81" s="1"/>
  <c r="BP81"/>
  <c r="BO81"/>
  <c r="BQ81" s="1"/>
  <c r="BJ81"/>
  <c r="BD81"/>
  <c r="AV81"/>
  <c r="AD81" s="1"/>
  <c r="AU81"/>
  <c r="AP81"/>
  <c r="AW81" s="1"/>
  <c r="AJ81"/>
  <c r="AG81"/>
  <c r="AC81"/>
  <c r="CU81" s="1"/>
  <c r="AB81"/>
  <c r="AA81"/>
  <c r="Z81"/>
  <c r="Y81"/>
  <c r="W81"/>
  <c r="I81"/>
  <c r="H81"/>
  <c r="G81"/>
  <c r="CZ80"/>
  <c r="CY80"/>
  <c r="CS80"/>
  <c r="CR80"/>
  <c r="CQ80"/>
  <c r="DE80" s="1"/>
  <c r="BP80"/>
  <c r="BO80"/>
  <c r="BJ80"/>
  <c r="BQ80" s="1"/>
  <c r="BD80"/>
  <c r="AV80"/>
  <c r="AU80"/>
  <c r="AW80" s="1"/>
  <c r="AP80"/>
  <c r="AK80"/>
  <c r="AJ80"/>
  <c r="AL80" s="1"/>
  <c r="DF80" s="1"/>
  <c r="AD80"/>
  <c r="CV80" s="1"/>
  <c r="AB80"/>
  <c r="AA80"/>
  <c r="Z80"/>
  <c r="Y80"/>
  <c r="X80"/>
  <c r="W80"/>
  <c r="S80"/>
  <c r="I80"/>
  <c r="H80"/>
  <c r="G80"/>
  <c r="DO79"/>
  <c r="CZ79"/>
  <c r="CY79"/>
  <c r="CS79"/>
  <c r="CR79"/>
  <c r="CQ79"/>
  <c r="DE79" s="1"/>
  <c r="BP79"/>
  <c r="BO79"/>
  <c r="BN79"/>
  <c r="BQ79" s="1"/>
  <c r="BD79"/>
  <c r="AV79"/>
  <c r="AU79"/>
  <c r="AW79" s="1"/>
  <c r="AT79"/>
  <c r="AK79"/>
  <c r="AJ79"/>
  <c r="AL79" s="1"/>
  <c r="DF79" s="1"/>
  <c r="AD79"/>
  <c r="CV79" s="1"/>
  <c r="AB79"/>
  <c r="AA79"/>
  <c r="Z79"/>
  <c r="Y79"/>
  <c r="X79"/>
  <c r="W79"/>
  <c r="S79"/>
  <c r="I79"/>
  <c r="H79"/>
  <c r="G79"/>
  <c r="CZ78"/>
  <c r="CY78"/>
  <c r="CS78"/>
  <c r="CR78"/>
  <c r="CQ78"/>
  <c r="DE78" s="1"/>
  <c r="BX78"/>
  <c r="BP78"/>
  <c r="BO78"/>
  <c r="BL78"/>
  <c r="BQ78" s="1"/>
  <c r="BD78"/>
  <c r="AV78"/>
  <c r="AU78"/>
  <c r="AW78" s="1"/>
  <c r="AR78"/>
  <c r="AK78"/>
  <c r="AJ78"/>
  <c r="AL78" s="1"/>
  <c r="DF78" s="1"/>
  <c r="AD78"/>
  <c r="CV78" s="1"/>
  <c r="AB78"/>
  <c r="AA78"/>
  <c r="Z78"/>
  <c r="Y78"/>
  <c r="X78"/>
  <c r="W78"/>
  <c r="S78"/>
  <c r="I78"/>
  <c r="H78"/>
  <c r="G78"/>
  <c r="CZ77"/>
  <c r="CY77"/>
  <c r="CS77"/>
  <c r="CR77"/>
  <c r="CQ77"/>
  <c r="DE77" s="1"/>
  <c r="BP77"/>
  <c r="BO77"/>
  <c r="BN77"/>
  <c r="BQ77" s="1"/>
  <c r="BD77"/>
  <c r="AV77"/>
  <c r="AU77"/>
  <c r="AW77" s="1"/>
  <c r="AT77"/>
  <c r="AK77"/>
  <c r="AJ77"/>
  <c r="AL77" s="1"/>
  <c r="DF77" s="1"/>
  <c r="AD77"/>
  <c r="CV77" s="1"/>
  <c r="AB77"/>
  <c r="AA77"/>
  <c r="Z77"/>
  <c r="Y77"/>
  <c r="X77"/>
  <c r="W77"/>
  <c r="S77"/>
  <c r="I77"/>
  <c r="H77"/>
  <c r="G77"/>
  <c r="CZ76"/>
  <c r="CY76"/>
  <c r="CS76"/>
  <c r="CR76"/>
  <c r="CQ76"/>
  <c r="DE76" s="1"/>
  <c r="BP76"/>
  <c r="BO76"/>
  <c r="BN76"/>
  <c r="BQ76" s="1"/>
  <c r="BD76"/>
  <c r="AV76"/>
  <c r="AU76"/>
  <c r="AW76" s="1"/>
  <c r="AT76"/>
  <c r="AK76"/>
  <c r="AJ76"/>
  <c r="AL76" s="1"/>
  <c r="AD76"/>
  <c r="CV76" s="1"/>
  <c r="AB76"/>
  <c r="AA76"/>
  <c r="Z76"/>
  <c r="Y76"/>
  <c r="X76"/>
  <c r="W76"/>
  <c r="S76"/>
  <c r="I76"/>
  <c r="H76"/>
  <c r="G76"/>
  <c r="CZ75"/>
  <c r="CY75"/>
  <c r="CS75"/>
  <c r="CR75"/>
  <c r="CQ75"/>
  <c r="DE75" s="1"/>
  <c r="BP75"/>
  <c r="BO75"/>
  <c r="BN75"/>
  <c r="BQ75" s="1"/>
  <c r="BD75"/>
  <c r="AV75"/>
  <c r="AU75"/>
  <c r="AW75" s="1"/>
  <c r="AT75"/>
  <c r="AK75"/>
  <c r="AJ75"/>
  <c r="AL75" s="1"/>
  <c r="AD75"/>
  <c r="CV75" s="1"/>
  <c r="AB75"/>
  <c r="AA75"/>
  <c r="Z75"/>
  <c r="Y75"/>
  <c r="X75"/>
  <c r="W75"/>
  <c r="S75"/>
  <c r="I75"/>
  <c r="H75"/>
  <c r="G75"/>
  <c r="CZ74"/>
  <c r="CY74"/>
  <c r="CS74"/>
  <c r="CR74"/>
  <c r="CQ74"/>
  <c r="DE74" s="1"/>
  <c r="BP74"/>
  <c r="BO74"/>
  <c r="BJ74"/>
  <c r="BQ74" s="1"/>
  <c r="BD74"/>
  <c r="AV74"/>
  <c r="AU74"/>
  <c r="AW74" s="1"/>
  <c r="AP74"/>
  <c r="AK74"/>
  <c r="AJ74"/>
  <c r="AL74" s="1"/>
  <c r="AD74"/>
  <c r="CV74" s="1"/>
  <c r="AB74"/>
  <c r="AA74"/>
  <c r="Z74"/>
  <c r="Y74"/>
  <c r="X74"/>
  <c r="W74"/>
  <c r="S74"/>
  <c r="I74"/>
  <c r="H74"/>
  <c r="G74"/>
  <c r="CZ73"/>
  <c r="CY73"/>
  <c r="CS73"/>
  <c r="CR73"/>
  <c r="CQ73"/>
  <c r="DE73" s="1"/>
  <c r="BR73"/>
  <c r="BP73"/>
  <c r="BO73"/>
  <c r="BN73"/>
  <c r="BQ73" s="1"/>
  <c r="BD73"/>
  <c r="AV73"/>
  <c r="AU73"/>
  <c r="AC73" s="1"/>
  <c r="CU73" s="1"/>
  <c r="AT73"/>
  <c r="AK73"/>
  <c r="AJ73"/>
  <c r="AL73" s="1"/>
  <c r="AH73"/>
  <c r="AG73"/>
  <c r="AD73"/>
  <c r="DZ73" s="1"/>
  <c r="AB73"/>
  <c r="AA73"/>
  <c r="Z73"/>
  <c r="Y73"/>
  <c r="X73"/>
  <c r="W73"/>
  <c r="AE73" s="1"/>
  <c r="BU73" s="1"/>
  <c r="S73"/>
  <c r="I73"/>
  <c r="H73"/>
  <c r="G73"/>
  <c r="CZ72"/>
  <c r="CY72"/>
  <c r="CS72"/>
  <c r="CR72"/>
  <c r="CQ72"/>
  <c r="BP72"/>
  <c r="BO72"/>
  <c r="BQ72" s="1"/>
  <c r="BN72"/>
  <c r="BD72"/>
  <c r="AV72"/>
  <c r="AD72" s="1"/>
  <c r="CV72" s="1"/>
  <c r="AU72"/>
  <c r="AT72"/>
  <c r="AJ72"/>
  <c r="AK72" s="1"/>
  <c r="AA72"/>
  <c r="Z72"/>
  <c r="Y72"/>
  <c r="X72"/>
  <c r="W72"/>
  <c r="S72"/>
  <c r="I72"/>
  <c r="H72"/>
  <c r="G72"/>
  <c r="CZ71"/>
  <c r="CY71"/>
  <c r="S71" s="1"/>
  <c r="CS71"/>
  <c r="CR71"/>
  <c r="CQ71"/>
  <c r="BP71"/>
  <c r="BO71"/>
  <c r="BQ71" s="1"/>
  <c r="BJ71"/>
  <c r="BD71"/>
  <c r="AV71"/>
  <c r="AD71" s="1"/>
  <c r="CV71" s="1"/>
  <c r="AU71"/>
  <c r="AP71"/>
  <c r="AJ71"/>
  <c r="AK71" s="1"/>
  <c r="AG71"/>
  <c r="AB71"/>
  <c r="AA71"/>
  <c r="Z71"/>
  <c r="Y71"/>
  <c r="W71"/>
  <c r="I71"/>
  <c r="H71"/>
  <c r="G71"/>
  <c r="DO70"/>
  <c r="CZ70"/>
  <c r="CY70"/>
  <c r="CV70"/>
  <c r="CS70"/>
  <c r="CR70"/>
  <c r="CQ70"/>
  <c r="DE70" s="1"/>
  <c r="BR70"/>
  <c r="BP70"/>
  <c r="BO70"/>
  <c r="BJ70"/>
  <c r="BQ70" s="1"/>
  <c r="BD70"/>
  <c r="AV70"/>
  <c r="AU70"/>
  <c r="AC70" s="1"/>
  <c r="CU70" s="1"/>
  <c r="AP70"/>
  <c r="AK70"/>
  <c r="AJ70"/>
  <c r="AL70" s="1"/>
  <c r="DF70" s="1"/>
  <c r="AD70"/>
  <c r="DZ70" s="1"/>
  <c r="AB70"/>
  <c r="AA70"/>
  <c r="Z70"/>
  <c r="Y70"/>
  <c r="X70"/>
  <c r="W70"/>
  <c r="S70"/>
  <c r="I70"/>
  <c r="H70"/>
  <c r="G70"/>
  <c r="CZ69"/>
  <c r="CY69"/>
  <c r="S69" s="1"/>
  <c r="CS69"/>
  <c r="CR69"/>
  <c r="CQ69"/>
  <c r="DE69" s="1"/>
  <c r="BP69"/>
  <c r="BO69"/>
  <c r="BQ69" s="1"/>
  <c r="BN69"/>
  <c r="BD69"/>
  <c r="AV69"/>
  <c r="AU69"/>
  <c r="AW69" s="1"/>
  <c r="AT69"/>
  <c r="AK69"/>
  <c r="AJ69"/>
  <c r="AL69" s="1"/>
  <c r="DF69" s="1"/>
  <c r="AD69"/>
  <c r="AB69"/>
  <c r="AA69"/>
  <c r="Z69"/>
  <c r="Y69"/>
  <c r="X69"/>
  <c r="W69"/>
  <c r="I69"/>
  <c r="H69"/>
  <c r="G69"/>
  <c r="CZ68"/>
  <c r="CY68"/>
  <c r="CS68"/>
  <c r="CR68"/>
  <c r="CQ68"/>
  <c r="DE68" s="1"/>
  <c r="BP68"/>
  <c r="BO68"/>
  <c r="BN68"/>
  <c r="BQ68" s="1"/>
  <c r="BD68"/>
  <c r="AV68"/>
  <c r="AU68"/>
  <c r="AW68" s="1"/>
  <c r="AT68"/>
  <c r="AK68"/>
  <c r="AJ68"/>
  <c r="AL68" s="1"/>
  <c r="AD68"/>
  <c r="CV68" s="1"/>
  <c r="AB68"/>
  <c r="AA68"/>
  <c r="Z68"/>
  <c r="Y68"/>
  <c r="X68"/>
  <c r="W68"/>
  <c r="S68"/>
  <c r="I68"/>
  <c r="H68"/>
  <c r="G68"/>
  <c r="DO67"/>
  <c r="DN67"/>
  <c r="CZ67"/>
  <c r="CY67"/>
  <c r="CS67"/>
  <c r="CR67"/>
  <c r="CQ67"/>
  <c r="DE67" s="1"/>
  <c r="BP67"/>
  <c r="BO67"/>
  <c r="BJ67"/>
  <c r="BQ67" s="1"/>
  <c r="BD67"/>
  <c r="AV67"/>
  <c r="AU67"/>
  <c r="AW67" s="1"/>
  <c r="AP67"/>
  <c r="AK67"/>
  <c r="AJ67"/>
  <c r="AL67" s="1"/>
  <c r="AH67"/>
  <c r="AG67"/>
  <c r="AD67"/>
  <c r="CV67" s="1"/>
  <c r="AB67"/>
  <c r="AA67"/>
  <c r="Z67"/>
  <c r="Y67"/>
  <c r="X67"/>
  <c r="W67"/>
  <c r="S67"/>
  <c r="I67"/>
  <c r="H67"/>
  <c r="G67"/>
  <c r="CZ66"/>
  <c r="CY66"/>
  <c r="CS66"/>
  <c r="CR66"/>
  <c r="CQ66"/>
  <c r="DE66" s="1"/>
  <c r="BP66"/>
  <c r="BO66"/>
  <c r="BQ66" s="1"/>
  <c r="BN66"/>
  <c r="BD66"/>
  <c r="AV66"/>
  <c r="AD66" s="1"/>
  <c r="AU66"/>
  <c r="AT66"/>
  <c r="AW66" s="1"/>
  <c r="AJ66"/>
  <c r="AC66"/>
  <c r="CU66" s="1"/>
  <c r="AA66"/>
  <c r="Z66"/>
  <c r="Y66"/>
  <c r="X66"/>
  <c r="W66"/>
  <c r="S66"/>
  <c r="I66"/>
  <c r="H66"/>
  <c r="G66"/>
  <c r="CZ65"/>
  <c r="CY65"/>
  <c r="CS65"/>
  <c r="CR65"/>
  <c r="CQ65"/>
  <c r="DE65" s="1"/>
  <c r="BP65"/>
  <c r="BO65"/>
  <c r="BQ65" s="1"/>
  <c r="BN65"/>
  <c r="BD65"/>
  <c r="AV65"/>
  <c r="AD65" s="1"/>
  <c r="AU65"/>
  <c r="AT65"/>
  <c r="AW65" s="1"/>
  <c r="AJ65"/>
  <c r="AC65"/>
  <c r="CU65" s="1"/>
  <c r="AA65"/>
  <c r="Z65"/>
  <c r="Y65"/>
  <c r="X65"/>
  <c r="W65"/>
  <c r="S65"/>
  <c r="I65"/>
  <c r="H65"/>
  <c r="G65"/>
  <c r="CZ64"/>
  <c r="CY64"/>
  <c r="CS64"/>
  <c r="CR64"/>
  <c r="CQ64"/>
  <c r="DE64" s="1"/>
  <c r="BP64"/>
  <c r="BO64"/>
  <c r="BQ64" s="1"/>
  <c r="BN64"/>
  <c r="BD64"/>
  <c r="AV64"/>
  <c r="AD64" s="1"/>
  <c r="AU64"/>
  <c r="AT64"/>
  <c r="AW64" s="1"/>
  <c r="AJ64"/>
  <c r="AC64"/>
  <c r="CU64" s="1"/>
  <c r="AA64"/>
  <c r="Z64"/>
  <c r="Y64"/>
  <c r="X64"/>
  <c r="W64"/>
  <c r="S64"/>
  <c r="I64"/>
  <c r="H64"/>
  <c r="G64"/>
  <c r="DO63"/>
  <c r="CZ63"/>
  <c r="CY63"/>
  <c r="CS63"/>
  <c r="CR63"/>
  <c r="CQ63"/>
  <c r="DE63" s="1"/>
  <c r="BP63"/>
  <c r="BO63"/>
  <c r="BQ63" s="1"/>
  <c r="BK63"/>
  <c r="BD63"/>
  <c r="AV63"/>
  <c r="AD63" s="1"/>
  <c r="AU63"/>
  <c r="AQ63"/>
  <c r="AW63" s="1"/>
  <c r="AJ63"/>
  <c r="AC63"/>
  <c r="CU63" s="1"/>
  <c r="AB63"/>
  <c r="AA63"/>
  <c r="Z63"/>
  <c r="Y63"/>
  <c r="X63"/>
  <c r="W63"/>
  <c r="AE63" s="1"/>
  <c r="S63"/>
  <c r="I63"/>
  <c r="H63"/>
  <c r="G63"/>
  <c r="CZ62"/>
  <c r="CY62"/>
  <c r="CS62"/>
  <c r="CR62"/>
  <c r="CQ62"/>
  <c r="DE62" s="1"/>
  <c r="BP62"/>
  <c r="BO62"/>
  <c r="BQ62" s="1"/>
  <c r="CA62" s="1"/>
  <c r="BN62"/>
  <c r="BD62"/>
  <c r="AV62"/>
  <c r="AD62" s="1"/>
  <c r="AU62"/>
  <c r="AT62"/>
  <c r="AW62" s="1"/>
  <c r="AJ62"/>
  <c r="AC62"/>
  <c r="CU62" s="1"/>
  <c r="AA62"/>
  <c r="Z62"/>
  <c r="Y62"/>
  <c r="X62"/>
  <c r="W62"/>
  <c r="S62"/>
  <c r="I62"/>
  <c r="H62"/>
  <c r="G62"/>
  <c r="CZ61"/>
  <c r="CY61"/>
  <c r="CS61"/>
  <c r="CR61"/>
  <c r="CQ61"/>
  <c r="DE61" s="1"/>
  <c r="BP61"/>
  <c r="BO61"/>
  <c r="BQ61" s="1"/>
  <c r="CA61" s="1"/>
  <c r="BM61"/>
  <c r="BD61"/>
  <c r="AV61"/>
  <c r="AD61" s="1"/>
  <c r="AU61"/>
  <c r="AS61"/>
  <c r="AW61" s="1"/>
  <c r="AJ61"/>
  <c r="AC61"/>
  <c r="CU61" s="1"/>
  <c r="AB61"/>
  <c r="AA61"/>
  <c r="Z61"/>
  <c r="Y61"/>
  <c r="X61"/>
  <c r="W61"/>
  <c r="AE61" s="1"/>
  <c r="S61"/>
  <c r="I61"/>
  <c r="H61"/>
  <c r="G61"/>
  <c r="CZ60"/>
  <c r="CY60"/>
  <c r="CS60"/>
  <c r="CR60"/>
  <c r="CQ60"/>
  <c r="DE60" s="1"/>
  <c r="BP60"/>
  <c r="BO60"/>
  <c r="BQ60" s="1"/>
  <c r="BL60"/>
  <c r="BD60"/>
  <c r="AV60"/>
  <c r="AD60" s="1"/>
  <c r="AU60"/>
  <c r="AR60"/>
  <c r="AW60" s="1"/>
  <c r="AJ60"/>
  <c r="AC60"/>
  <c r="CU60" s="1"/>
  <c r="AB60"/>
  <c r="AA60"/>
  <c r="Y60"/>
  <c r="X60"/>
  <c r="W60"/>
  <c r="S60"/>
  <c r="I60"/>
  <c r="H60"/>
  <c r="G60"/>
  <c r="DO59"/>
  <c r="CZ59"/>
  <c r="CY59"/>
  <c r="CS59"/>
  <c r="CR59"/>
  <c r="CQ59"/>
  <c r="DE59" s="1"/>
  <c r="BP59"/>
  <c r="BO59"/>
  <c r="BJ59"/>
  <c r="BQ59" s="1"/>
  <c r="BD59"/>
  <c r="AV59"/>
  <c r="AU59"/>
  <c r="AW59" s="1"/>
  <c r="AP59"/>
  <c r="AK59"/>
  <c r="AJ59"/>
  <c r="AL59" s="1"/>
  <c r="DF59" s="1"/>
  <c r="AD59"/>
  <c r="CV59" s="1"/>
  <c r="AB59"/>
  <c r="AA59"/>
  <c r="Z59"/>
  <c r="Y59"/>
  <c r="X59"/>
  <c r="W59"/>
  <c r="S59"/>
  <c r="I59"/>
  <c r="H59"/>
  <c r="G59"/>
  <c r="CZ58"/>
  <c r="CY58"/>
  <c r="CS58"/>
  <c r="CR58"/>
  <c r="CQ58"/>
  <c r="DE58" s="1"/>
  <c r="BP58"/>
  <c r="BO58"/>
  <c r="BN58"/>
  <c r="BQ58" s="1"/>
  <c r="BD58"/>
  <c r="AV58"/>
  <c r="AU58"/>
  <c r="AW58" s="1"/>
  <c r="AT58"/>
  <c r="AK58"/>
  <c r="AJ58"/>
  <c r="AL58" s="1"/>
  <c r="AD58"/>
  <c r="CV58" s="1"/>
  <c r="AB58"/>
  <c r="AA58"/>
  <c r="Z58"/>
  <c r="Y58"/>
  <c r="X58"/>
  <c r="W58"/>
  <c r="S58"/>
  <c r="I58"/>
  <c r="H58"/>
  <c r="G58"/>
  <c r="CZ57"/>
  <c r="CY57"/>
  <c r="CS57"/>
  <c r="CR57"/>
  <c r="CQ57"/>
  <c r="DE57" s="1"/>
  <c r="BP57"/>
  <c r="BO57"/>
  <c r="BJ57"/>
  <c r="BQ57" s="1"/>
  <c r="BD57"/>
  <c r="AV57"/>
  <c r="AU57"/>
  <c r="AW57" s="1"/>
  <c r="AP57"/>
  <c r="AK57"/>
  <c r="AJ57"/>
  <c r="AL57" s="1"/>
  <c r="AD57"/>
  <c r="CV57" s="1"/>
  <c r="AB57"/>
  <c r="AA57"/>
  <c r="Z57"/>
  <c r="Y57"/>
  <c r="X57"/>
  <c r="W57"/>
  <c r="S57"/>
  <c r="I57"/>
  <c r="H57"/>
  <c r="G57"/>
  <c r="CZ56"/>
  <c r="CY56"/>
  <c r="CS56"/>
  <c r="CR56"/>
  <c r="CQ56"/>
  <c r="DE56" s="1"/>
  <c r="BP56"/>
  <c r="BO56"/>
  <c r="BJ56"/>
  <c r="BQ56" s="1"/>
  <c r="BD56"/>
  <c r="AV56"/>
  <c r="AU56"/>
  <c r="AW56" s="1"/>
  <c r="AP56"/>
  <c r="AK56"/>
  <c r="AJ56"/>
  <c r="AL56" s="1"/>
  <c r="AD56"/>
  <c r="CV56" s="1"/>
  <c r="AB56"/>
  <c r="AA56"/>
  <c r="Z56"/>
  <c r="Y56"/>
  <c r="X56"/>
  <c r="W56"/>
  <c r="S56"/>
  <c r="I56"/>
  <c r="H56"/>
  <c r="G56"/>
  <c r="CZ55"/>
  <c r="CY55"/>
  <c r="CS55"/>
  <c r="CR55"/>
  <c r="CQ55"/>
  <c r="DE55" s="1"/>
  <c r="BP55"/>
  <c r="BO55"/>
  <c r="BN55"/>
  <c r="BQ55" s="1"/>
  <c r="BD55"/>
  <c r="AV55"/>
  <c r="AU55"/>
  <c r="AW55" s="1"/>
  <c r="AT55"/>
  <c r="AK55"/>
  <c r="AJ55"/>
  <c r="AL55" s="1"/>
  <c r="AD55"/>
  <c r="CV55" s="1"/>
  <c r="AB55"/>
  <c r="AA55"/>
  <c r="Z55"/>
  <c r="Y55"/>
  <c r="X55"/>
  <c r="W55"/>
  <c r="S55"/>
  <c r="I55"/>
  <c r="H55"/>
  <c r="G55"/>
  <c r="CZ54"/>
  <c r="CY54"/>
  <c r="CS54"/>
  <c r="CR54"/>
  <c r="CQ54"/>
  <c r="DE54" s="1"/>
  <c r="BP54"/>
  <c r="BO54"/>
  <c r="BL54"/>
  <c r="BQ54" s="1"/>
  <c r="BD54"/>
  <c r="AV54"/>
  <c r="AU54"/>
  <c r="AW54" s="1"/>
  <c r="AR54"/>
  <c r="AK54"/>
  <c r="AJ54"/>
  <c r="AL54" s="1"/>
  <c r="AD54"/>
  <c r="CV54" s="1"/>
  <c r="AB54"/>
  <c r="AA54"/>
  <c r="Z54"/>
  <c r="Y54"/>
  <c r="X54"/>
  <c r="W54"/>
  <c r="S54"/>
  <c r="I54"/>
  <c r="H54"/>
  <c r="G54"/>
  <c r="CZ53"/>
  <c r="CY53"/>
  <c r="CS53"/>
  <c r="CR53"/>
  <c r="CQ53"/>
  <c r="DE53" s="1"/>
  <c r="BP53"/>
  <c r="BO53"/>
  <c r="BN53"/>
  <c r="BQ53" s="1"/>
  <c r="BD53"/>
  <c r="AV53"/>
  <c r="AU53"/>
  <c r="AW53" s="1"/>
  <c r="AT53"/>
  <c r="AK53"/>
  <c r="AJ53"/>
  <c r="AL53" s="1"/>
  <c r="DF53" s="1"/>
  <c r="AD53"/>
  <c r="AB53"/>
  <c r="AA53"/>
  <c r="Z53"/>
  <c r="Y53"/>
  <c r="X53"/>
  <c r="W53"/>
  <c r="S53"/>
  <c r="I53"/>
  <c r="H53"/>
  <c r="G53"/>
  <c r="DO52"/>
  <c r="CZ52"/>
  <c r="CY52"/>
  <c r="CS52"/>
  <c r="CR52"/>
  <c r="CQ52"/>
  <c r="BP52"/>
  <c r="BO52"/>
  <c r="BL52"/>
  <c r="BQ52" s="1"/>
  <c r="BR52" s="1"/>
  <c r="BD52"/>
  <c r="AV52"/>
  <c r="AU52"/>
  <c r="AC52" s="1"/>
  <c r="AR52"/>
  <c r="AK52"/>
  <c r="AJ52"/>
  <c r="AD52"/>
  <c r="DZ52" s="1"/>
  <c r="AB52"/>
  <c r="AA52"/>
  <c r="Y52"/>
  <c r="X52"/>
  <c r="W52"/>
  <c r="S52"/>
  <c r="I52"/>
  <c r="H52"/>
  <c r="G52"/>
  <c r="DO51"/>
  <c r="CZ51"/>
  <c r="CY51"/>
  <c r="CV51"/>
  <c r="CS51"/>
  <c r="CR51"/>
  <c r="CQ51"/>
  <c r="DE51" s="1"/>
  <c r="BR51"/>
  <c r="BP51"/>
  <c r="BO51"/>
  <c r="BJ51"/>
  <c r="BQ51" s="1"/>
  <c r="BD51"/>
  <c r="AV51"/>
  <c r="AU51"/>
  <c r="AC51" s="1"/>
  <c r="CU51" s="1"/>
  <c r="AP51"/>
  <c r="AK51"/>
  <c r="AJ51"/>
  <c r="AL51" s="1"/>
  <c r="AD51"/>
  <c r="DZ51" s="1"/>
  <c r="AB51"/>
  <c r="AA51"/>
  <c r="Z51"/>
  <c r="Y51"/>
  <c r="X51"/>
  <c r="W51"/>
  <c r="S51"/>
  <c r="I51"/>
  <c r="H51"/>
  <c r="G51"/>
  <c r="CZ50"/>
  <c r="CY50"/>
  <c r="CS50"/>
  <c r="CR50"/>
  <c r="CQ50"/>
  <c r="BP50"/>
  <c r="BO50"/>
  <c r="BL50"/>
  <c r="BQ50" s="1"/>
  <c r="BR50" s="1"/>
  <c r="BD50"/>
  <c r="AV50"/>
  <c r="AU50"/>
  <c r="AC50" s="1"/>
  <c r="AR50"/>
  <c r="AK50"/>
  <c r="AJ50"/>
  <c r="AD50"/>
  <c r="DZ50" s="1"/>
  <c r="AB50"/>
  <c r="AA50"/>
  <c r="Y50"/>
  <c r="X50"/>
  <c r="W50"/>
  <c r="S50"/>
  <c r="I50"/>
  <c r="H50"/>
  <c r="G50"/>
  <c r="CZ49"/>
  <c r="CY49"/>
  <c r="CS49"/>
  <c r="CR49"/>
  <c r="CQ49"/>
  <c r="BP49"/>
  <c r="BO49"/>
  <c r="BQ49" s="1"/>
  <c r="BN49"/>
  <c r="BD49"/>
  <c r="AV49"/>
  <c r="AD49" s="1"/>
  <c r="AU49"/>
  <c r="AT49"/>
  <c r="AW49" s="1"/>
  <c r="AJ49"/>
  <c r="AC49"/>
  <c r="CU49" s="1"/>
  <c r="AA49"/>
  <c r="Z49"/>
  <c r="Y49"/>
  <c r="X49"/>
  <c r="W49"/>
  <c r="S49"/>
  <c r="I49"/>
  <c r="H49"/>
  <c r="G49"/>
  <c r="CZ48"/>
  <c r="CY48"/>
  <c r="CS48"/>
  <c r="CR48"/>
  <c r="CQ48"/>
  <c r="DE48" s="1"/>
  <c r="BP48"/>
  <c r="BO48"/>
  <c r="BQ48" s="1"/>
  <c r="BJ48"/>
  <c r="BD48"/>
  <c r="AV48"/>
  <c r="AD48" s="1"/>
  <c r="AU48"/>
  <c r="AP48"/>
  <c r="AW48" s="1"/>
  <c r="AJ48"/>
  <c r="AC48"/>
  <c r="CU48" s="1"/>
  <c r="AB48"/>
  <c r="AA48"/>
  <c r="Z48"/>
  <c r="Y48"/>
  <c r="W48"/>
  <c r="S48"/>
  <c r="I48"/>
  <c r="H48"/>
  <c r="G48"/>
  <c r="DO47"/>
  <c r="CZ47"/>
  <c r="CY47"/>
  <c r="CS47"/>
  <c r="CR47"/>
  <c r="CQ47"/>
  <c r="DE47" s="1"/>
  <c r="BP47"/>
  <c r="BO47"/>
  <c r="BQ47" s="1"/>
  <c r="BJ47"/>
  <c r="BD47"/>
  <c r="AV47"/>
  <c r="AD47" s="1"/>
  <c r="AU47"/>
  <c r="AP47"/>
  <c r="AW47" s="1"/>
  <c r="AJ47"/>
  <c r="AC47"/>
  <c r="CU47" s="1"/>
  <c r="AB47"/>
  <c r="AA47"/>
  <c r="Z47"/>
  <c r="Y47"/>
  <c r="W47"/>
  <c r="S47"/>
  <c r="I47"/>
  <c r="H47"/>
  <c r="G47"/>
  <c r="CZ46"/>
  <c r="CY46"/>
  <c r="CS46"/>
  <c r="CR46"/>
  <c r="CQ46"/>
  <c r="DE46" s="1"/>
  <c r="BP46"/>
  <c r="BO46"/>
  <c r="BQ46" s="1"/>
  <c r="BM46"/>
  <c r="BD46"/>
  <c r="AV46"/>
  <c r="AD46" s="1"/>
  <c r="AU46"/>
  <c r="AS46"/>
  <c r="AW46" s="1"/>
  <c r="AJ46"/>
  <c r="AC46"/>
  <c r="CU46" s="1"/>
  <c r="AB46"/>
  <c r="AA46"/>
  <c r="Z46"/>
  <c r="Y46"/>
  <c r="X46"/>
  <c r="W46"/>
  <c r="AE46" s="1"/>
  <c r="S46"/>
  <c r="I46"/>
  <c r="H46"/>
  <c r="G46"/>
  <c r="DO45"/>
  <c r="CZ45"/>
  <c r="CY45"/>
  <c r="CS45"/>
  <c r="CR45"/>
  <c r="CQ45"/>
  <c r="DE45" s="1"/>
  <c r="BP45"/>
  <c r="BO45"/>
  <c r="BQ45" s="1"/>
  <c r="CA45" s="1"/>
  <c r="BJ45"/>
  <c r="BD45"/>
  <c r="AV45"/>
  <c r="AD45" s="1"/>
  <c r="AU45"/>
  <c r="AP45"/>
  <c r="AW45" s="1"/>
  <c r="AJ45"/>
  <c r="AC45"/>
  <c r="CU45" s="1"/>
  <c r="AB45"/>
  <c r="AA45"/>
  <c r="Z45"/>
  <c r="Y45"/>
  <c r="W45"/>
  <c r="S45"/>
  <c r="I45"/>
  <c r="H45"/>
  <c r="G45"/>
  <c r="CZ44"/>
  <c r="CY44"/>
  <c r="S44" s="1"/>
  <c r="CS44"/>
  <c r="CR44"/>
  <c r="CQ44"/>
  <c r="DE44" s="1"/>
  <c r="BP44"/>
  <c r="BO44"/>
  <c r="BQ44" s="1"/>
  <c r="BJ44"/>
  <c r="BD44"/>
  <c r="AV44"/>
  <c r="AD44" s="1"/>
  <c r="AU44"/>
  <c r="AP44"/>
  <c r="AW44" s="1"/>
  <c r="AJ44"/>
  <c r="AG44"/>
  <c r="AC44"/>
  <c r="CU44" s="1"/>
  <c r="AB44"/>
  <c r="AA44"/>
  <c r="Z44"/>
  <c r="Y44"/>
  <c r="W44"/>
  <c r="I44"/>
  <c r="H44"/>
  <c r="G44"/>
  <c r="CZ43"/>
  <c r="CY43"/>
  <c r="CS43"/>
  <c r="CR43"/>
  <c r="CQ43"/>
  <c r="DE43" s="1"/>
  <c r="BP43"/>
  <c r="BO43"/>
  <c r="BJ43"/>
  <c r="BQ43" s="1"/>
  <c r="BD43"/>
  <c r="AV43"/>
  <c r="AU43"/>
  <c r="AW43" s="1"/>
  <c r="AP43"/>
  <c r="AK43"/>
  <c r="AJ43"/>
  <c r="AL43" s="1"/>
  <c r="DF43" s="1"/>
  <c r="AD43"/>
  <c r="CV43" s="1"/>
  <c r="AB43"/>
  <c r="AA43"/>
  <c r="Z43"/>
  <c r="Y43"/>
  <c r="X43"/>
  <c r="W43"/>
  <c r="S43"/>
  <c r="I43"/>
  <c r="H43"/>
  <c r="G43"/>
  <c r="DO42"/>
  <c r="CZ42"/>
  <c r="CY42"/>
  <c r="CS42"/>
  <c r="CR42"/>
  <c r="CQ42"/>
  <c r="DE42" s="1"/>
  <c r="BP42"/>
  <c r="BO42"/>
  <c r="BN42"/>
  <c r="BQ42" s="1"/>
  <c r="BD42"/>
  <c r="AV42"/>
  <c r="AU42"/>
  <c r="AW42" s="1"/>
  <c r="AT42"/>
  <c r="AK42"/>
  <c r="AJ42"/>
  <c r="AL42" s="1"/>
  <c r="AD42"/>
  <c r="CV42" s="1"/>
  <c r="AB42"/>
  <c r="AA42"/>
  <c r="Z42"/>
  <c r="Y42"/>
  <c r="X42"/>
  <c r="W42"/>
  <c r="S42"/>
  <c r="I42"/>
  <c r="H42"/>
  <c r="G42"/>
  <c r="CZ41"/>
  <c r="CY41"/>
  <c r="CS41"/>
  <c r="CR41"/>
  <c r="CQ41"/>
  <c r="DE41" s="1"/>
  <c r="BP41"/>
  <c r="BO41"/>
  <c r="BN41"/>
  <c r="BQ41" s="1"/>
  <c r="BD41"/>
  <c r="AV41"/>
  <c r="AU41"/>
  <c r="AW41" s="1"/>
  <c r="AT41"/>
  <c r="AK41"/>
  <c r="AJ41"/>
  <c r="AL41" s="1"/>
  <c r="AD41"/>
  <c r="CV41" s="1"/>
  <c r="AB41"/>
  <c r="AA41"/>
  <c r="Z41"/>
  <c r="Y41"/>
  <c r="X41"/>
  <c r="W41"/>
  <c r="S41"/>
  <c r="I41"/>
  <c r="H41"/>
  <c r="G41"/>
  <c r="CZ40"/>
  <c r="CY40"/>
  <c r="CS40"/>
  <c r="CR40"/>
  <c r="CQ40"/>
  <c r="DE40" s="1"/>
  <c r="BP40"/>
  <c r="BO40"/>
  <c r="BN40"/>
  <c r="BQ40" s="1"/>
  <c r="BD40"/>
  <c r="AV40"/>
  <c r="AU40"/>
  <c r="AW40" s="1"/>
  <c r="AT40"/>
  <c r="AK40"/>
  <c r="AJ40"/>
  <c r="AL40" s="1"/>
  <c r="AD40"/>
  <c r="CV40" s="1"/>
  <c r="AB40"/>
  <c r="AA40"/>
  <c r="Z40"/>
  <c r="Y40"/>
  <c r="X40"/>
  <c r="W40"/>
  <c r="S40"/>
  <c r="I40"/>
  <c r="H40"/>
  <c r="G40"/>
  <c r="CZ39"/>
  <c r="CY39"/>
  <c r="CS39"/>
  <c r="CR39"/>
  <c r="CQ39"/>
  <c r="DE39" s="1"/>
  <c r="BP39"/>
  <c r="BO39"/>
  <c r="BN39"/>
  <c r="BQ39" s="1"/>
  <c r="BD39"/>
  <c r="AV39"/>
  <c r="AU39"/>
  <c r="AW39" s="1"/>
  <c r="AT39"/>
  <c r="AK39"/>
  <c r="AJ39"/>
  <c r="AL39" s="1"/>
  <c r="DF39" s="1"/>
  <c r="AD39"/>
  <c r="CV39" s="1"/>
  <c r="AB39"/>
  <c r="AA39"/>
  <c r="Z39"/>
  <c r="Y39"/>
  <c r="X39"/>
  <c r="W39"/>
  <c r="S39"/>
  <c r="I39"/>
  <c r="H39"/>
  <c r="G39"/>
  <c r="DO38"/>
  <c r="CZ38"/>
  <c r="CY38"/>
  <c r="CS38"/>
  <c r="CR38"/>
  <c r="CQ38"/>
  <c r="DE38" s="1"/>
  <c r="BP38"/>
  <c r="BO38"/>
  <c r="BJ38"/>
  <c r="BQ38" s="1"/>
  <c r="BD38"/>
  <c r="AV38"/>
  <c r="AU38"/>
  <c r="AW38" s="1"/>
  <c r="AP38"/>
  <c r="AK38"/>
  <c r="AJ38"/>
  <c r="AL38" s="1"/>
  <c r="DF38" s="1"/>
  <c r="AD38"/>
  <c r="CV38" s="1"/>
  <c r="AB38"/>
  <c r="AA38"/>
  <c r="Z38"/>
  <c r="Y38"/>
  <c r="X38"/>
  <c r="W38"/>
  <c r="S38"/>
  <c r="I38"/>
  <c r="H38"/>
  <c r="G38"/>
  <c r="CZ37"/>
  <c r="CY37"/>
  <c r="CS37"/>
  <c r="CR37"/>
  <c r="CQ37"/>
  <c r="DE37" s="1"/>
  <c r="BP37"/>
  <c r="BO37"/>
  <c r="BN37"/>
  <c r="BQ37" s="1"/>
  <c r="BD37"/>
  <c r="AV37"/>
  <c r="AU37"/>
  <c r="AW37" s="1"/>
  <c r="AT37"/>
  <c r="AK37"/>
  <c r="AJ37"/>
  <c r="AL37" s="1"/>
  <c r="DF37" s="1"/>
  <c r="AD37"/>
  <c r="CV37" s="1"/>
  <c r="AB37"/>
  <c r="AA37"/>
  <c r="Z37"/>
  <c r="Y37"/>
  <c r="X37"/>
  <c r="W37"/>
  <c r="S37"/>
  <c r="I37"/>
  <c r="H37"/>
  <c r="G37"/>
  <c r="CZ36"/>
  <c r="CY36"/>
  <c r="CS36"/>
  <c r="CR36"/>
  <c r="CQ36"/>
  <c r="DE36" s="1"/>
  <c r="BP36"/>
  <c r="BO36"/>
  <c r="BJ36"/>
  <c r="BQ36" s="1"/>
  <c r="BD36"/>
  <c r="AV36"/>
  <c r="AU36"/>
  <c r="AW36" s="1"/>
  <c r="AP36"/>
  <c r="AK36"/>
  <c r="AJ36"/>
  <c r="AL36" s="1"/>
  <c r="AD36"/>
  <c r="CV36" s="1"/>
  <c r="AB36"/>
  <c r="AA36"/>
  <c r="Z36"/>
  <c r="Y36"/>
  <c r="X36"/>
  <c r="W36"/>
  <c r="S36"/>
  <c r="I36"/>
  <c r="H36"/>
  <c r="G36"/>
  <c r="DO35"/>
  <c r="CZ35"/>
  <c r="CY35"/>
  <c r="CS35"/>
  <c r="CR35"/>
  <c r="CQ35"/>
  <c r="DE35" s="1"/>
  <c r="BP35"/>
  <c r="BO35"/>
  <c r="BN35"/>
  <c r="BQ35" s="1"/>
  <c r="BD35"/>
  <c r="AV35"/>
  <c r="AU35"/>
  <c r="AW35" s="1"/>
  <c r="AT35"/>
  <c r="AK35"/>
  <c r="AJ35"/>
  <c r="AL35" s="1"/>
  <c r="DF35" s="1"/>
  <c r="AD35"/>
  <c r="CV35" s="1"/>
  <c r="AB35"/>
  <c r="AA35"/>
  <c r="Z35"/>
  <c r="Y35"/>
  <c r="X35"/>
  <c r="W35"/>
  <c r="S35"/>
  <c r="I35"/>
  <c r="H35"/>
  <c r="G35"/>
  <c r="DO34"/>
  <c r="CZ34"/>
  <c r="CY34"/>
  <c r="CS34"/>
  <c r="CR34"/>
  <c r="CQ34"/>
  <c r="DE34" s="1"/>
  <c r="BP34"/>
  <c r="BO34"/>
  <c r="BN34"/>
  <c r="BQ34" s="1"/>
  <c r="BD34"/>
  <c r="AV34"/>
  <c r="AU34"/>
  <c r="AW34" s="1"/>
  <c r="AT34"/>
  <c r="AK34"/>
  <c r="AJ34"/>
  <c r="AL34" s="1"/>
  <c r="DF34" s="1"/>
  <c r="AD34"/>
  <c r="CV34" s="1"/>
  <c r="AB34"/>
  <c r="AA34"/>
  <c r="Z34"/>
  <c r="Y34"/>
  <c r="X34"/>
  <c r="W34"/>
  <c r="S34"/>
  <c r="I34"/>
  <c r="H34"/>
  <c r="G34"/>
  <c r="CZ33"/>
  <c r="CY33"/>
  <c r="CS33"/>
  <c r="CR33"/>
  <c r="CQ33"/>
  <c r="DE33" s="1"/>
  <c r="BP33"/>
  <c r="BO33"/>
  <c r="BJ33"/>
  <c r="BQ33" s="1"/>
  <c r="BD33"/>
  <c r="AV33"/>
  <c r="AU33"/>
  <c r="AW33" s="1"/>
  <c r="AP33"/>
  <c r="AK33"/>
  <c r="AJ33"/>
  <c r="AL33" s="1"/>
  <c r="DF33" s="1"/>
  <c r="AD33"/>
  <c r="CV33" s="1"/>
  <c r="AB33"/>
  <c r="AA33"/>
  <c r="Z33"/>
  <c r="Y33"/>
  <c r="X33"/>
  <c r="W33"/>
  <c r="S33"/>
  <c r="I33"/>
  <c r="H33"/>
  <c r="G33"/>
  <c r="DO32"/>
  <c r="CZ32"/>
  <c r="CY32"/>
  <c r="CS32"/>
  <c r="CR32"/>
  <c r="CQ32"/>
  <c r="DE32" s="1"/>
  <c r="BP32"/>
  <c r="BO32"/>
  <c r="BM32"/>
  <c r="BQ32" s="1"/>
  <c r="BD32"/>
  <c r="AV32"/>
  <c r="AU32"/>
  <c r="AW32" s="1"/>
  <c r="AS32"/>
  <c r="AK32"/>
  <c r="AJ32"/>
  <c r="AL32" s="1"/>
  <c r="DF32" s="1"/>
  <c r="AD32"/>
  <c r="CV32" s="1"/>
  <c r="AB32"/>
  <c r="Z32"/>
  <c r="Y32"/>
  <c r="X32"/>
  <c r="W32"/>
  <c r="S32"/>
  <c r="I32"/>
  <c r="H32"/>
  <c r="G32"/>
  <c r="DO31"/>
  <c r="CZ31"/>
  <c r="CY31"/>
  <c r="CS31"/>
  <c r="CR31"/>
  <c r="CQ31"/>
  <c r="DE31" s="1"/>
  <c r="BP31"/>
  <c r="BO31"/>
  <c r="BN31"/>
  <c r="BQ31" s="1"/>
  <c r="BD31"/>
  <c r="AV31"/>
  <c r="AU31"/>
  <c r="AW31" s="1"/>
  <c r="AT31"/>
  <c r="AK31"/>
  <c r="AJ31"/>
  <c r="AL31" s="1"/>
  <c r="DF31" s="1"/>
  <c r="AD31"/>
  <c r="CV31" s="1"/>
  <c r="AB31"/>
  <c r="AA31"/>
  <c r="Z31"/>
  <c r="Y31"/>
  <c r="X31"/>
  <c r="W31"/>
  <c r="S31"/>
  <c r="I31"/>
  <c r="H31"/>
  <c r="G31"/>
  <c r="CZ30"/>
  <c r="CY30"/>
  <c r="CS30"/>
  <c r="CR30"/>
  <c r="CQ30"/>
  <c r="DE30" s="1"/>
  <c r="BP30"/>
  <c r="BO30"/>
  <c r="BJ30"/>
  <c r="BQ30" s="1"/>
  <c r="BD30"/>
  <c r="AV30"/>
  <c r="AU30"/>
  <c r="AW30" s="1"/>
  <c r="AP30"/>
  <c r="AK30"/>
  <c r="AJ30"/>
  <c r="AL30" s="1"/>
  <c r="DF30" s="1"/>
  <c r="AD30"/>
  <c r="CV30" s="1"/>
  <c r="AB30"/>
  <c r="AA30"/>
  <c r="Z30"/>
  <c r="Y30"/>
  <c r="X30"/>
  <c r="W30"/>
  <c r="S30"/>
  <c r="I30"/>
  <c r="H30"/>
  <c r="G30"/>
  <c r="CZ29"/>
  <c r="CY29"/>
  <c r="CS29"/>
  <c r="CR29"/>
  <c r="CQ29"/>
  <c r="DE29" s="1"/>
  <c r="BX29"/>
  <c r="BP29"/>
  <c r="BO29"/>
  <c r="BJ29"/>
  <c r="BQ29" s="1"/>
  <c r="BD29"/>
  <c r="AV29"/>
  <c r="AU29"/>
  <c r="AW29" s="1"/>
  <c r="AP29"/>
  <c r="AK29"/>
  <c r="AJ29"/>
  <c r="AL29" s="1"/>
  <c r="AG29"/>
  <c r="AH29" s="1"/>
  <c r="AD29"/>
  <c r="CV29" s="1"/>
  <c r="AB29"/>
  <c r="AA29"/>
  <c r="Z29"/>
  <c r="Y29"/>
  <c r="X29"/>
  <c r="W29"/>
  <c r="S29"/>
  <c r="I29"/>
  <c r="H29"/>
  <c r="G29"/>
  <c r="CZ28"/>
  <c r="CY28"/>
  <c r="CS28"/>
  <c r="CR28"/>
  <c r="CQ28"/>
  <c r="DE28" s="1"/>
  <c r="BP28"/>
  <c r="BO28"/>
  <c r="BQ28" s="1"/>
  <c r="CA28" s="1"/>
  <c r="BJ28"/>
  <c r="BD28"/>
  <c r="AV28"/>
  <c r="AD28" s="1"/>
  <c r="AU28"/>
  <c r="AP28"/>
  <c r="AW28" s="1"/>
  <c r="AJ28"/>
  <c r="AC28"/>
  <c r="CU28" s="1"/>
  <c r="AB28"/>
  <c r="AA28"/>
  <c r="Z28"/>
  <c r="Y28"/>
  <c r="W28"/>
  <c r="S28"/>
  <c r="I28"/>
  <c r="H28"/>
  <c r="G28"/>
  <c r="DO27"/>
  <c r="CZ27"/>
  <c r="CY27"/>
  <c r="CS27"/>
  <c r="CR27"/>
  <c r="CQ27"/>
  <c r="DE27" s="1"/>
  <c r="BP27"/>
  <c r="BO27"/>
  <c r="BQ27" s="1"/>
  <c r="CA27" s="1"/>
  <c r="BJ27"/>
  <c r="BD27"/>
  <c r="AV27"/>
  <c r="AD27" s="1"/>
  <c r="AU27"/>
  <c r="AP27"/>
  <c r="AW27" s="1"/>
  <c r="AJ27"/>
  <c r="AC27"/>
  <c r="CU27" s="1"/>
  <c r="AB27"/>
  <c r="AA27"/>
  <c r="Z27"/>
  <c r="Y27"/>
  <c r="W27"/>
  <c r="S27"/>
  <c r="I27"/>
  <c r="H27"/>
  <c r="G27"/>
  <c r="DO26"/>
  <c r="CZ26"/>
  <c r="CY26"/>
  <c r="CS26"/>
  <c r="CR26"/>
  <c r="CQ26"/>
  <c r="DE26" s="1"/>
  <c r="BP26"/>
  <c r="BO26"/>
  <c r="BQ26" s="1"/>
  <c r="BE26"/>
  <c r="BD26"/>
  <c r="BF26" s="1"/>
  <c r="AV26"/>
  <c r="AU26"/>
  <c r="AW26" s="1"/>
  <c r="AK26"/>
  <c r="AJ26"/>
  <c r="AL26" s="1"/>
  <c r="DF26" s="1"/>
  <c r="AD26"/>
  <c r="CV26" s="1"/>
  <c r="AC26"/>
  <c r="CU26" s="1"/>
  <c r="AB26"/>
  <c r="AA26"/>
  <c r="BS26" s="1"/>
  <c r="Z26"/>
  <c r="Y26"/>
  <c r="X26"/>
  <c r="W26"/>
  <c r="AE26" s="1"/>
  <c r="S26"/>
  <c r="H26"/>
  <c r="P26" s="1"/>
  <c r="DO25"/>
  <c r="DN25"/>
  <c r="CZ25"/>
  <c r="CY25"/>
  <c r="CS25"/>
  <c r="CR25"/>
  <c r="CQ25"/>
  <c r="DE25" s="1"/>
  <c r="BP25"/>
  <c r="BO25"/>
  <c r="BJ25"/>
  <c r="BQ25" s="1"/>
  <c r="BD25"/>
  <c r="AV25"/>
  <c r="AU25"/>
  <c r="AW25" s="1"/>
  <c r="AP25"/>
  <c r="AK25"/>
  <c r="AJ25"/>
  <c r="AL25" s="1"/>
  <c r="AG25"/>
  <c r="AH25" s="1"/>
  <c r="AD25"/>
  <c r="CV25" s="1"/>
  <c r="AB25"/>
  <c r="AA25"/>
  <c r="Z25"/>
  <c r="Y25"/>
  <c r="X25"/>
  <c r="W25"/>
  <c r="S25"/>
  <c r="I25"/>
  <c r="H25"/>
  <c r="G25"/>
  <c r="CZ24"/>
  <c r="CY24"/>
  <c r="S24" s="1"/>
  <c r="CS24"/>
  <c r="CR24"/>
  <c r="CQ24"/>
  <c r="DE24" s="1"/>
  <c r="BP24"/>
  <c r="BO24"/>
  <c r="BQ24" s="1"/>
  <c r="BJ24"/>
  <c r="BD24"/>
  <c r="AV24"/>
  <c r="AD24" s="1"/>
  <c r="AU24"/>
  <c r="AP24"/>
  <c r="AW24" s="1"/>
  <c r="AJ24"/>
  <c r="AG24"/>
  <c r="AC24"/>
  <c r="CU24" s="1"/>
  <c r="AB24"/>
  <c r="AA24"/>
  <c r="Z24"/>
  <c r="Y24"/>
  <c r="W24"/>
  <c r="I24"/>
  <c r="H24"/>
  <c r="G24"/>
  <c r="CZ23"/>
  <c r="CY23"/>
  <c r="CS23"/>
  <c r="CR23"/>
  <c r="CQ23"/>
  <c r="DE23" s="1"/>
  <c r="BP23"/>
  <c r="BO23"/>
  <c r="BJ23"/>
  <c r="BQ23" s="1"/>
  <c r="BD23"/>
  <c r="AV23"/>
  <c r="AU23"/>
  <c r="AW23" s="1"/>
  <c r="AP23"/>
  <c r="AK23"/>
  <c r="AJ23"/>
  <c r="AL23" s="1"/>
  <c r="AD23"/>
  <c r="CV23" s="1"/>
  <c r="AB23"/>
  <c r="AA23"/>
  <c r="Z23"/>
  <c r="Y23"/>
  <c r="X23"/>
  <c r="W23"/>
  <c r="S23"/>
  <c r="I23"/>
  <c r="H23"/>
  <c r="G23"/>
  <c r="CZ22"/>
  <c r="CY22"/>
  <c r="CS22"/>
  <c r="CR22"/>
  <c r="CQ22"/>
  <c r="DE22" s="1"/>
  <c r="BP22"/>
  <c r="BO22"/>
  <c r="BJ22"/>
  <c r="BQ22" s="1"/>
  <c r="BD22"/>
  <c r="AV22"/>
  <c r="AU22"/>
  <c r="AW22" s="1"/>
  <c r="AP22"/>
  <c r="AK22"/>
  <c r="AJ22"/>
  <c r="AL22" s="1"/>
  <c r="DF22" s="1"/>
  <c r="AD22"/>
  <c r="CV22" s="1"/>
  <c r="AB22"/>
  <c r="AA22"/>
  <c r="Z22"/>
  <c r="Y22"/>
  <c r="X22"/>
  <c r="W22"/>
  <c r="S22"/>
  <c r="I22"/>
  <c r="H22"/>
  <c r="G22"/>
  <c r="CZ21"/>
  <c r="CY21"/>
  <c r="CS21"/>
  <c r="CR21"/>
  <c r="CQ21"/>
  <c r="DE21" s="1"/>
  <c r="BX21"/>
  <c r="BP21"/>
  <c r="BO21"/>
  <c r="BJ21"/>
  <c r="BQ21" s="1"/>
  <c r="BD21"/>
  <c r="AV21"/>
  <c r="AU21"/>
  <c r="AW21" s="1"/>
  <c r="AP21"/>
  <c r="AK21"/>
  <c r="AJ21"/>
  <c r="AL21" s="1"/>
  <c r="DF21" s="1"/>
  <c r="AD21"/>
  <c r="CV21" s="1"/>
  <c r="AB21"/>
  <c r="AA21"/>
  <c r="Z21"/>
  <c r="Y21"/>
  <c r="X21"/>
  <c r="W21"/>
  <c r="S21"/>
  <c r="I21"/>
  <c r="H21"/>
  <c r="G21"/>
  <c r="CZ20"/>
  <c r="CY20"/>
  <c r="CV20"/>
  <c r="CS20"/>
  <c r="CR20"/>
  <c r="CQ20"/>
  <c r="DE20" s="1"/>
  <c r="BR20"/>
  <c r="BP20"/>
  <c r="BO20"/>
  <c r="BN20"/>
  <c r="BQ20" s="1"/>
  <c r="BD20"/>
  <c r="AV20"/>
  <c r="AU20"/>
  <c r="AC20" s="1"/>
  <c r="CU20" s="1"/>
  <c r="AT20"/>
  <c r="AK20"/>
  <c r="AJ20"/>
  <c r="AL20" s="1"/>
  <c r="DF20" s="1"/>
  <c r="AD20"/>
  <c r="DZ20" s="1"/>
  <c r="AB20"/>
  <c r="AA20"/>
  <c r="Z20"/>
  <c r="Y20"/>
  <c r="X20"/>
  <c r="W20"/>
  <c r="S20"/>
  <c r="I20"/>
  <c r="H20"/>
  <c r="G20"/>
  <c r="DO19"/>
  <c r="DN19"/>
  <c r="CZ19"/>
  <c r="CY19"/>
  <c r="S19" s="1"/>
  <c r="CS19"/>
  <c r="CR19"/>
  <c r="CQ19"/>
  <c r="BP19"/>
  <c r="BO19"/>
  <c r="BQ19" s="1"/>
  <c r="BJ19"/>
  <c r="BD19"/>
  <c r="AV19"/>
  <c r="AD19" s="1"/>
  <c r="CV19" s="1"/>
  <c r="AU19"/>
  <c r="AP19"/>
  <c r="AJ19"/>
  <c r="AK19" s="1"/>
  <c r="AG19"/>
  <c r="AB19"/>
  <c r="AA19"/>
  <c r="Z19"/>
  <c r="Y19"/>
  <c r="W19"/>
  <c r="I19"/>
  <c r="H19"/>
  <c r="G19"/>
  <c r="CZ18"/>
  <c r="CY18"/>
  <c r="CV18"/>
  <c r="CS18"/>
  <c r="CR18"/>
  <c r="CQ18"/>
  <c r="DE18" s="1"/>
  <c r="BR18"/>
  <c r="BP18"/>
  <c r="BO18"/>
  <c r="BJ18"/>
  <c r="BQ18" s="1"/>
  <c r="BD18"/>
  <c r="AV18"/>
  <c r="AU18"/>
  <c r="AC18" s="1"/>
  <c r="CU18" s="1"/>
  <c r="AP18"/>
  <c r="AK18"/>
  <c r="AJ18"/>
  <c r="AL18" s="1"/>
  <c r="AD18"/>
  <c r="DZ18" s="1"/>
  <c r="AB18"/>
  <c r="AA18"/>
  <c r="Z18"/>
  <c r="Y18"/>
  <c r="X18"/>
  <c r="W18"/>
  <c r="S18"/>
  <c r="I18"/>
  <c r="H18"/>
  <c r="G18"/>
  <c r="CZ17"/>
  <c r="CY17"/>
  <c r="CS17"/>
  <c r="CR17"/>
  <c r="CQ17"/>
  <c r="BP17"/>
  <c r="BO17"/>
  <c r="BJ17"/>
  <c r="BQ17" s="1"/>
  <c r="BR17" s="1"/>
  <c r="BD17"/>
  <c r="AV17"/>
  <c r="AU17"/>
  <c r="AC17" s="1"/>
  <c r="AP17"/>
  <c r="AK17"/>
  <c r="AJ17"/>
  <c r="AD17"/>
  <c r="DZ17" s="1"/>
  <c r="AB17"/>
  <c r="AA17"/>
  <c r="Z17"/>
  <c r="Y17"/>
  <c r="W17"/>
  <c r="S17"/>
  <c r="I17"/>
  <c r="H17"/>
  <c r="G17"/>
  <c r="DO16"/>
  <c r="CZ16"/>
  <c r="CY16"/>
  <c r="CS16"/>
  <c r="CR16"/>
  <c r="CQ16"/>
  <c r="DE16" s="1"/>
  <c r="BP16"/>
  <c r="BO16"/>
  <c r="BJ16"/>
  <c r="BQ16" s="1"/>
  <c r="BD16"/>
  <c r="AV16"/>
  <c r="AU16"/>
  <c r="AW16" s="1"/>
  <c r="AP16"/>
  <c r="AK16"/>
  <c r="AJ16"/>
  <c r="AL16" s="1"/>
  <c r="AD16"/>
  <c r="DZ16" s="1"/>
  <c r="AB16"/>
  <c r="AA16"/>
  <c r="Z16"/>
  <c r="Y16"/>
  <c r="X16"/>
  <c r="W16"/>
  <c r="S16"/>
  <c r="I16"/>
  <c r="H16"/>
  <c r="G16"/>
  <c r="CZ15"/>
  <c r="CY15"/>
  <c r="CS15"/>
  <c r="CR15"/>
  <c r="CQ15"/>
  <c r="DE15" s="1"/>
  <c r="BP15"/>
  <c r="BO15"/>
  <c r="BI15"/>
  <c r="BQ15" s="1"/>
  <c r="BD15"/>
  <c r="AV15"/>
  <c r="AU15"/>
  <c r="AW15" s="1"/>
  <c r="AO15"/>
  <c r="AK15"/>
  <c r="AJ15"/>
  <c r="AL15" s="1"/>
  <c r="DF15" s="1"/>
  <c r="AD15"/>
  <c r="CV15" s="1"/>
  <c r="AB15"/>
  <c r="AA15"/>
  <c r="Z15"/>
  <c r="Y15"/>
  <c r="X15"/>
  <c r="S15"/>
  <c r="I15"/>
  <c r="H15"/>
  <c r="G15"/>
  <c r="DO14"/>
  <c r="CZ14"/>
  <c r="CY14"/>
  <c r="CS14"/>
  <c r="CR14"/>
  <c r="CQ14"/>
  <c r="DE14" s="1"/>
  <c r="BP14"/>
  <c r="BO14"/>
  <c r="BQ14" s="1"/>
  <c r="CA14" s="1"/>
  <c r="BN14"/>
  <c r="BD14"/>
  <c r="AV14"/>
  <c r="AD14" s="1"/>
  <c r="AU14"/>
  <c r="AT14"/>
  <c r="AW14" s="1"/>
  <c r="AJ14"/>
  <c r="AC14"/>
  <c r="CU14" s="1"/>
  <c r="AA14"/>
  <c r="Z14"/>
  <c r="Y14"/>
  <c r="X14"/>
  <c r="W14"/>
  <c r="S14"/>
  <c r="I14"/>
  <c r="H14"/>
  <c r="G14"/>
  <c r="CZ13"/>
  <c r="CY13"/>
  <c r="CS13"/>
  <c r="CR13"/>
  <c r="CQ13"/>
  <c r="DE13" s="1"/>
  <c r="BP13"/>
  <c r="BO13"/>
  <c r="BJ13"/>
  <c r="BQ13" s="1"/>
  <c r="BD13"/>
  <c r="AV13"/>
  <c r="AU13"/>
  <c r="AW13" s="1"/>
  <c r="AP13"/>
  <c r="AK13"/>
  <c r="AJ13"/>
  <c r="AL13" s="1"/>
  <c r="DF13" s="1"/>
  <c r="AD13"/>
  <c r="CV13" s="1"/>
  <c r="AB13"/>
  <c r="AA13"/>
  <c r="Z13"/>
  <c r="Y13"/>
  <c r="X13"/>
  <c r="W13"/>
  <c r="S13"/>
  <c r="I13"/>
  <c r="H13"/>
  <c r="G13"/>
  <c r="DO12"/>
  <c r="CZ12"/>
  <c r="CY12"/>
  <c r="CS12"/>
  <c r="CR12"/>
  <c r="CQ12"/>
  <c r="DE12" s="1"/>
  <c r="BP12"/>
  <c r="BO12"/>
  <c r="BQ12" s="1"/>
  <c r="BJ12"/>
  <c r="BD12"/>
  <c r="AV12"/>
  <c r="AD12" s="1"/>
  <c r="AU12"/>
  <c r="AP12"/>
  <c r="AW12" s="1"/>
  <c r="AJ12"/>
  <c r="AC12"/>
  <c r="CU12" s="1"/>
  <c r="AB12"/>
  <c r="AA12"/>
  <c r="Z12"/>
  <c r="Y12"/>
  <c r="W12"/>
  <c r="S12"/>
  <c r="I12"/>
  <c r="H12"/>
  <c r="G12"/>
  <c r="CZ11"/>
  <c r="CY11"/>
  <c r="CS11"/>
  <c r="CR11"/>
  <c r="CQ11"/>
  <c r="DE11" s="1"/>
  <c r="BX11"/>
  <c r="CG11" s="1"/>
  <c r="CH11" s="1"/>
  <c r="BP11"/>
  <c r="BO11"/>
  <c r="BQ11" s="1"/>
  <c r="BJ11"/>
  <c r="BD11"/>
  <c r="AV11"/>
  <c r="AD11" s="1"/>
  <c r="AU11"/>
  <c r="AP11"/>
  <c r="AW11" s="1"/>
  <c r="AJ11"/>
  <c r="AC11"/>
  <c r="CU11" s="1"/>
  <c r="AB11"/>
  <c r="AA11"/>
  <c r="Z11"/>
  <c r="Y11"/>
  <c r="W11"/>
  <c r="S11"/>
  <c r="I11"/>
  <c r="H11"/>
  <c r="G11"/>
  <c r="CZ10"/>
  <c r="CY10"/>
  <c r="CY7" s="1"/>
  <c r="CS10"/>
  <c r="CS7" s="1"/>
  <c r="CR10"/>
  <c r="CQ10"/>
  <c r="DE10" s="1"/>
  <c r="BP10"/>
  <c r="BO10"/>
  <c r="BQ10" s="1"/>
  <c r="BJ10"/>
  <c r="BD10"/>
  <c r="AV10"/>
  <c r="AD10" s="1"/>
  <c r="AU10"/>
  <c r="AP10"/>
  <c r="AW10" s="1"/>
  <c r="AJ10"/>
  <c r="AC10"/>
  <c r="CU10" s="1"/>
  <c r="AB10"/>
  <c r="AA10"/>
  <c r="Z10"/>
  <c r="Y10"/>
  <c r="W10"/>
  <c r="S10"/>
  <c r="I10"/>
  <c r="H10"/>
  <c r="G10"/>
  <c r="DO9"/>
  <c r="CZ9"/>
  <c r="CY9"/>
  <c r="CS9"/>
  <c r="CR9"/>
  <c r="CQ9"/>
  <c r="DE9" s="1"/>
  <c r="BP9"/>
  <c r="BO9"/>
  <c r="BJ9"/>
  <c r="BQ9" s="1"/>
  <c r="BD9"/>
  <c r="AV9"/>
  <c r="AU9"/>
  <c r="AW9" s="1"/>
  <c r="AP9"/>
  <c r="AK9"/>
  <c r="AJ9"/>
  <c r="AL9" s="1"/>
  <c r="DF9" s="1"/>
  <c r="AD9"/>
  <c r="CV9" s="1"/>
  <c r="AB9"/>
  <c r="AA9"/>
  <c r="Z9"/>
  <c r="Y9"/>
  <c r="X9"/>
  <c r="W9"/>
  <c r="S9"/>
  <c r="I9"/>
  <c r="H9"/>
  <c r="G9"/>
  <c r="CZ8"/>
  <c r="CY8"/>
  <c r="CS8"/>
  <c r="CR8"/>
  <c r="CQ8"/>
  <c r="DE8" s="1"/>
  <c r="BP8"/>
  <c r="BO8"/>
  <c r="BJ8"/>
  <c r="BQ8" s="1"/>
  <c r="BD8"/>
  <c r="AV8"/>
  <c r="AU8"/>
  <c r="AW8" s="1"/>
  <c r="AP8"/>
  <c r="AK8"/>
  <c r="AJ8"/>
  <c r="AL8" s="1"/>
  <c r="AD8"/>
  <c r="CV8" s="1"/>
  <c r="AB8"/>
  <c r="AA8"/>
  <c r="Z8"/>
  <c r="Y8"/>
  <c r="X8"/>
  <c r="W8"/>
  <c r="S8"/>
  <c r="I8"/>
  <c r="H8"/>
  <c r="G8"/>
  <c r="DD7"/>
  <c r="DC7"/>
  <c r="DB7"/>
  <c r="DA7"/>
  <c r="CZ7"/>
  <c r="CX7"/>
  <c r="CW7"/>
  <c r="CR7"/>
  <c r="CP7"/>
  <c r="CO7"/>
  <c r="CN7"/>
  <c r="CM7"/>
  <c r="CL7"/>
  <c r="CK7"/>
  <c r="CJ7"/>
  <c r="CI7"/>
  <c r="CF7"/>
  <c r="CE7"/>
  <c r="BP7"/>
  <c r="BO7"/>
  <c r="BN7"/>
  <c r="BM7"/>
  <c r="BL7"/>
  <c r="BK7"/>
  <c r="BJ7"/>
  <c r="BI7"/>
  <c r="BH7"/>
  <c r="BD7"/>
  <c r="BC7"/>
  <c r="AV7"/>
  <c r="AT7"/>
  <c r="AS7"/>
  <c r="AR7"/>
  <c r="AQ7"/>
  <c r="AP7"/>
  <c r="AO7"/>
  <c r="AN7"/>
  <c r="AJ7"/>
  <c r="AI7"/>
  <c r="U7"/>
  <c r="S7"/>
  <c r="CT4"/>
  <c r="CQ4"/>
  <c r="DO12" i="21"/>
  <c r="DO13"/>
  <c r="DO14"/>
  <c r="DO15"/>
  <c r="DO16"/>
  <c r="DO17"/>
  <c r="DO18"/>
  <c r="DO19"/>
  <c r="DO20"/>
  <c r="DO21"/>
  <c r="DO22"/>
  <c r="DO23"/>
  <c r="DO24"/>
  <c r="DO25"/>
  <c r="DO26"/>
  <c r="DO27"/>
  <c r="DO28"/>
  <c r="DO29"/>
  <c r="DO30"/>
  <c r="DO31"/>
  <c r="DO32"/>
  <c r="DO33"/>
  <c r="DO34"/>
  <c r="DO35"/>
  <c r="DO36"/>
  <c r="DO37"/>
  <c r="DO38"/>
  <c r="DO39"/>
  <c r="DO40"/>
  <c r="DO41"/>
  <c r="DO42"/>
  <c r="DO43"/>
  <c r="DO44"/>
  <c r="DO45"/>
  <c r="DO46"/>
  <c r="DO47"/>
  <c r="DO48"/>
  <c r="DO49"/>
  <c r="DO50"/>
  <c r="DO51"/>
  <c r="DO52"/>
  <c r="DO53"/>
  <c r="DO54"/>
  <c r="DO55"/>
  <c r="DO56"/>
  <c r="DO57"/>
  <c r="DO58"/>
  <c r="DO59"/>
  <c r="DO60"/>
  <c r="DO61"/>
  <c r="DO62"/>
  <c r="DO63"/>
  <c r="DO64"/>
  <c r="DO65"/>
  <c r="DO66"/>
  <c r="DO67"/>
  <c r="DO68"/>
  <c r="DO69"/>
  <c r="DO70"/>
  <c r="DO71"/>
  <c r="DO72"/>
  <c r="DO73"/>
  <c r="DO74"/>
  <c r="DO75"/>
  <c r="DO76"/>
  <c r="DO77"/>
  <c r="DO78"/>
  <c r="DO79"/>
  <c r="DO80"/>
  <c r="DO81"/>
  <c r="DO82"/>
  <c r="DO83"/>
  <c r="DO84"/>
  <c r="DO85"/>
  <c r="DO86"/>
  <c r="DO87"/>
  <c r="DO88"/>
  <c r="DO89"/>
  <c r="DO90"/>
  <c r="DO91"/>
  <c r="DO92"/>
  <c r="DO93"/>
  <c r="DO94"/>
  <c r="DO95"/>
  <c r="DO96"/>
  <c r="DO97"/>
  <c r="DO98"/>
  <c r="DO99"/>
  <c r="DO100"/>
  <c r="DO101"/>
  <c r="DO102"/>
  <c r="DO103"/>
  <c r="DO104"/>
  <c r="DO105"/>
  <c r="DO106"/>
  <c r="DO10"/>
  <c r="DO11"/>
  <c r="DO9"/>
  <c r="DO8"/>
  <c r="DN19"/>
  <c r="DN24"/>
  <c r="DN25"/>
  <c r="DN29"/>
  <c r="DN44"/>
  <c r="DN67"/>
  <c r="DN71"/>
  <c r="DN73"/>
  <c r="DN81"/>
  <c r="DN82"/>
  <c r="DN100"/>
  <c r="CH108"/>
  <c r="BZ108"/>
  <c r="AL108"/>
  <c r="CH107"/>
  <c r="BZ107"/>
  <c r="AL107"/>
  <c r="AK107"/>
  <c r="CZ106"/>
  <c r="CY106"/>
  <c r="CS106"/>
  <c r="CR106"/>
  <c r="CQ106"/>
  <c r="BX106"/>
  <c r="BP106"/>
  <c r="BO106"/>
  <c r="BJ106"/>
  <c r="BD106"/>
  <c r="AV106"/>
  <c r="AU106"/>
  <c r="AP106"/>
  <c r="AJ106"/>
  <c r="AD106"/>
  <c r="DZ106" s="1"/>
  <c r="AC106"/>
  <c r="CU106" s="1"/>
  <c r="AB106"/>
  <c r="AA106"/>
  <c r="Z106"/>
  <c r="Y106"/>
  <c r="X106"/>
  <c r="W106"/>
  <c r="AE106" s="1"/>
  <c r="S106"/>
  <c r="I106"/>
  <c r="H106"/>
  <c r="G106"/>
  <c r="CZ105"/>
  <c r="CY105"/>
  <c r="CS105"/>
  <c r="CR105"/>
  <c r="CQ105"/>
  <c r="BP105"/>
  <c r="BO105"/>
  <c r="BN105"/>
  <c r="BD105"/>
  <c r="AV105"/>
  <c r="AD105" s="1"/>
  <c r="AU105"/>
  <c r="AT105"/>
  <c r="AW105" s="1"/>
  <c r="AJ105"/>
  <c r="AK105" s="1"/>
  <c r="AC105"/>
  <c r="AA105"/>
  <c r="Z105"/>
  <c r="Y105"/>
  <c r="X105"/>
  <c r="W105"/>
  <c r="S105"/>
  <c r="I105"/>
  <c r="H105"/>
  <c r="G105"/>
  <c r="CZ104"/>
  <c r="CY104"/>
  <c r="CS104"/>
  <c r="CR104"/>
  <c r="CQ104"/>
  <c r="BP104"/>
  <c r="BO104"/>
  <c r="BQ104" s="1"/>
  <c r="BN104"/>
  <c r="BD104"/>
  <c r="AV104"/>
  <c r="AD104" s="1"/>
  <c r="AU104"/>
  <c r="AC104" s="1"/>
  <c r="CU104" s="1"/>
  <c r="AT104"/>
  <c r="AJ104"/>
  <c r="AK104" s="1"/>
  <c r="AA104"/>
  <c r="Z104"/>
  <c r="Y104"/>
  <c r="X104"/>
  <c r="W104"/>
  <c r="S104"/>
  <c r="I104"/>
  <c r="H104"/>
  <c r="G104"/>
  <c r="CZ103"/>
  <c r="CY103"/>
  <c r="S103" s="1"/>
  <c r="CS103"/>
  <c r="CR103"/>
  <c r="CQ103"/>
  <c r="BP103"/>
  <c r="BO103"/>
  <c r="BL103"/>
  <c r="BD103"/>
  <c r="AV103"/>
  <c r="AD103" s="1"/>
  <c r="AU103"/>
  <c r="AC103" s="1"/>
  <c r="AR103"/>
  <c r="Z103" s="1"/>
  <c r="AJ103"/>
  <c r="AB103"/>
  <c r="AA103"/>
  <c r="Y103"/>
  <c r="X103"/>
  <c r="W103"/>
  <c r="I103"/>
  <c r="H103"/>
  <c r="G103"/>
  <c r="CZ102"/>
  <c r="CY102"/>
  <c r="S102" s="1"/>
  <c r="CS102"/>
  <c r="CR102"/>
  <c r="CQ102"/>
  <c r="BP102"/>
  <c r="AD102" s="1"/>
  <c r="DZ102" s="1"/>
  <c r="BO102"/>
  <c r="BD102"/>
  <c r="AV102"/>
  <c r="AU102"/>
  <c r="AW102" s="1"/>
  <c r="AJ102"/>
  <c r="AB102"/>
  <c r="AA102"/>
  <c r="Z102"/>
  <c r="Y102"/>
  <c r="X102"/>
  <c r="W102"/>
  <c r="H102"/>
  <c r="P102" s="1"/>
  <c r="CZ101"/>
  <c r="CY101"/>
  <c r="CS101"/>
  <c r="CR101"/>
  <c r="CQ101"/>
  <c r="BP101"/>
  <c r="BO101"/>
  <c r="BN101"/>
  <c r="BD101"/>
  <c r="AV101"/>
  <c r="AD101" s="1"/>
  <c r="AU101"/>
  <c r="AT101"/>
  <c r="AJ101"/>
  <c r="AC101"/>
  <c r="AA101"/>
  <c r="Z101"/>
  <c r="Y101"/>
  <c r="X101"/>
  <c r="W101"/>
  <c r="S101"/>
  <c r="I101"/>
  <c r="H101"/>
  <c r="G101"/>
  <c r="CZ100"/>
  <c r="CY100"/>
  <c r="S100" s="1"/>
  <c r="CS100"/>
  <c r="CR100"/>
  <c r="CQ100"/>
  <c r="BP100"/>
  <c r="BO100"/>
  <c r="BN100"/>
  <c r="BD100"/>
  <c r="AV100"/>
  <c r="AU100"/>
  <c r="AT100"/>
  <c r="AJ100"/>
  <c r="AD100"/>
  <c r="DZ100" s="1"/>
  <c r="AC100"/>
  <c r="AB100"/>
  <c r="AA100"/>
  <c r="Z100"/>
  <c r="Y100"/>
  <c r="X100"/>
  <c r="W100"/>
  <c r="AG100"/>
  <c r="I100"/>
  <c r="H100"/>
  <c r="G100"/>
  <c r="CZ99"/>
  <c r="CY99"/>
  <c r="S99" s="1"/>
  <c r="CS99"/>
  <c r="CR99"/>
  <c r="CQ99"/>
  <c r="BP99"/>
  <c r="BO99"/>
  <c r="BN99"/>
  <c r="BD99"/>
  <c r="AV99"/>
  <c r="AD99" s="1"/>
  <c r="DZ99" s="1"/>
  <c r="AU99"/>
  <c r="AT99"/>
  <c r="AJ99"/>
  <c r="AK99" s="1"/>
  <c r="AB99"/>
  <c r="AA99"/>
  <c r="Z99"/>
  <c r="Y99"/>
  <c r="X99"/>
  <c r="W99"/>
  <c r="I99"/>
  <c r="H99"/>
  <c r="G99"/>
  <c r="CZ98"/>
  <c r="CY98"/>
  <c r="S98" s="1"/>
  <c r="CS98"/>
  <c r="CR98"/>
  <c r="CQ98"/>
  <c r="BP98"/>
  <c r="BO98"/>
  <c r="BN98"/>
  <c r="BD98"/>
  <c r="AV98"/>
  <c r="AD98" s="1"/>
  <c r="DZ98" s="1"/>
  <c r="AU98"/>
  <c r="AC98" s="1"/>
  <c r="AT98"/>
  <c r="AJ98"/>
  <c r="AK98" s="1"/>
  <c r="AB98"/>
  <c r="AA98"/>
  <c r="Z98"/>
  <c r="Y98"/>
  <c r="X98"/>
  <c r="W98"/>
  <c r="I98"/>
  <c r="H98"/>
  <c r="G98"/>
  <c r="CZ97"/>
  <c r="CY97"/>
  <c r="S97" s="1"/>
  <c r="CS97"/>
  <c r="CR97"/>
  <c r="CQ97"/>
  <c r="BP97"/>
  <c r="BO97"/>
  <c r="BI97"/>
  <c r="BD97"/>
  <c r="AV97"/>
  <c r="AD97" s="1"/>
  <c r="AU97"/>
  <c r="AO97"/>
  <c r="AJ97"/>
  <c r="AC97"/>
  <c r="AB97"/>
  <c r="AA97"/>
  <c r="Z97"/>
  <c r="Y97"/>
  <c r="X97"/>
  <c r="I97"/>
  <c r="H97"/>
  <c r="G97"/>
  <c r="CZ96"/>
  <c r="CY96"/>
  <c r="S96" s="1"/>
  <c r="CS96"/>
  <c r="CR96"/>
  <c r="CQ96"/>
  <c r="BP96"/>
  <c r="BO96"/>
  <c r="BJ96"/>
  <c r="BD96"/>
  <c r="AV96"/>
  <c r="AD96" s="1"/>
  <c r="AU96"/>
  <c r="AP96"/>
  <c r="AJ96"/>
  <c r="AC96"/>
  <c r="AB96"/>
  <c r="AA96"/>
  <c r="Z96"/>
  <c r="Y96"/>
  <c r="W96"/>
  <c r="I96"/>
  <c r="H96"/>
  <c r="G96"/>
  <c r="CZ95"/>
  <c r="CY95"/>
  <c r="S95" s="1"/>
  <c r="CS95"/>
  <c r="CR95"/>
  <c r="CQ95"/>
  <c r="BP95"/>
  <c r="BO95"/>
  <c r="BI95"/>
  <c r="BD95"/>
  <c r="AV95"/>
  <c r="AD95" s="1"/>
  <c r="AU95"/>
  <c r="AO95"/>
  <c r="W95" s="1"/>
  <c r="AJ95"/>
  <c r="AC95"/>
  <c r="AB95"/>
  <c r="AA95"/>
  <c r="Z95"/>
  <c r="Y95"/>
  <c r="X95"/>
  <c r="I95"/>
  <c r="H95"/>
  <c r="G95"/>
  <c r="CZ94"/>
  <c r="CY94"/>
  <c r="CS94"/>
  <c r="CR94"/>
  <c r="CQ94"/>
  <c r="BP94"/>
  <c r="BO94"/>
  <c r="BI94"/>
  <c r="BD94"/>
  <c r="AV94"/>
  <c r="AD94" s="1"/>
  <c r="AU94"/>
  <c r="AC94" s="1"/>
  <c r="AO94"/>
  <c r="W94" s="1"/>
  <c r="AJ94"/>
  <c r="AB94"/>
  <c r="AA94"/>
  <c r="Z94"/>
  <c r="Y94"/>
  <c r="X94"/>
  <c r="S94"/>
  <c r="I94"/>
  <c r="H94"/>
  <c r="G94"/>
  <c r="CZ93"/>
  <c r="CY93"/>
  <c r="S93" s="1"/>
  <c r="CS93"/>
  <c r="CR93"/>
  <c r="CQ93"/>
  <c r="BP93"/>
  <c r="BO93"/>
  <c r="BI93"/>
  <c r="BD93"/>
  <c r="AV93"/>
  <c r="AD93" s="1"/>
  <c r="AU93"/>
  <c r="AC93" s="1"/>
  <c r="AO93"/>
  <c r="W93" s="1"/>
  <c r="AJ93"/>
  <c r="AB93"/>
  <c r="AA93"/>
  <c r="Z93"/>
  <c r="Y93"/>
  <c r="X93"/>
  <c r="I93"/>
  <c r="H93"/>
  <c r="G93"/>
  <c r="CZ92"/>
  <c r="CY92"/>
  <c r="S92" s="1"/>
  <c r="CS92"/>
  <c r="CR92"/>
  <c r="CQ92"/>
  <c r="BP92"/>
  <c r="BO92"/>
  <c r="BI92"/>
  <c r="BD92"/>
  <c r="AV92"/>
  <c r="AD92" s="1"/>
  <c r="AU92"/>
  <c r="AO92"/>
  <c r="AW92" s="1"/>
  <c r="AJ92"/>
  <c r="AC92"/>
  <c r="AB92"/>
  <c r="AA92"/>
  <c r="Z92"/>
  <c r="Y92"/>
  <c r="X92"/>
  <c r="I92"/>
  <c r="H92"/>
  <c r="G92"/>
  <c r="CZ91"/>
  <c r="CY91"/>
  <c r="S91" s="1"/>
  <c r="CS91"/>
  <c r="CR91"/>
  <c r="CQ91"/>
  <c r="BP91"/>
  <c r="BO91"/>
  <c r="BN91"/>
  <c r="BD91"/>
  <c r="AV91"/>
  <c r="AD91" s="1"/>
  <c r="AU91"/>
  <c r="AT91"/>
  <c r="AJ91"/>
  <c r="AC91"/>
  <c r="AA91"/>
  <c r="Z91"/>
  <c r="Y91"/>
  <c r="X91"/>
  <c r="W91"/>
  <c r="I91"/>
  <c r="H91"/>
  <c r="G91"/>
  <c r="CZ90"/>
  <c r="CY90"/>
  <c r="S90" s="1"/>
  <c r="CS90"/>
  <c r="CR90"/>
  <c r="CQ90"/>
  <c r="BP90"/>
  <c r="BO90"/>
  <c r="BD90"/>
  <c r="AV90"/>
  <c r="AU90"/>
  <c r="AJ90"/>
  <c r="AK90" s="1"/>
  <c r="AB90"/>
  <c r="AA90"/>
  <c r="Z90"/>
  <c r="Y90"/>
  <c r="X90"/>
  <c r="W90"/>
  <c r="H90"/>
  <c r="P90" s="1"/>
  <c r="CZ89"/>
  <c r="CY89"/>
  <c r="CS89"/>
  <c r="CR89"/>
  <c r="CQ89"/>
  <c r="BP89"/>
  <c r="BO89"/>
  <c r="BD89"/>
  <c r="AV89"/>
  <c r="AU89"/>
  <c r="AJ89"/>
  <c r="AB89"/>
  <c r="AA89"/>
  <c r="Z89"/>
  <c r="Y89"/>
  <c r="X89"/>
  <c r="W89"/>
  <c r="S89"/>
  <c r="H89"/>
  <c r="P89" s="1"/>
  <c r="CZ88"/>
  <c r="CY88"/>
  <c r="CS88"/>
  <c r="CR88"/>
  <c r="CQ88"/>
  <c r="BP88"/>
  <c r="BO88"/>
  <c r="BI88"/>
  <c r="BD88"/>
  <c r="AV88"/>
  <c r="AD88" s="1"/>
  <c r="AU88"/>
  <c r="AO88"/>
  <c r="AJ88"/>
  <c r="AB88"/>
  <c r="AA88"/>
  <c r="Z88"/>
  <c r="Y88"/>
  <c r="X88"/>
  <c r="S88"/>
  <c r="I88"/>
  <c r="H88"/>
  <c r="G88"/>
  <c r="CZ87"/>
  <c r="CY87"/>
  <c r="CS87"/>
  <c r="CR87"/>
  <c r="CQ87"/>
  <c r="BP87"/>
  <c r="BO87"/>
  <c r="BN87"/>
  <c r="BD87"/>
  <c r="AV87"/>
  <c r="AD87" s="1"/>
  <c r="AU87"/>
  <c r="AT87"/>
  <c r="AJ87"/>
  <c r="AK87" s="1"/>
  <c r="AB87"/>
  <c r="AA87"/>
  <c r="Z87"/>
  <c r="Y87"/>
  <c r="X87"/>
  <c r="W87"/>
  <c r="S87"/>
  <c r="I87"/>
  <c r="H87"/>
  <c r="G87"/>
  <c r="CZ86"/>
  <c r="CY86"/>
  <c r="S86" s="1"/>
  <c r="CS86"/>
  <c r="CR86"/>
  <c r="BI86"/>
  <c r="CQ86"/>
  <c r="BP86"/>
  <c r="BO86"/>
  <c r="BD86"/>
  <c r="AV86"/>
  <c r="AU86"/>
  <c r="AO86"/>
  <c r="AJ86"/>
  <c r="AB86"/>
  <c r="AA86"/>
  <c r="Z86"/>
  <c r="Y86"/>
  <c r="X86"/>
  <c r="I86"/>
  <c r="H86"/>
  <c r="G86"/>
  <c r="CZ85"/>
  <c r="CY85"/>
  <c r="CS85"/>
  <c r="CR85"/>
  <c r="CQ85"/>
  <c r="BP85"/>
  <c r="BO85"/>
  <c r="BI85"/>
  <c r="BD85"/>
  <c r="AV85"/>
  <c r="AD85" s="1"/>
  <c r="AU85"/>
  <c r="AO85"/>
  <c r="AJ85"/>
  <c r="AC85"/>
  <c r="CU85" s="1"/>
  <c r="AB85"/>
  <c r="AA85"/>
  <c r="Z85"/>
  <c r="Y85"/>
  <c r="X85"/>
  <c r="W85"/>
  <c r="AE85" s="1"/>
  <c r="I85"/>
  <c r="H85"/>
  <c r="G85"/>
  <c r="CZ84"/>
  <c r="CY84"/>
  <c r="CS84"/>
  <c r="CR84"/>
  <c r="CQ84"/>
  <c r="BP84"/>
  <c r="BO84"/>
  <c r="BN84"/>
  <c r="BD84"/>
  <c r="AV84"/>
  <c r="AD84" s="1"/>
  <c r="AU84"/>
  <c r="AT84"/>
  <c r="AJ84"/>
  <c r="AK84" s="1"/>
  <c r="AB84"/>
  <c r="AA84"/>
  <c r="Z84"/>
  <c r="Y84"/>
  <c r="X84"/>
  <c r="W84"/>
  <c r="S84"/>
  <c r="I84"/>
  <c r="H84"/>
  <c r="G84"/>
  <c r="CZ83"/>
  <c r="CY83"/>
  <c r="CS83"/>
  <c r="CR83"/>
  <c r="CQ83"/>
  <c r="BP83"/>
  <c r="BO83"/>
  <c r="BJ83"/>
  <c r="BD83"/>
  <c r="AV83"/>
  <c r="AD83" s="1"/>
  <c r="AU83"/>
  <c r="AP83"/>
  <c r="AJ83"/>
  <c r="AB83"/>
  <c r="AA83"/>
  <c r="Z83"/>
  <c r="Y83"/>
  <c r="X83"/>
  <c r="W83"/>
  <c r="S83"/>
  <c r="I83"/>
  <c r="H83"/>
  <c r="G83"/>
  <c r="CZ82"/>
  <c r="CY82"/>
  <c r="S82" s="1"/>
  <c r="CS82"/>
  <c r="CR82"/>
  <c r="CQ82"/>
  <c r="BP82"/>
  <c r="BO82"/>
  <c r="BK82"/>
  <c r="BD82"/>
  <c r="AV82"/>
  <c r="AD82" s="1"/>
  <c r="AU82"/>
  <c r="AQ82"/>
  <c r="AJ82"/>
  <c r="AK82" s="1"/>
  <c r="AB82"/>
  <c r="AA82"/>
  <c r="Z82"/>
  <c r="X82"/>
  <c r="W82"/>
  <c r="I82"/>
  <c r="H82"/>
  <c r="G82"/>
  <c r="CZ81"/>
  <c r="CY81"/>
  <c r="CS81"/>
  <c r="CR81"/>
  <c r="CQ81"/>
  <c r="BP81"/>
  <c r="BO81"/>
  <c r="BJ81"/>
  <c r="BD81"/>
  <c r="AV81"/>
  <c r="AD81" s="1"/>
  <c r="AU81"/>
  <c r="AP81"/>
  <c r="AJ81"/>
  <c r="AK81" s="1"/>
  <c r="AB81"/>
  <c r="AA81"/>
  <c r="Z81"/>
  <c r="Y81"/>
  <c r="X81"/>
  <c r="W81"/>
  <c r="S81"/>
  <c r="I81"/>
  <c r="H81"/>
  <c r="G81"/>
  <c r="CZ80"/>
  <c r="CY80"/>
  <c r="CS80"/>
  <c r="CR80"/>
  <c r="CQ80"/>
  <c r="BP80"/>
  <c r="BO80"/>
  <c r="BJ80"/>
  <c r="BD80"/>
  <c r="AV80"/>
  <c r="AD80" s="1"/>
  <c r="AU80"/>
  <c r="AP80"/>
  <c r="AJ80"/>
  <c r="AK80" s="1"/>
  <c r="AB80"/>
  <c r="AA80"/>
  <c r="Z80"/>
  <c r="Y80"/>
  <c r="X80"/>
  <c r="W80"/>
  <c r="S80"/>
  <c r="I80"/>
  <c r="H80"/>
  <c r="G80"/>
  <c r="CZ79"/>
  <c r="CY79"/>
  <c r="S79" s="1"/>
  <c r="CS79"/>
  <c r="CR79"/>
  <c r="CQ79"/>
  <c r="BP79"/>
  <c r="BO79"/>
  <c r="BN79"/>
  <c r="BD79"/>
  <c r="AV79"/>
  <c r="AD79" s="1"/>
  <c r="AU79"/>
  <c r="AT79"/>
  <c r="AJ79"/>
  <c r="AB79"/>
  <c r="AA79"/>
  <c r="Z79"/>
  <c r="Y79"/>
  <c r="X79"/>
  <c r="W79"/>
  <c r="I79"/>
  <c r="H79"/>
  <c r="G79"/>
  <c r="CZ78"/>
  <c r="CY78"/>
  <c r="S78" s="1"/>
  <c r="CS78"/>
  <c r="CR78"/>
  <c r="CQ78"/>
  <c r="BX78"/>
  <c r="BP78"/>
  <c r="BO78"/>
  <c r="BL78"/>
  <c r="BD78"/>
  <c r="AV78"/>
  <c r="AD78" s="1"/>
  <c r="CV78" s="1"/>
  <c r="AU78"/>
  <c r="AR78"/>
  <c r="AJ78"/>
  <c r="AK78" s="1"/>
  <c r="AB78"/>
  <c r="AA78"/>
  <c r="Z78"/>
  <c r="Y78"/>
  <c r="X78"/>
  <c r="W78"/>
  <c r="I78"/>
  <c r="H78"/>
  <c r="G78"/>
  <c r="CZ77"/>
  <c r="CY77"/>
  <c r="CS77"/>
  <c r="CR77"/>
  <c r="CQ77"/>
  <c r="BP77"/>
  <c r="BO77"/>
  <c r="BN77"/>
  <c r="BD77"/>
  <c r="AV77"/>
  <c r="AD77" s="1"/>
  <c r="AU77"/>
  <c r="AT77"/>
  <c r="AJ77"/>
  <c r="AK77" s="1"/>
  <c r="AB77"/>
  <c r="AA77"/>
  <c r="Z77"/>
  <c r="Y77"/>
  <c r="X77"/>
  <c r="W77"/>
  <c r="S77"/>
  <c r="I77"/>
  <c r="H77"/>
  <c r="G77"/>
  <c r="CZ76"/>
  <c r="CY76"/>
  <c r="CS76"/>
  <c r="CR76"/>
  <c r="CQ76"/>
  <c r="BP76"/>
  <c r="BO76"/>
  <c r="BN76"/>
  <c r="BD76"/>
  <c r="AV76"/>
  <c r="AD76" s="1"/>
  <c r="AU76"/>
  <c r="AT76"/>
  <c r="AJ76"/>
  <c r="AK76" s="1"/>
  <c r="AB76"/>
  <c r="AA76"/>
  <c r="Z76"/>
  <c r="Y76"/>
  <c r="X76"/>
  <c r="W76"/>
  <c r="S76"/>
  <c r="I76"/>
  <c r="H76"/>
  <c r="G76"/>
  <c r="CZ75"/>
  <c r="CY75"/>
  <c r="CS75"/>
  <c r="CR75"/>
  <c r="CQ75"/>
  <c r="BP75"/>
  <c r="BO75"/>
  <c r="BN75"/>
  <c r="BD75"/>
  <c r="AV75"/>
  <c r="AD75" s="1"/>
  <c r="AU75"/>
  <c r="AT75"/>
  <c r="AJ75"/>
  <c r="AK75" s="1"/>
  <c r="AB75"/>
  <c r="AA75"/>
  <c r="Z75"/>
  <c r="Y75"/>
  <c r="X75"/>
  <c r="W75"/>
  <c r="S75"/>
  <c r="I75"/>
  <c r="H75"/>
  <c r="G75"/>
  <c r="CZ74"/>
  <c r="CY74"/>
  <c r="CS74"/>
  <c r="CR74"/>
  <c r="CQ74"/>
  <c r="BP74"/>
  <c r="BO74"/>
  <c r="BJ74"/>
  <c r="BD74"/>
  <c r="AV74"/>
  <c r="AD74" s="1"/>
  <c r="AU74"/>
  <c r="AP74"/>
  <c r="AJ74"/>
  <c r="AK74" s="1"/>
  <c r="AB74"/>
  <c r="AA74"/>
  <c r="Z74"/>
  <c r="Y74"/>
  <c r="X74"/>
  <c r="W74"/>
  <c r="S74"/>
  <c r="I74"/>
  <c r="H74"/>
  <c r="G74"/>
  <c r="CZ73"/>
  <c r="CY73"/>
  <c r="CS73"/>
  <c r="CR73"/>
  <c r="CQ73"/>
  <c r="BP73"/>
  <c r="BO73"/>
  <c r="BN73"/>
  <c r="BD73"/>
  <c r="AV73"/>
  <c r="AD73" s="1"/>
  <c r="AU73"/>
  <c r="AT73"/>
  <c r="AJ73"/>
  <c r="AK73" s="1"/>
  <c r="AB73"/>
  <c r="AA73"/>
  <c r="Z73"/>
  <c r="Y73"/>
  <c r="X73"/>
  <c r="W73"/>
  <c r="S73"/>
  <c r="I73"/>
  <c r="H73"/>
  <c r="G73"/>
  <c r="CZ72"/>
  <c r="CY72"/>
  <c r="S72" s="1"/>
  <c r="CS72"/>
  <c r="CR72"/>
  <c r="CQ72"/>
  <c r="BP72"/>
  <c r="BO72"/>
  <c r="BN72"/>
  <c r="BD72"/>
  <c r="AV72"/>
  <c r="AD72" s="1"/>
  <c r="DZ72" s="1"/>
  <c r="AU72"/>
  <c r="AC72" s="1"/>
  <c r="AT72"/>
  <c r="AJ72"/>
  <c r="AK72" s="1"/>
  <c r="AA72"/>
  <c r="Z72"/>
  <c r="Y72"/>
  <c r="X72"/>
  <c r="W72"/>
  <c r="I72"/>
  <c r="H72"/>
  <c r="G72"/>
  <c r="CZ71"/>
  <c r="CY71"/>
  <c r="S71" s="1"/>
  <c r="CS71"/>
  <c r="CR71"/>
  <c r="CQ71"/>
  <c r="BP71"/>
  <c r="BO71"/>
  <c r="BJ71"/>
  <c r="BD71"/>
  <c r="AV71"/>
  <c r="AD71" s="1"/>
  <c r="AU71"/>
  <c r="AP71"/>
  <c r="AJ71"/>
  <c r="AG71"/>
  <c r="AC71"/>
  <c r="AB71"/>
  <c r="AA71"/>
  <c r="Z71"/>
  <c r="Y71"/>
  <c r="W71"/>
  <c r="I71"/>
  <c r="H71"/>
  <c r="G71"/>
  <c r="CZ70"/>
  <c r="CY70"/>
  <c r="CS70"/>
  <c r="CR70"/>
  <c r="CQ70"/>
  <c r="BP70"/>
  <c r="BO70"/>
  <c r="BJ70"/>
  <c r="BD70"/>
  <c r="AV70"/>
  <c r="AD70" s="1"/>
  <c r="AU70"/>
  <c r="AP70"/>
  <c r="AJ70"/>
  <c r="AC70"/>
  <c r="AB70"/>
  <c r="AA70"/>
  <c r="Z70"/>
  <c r="Y70"/>
  <c r="W70"/>
  <c r="S70"/>
  <c r="I70"/>
  <c r="H70"/>
  <c r="G70"/>
  <c r="CZ69"/>
  <c r="CY69"/>
  <c r="S69" s="1"/>
  <c r="CS69"/>
  <c r="CR69"/>
  <c r="CQ69"/>
  <c r="BP69"/>
  <c r="BO69"/>
  <c r="BN69"/>
  <c r="BD69"/>
  <c r="AV69"/>
  <c r="AD69" s="1"/>
  <c r="AU69"/>
  <c r="AC69" s="1"/>
  <c r="AT69"/>
  <c r="AJ69"/>
  <c r="AA69"/>
  <c r="Z69"/>
  <c r="Y69"/>
  <c r="X69"/>
  <c r="W69"/>
  <c r="I69"/>
  <c r="H69"/>
  <c r="G69"/>
  <c r="CZ68"/>
  <c r="CY68"/>
  <c r="S68" s="1"/>
  <c r="CS68"/>
  <c r="CR68"/>
  <c r="CQ68"/>
  <c r="BP68"/>
  <c r="BO68"/>
  <c r="BN68"/>
  <c r="BD68"/>
  <c r="AV68"/>
  <c r="AD68" s="1"/>
  <c r="AU68"/>
  <c r="AC68" s="1"/>
  <c r="AT68"/>
  <c r="AJ68"/>
  <c r="AA68"/>
  <c r="Z68"/>
  <c r="Y68"/>
  <c r="X68"/>
  <c r="W68"/>
  <c r="I68"/>
  <c r="H68"/>
  <c r="G68"/>
  <c r="CZ67"/>
  <c r="CY67"/>
  <c r="S67" s="1"/>
  <c r="CS67"/>
  <c r="CR67"/>
  <c r="CQ67"/>
  <c r="BP67"/>
  <c r="BO67"/>
  <c r="BJ67"/>
  <c r="BD67"/>
  <c r="AV67"/>
  <c r="AD67" s="1"/>
  <c r="DZ67" s="1"/>
  <c r="AU67"/>
  <c r="AC67" s="1"/>
  <c r="AP67"/>
  <c r="AJ67"/>
  <c r="AK67" s="1"/>
  <c r="AB67"/>
  <c r="AA67"/>
  <c r="Z67"/>
  <c r="Y67"/>
  <c r="X67"/>
  <c r="W67"/>
  <c r="AG67"/>
  <c r="I67"/>
  <c r="H67"/>
  <c r="G67"/>
  <c r="CZ66"/>
  <c r="CY66"/>
  <c r="CS66"/>
  <c r="CR66"/>
  <c r="CQ66"/>
  <c r="BP66"/>
  <c r="BO66"/>
  <c r="BN66"/>
  <c r="BD66"/>
  <c r="AV66"/>
  <c r="AD66" s="1"/>
  <c r="DZ66" s="1"/>
  <c r="AU66"/>
  <c r="AC66" s="1"/>
  <c r="AT66"/>
  <c r="AJ66"/>
  <c r="AK66" s="1"/>
  <c r="AB66"/>
  <c r="AA66"/>
  <c r="Z66"/>
  <c r="Y66"/>
  <c r="X66"/>
  <c r="W66"/>
  <c r="S66"/>
  <c r="I66"/>
  <c r="H66"/>
  <c r="G66"/>
  <c r="CZ65"/>
  <c r="CY65"/>
  <c r="CS65"/>
  <c r="CR65"/>
  <c r="CQ65"/>
  <c r="BP65"/>
  <c r="BO65"/>
  <c r="BN65"/>
  <c r="BD65"/>
  <c r="AV65"/>
  <c r="AD65" s="1"/>
  <c r="DZ65" s="1"/>
  <c r="AU65"/>
  <c r="AC65" s="1"/>
  <c r="AT65"/>
  <c r="AJ65"/>
  <c r="AK65" s="1"/>
  <c r="AB65"/>
  <c r="AA65"/>
  <c r="Z65"/>
  <c r="Y65"/>
  <c r="X65"/>
  <c r="W65"/>
  <c r="S65"/>
  <c r="I65"/>
  <c r="H65"/>
  <c r="G65"/>
  <c r="CZ64"/>
  <c r="CY64"/>
  <c r="CS64"/>
  <c r="CR64"/>
  <c r="CQ64"/>
  <c r="BP64"/>
  <c r="BO64"/>
  <c r="BN64"/>
  <c r="BD64"/>
  <c r="AV64"/>
  <c r="AD64" s="1"/>
  <c r="DZ64" s="1"/>
  <c r="AU64"/>
  <c r="AC64" s="1"/>
  <c r="AT64"/>
  <c r="AJ64"/>
  <c r="AK64" s="1"/>
  <c r="AB64"/>
  <c r="AA64"/>
  <c r="Z64"/>
  <c r="Y64"/>
  <c r="X64"/>
  <c r="W64"/>
  <c r="S64"/>
  <c r="I64"/>
  <c r="H64"/>
  <c r="G64"/>
  <c r="CZ63"/>
  <c r="CY63"/>
  <c r="CS63"/>
  <c r="CR63"/>
  <c r="CQ63"/>
  <c r="BP63"/>
  <c r="BO63"/>
  <c r="BK63"/>
  <c r="BD63"/>
  <c r="AV63"/>
  <c r="AD63" s="1"/>
  <c r="DZ63" s="1"/>
  <c r="AU63"/>
  <c r="AC63" s="1"/>
  <c r="AQ63"/>
  <c r="AJ63"/>
  <c r="AB63"/>
  <c r="AA63"/>
  <c r="Z63"/>
  <c r="X63"/>
  <c r="W63"/>
  <c r="S63"/>
  <c r="I63"/>
  <c r="H63"/>
  <c r="G63"/>
  <c r="CZ62"/>
  <c r="CY62"/>
  <c r="CS62"/>
  <c r="CR62"/>
  <c r="CQ62"/>
  <c r="BP62"/>
  <c r="BO62"/>
  <c r="BN62"/>
  <c r="BD62"/>
  <c r="AV62"/>
  <c r="AD62" s="1"/>
  <c r="DZ62" s="1"/>
  <c r="AU62"/>
  <c r="AC62" s="1"/>
  <c r="AT62"/>
  <c r="AJ62"/>
  <c r="AK62" s="1"/>
  <c r="AB62"/>
  <c r="AA62"/>
  <c r="Z62"/>
  <c r="Y62"/>
  <c r="X62"/>
  <c r="W62"/>
  <c r="S62"/>
  <c r="I62"/>
  <c r="H62"/>
  <c r="G62"/>
  <c r="CZ61"/>
  <c r="CY61"/>
  <c r="S61" s="1"/>
  <c r="CS61"/>
  <c r="CR61"/>
  <c r="CQ61"/>
  <c r="BP61"/>
  <c r="BO61"/>
  <c r="BM61"/>
  <c r="BD61"/>
  <c r="AV61"/>
  <c r="AD61" s="1"/>
  <c r="DZ61" s="1"/>
  <c r="AU61"/>
  <c r="AC61" s="1"/>
  <c r="AS61"/>
  <c r="AJ61"/>
  <c r="AK61" s="1"/>
  <c r="AB61"/>
  <c r="Z61"/>
  <c r="Y61"/>
  <c r="X61"/>
  <c r="W61"/>
  <c r="I61"/>
  <c r="H61"/>
  <c r="G61"/>
  <c r="CZ60"/>
  <c r="CY60"/>
  <c r="CS60"/>
  <c r="CR60"/>
  <c r="CQ60"/>
  <c r="BP60"/>
  <c r="BO60"/>
  <c r="BL60"/>
  <c r="BD60"/>
  <c r="AV60"/>
  <c r="AD60" s="1"/>
  <c r="DZ60" s="1"/>
  <c r="AU60"/>
  <c r="AC60" s="1"/>
  <c r="AR60"/>
  <c r="AJ60"/>
  <c r="AK60" s="1"/>
  <c r="AB60"/>
  <c r="AA60"/>
  <c r="Z60"/>
  <c r="Y60"/>
  <c r="X60"/>
  <c r="W60"/>
  <c r="S60"/>
  <c r="I60"/>
  <c r="H60"/>
  <c r="G60"/>
  <c r="CZ59"/>
  <c r="CY59"/>
  <c r="S59" s="1"/>
  <c r="CS59"/>
  <c r="CR59"/>
  <c r="CQ59"/>
  <c r="BP59"/>
  <c r="BO59"/>
  <c r="BJ59"/>
  <c r="BD59"/>
  <c r="AV59"/>
  <c r="AD59" s="1"/>
  <c r="AU59"/>
  <c r="AP59"/>
  <c r="AJ59"/>
  <c r="AK59" s="1"/>
  <c r="AC59"/>
  <c r="AB59"/>
  <c r="AA59"/>
  <c r="Z59"/>
  <c r="Y59"/>
  <c r="W59"/>
  <c r="I59"/>
  <c r="H59"/>
  <c r="G59"/>
  <c r="CZ58"/>
  <c r="CY58"/>
  <c r="CS58"/>
  <c r="CR58"/>
  <c r="CQ58"/>
  <c r="BP58"/>
  <c r="BO58"/>
  <c r="BN58"/>
  <c r="BD58"/>
  <c r="AV58"/>
  <c r="AD58" s="1"/>
  <c r="AU58"/>
  <c r="AT58"/>
  <c r="AW58" s="1"/>
  <c r="AJ58"/>
  <c r="AK58" s="1"/>
  <c r="AC58"/>
  <c r="AA58"/>
  <c r="Z58"/>
  <c r="Y58"/>
  <c r="X58"/>
  <c r="W58"/>
  <c r="S58"/>
  <c r="I58"/>
  <c r="H58"/>
  <c r="G58"/>
  <c r="CZ57"/>
  <c r="CY57"/>
  <c r="CS57"/>
  <c r="CR57"/>
  <c r="CQ57"/>
  <c r="BP57"/>
  <c r="BO57"/>
  <c r="BJ57"/>
  <c r="BD57"/>
  <c r="AV57"/>
  <c r="AD57" s="1"/>
  <c r="AU57"/>
  <c r="AC57" s="1"/>
  <c r="AP57"/>
  <c r="AJ57"/>
  <c r="AK57" s="1"/>
  <c r="AB57"/>
  <c r="AA57"/>
  <c r="Z57"/>
  <c r="Y57"/>
  <c r="W57"/>
  <c r="S57"/>
  <c r="I57"/>
  <c r="H57"/>
  <c r="G57"/>
  <c r="CZ56"/>
  <c r="CY56"/>
  <c r="S56" s="1"/>
  <c r="CS56"/>
  <c r="CR56"/>
  <c r="CQ56"/>
  <c r="BP56"/>
  <c r="BO56"/>
  <c r="BJ56"/>
  <c r="BD56"/>
  <c r="AV56"/>
  <c r="AD56" s="1"/>
  <c r="AU56"/>
  <c r="AC56" s="1"/>
  <c r="AP56"/>
  <c r="AJ56"/>
  <c r="AB56"/>
  <c r="AA56"/>
  <c r="Z56"/>
  <c r="Y56"/>
  <c r="W56"/>
  <c r="I56"/>
  <c r="H56"/>
  <c r="G56"/>
  <c r="CZ55"/>
  <c r="CY55"/>
  <c r="S55" s="1"/>
  <c r="CS55"/>
  <c r="CR55"/>
  <c r="CQ55"/>
  <c r="BP55"/>
  <c r="BO55"/>
  <c r="BN55"/>
  <c r="BD55"/>
  <c r="AV55"/>
  <c r="AD55" s="1"/>
  <c r="AU55"/>
  <c r="AT55"/>
  <c r="AJ55"/>
  <c r="AK55" s="1"/>
  <c r="AA55"/>
  <c r="Z55"/>
  <c r="Y55"/>
  <c r="X55"/>
  <c r="W55"/>
  <c r="I55"/>
  <c r="H55"/>
  <c r="G55"/>
  <c r="CZ54"/>
  <c r="CY54"/>
  <c r="CS54"/>
  <c r="CR54"/>
  <c r="CQ54"/>
  <c r="BP54"/>
  <c r="BO54"/>
  <c r="BL54"/>
  <c r="BD54"/>
  <c r="AV54"/>
  <c r="AD54" s="1"/>
  <c r="AU54"/>
  <c r="AR54"/>
  <c r="AJ54"/>
  <c r="AK54" s="1"/>
  <c r="AB54"/>
  <c r="AA54"/>
  <c r="Z54"/>
  <c r="Y54"/>
  <c r="X54"/>
  <c r="W54"/>
  <c r="S54"/>
  <c r="I54"/>
  <c r="H54"/>
  <c r="G54"/>
  <c r="CZ53"/>
  <c r="CY53"/>
  <c r="CS53"/>
  <c r="CR53"/>
  <c r="CQ53"/>
  <c r="BP53"/>
  <c r="BO53"/>
  <c r="BN53"/>
  <c r="BD53"/>
  <c r="AV53"/>
  <c r="AD53" s="1"/>
  <c r="AU53"/>
  <c r="AT53"/>
  <c r="AJ53"/>
  <c r="AK53" s="1"/>
  <c r="AB53"/>
  <c r="AA53"/>
  <c r="Z53"/>
  <c r="Y53"/>
  <c r="X53"/>
  <c r="W53"/>
  <c r="S53"/>
  <c r="I53"/>
  <c r="H53"/>
  <c r="G53"/>
  <c r="CZ52"/>
  <c r="CY52"/>
  <c r="S52" s="1"/>
  <c r="CS52"/>
  <c r="CR52"/>
  <c r="CQ52"/>
  <c r="BP52"/>
  <c r="BO52"/>
  <c r="BL52"/>
  <c r="BD52"/>
  <c r="AV52"/>
  <c r="AD52" s="1"/>
  <c r="AU52"/>
  <c r="AR52"/>
  <c r="AJ52"/>
  <c r="AB52"/>
  <c r="AA52"/>
  <c r="Z52"/>
  <c r="Y52"/>
  <c r="X52"/>
  <c r="W52"/>
  <c r="I52"/>
  <c r="H52"/>
  <c r="G52"/>
  <c r="CZ51"/>
  <c r="CY51"/>
  <c r="S51" s="1"/>
  <c r="CS51"/>
  <c r="CR51"/>
  <c r="CQ51"/>
  <c r="BP51"/>
  <c r="BO51"/>
  <c r="BJ51"/>
  <c r="BD51"/>
  <c r="AV51"/>
  <c r="AD51" s="1"/>
  <c r="AU51"/>
  <c r="AP51"/>
  <c r="AJ51"/>
  <c r="AK51" s="1"/>
  <c r="AB51"/>
  <c r="AA51"/>
  <c r="Z51"/>
  <c r="Y51"/>
  <c r="X51"/>
  <c r="W51"/>
  <c r="I51"/>
  <c r="H51"/>
  <c r="G51"/>
  <c r="CZ50"/>
  <c r="CY50"/>
  <c r="S50" s="1"/>
  <c r="CS50"/>
  <c r="CR50"/>
  <c r="CQ50"/>
  <c r="BP50"/>
  <c r="BO50"/>
  <c r="BL50"/>
  <c r="BD50"/>
  <c r="AV50"/>
  <c r="AD50" s="1"/>
  <c r="AU50"/>
  <c r="AC50" s="1"/>
  <c r="AR50"/>
  <c r="AJ50"/>
  <c r="AB50"/>
  <c r="AA50"/>
  <c r="Y50"/>
  <c r="X50"/>
  <c r="W50"/>
  <c r="I50"/>
  <c r="H50"/>
  <c r="G50"/>
  <c r="CZ49"/>
  <c r="CY49"/>
  <c r="CS49"/>
  <c r="CR49"/>
  <c r="CQ49"/>
  <c r="BP49"/>
  <c r="BO49"/>
  <c r="BN49"/>
  <c r="BD49"/>
  <c r="AV49"/>
  <c r="AD49" s="1"/>
  <c r="AU49"/>
  <c r="AC49" s="1"/>
  <c r="CU49" s="1"/>
  <c r="AT49"/>
  <c r="AJ49"/>
  <c r="AA49"/>
  <c r="Z49"/>
  <c r="Y49"/>
  <c r="X49"/>
  <c r="W49"/>
  <c r="S49"/>
  <c r="I49"/>
  <c r="H49"/>
  <c r="G49"/>
  <c r="CZ48"/>
  <c r="CY48"/>
  <c r="S48" s="1"/>
  <c r="CS48"/>
  <c r="CR48"/>
  <c r="CQ48"/>
  <c r="BP48"/>
  <c r="BO48"/>
  <c r="BJ48"/>
  <c r="BD48"/>
  <c r="AV48"/>
  <c r="AD48" s="1"/>
  <c r="AU48"/>
  <c r="AC48" s="1"/>
  <c r="AP48"/>
  <c r="AJ48"/>
  <c r="AB48"/>
  <c r="AA48"/>
  <c r="Z48"/>
  <c r="Y48"/>
  <c r="W48"/>
  <c r="I48"/>
  <c r="H48"/>
  <c r="G48"/>
  <c r="CZ47"/>
  <c r="CY47"/>
  <c r="S47" s="1"/>
  <c r="CS47"/>
  <c r="CR47"/>
  <c r="CQ47"/>
  <c r="BP47"/>
  <c r="BO47"/>
  <c r="BJ47"/>
  <c r="BD47"/>
  <c r="AV47"/>
  <c r="AD47" s="1"/>
  <c r="AU47"/>
  <c r="AP47"/>
  <c r="AJ47"/>
  <c r="AC47"/>
  <c r="AB47"/>
  <c r="AA47"/>
  <c r="Z47"/>
  <c r="Y47"/>
  <c r="W47"/>
  <c r="I47"/>
  <c r="H47"/>
  <c r="G47"/>
  <c r="CZ46"/>
  <c r="CY46"/>
  <c r="S46" s="1"/>
  <c r="CS46"/>
  <c r="CR46"/>
  <c r="CQ46"/>
  <c r="BP46"/>
  <c r="BO46"/>
  <c r="BM46"/>
  <c r="BD46"/>
  <c r="AV46"/>
  <c r="AD46" s="1"/>
  <c r="AU46"/>
  <c r="AC46" s="1"/>
  <c r="AS46"/>
  <c r="AA46" s="1"/>
  <c r="AJ46"/>
  <c r="AB46"/>
  <c r="Z46"/>
  <c r="Y46"/>
  <c r="X46"/>
  <c r="W46"/>
  <c r="I46"/>
  <c r="H46"/>
  <c r="G46"/>
  <c r="CZ45"/>
  <c r="CY45"/>
  <c r="S45" s="1"/>
  <c r="CS45"/>
  <c r="CR45"/>
  <c r="CQ45"/>
  <c r="BP45"/>
  <c r="BO45"/>
  <c r="BJ45"/>
  <c r="BD45"/>
  <c r="AV45"/>
  <c r="AD45" s="1"/>
  <c r="AU45"/>
  <c r="AP45"/>
  <c r="AJ45"/>
  <c r="AC45"/>
  <c r="AB45"/>
  <c r="AA45"/>
  <c r="Z45"/>
  <c r="Y45"/>
  <c r="W45"/>
  <c r="I45"/>
  <c r="H45"/>
  <c r="G45"/>
  <c r="CZ44"/>
  <c r="CY44"/>
  <c r="CS44"/>
  <c r="CR44"/>
  <c r="CQ44"/>
  <c r="BP44"/>
  <c r="BO44"/>
  <c r="BJ44"/>
  <c r="BD44"/>
  <c r="AV44"/>
  <c r="AD44" s="1"/>
  <c r="AU44"/>
  <c r="AC44" s="1"/>
  <c r="CU44" s="1"/>
  <c r="AP44"/>
  <c r="AJ44"/>
  <c r="AB44"/>
  <c r="AA44"/>
  <c r="Z44"/>
  <c r="Y44"/>
  <c r="W44"/>
  <c r="S44"/>
  <c r="I44"/>
  <c r="H44"/>
  <c r="G44"/>
  <c r="CZ43"/>
  <c r="CY43"/>
  <c r="S43" s="1"/>
  <c r="CS43"/>
  <c r="CR43"/>
  <c r="CQ43"/>
  <c r="BP43"/>
  <c r="BO43"/>
  <c r="BJ43"/>
  <c r="BD43"/>
  <c r="AV43"/>
  <c r="AD43" s="1"/>
  <c r="AU43"/>
  <c r="AC43" s="1"/>
  <c r="AP43"/>
  <c r="AJ43"/>
  <c r="AB43"/>
  <c r="AA43"/>
  <c r="Z43"/>
  <c r="Y43"/>
  <c r="W43"/>
  <c r="I43"/>
  <c r="H43"/>
  <c r="G43"/>
  <c r="CZ42"/>
  <c r="CY42"/>
  <c r="S42" s="1"/>
  <c r="CS42"/>
  <c r="CR42"/>
  <c r="CQ42"/>
  <c r="BP42"/>
  <c r="BO42"/>
  <c r="BN42"/>
  <c r="BD42"/>
  <c r="AV42"/>
  <c r="AD42" s="1"/>
  <c r="AU42"/>
  <c r="AT42"/>
  <c r="AJ42"/>
  <c r="AC42"/>
  <c r="AA42"/>
  <c r="Z42"/>
  <c r="Y42"/>
  <c r="X42"/>
  <c r="W42"/>
  <c r="I42"/>
  <c r="H42"/>
  <c r="G42"/>
  <c r="CZ41"/>
  <c r="CY41"/>
  <c r="S41" s="1"/>
  <c r="CS41"/>
  <c r="CR41"/>
  <c r="CQ41"/>
  <c r="BP41"/>
  <c r="BO41"/>
  <c r="BN41"/>
  <c r="BD41"/>
  <c r="AV41"/>
  <c r="AD41" s="1"/>
  <c r="AU41"/>
  <c r="AC41" s="1"/>
  <c r="AT41"/>
  <c r="AJ41"/>
  <c r="AA41"/>
  <c r="Z41"/>
  <c r="Y41"/>
  <c r="X41"/>
  <c r="W41"/>
  <c r="I41"/>
  <c r="H41"/>
  <c r="G41"/>
  <c r="CZ40"/>
  <c r="CY40"/>
  <c r="S40" s="1"/>
  <c r="CS40"/>
  <c r="CR40"/>
  <c r="CQ40"/>
  <c r="BP40"/>
  <c r="BO40"/>
  <c r="BN40"/>
  <c r="BD40"/>
  <c r="AV40"/>
  <c r="AD40" s="1"/>
  <c r="AU40"/>
  <c r="AC40" s="1"/>
  <c r="AT40"/>
  <c r="AJ40"/>
  <c r="AA40"/>
  <c r="Z40"/>
  <c r="Y40"/>
  <c r="X40"/>
  <c r="W40"/>
  <c r="I40"/>
  <c r="H40"/>
  <c r="G40"/>
  <c r="CZ39"/>
  <c r="CY39"/>
  <c r="CS39"/>
  <c r="CR39"/>
  <c r="CQ39"/>
  <c r="BP39"/>
  <c r="BO39"/>
  <c r="BN39"/>
  <c r="BD39"/>
  <c r="AV39"/>
  <c r="AD39" s="1"/>
  <c r="AU39"/>
  <c r="AC39" s="1"/>
  <c r="CU39" s="1"/>
  <c r="AT39"/>
  <c r="AJ39"/>
  <c r="AA39"/>
  <c r="Z39"/>
  <c r="Y39"/>
  <c r="X39"/>
  <c r="W39"/>
  <c r="S39"/>
  <c r="I39"/>
  <c r="H39"/>
  <c r="G39"/>
  <c r="CZ38"/>
  <c r="CY38"/>
  <c r="S38" s="1"/>
  <c r="CS38"/>
  <c r="CR38"/>
  <c r="CQ38"/>
  <c r="BP38"/>
  <c r="BO38"/>
  <c r="BJ38"/>
  <c r="BD38"/>
  <c r="AV38"/>
  <c r="AD38" s="1"/>
  <c r="AU38"/>
  <c r="AC38" s="1"/>
  <c r="AP38"/>
  <c r="AJ38"/>
  <c r="AB38"/>
  <c r="AA38"/>
  <c r="Z38"/>
  <c r="Y38"/>
  <c r="W38"/>
  <c r="I38"/>
  <c r="H38"/>
  <c r="G38"/>
  <c r="CZ37"/>
  <c r="CY37"/>
  <c r="S37" s="1"/>
  <c r="CS37"/>
  <c r="CR37"/>
  <c r="CQ37"/>
  <c r="BP37"/>
  <c r="BO37"/>
  <c r="BN37"/>
  <c r="BD37"/>
  <c r="AV37"/>
  <c r="AD37" s="1"/>
  <c r="AU37"/>
  <c r="AC37" s="1"/>
  <c r="AT37"/>
  <c r="AJ37"/>
  <c r="AA37"/>
  <c r="Z37"/>
  <c r="Y37"/>
  <c r="X37"/>
  <c r="W37"/>
  <c r="I37"/>
  <c r="H37"/>
  <c r="G37"/>
  <c r="CZ36"/>
  <c r="CY36"/>
  <c r="S36" s="1"/>
  <c r="CS36"/>
  <c r="CR36"/>
  <c r="CQ36"/>
  <c r="BP36"/>
  <c r="BO36"/>
  <c r="BJ36"/>
  <c r="BD36"/>
  <c r="AV36"/>
  <c r="AD36" s="1"/>
  <c r="AU36"/>
  <c r="AC36" s="1"/>
  <c r="AP36"/>
  <c r="AJ36"/>
  <c r="AB36"/>
  <c r="AA36"/>
  <c r="Z36"/>
  <c r="Y36"/>
  <c r="W36"/>
  <c r="I36"/>
  <c r="H36"/>
  <c r="G36"/>
  <c r="CZ35"/>
  <c r="CY35"/>
  <c r="S35" s="1"/>
  <c r="CS35"/>
  <c r="CR35"/>
  <c r="CQ35"/>
  <c r="BP35"/>
  <c r="BO35"/>
  <c r="BN35"/>
  <c r="BD35"/>
  <c r="AV35"/>
  <c r="AD35" s="1"/>
  <c r="AU35"/>
  <c r="AT35"/>
  <c r="AJ35"/>
  <c r="AC35"/>
  <c r="AA35"/>
  <c r="Z35"/>
  <c r="Y35"/>
  <c r="X35"/>
  <c r="W35"/>
  <c r="I35"/>
  <c r="H35"/>
  <c r="G35"/>
  <c r="CZ34"/>
  <c r="CY34"/>
  <c r="S34" s="1"/>
  <c r="CS34"/>
  <c r="CR34"/>
  <c r="CQ34"/>
  <c r="BP34"/>
  <c r="BO34"/>
  <c r="BN34"/>
  <c r="BD34"/>
  <c r="AV34"/>
  <c r="AD34" s="1"/>
  <c r="AU34"/>
  <c r="AT34"/>
  <c r="AJ34"/>
  <c r="AC34"/>
  <c r="AA34"/>
  <c r="Z34"/>
  <c r="Y34"/>
  <c r="X34"/>
  <c r="W34"/>
  <c r="I34"/>
  <c r="H34"/>
  <c r="G34"/>
  <c r="CZ33"/>
  <c r="CY33"/>
  <c r="S33" s="1"/>
  <c r="CS33"/>
  <c r="CR33"/>
  <c r="CQ33"/>
  <c r="BP33"/>
  <c r="BO33"/>
  <c r="BJ33"/>
  <c r="BD33"/>
  <c r="AV33"/>
  <c r="AD33" s="1"/>
  <c r="DZ33" s="1"/>
  <c r="AU33"/>
  <c r="AP33"/>
  <c r="AJ33"/>
  <c r="AK33" s="1"/>
  <c r="AB33"/>
  <c r="AA33"/>
  <c r="Z33"/>
  <c r="Y33"/>
  <c r="X33"/>
  <c r="W33"/>
  <c r="I33"/>
  <c r="H33"/>
  <c r="G33"/>
  <c r="CZ32"/>
  <c r="CY32"/>
  <c r="S32" s="1"/>
  <c r="CS32"/>
  <c r="CR32"/>
  <c r="CQ32"/>
  <c r="BP32"/>
  <c r="BO32"/>
  <c r="BM32"/>
  <c r="BD32"/>
  <c r="AV32"/>
  <c r="AD32" s="1"/>
  <c r="CV32" s="1"/>
  <c r="AU32"/>
  <c r="AS32"/>
  <c r="AJ32"/>
  <c r="AK32" s="1"/>
  <c r="AB32"/>
  <c r="Z32"/>
  <c r="Y32"/>
  <c r="X32"/>
  <c r="W32"/>
  <c r="I32"/>
  <c r="H32"/>
  <c r="G32"/>
  <c r="CZ31"/>
  <c r="CY31"/>
  <c r="S31" s="1"/>
  <c r="CS31"/>
  <c r="CR31"/>
  <c r="CQ31"/>
  <c r="BP31"/>
  <c r="BO31"/>
  <c r="BN31"/>
  <c r="BD31"/>
  <c r="AV31"/>
  <c r="AD31" s="1"/>
  <c r="AU31"/>
  <c r="AT31"/>
  <c r="AJ31"/>
  <c r="AC31"/>
  <c r="AA31"/>
  <c r="Z31"/>
  <c r="Y31"/>
  <c r="X31"/>
  <c r="W31"/>
  <c r="I31"/>
  <c r="H31"/>
  <c r="G31"/>
  <c r="CZ30"/>
  <c r="CY30"/>
  <c r="S30" s="1"/>
  <c r="CS30"/>
  <c r="CR30"/>
  <c r="CQ30"/>
  <c r="BP30"/>
  <c r="BO30"/>
  <c r="BJ30"/>
  <c r="BD30"/>
  <c r="AV30"/>
  <c r="AD30" s="1"/>
  <c r="AU30"/>
  <c r="AC30" s="1"/>
  <c r="AP30"/>
  <c r="AJ30"/>
  <c r="AB30"/>
  <c r="AA30"/>
  <c r="Z30"/>
  <c r="Y30"/>
  <c r="W30"/>
  <c r="I30"/>
  <c r="H30"/>
  <c r="G30"/>
  <c r="CZ29"/>
  <c r="CY29"/>
  <c r="S29" s="1"/>
  <c r="CS29"/>
  <c r="CR29"/>
  <c r="CQ29"/>
  <c r="BX29"/>
  <c r="CG29" s="1"/>
  <c r="CH29" s="1"/>
  <c r="BP29"/>
  <c r="BO29"/>
  <c r="BJ29"/>
  <c r="BD29"/>
  <c r="AV29"/>
  <c r="AD29" s="1"/>
  <c r="AU29"/>
  <c r="AC29" s="1"/>
  <c r="AP29"/>
  <c r="AJ29"/>
  <c r="AB29"/>
  <c r="AA29"/>
  <c r="Z29"/>
  <c r="Y29"/>
  <c r="W29"/>
  <c r="I29"/>
  <c r="H29"/>
  <c r="G29"/>
  <c r="CZ28"/>
  <c r="CY28"/>
  <c r="S28" s="1"/>
  <c r="CS28"/>
  <c r="CR28"/>
  <c r="CQ28"/>
  <c r="BP28"/>
  <c r="BO28"/>
  <c r="BJ28"/>
  <c r="BD28"/>
  <c r="AV28"/>
  <c r="AD28" s="1"/>
  <c r="AU28"/>
  <c r="AC28" s="1"/>
  <c r="AP28"/>
  <c r="AJ28"/>
  <c r="AB28"/>
  <c r="AA28"/>
  <c r="Z28"/>
  <c r="Y28"/>
  <c r="W28"/>
  <c r="I28"/>
  <c r="H28"/>
  <c r="G28"/>
  <c r="CZ27"/>
  <c r="CY27"/>
  <c r="S27" s="1"/>
  <c r="CS27"/>
  <c r="CR27"/>
  <c r="CQ27"/>
  <c r="BP27"/>
  <c r="BO27"/>
  <c r="BJ27"/>
  <c r="BD27"/>
  <c r="AV27"/>
  <c r="AD27" s="1"/>
  <c r="AU27"/>
  <c r="AP27"/>
  <c r="AJ27"/>
  <c r="AC27"/>
  <c r="AB27"/>
  <c r="AA27"/>
  <c r="Z27"/>
  <c r="Y27"/>
  <c r="W27"/>
  <c r="I27"/>
  <c r="H27"/>
  <c r="G27"/>
  <c r="CZ26"/>
  <c r="CY26"/>
  <c r="S26" s="1"/>
  <c r="CS26"/>
  <c r="CR26"/>
  <c r="CQ26"/>
  <c r="BP26"/>
  <c r="BO26"/>
  <c r="BD26"/>
  <c r="AV26"/>
  <c r="AU26"/>
  <c r="AJ26"/>
  <c r="AB26"/>
  <c r="AA26"/>
  <c r="Z26"/>
  <c r="Y26"/>
  <c r="X26"/>
  <c r="W26"/>
  <c r="H26"/>
  <c r="P26" s="1"/>
  <c r="CZ25"/>
  <c r="CY25"/>
  <c r="CS25"/>
  <c r="CR25"/>
  <c r="CQ25"/>
  <c r="BP25"/>
  <c r="BO25"/>
  <c r="BJ25"/>
  <c r="BD25"/>
  <c r="AV25"/>
  <c r="AD25" s="1"/>
  <c r="AU25"/>
  <c r="AP25"/>
  <c r="AJ25"/>
  <c r="AK25" s="1"/>
  <c r="AB25"/>
  <c r="AA25"/>
  <c r="Z25"/>
  <c r="Y25"/>
  <c r="X25"/>
  <c r="W25"/>
  <c r="S25"/>
  <c r="I25"/>
  <c r="H25"/>
  <c r="G25"/>
  <c r="CZ24"/>
  <c r="CY24"/>
  <c r="S24" s="1"/>
  <c r="CS24"/>
  <c r="CR24"/>
  <c r="CQ24"/>
  <c r="BP24"/>
  <c r="BO24"/>
  <c r="BJ24"/>
  <c r="BD24"/>
  <c r="AV24"/>
  <c r="AD24" s="1"/>
  <c r="AU24"/>
  <c r="AC24" s="1"/>
  <c r="AP24"/>
  <c r="AJ24"/>
  <c r="AB24"/>
  <c r="AA24"/>
  <c r="Z24"/>
  <c r="Y24"/>
  <c r="W24"/>
  <c r="I24"/>
  <c r="H24"/>
  <c r="G24"/>
  <c r="CZ23"/>
  <c r="CY23"/>
  <c r="CS23"/>
  <c r="CR23"/>
  <c r="CQ23"/>
  <c r="BP23"/>
  <c r="BO23"/>
  <c r="BJ23"/>
  <c r="BD23"/>
  <c r="AV23"/>
  <c r="AD23" s="1"/>
  <c r="AU23"/>
  <c r="AP23"/>
  <c r="AW23" s="1"/>
  <c r="AJ23"/>
  <c r="AC23"/>
  <c r="AB23"/>
  <c r="AA23"/>
  <c r="Z23"/>
  <c r="Y23"/>
  <c r="W23"/>
  <c r="S23"/>
  <c r="I23"/>
  <c r="H23"/>
  <c r="G23"/>
  <c r="CZ22"/>
  <c r="CY22"/>
  <c r="CS22"/>
  <c r="CR22"/>
  <c r="CQ22"/>
  <c r="DE22" s="1"/>
  <c r="BP22"/>
  <c r="BO22"/>
  <c r="BQ22" s="1"/>
  <c r="BJ22"/>
  <c r="BD22"/>
  <c r="AV22"/>
  <c r="AD22" s="1"/>
  <c r="AU22"/>
  <c r="AC22" s="1"/>
  <c r="CU22" s="1"/>
  <c r="AP22"/>
  <c r="AJ22"/>
  <c r="AB22"/>
  <c r="AA22"/>
  <c r="Z22"/>
  <c r="Y22"/>
  <c r="W22"/>
  <c r="S22"/>
  <c r="I22"/>
  <c r="H22"/>
  <c r="G22"/>
  <c r="CZ21"/>
  <c r="CY21"/>
  <c r="S21" s="1"/>
  <c r="CS21"/>
  <c r="CR21"/>
  <c r="CQ21"/>
  <c r="BX21"/>
  <c r="CG21" s="1"/>
  <c r="CH21" s="1"/>
  <c r="BP21"/>
  <c r="BO21"/>
  <c r="BJ21"/>
  <c r="BD21"/>
  <c r="AV21"/>
  <c r="AD21" s="1"/>
  <c r="AU21"/>
  <c r="AC21" s="1"/>
  <c r="AP21"/>
  <c r="AJ21"/>
  <c r="AB21"/>
  <c r="AA21"/>
  <c r="Z21"/>
  <c r="Y21"/>
  <c r="W21"/>
  <c r="I21"/>
  <c r="H21"/>
  <c r="G21"/>
  <c r="CZ20"/>
  <c r="CY20"/>
  <c r="S20" s="1"/>
  <c r="CS20"/>
  <c r="CR20"/>
  <c r="CQ20"/>
  <c r="BP20"/>
  <c r="BO20"/>
  <c r="BN20"/>
  <c r="BD20"/>
  <c r="AV20"/>
  <c r="AD20" s="1"/>
  <c r="AU20"/>
  <c r="AC20" s="1"/>
  <c r="AT20"/>
  <c r="AJ20"/>
  <c r="AA20"/>
  <c r="Z20"/>
  <c r="Y20"/>
  <c r="X20"/>
  <c r="W20"/>
  <c r="I20"/>
  <c r="H20"/>
  <c r="G20"/>
  <c r="CZ19"/>
  <c r="CY19"/>
  <c r="CS19"/>
  <c r="CR19"/>
  <c r="CQ19"/>
  <c r="BP19"/>
  <c r="BO19"/>
  <c r="BJ19"/>
  <c r="BD19"/>
  <c r="AV19"/>
  <c r="AD19" s="1"/>
  <c r="AU19"/>
  <c r="AP19"/>
  <c r="AJ19"/>
  <c r="AB19"/>
  <c r="AA19"/>
  <c r="Z19"/>
  <c r="Y19"/>
  <c r="X19"/>
  <c r="W19"/>
  <c r="S19"/>
  <c r="I19"/>
  <c r="H19"/>
  <c r="G19"/>
  <c r="CZ18"/>
  <c r="CY18"/>
  <c r="CS18"/>
  <c r="CR18"/>
  <c r="CQ18"/>
  <c r="BP18"/>
  <c r="BO18"/>
  <c r="BJ18"/>
  <c r="BD18"/>
  <c r="AV18"/>
  <c r="AD18" s="1"/>
  <c r="AU18"/>
  <c r="AP18"/>
  <c r="AJ18"/>
  <c r="AK18" s="1"/>
  <c r="AB18"/>
  <c r="AA18"/>
  <c r="Z18"/>
  <c r="Y18"/>
  <c r="X18"/>
  <c r="W18"/>
  <c r="S18"/>
  <c r="I18"/>
  <c r="H18"/>
  <c r="G18"/>
  <c r="CZ17"/>
  <c r="CY17"/>
  <c r="CS17"/>
  <c r="CR17"/>
  <c r="CQ17"/>
  <c r="BP17"/>
  <c r="BO17"/>
  <c r="BJ17"/>
  <c r="BD17"/>
  <c r="AV17"/>
  <c r="AD17" s="1"/>
  <c r="AU17"/>
  <c r="AP17"/>
  <c r="AJ17"/>
  <c r="AK17" s="1"/>
  <c r="AB17"/>
  <c r="AA17"/>
  <c r="Z17"/>
  <c r="Y17"/>
  <c r="X17"/>
  <c r="W17"/>
  <c r="S17"/>
  <c r="I17"/>
  <c r="H17"/>
  <c r="G17"/>
  <c r="CZ16"/>
  <c r="CY16"/>
  <c r="S16" s="1"/>
  <c r="CS16"/>
  <c r="CR16"/>
  <c r="CQ16"/>
  <c r="BP16"/>
  <c r="BO16"/>
  <c r="BJ16"/>
  <c r="BD16"/>
  <c r="AV16"/>
  <c r="AD16" s="1"/>
  <c r="AU16"/>
  <c r="AP16"/>
  <c r="AJ16"/>
  <c r="AK16" s="1"/>
  <c r="AB16"/>
  <c r="AA16"/>
  <c r="Z16"/>
  <c r="Y16"/>
  <c r="X16"/>
  <c r="W16"/>
  <c r="I16"/>
  <c r="H16"/>
  <c r="G16"/>
  <c r="CZ15"/>
  <c r="CY15"/>
  <c r="S15" s="1"/>
  <c r="CS15"/>
  <c r="CR15"/>
  <c r="CQ15"/>
  <c r="BP15"/>
  <c r="BO15"/>
  <c r="BI15"/>
  <c r="BI7" s="1"/>
  <c r="BD15"/>
  <c r="AV15"/>
  <c r="AD15" s="1"/>
  <c r="CV15" s="1"/>
  <c r="AU15"/>
  <c r="AO15"/>
  <c r="AJ15"/>
  <c r="AK15" s="1"/>
  <c r="AB15"/>
  <c r="AA15"/>
  <c r="Z15"/>
  <c r="Y15"/>
  <c r="X15"/>
  <c r="I15"/>
  <c r="H15"/>
  <c r="G15"/>
  <c r="CZ14"/>
  <c r="CY14"/>
  <c r="CS14"/>
  <c r="CR14"/>
  <c r="CQ14"/>
  <c r="BP14"/>
  <c r="BO14"/>
  <c r="BN14"/>
  <c r="BD14"/>
  <c r="AV14"/>
  <c r="AD14" s="1"/>
  <c r="AU14"/>
  <c r="AT14"/>
  <c r="AJ14"/>
  <c r="AC14"/>
  <c r="AA14"/>
  <c r="Z14"/>
  <c r="Y14"/>
  <c r="X14"/>
  <c r="W14"/>
  <c r="S14"/>
  <c r="I14"/>
  <c r="H14"/>
  <c r="G14"/>
  <c r="CZ13"/>
  <c r="CY13"/>
  <c r="CS13"/>
  <c r="CR13"/>
  <c r="CQ13"/>
  <c r="BP13"/>
  <c r="BO13"/>
  <c r="BJ13"/>
  <c r="BD13"/>
  <c r="AV13"/>
  <c r="AD13" s="1"/>
  <c r="AU13"/>
  <c r="AP13"/>
  <c r="AJ13"/>
  <c r="AK13" s="1"/>
  <c r="AB13"/>
  <c r="AA13"/>
  <c r="Z13"/>
  <c r="Y13"/>
  <c r="X13"/>
  <c r="W13"/>
  <c r="S13"/>
  <c r="I13"/>
  <c r="H13"/>
  <c r="G13"/>
  <c r="CZ12"/>
  <c r="CY12"/>
  <c r="S12" s="1"/>
  <c r="CS12"/>
  <c r="CR12"/>
  <c r="CQ12"/>
  <c r="BP12"/>
  <c r="BO12"/>
  <c r="BJ12"/>
  <c r="BD12"/>
  <c r="AV12"/>
  <c r="AD12" s="1"/>
  <c r="AU12"/>
  <c r="AP12"/>
  <c r="AJ12"/>
  <c r="AC12"/>
  <c r="AB12"/>
  <c r="AA12"/>
  <c r="Z12"/>
  <c r="Y12"/>
  <c r="W12"/>
  <c r="I12"/>
  <c r="H12"/>
  <c r="G12"/>
  <c r="CZ11"/>
  <c r="CY11"/>
  <c r="S11" s="1"/>
  <c r="CS11"/>
  <c r="CR11"/>
  <c r="CQ11"/>
  <c r="BX11"/>
  <c r="CG11" s="1"/>
  <c r="CH11" s="1"/>
  <c r="BP11"/>
  <c r="BO11"/>
  <c r="BJ11"/>
  <c r="BD11"/>
  <c r="AV11"/>
  <c r="AD11" s="1"/>
  <c r="AU11"/>
  <c r="AC11" s="1"/>
  <c r="AP11"/>
  <c r="AJ11"/>
  <c r="AB11"/>
  <c r="AA11"/>
  <c r="Z11"/>
  <c r="Y11"/>
  <c r="W11"/>
  <c r="I11"/>
  <c r="H11"/>
  <c r="G11"/>
  <c r="CZ10"/>
  <c r="CY10"/>
  <c r="S10" s="1"/>
  <c r="CS10"/>
  <c r="CR10"/>
  <c r="CQ10"/>
  <c r="BP10"/>
  <c r="BO10"/>
  <c r="BJ10"/>
  <c r="BD10"/>
  <c r="AV10"/>
  <c r="AD10" s="1"/>
  <c r="AU10"/>
  <c r="AC10" s="1"/>
  <c r="AP10"/>
  <c r="AJ10"/>
  <c r="AB10"/>
  <c r="AA10"/>
  <c r="Z10"/>
  <c r="Y10"/>
  <c r="W10"/>
  <c r="I10"/>
  <c r="H10"/>
  <c r="G10"/>
  <c r="CZ9"/>
  <c r="CY9"/>
  <c r="S9" s="1"/>
  <c r="CS9"/>
  <c r="CR9"/>
  <c r="CQ9"/>
  <c r="BP9"/>
  <c r="BO9"/>
  <c r="BJ9"/>
  <c r="BD9"/>
  <c r="AV9"/>
  <c r="AD9" s="1"/>
  <c r="AU9"/>
  <c r="AP9"/>
  <c r="AJ9"/>
  <c r="AK9" s="1"/>
  <c r="AB9"/>
  <c r="AA9"/>
  <c r="Z9"/>
  <c r="Y9"/>
  <c r="X9"/>
  <c r="W9"/>
  <c r="I9"/>
  <c r="H9"/>
  <c r="G9"/>
  <c r="CZ8"/>
  <c r="CY8"/>
  <c r="S8" s="1"/>
  <c r="CS8"/>
  <c r="CR8"/>
  <c r="CQ8"/>
  <c r="BP8"/>
  <c r="BO8"/>
  <c r="BJ8"/>
  <c r="BD8"/>
  <c r="AV8"/>
  <c r="AU8"/>
  <c r="AP8"/>
  <c r="X8" s="1"/>
  <c r="AJ8"/>
  <c r="AK8" s="1"/>
  <c r="AD8"/>
  <c r="CV8" s="1"/>
  <c r="AB8"/>
  <c r="AA8"/>
  <c r="Z8"/>
  <c r="Y8"/>
  <c r="W8"/>
  <c r="I8"/>
  <c r="H8"/>
  <c r="G8"/>
  <c r="DD7"/>
  <c r="DC7"/>
  <c r="DB7"/>
  <c r="DA7"/>
  <c r="CX7"/>
  <c r="CW7"/>
  <c r="CS7"/>
  <c r="CP7"/>
  <c r="CO7"/>
  <c r="CN7"/>
  <c r="CM7"/>
  <c r="CL7"/>
  <c r="CK7"/>
  <c r="CJ7"/>
  <c r="CI7"/>
  <c r="CF7"/>
  <c r="CE7"/>
  <c r="BM7"/>
  <c r="BL7"/>
  <c r="BK7"/>
  <c r="BJ7"/>
  <c r="BH7"/>
  <c r="BC7"/>
  <c r="AU7"/>
  <c r="AS7"/>
  <c r="AR7"/>
  <c r="AQ7"/>
  <c r="AO7"/>
  <c r="AN7"/>
  <c r="AJ7"/>
  <c r="AI7"/>
  <c r="U7"/>
  <c r="CT4"/>
  <c r="CQ4"/>
  <c r="AM73" i="22" l="1"/>
  <c r="BA73" s="1"/>
  <c r="BB73" s="1"/>
  <c r="BQ85" i="21"/>
  <c r="DE85"/>
  <c r="CU103"/>
  <c r="CV16"/>
  <c r="CV73"/>
  <c r="CV80"/>
  <c r="CV82"/>
  <c r="BQ82"/>
  <c r="AE64"/>
  <c r="CU64"/>
  <c r="CU20"/>
  <c r="AW31"/>
  <c r="DW8" i="22"/>
  <c r="DF8"/>
  <c r="BR8"/>
  <c r="CA8"/>
  <c r="AY9"/>
  <c r="AZ9" s="1"/>
  <c r="DG9" s="1"/>
  <c r="AX9"/>
  <c r="BR13"/>
  <c r="CA13"/>
  <c r="AX14"/>
  <c r="DZ14"/>
  <c r="CV14"/>
  <c r="BR15"/>
  <c r="CA15"/>
  <c r="AY16"/>
  <c r="AZ16" s="1"/>
  <c r="DG16" s="1"/>
  <c r="AX16"/>
  <c r="CA10"/>
  <c r="CA11"/>
  <c r="EC11"/>
  <c r="CA12"/>
  <c r="AY8"/>
  <c r="AX8"/>
  <c r="BR9"/>
  <c r="CB9" s="1"/>
  <c r="CA9"/>
  <c r="AX10"/>
  <c r="DZ10"/>
  <c r="AD7"/>
  <c r="CV10"/>
  <c r="CV7" s="1"/>
  <c r="AX11"/>
  <c r="DZ11"/>
  <c r="CV11"/>
  <c r="AX12"/>
  <c r="DZ12"/>
  <c r="CV12"/>
  <c r="AY13"/>
  <c r="AZ13" s="1"/>
  <c r="DG13" s="1"/>
  <c r="AX13"/>
  <c r="AY15"/>
  <c r="AZ15" s="1"/>
  <c r="DG15" s="1"/>
  <c r="AX15"/>
  <c r="DF16"/>
  <c r="BR16"/>
  <c r="CA16"/>
  <c r="AE11"/>
  <c r="AH19"/>
  <c r="BR21"/>
  <c r="CA21"/>
  <c r="BR22"/>
  <c r="CA22"/>
  <c r="AY23"/>
  <c r="AZ23" s="1"/>
  <c r="DG23" s="1"/>
  <c r="AX23"/>
  <c r="DF25"/>
  <c r="AM25"/>
  <c r="BA25" s="1"/>
  <c r="BB25" s="1"/>
  <c r="BR25"/>
  <c r="CA25"/>
  <c r="I26"/>
  <c r="Q26" s="1"/>
  <c r="BX26" s="1"/>
  <c r="G26"/>
  <c r="AX27"/>
  <c r="DZ27"/>
  <c r="CV27"/>
  <c r="AX28"/>
  <c r="DZ28"/>
  <c r="CV28"/>
  <c r="DF29"/>
  <c r="AM29"/>
  <c r="BA29" s="1"/>
  <c r="BB29" s="1"/>
  <c r="BR29"/>
  <c r="CA29"/>
  <c r="AY30"/>
  <c r="AZ30" s="1"/>
  <c r="DG30" s="1"/>
  <c r="AX30"/>
  <c r="BR31"/>
  <c r="CA31"/>
  <c r="AY33"/>
  <c r="AZ33" s="1"/>
  <c r="DG33" s="1"/>
  <c r="AX33"/>
  <c r="BR34"/>
  <c r="CA34"/>
  <c r="AY35"/>
  <c r="AZ35" s="1"/>
  <c r="DG35" s="1"/>
  <c r="AX35"/>
  <c r="DF36"/>
  <c r="BR36"/>
  <c r="CA36"/>
  <c r="AY37"/>
  <c r="AZ37" s="1"/>
  <c r="DG37" s="1"/>
  <c r="AX37"/>
  <c r="BR38"/>
  <c r="CA38"/>
  <c r="AY39"/>
  <c r="AZ39" s="1"/>
  <c r="DG39" s="1"/>
  <c r="AX39"/>
  <c r="DF40"/>
  <c r="BR40"/>
  <c r="CA40"/>
  <c r="AY41"/>
  <c r="AZ41" s="1"/>
  <c r="DG41" s="1"/>
  <c r="AX41"/>
  <c r="DF42"/>
  <c r="BR42"/>
  <c r="CA42"/>
  <c r="AY43"/>
  <c r="AZ43" s="1"/>
  <c r="DG43" s="1"/>
  <c r="AX43"/>
  <c r="AX45"/>
  <c r="DZ45"/>
  <c r="CV45"/>
  <c r="BU46"/>
  <c r="EA46"/>
  <c r="CT46"/>
  <c r="DH46" s="1"/>
  <c r="DK46" s="1"/>
  <c r="AU7"/>
  <c r="CQ7"/>
  <c r="AC8"/>
  <c r="BE8"/>
  <c r="DO160"/>
  <c r="DZ8"/>
  <c r="AC9"/>
  <c r="CU9" s="1"/>
  <c r="BE9"/>
  <c r="BF9" s="1"/>
  <c r="DZ9"/>
  <c r="X10"/>
  <c r="AK10"/>
  <c r="AL10" s="1"/>
  <c r="BR10"/>
  <c r="CB10" s="1"/>
  <c r="X11"/>
  <c r="AK11"/>
  <c r="AL11" s="1"/>
  <c r="BR11"/>
  <c r="CB11" s="1"/>
  <c r="X12"/>
  <c r="AE12" s="1"/>
  <c r="AK12"/>
  <c r="AL12" s="1"/>
  <c r="BR12"/>
  <c r="CB12" s="1"/>
  <c r="AC13"/>
  <c r="CU13" s="1"/>
  <c r="BE13"/>
  <c r="BF13" s="1"/>
  <c r="DZ13"/>
  <c r="AB14"/>
  <c r="AE14" s="1"/>
  <c r="AK14"/>
  <c r="AL14" s="1"/>
  <c r="BR14"/>
  <c r="CB14" s="1"/>
  <c r="W15"/>
  <c r="AC15"/>
  <c r="CU15" s="1"/>
  <c r="BE15"/>
  <c r="BF15" s="1"/>
  <c r="DZ15"/>
  <c r="AC16"/>
  <c r="CU16" s="1"/>
  <c r="BE16"/>
  <c r="BF16" s="1"/>
  <c r="X17"/>
  <c r="AL17"/>
  <c r="CU17"/>
  <c r="AW17"/>
  <c r="AW7" s="1"/>
  <c r="DE17"/>
  <c r="CV17"/>
  <c r="AE18"/>
  <c r="DF18"/>
  <c r="BR19"/>
  <c r="AC19"/>
  <c r="CU19" s="1"/>
  <c r="AL19"/>
  <c r="BE19"/>
  <c r="AE20"/>
  <c r="CA24"/>
  <c r="CA32"/>
  <c r="CA44"/>
  <c r="CA46"/>
  <c r="CA47"/>
  <c r="CA48"/>
  <c r="CA49"/>
  <c r="AW19"/>
  <c r="X19"/>
  <c r="AE19" s="1"/>
  <c r="AY21"/>
  <c r="AZ21" s="1"/>
  <c r="DG21" s="1"/>
  <c r="AX21"/>
  <c r="AY22"/>
  <c r="AZ22" s="1"/>
  <c r="DG22" s="1"/>
  <c r="AX22"/>
  <c r="DF23"/>
  <c r="BR23"/>
  <c r="CB23" s="1"/>
  <c r="CA23"/>
  <c r="AX24"/>
  <c r="DZ24"/>
  <c r="CV24"/>
  <c r="AY25"/>
  <c r="AZ25" s="1"/>
  <c r="DG25" s="1"/>
  <c r="AX25"/>
  <c r="EA26"/>
  <c r="CT26"/>
  <c r="DH26" s="1"/>
  <c r="DK26" s="1"/>
  <c r="BU26"/>
  <c r="BT26"/>
  <c r="AX26"/>
  <c r="AY26"/>
  <c r="AZ26" s="1"/>
  <c r="DG26" s="1"/>
  <c r="BV26"/>
  <c r="DI26"/>
  <c r="BY26"/>
  <c r="BZ26" s="1"/>
  <c r="BR26"/>
  <c r="CB26" s="1"/>
  <c r="CA26"/>
  <c r="AY29"/>
  <c r="AZ29" s="1"/>
  <c r="DG29" s="1"/>
  <c r="AX29"/>
  <c r="BR30"/>
  <c r="CB30" s="1"/>
  <c r="CA30"/>
  <c r="AY31"/>
  <c r="AZ31" s="1"/>
  <c r="DG31" s="1"/>
  <c r="AX31"/>
  <c r="AY32"/>
  <c r="AZ32" s="1"/>
  <c r="DG32" s="1"/>
  <c r="AX32"/>
  <c r="BR33"/>
  <c r="CB33" s="1"/>
  <c r="CA33"/>
  <c r="AY34"/>
  <c r="AZ34" s="1"/>
  <c r="DG34" s="1"/>
  <c r="AX34"/>
  <c r="BR35"/>
  <c r="CB35" s="1"/>
  <c r="CA35"/>
  <c r="AY36"/>
  <c r="AZ36" s="1"/>
  <c r="DG36" s="1"/>
  <c r="AX36"/>
  <c r="BR37"/>
  <c r="CB37" s="1"/>
  <c r="CA37"/>
  <c r="AY38"/>
  <c r="AZ38" s="1"/>
  <c r="DG38" s="1"/>
  <c r="AX38"/>
  <c r="BR39"/>
  <c r="CB39" s="1"/>
  <c r="CA39"/>
  <c r="AY40"/>
  <c r="AZ40" s="1"/>
  <c r="DG40" s="1"/>
  <c r="AX40"/>
  <c r="DF41"/>
  <c r="BR41"/>
  <c r="CB41" s="1"/>
  <c r="CA41"/>
  <c r="AY42"/>
  <c r="AZ42" s="1"/>
  <c r="DG42" s="1"/>
  <c r="AX42"/>
  <c r="BR43"/>
  <c r="CB43" s="1"/>
  <c r="CA43"/>
  <c r="AX44"/>
  <c r="DZ44"/>
  <c r="CV44"/>
  <c r="AX46"/>
  <c r="DZ46"/>
  <c r="CV46"/>
  <c r="AX47"/>
  <c r="DZ47"/>
  <c r="CV47"/>
  <c r="AX48"/>
  <c r="DZ48"/>
  <c r="CV48"/>
  <c r="AX49"/>
  <c r="DZ49"/>
  <c r="CV49"/>
  <c r="BE10"/>
  <c r="BF10" s="1"/>
  <c r="BE11"/>
  <c r="BF11" s="1"/>
  <c r="BE12"/>
  <c r="BF12" s="1"/>
  <c r="BE14"/>
  <c r="BF14" s="1"/>
  <c r="CV16"/>
  <c r="AE17"/>
  <c r="AW18"/>
  <c r="BF19"/>
  <c r="BS19" s="1"/>
  <c r="DE19"/>
  <c r="DZ19"/>
  <c r="AW20"/>
  <c r="CA20" s="1"/>
  <c r="AE21"/>
  <c r="AE25"/>
  <c r="DL26"/>
  <c r="AE29"/>
  <c r="EC29"/>
  <c r="CV53"/>
  <c r="DZ53"/>
  <c r="AY53"/>
  <c r="AZ53" s="1"/>
  <c r="DG53" s="1"/>
  <c r="AX53"/>
  <c r="DF54"/>
  <c r="BR54"/>
  <c r="CA54"/>
  <c r="AY55"/>
  <c r="AZ55" s="1"/>
  <c r="DG55" s="1"/>
  <c r="AX55"/>
  <c r="DF56"/>
  <c r="BR56"/>
  <c r="CA56"/>
  <c r="AY57"/>
  <c r="AZ57" s="1"/>
  <c r="DG57" s="1"/>
  <c r="AX57"/>
  <c r="DF58"/>
  <c r="BR58"/>
  <c r="CA58"/>
  <c r="AY59"/>
  <c r="AZ59" s="1"/>
  <c r="DG59" s="1"/>
  <c r="AX59"/>
  <c r="AX61"/>
  <c r="DZ61"/>
  <c r="CV61"/>
  <c r="AX62"/>
  <c r="DZ62"/>
  <c r="CV62"/>
  <c r="BU63"/>
  <c r="EA63"/>
  <c r="CT63"/>
  <c r="DH63" s="1"/>
  <c r="AY67"/>
  <c r="AZ67" s="1"/>
  <c r="DG67" s="1"/>
  <c r="AX67"/>
  <c r="AY68"/>
  <c r="AZ68" s="1"/>
  <c r="DG68" s="1"/>
  <c r="AX68"/>
  <c r="AY69"/>
  <c r="AZ69" s="1"/>
  <c r="DG69" s="1"/>
  <c r="AX69"/>
  <c r="BE17"/>
  <c r="BF17" s="1"/>
  <c r="BE18"/>
  <c r="BF18" s="1"/>
  <c r="BE20"/>
  <c r="BF20" s="1"/>
  <c r="AC21"/>
  <c r="CU21" s="1"/>
  <c r="BE21"/>
  <c r="BF21" s="1"/>
  <c r="CG21"/>
  <c r="CH21" s="1"/>
  <c r="DZ21"/>
  <c r="AC22"/>
  <c r="CU22" s="1"/>
  <c r="BE22"/>
  <c r="BF22" s="1"/>
  <c r="DZ22"/>
  <c r="AC23"/>
  <c r="CU23" s="1"/>
  <c r="BE23"/>
  <c r="BF23" s="1"/>
  <c r="DZ23"/>
  <c r="X24"/>
  <c r="AE24" s="1"/>
  <c r="AH24"/>
  <c r="AK24"/>
  <c r="AL24" s="1"/>
  <c r="BR24"/>
  <c r="CB24" s="1"/>
  <c r="AC25"/>
  <c r="CU25" s="1"/>
  <c r="BE25"/>
  <c r="BF25" s="1"/>
  <c r="DZ25"/>
  <c r="DZ26"/>
  <c r="X27"/>
  <c r="AE27" s="1"/>
  <c r="AK27"/>
  <c r="AL27" s="1"/>
  <c r="BR27"/>
  <c r="CB27" s="1"/>
  <c r="X28"/>
  <c r="AE28" s="1"/>
  <c r="AK28"/>
  <c r="AL28" s="1"/>
  <c r="BR28"/>
  <c r="CB28" s="1"/>
  <c r="AC29"/>
  <c r="CU29" s="1"/>
  <c r="BE29"/>
  <c r="BF29" s="1"/>
  <c r="CG29"/>
  <c r="CH29" s="1"/>
  <c r="DZ29"/>
  <c r="AC30"/>
  <c r="CU30" s="1"/>
  <c r="BE30"/>
  <c r="BF30" s="1"/>
  <c r="DZ30"/>
  <c r="AC31"/>
  <c r="CU31" s="1"/>
  <c r="BE31"/>
  <c r="BF31" s="1"/>
  <c r="DZ31"/>
  <c r="AA32"/>
  <c r="AC32"/>
  <c r="CU32" s="1"/>
  <c r="DZ32"/>
  <c r="AC33"/>
  <c r="CU33" s="1"/>
  <c r="BE33"/>
  <c r="BF33" s="1"/>
  <c r="DZ33"/>
  <c r="AC34"/>
  <c r="CU34" s="1"/>
  <c r="BE34"/>
  <c r="BF34" s="1"/>
  <c r="DZ34"/>
  <c r="AC35"/>
  <c r="CU35" s="1"/>
  <c r="BE35"/>
  <c r="BF35" s="1"/>
  <c r="DZ35"/>
  <c r="AC36"/>
  <c r="CU36" s="1"/>
  <c r="BE36"/>
  <c r="BF36" s="1"/>
  <c r="DZ36"/>
  <c r="AC37"/>
  <c r="CU37" s="1"/>
  <c r="BE37"/>
  <c r="BF37" s="1"/>
  <c r="DZ37"/>
  <c r="AC38"/>
  <c r="CU38" s="1"/>
  <c r="BE38"/>
  <c r="BF38" s="1"/>
  <c r="DZ38"/>
  <c r="AC39"/>
  <c r="CU39" s="1"/>
  <c r="BE39"/>
  <c r="BF39" s="1"/>
  <c r="DZ39"/>
  <c r="AC40"/>
  <c r="CU40" s="1"/>
  <c r="BE40"/>
  <c r="BF40" s="1"/>
  <c r="DZ40"/>
  <c r="AC41"/>
  <c r="CU41" s="1"/>
  <c r="BE41"/>
  <c r="BF41" s="1"/>
  <c r="DZ41"/>
  <c r="AC42"/>
  <c r="CU42" s="1"/>
  <c r="BE42"/>
  <c r="BF42" s="1"/>
  <c r="DZ42"/>
  <c r="AC43"/>
  <c r="CU43" s="1"/>
  <c r="BE43"/>
  <c r="BF43" s="1"/>
  <c r="DZ43"/>
  <c r="X44"/>
  <c r="AE44" s="1"/>
  <c r="AH44"/>
  <c r="AK44"/>
  <c r="AL44" s="1"/>
  <c r="BR44"/>
  <c r="CB44" s="1"/>
  <c r="X45"/>
  <c r="AE45" s="1"/>
  <c r="AK45"/>
  <c r="AL45" s="1"/>
  <c r="BR45"/>
  <c r="CB45" s="1"/>
  <c r="AK46"/>
  <c r="AL46" s="1"/>
  <c r="BR46"/>
  <c r="CB46" s="1"/>
  <c r="DY46"/>
  <c r="X47"/>
  <c r="AE47" s="1"/>
  <c r="AK47"/>
  <c r="AL47" s="1"/>
  <c r="BR47"/>
  <c r="CB47" s="1"/>
  <c r="X48"/>
  <c r="AE48" s="1"/>
  <c r="AK48"/>
  <c r="AL48" s="1"/>
  <c r="BR48"/>
  <c r="CB48" s="1"/>
  <c r="AB49"/>
  <c r="AE49" s="1"/>
  <c r="AK49"/>
  <c r="AL49" s="1"/>
  <c r="BR49"/>
  <c r="CB49" s="1"/>
  <c r="Z50"/>
  <c r="AL50"/>
  <c r="CU50"/>
  <c r="AW50"/>
  <c r="DE50"/>
  <c r="CV50"/>
  <c r="AE51"/>
  <c r="DF51"/>
  <c r="Z52"/>
  <c r="AE52" s="1"/>
  <c r="AL52"/>
  <c r="CU52"/>
  <c r="AW52"/>
  <c r="DE52"/>
  <c r="CV52"/>
  <c r="AE53"/>
  <c r="AE57"/>
  <c r="BF57"/>
  <c r="BS57" s="1"/>
  <c r="CA60"/>
  <c r="CA63"/>
  <c r="DK63"/>
  <c r="CA64"/>
  <c r="CA65"/>
  <c r="CA66"/>
  <c r="CA69"/>
  <c r="BR53"/>
  <c r="CB53" s="1"/>
  <c r="CA53"/>
  <c r="AY54"/>
  <c r="AZ54" s="1"/>
  <c r="DG54" s="1"/>
  <c r="AX54"/>
  <c r="DF55"/>
  <c r="BR55"/>
  <c r="CB55" s="1"/>
  <c r="CA55"/>
  <c r="AY56"/>
  <c r="AZ56" s="1"/>
  <c r="DG56" s="1"/>
  <c r="AX56"/>
  <c r="DW57"/>
  <c r="DF57"/>
  <c r="BR57"/>
  <c r="CB57" s="1"/>
  <c r="CA57"/>
  <c r="AY58"/>
  <c r="AZ58" s="1"/>
  <c r="DG58" s="1"/>
  <c r="AX58"/>
  <c r="BR59"/>
  <c r="CB59" s="1"/>
  <c r="CA59"/>
  <c r="AX60"/>
  <c r="DZ60"/>
  <c r="CV60"/>
  <c r="BU61"/>
  <c r="EA61"/>
  <c r="CT61"/>
  <c r="DH61" s="1"/>
  <c r="DK61" s="1"/>
  <c r="AX63"/>
  <c r="DZ63"/>
  <c r="CV63"/>
  <c r="AX64"/>
  <c r="DZ64"/>
  <c r="CV64"/>
  <c r="AX65"/>
  <c r="DZ65"/>
  <c r="CV65"/>
  <c r="AX66"/>
  <c r="DZ66"/>
  <c r="CV66"/>
  <c r="DF67"/>
  <c r="AM67"/>
  <c r="BA67" s="1"/>
  <c r="BB67" s="1"/>
  <c r="BR67"/>
  <c r="CB67" s="1"/>
  <c r="CA67"/>
  <c r="DF68"/>
  <c r="BR68"/>
  <c r="CB68" s="1"/>
  <c r="CA68"/>
  <c r="BE24"/>
  <c r="BF24" s="1"/>
  <c r="BE27"/>
  <c r="BF27" s="1"/>
  <c r="BE28"/>
  <c r="BF28" s="1"/>
  <c r="BE44"/>
  <c r="BF44" s="1"/>
  <c r="BE45"/>
  <c r="BF45" s="1"/>
  <c r="BE46"/>
  <c r="BF46" s="1"/>
  <c r="BE47"/>
  <c r="BF47" s="1"/>
  <c r="BE48"/>
  <c r="BF48" s="1"/>
  <c r="BE49"/>
  <c r="BF49" s="1"/>
  <c r="DE49"/>
  <c r="AE50"/>
  <c r="CA50"/>
  <c r="AW51"/>
  <c r="CA52"/>
  <c r="AL62"/>
  <c r="AH71"/>
  <c r="DF74"/>
  <c r="BR74"/>
  <c r="CA74"/>
  <c r="AY75"/>
  <c r="AZ75" s="1"/>
  <c r="DG75" s="1"/>
  <c r="AX75"/>
  <c r="DF76"/>
  <c r="BR76"/>
  <c r="CA76"/>
  <c r="AY77"/>
  <c r="AZ77" s="1"/>
  <c r="DG77" s="1"/>
  <c r="AX77"/>
  <c r="BR78"/>
  <c r="CA78"/>
  <c r="BR79"/>
  <c r="CA79"/>
  <c r="AY80"/>
  <c r="AZ80" s="1"/>
  <c r="DG80" s="1"/>
  <c r="AX80"/>
  <c r="AY82"/>
  <c r="AZ82" s="1"/>
  <c r="DG82" s="1"/>
  <c r="AX82"/>
  <c r="AY83"/>
  <c r="AZ83" s="1"/>
  <c r="DG83" s="1"/>
  <c r="AX83"/>
  <c r="CG89"/>
  <c r="CH89" s="1"/>
  <c r="BE50"/>
  <c r="BF50" s="1"/>
  <c r="BE51"/>
  <c r="BF51" s="1"/>
  <c r="BE52"/>
  <c r="BF52" s="1"/>
  <c r="AC53"/>
  <c r="CU53" s="1"/>
  <c r="BE53"/>
  <c r="BF53" s="1"/>
  <c r="AC54"/>
  <c r="CU54" s="1"/>
  <c r="BE54"/>
  <c r="BF54" s="1"/>
  <c r="DZ54"/>
  <c r="AC55"/>
  <c r="CU55" s="1"/>
  <c r="BE55"/>
  <c r="BF55" s="1"/>
  <c r="DZ55"/>
  <c r="AC56"/>
  <c r="CU56" s="1"/>
  <c r="BE56"/>
  <c r="BF56" s="1"/>
  <c r="DZ56"/>
  <c r="AC57"/>
  <c r="CU57" s="1"/>
  <c r="BE57"/>
  <c r="DZ57"/>
  <c r="AC58"/>
  <c r="CU58" s="1"/>
  <c r="BE58"/>
  <c r="BF58" s="1"/>
  <c r="DZ58"/>
  <c r="AC59"/>
  <c r="CU59" s="1"/>
  <c r="BE59"/>
  <c r="BF59" s="1"/>
  <c r="DZ59"/>
  <c r="Z60"/>
  <c r="AE60" s="1"/>
  <c r="AK60"/>
  <c r="AL60" s="1"/>
  <c r="BR60"/>
  <c r="AK61"/>
  <c r="AL61" s="1"/>
  <c r="BR61"/>
  <c r="CB61" s="1"/>
  <c r="DY61"/>
  <c r="AB62"/>
  <c r="AE62" s="1"/>
  <c r="AK62"/>
  <c r="BR62"/>
  <c r="CB62" s="1"/>
  <c r="AK63"/>
  <c r="AL63" s="1"/>
  <c r="BR63"/>
  <c r="CB63" s="1"/>
  <c r="DY63"/>
  <c r="AB64"/>
  <c r="AE64" s="1"/>
  <c r="AK64"/>
  <c r="AL64" s="1"/>
  <c r="BR64"/>
  <c r="AB65"/>
  <c r="AE65" s="1"/>
  <c r="AK65"/>
  <c r="AL65" s="1"/>
  <c r="BR65"/>
  <c r="CB65" s="1"/>
  <c r="AB66"/>
  <c r="AE66" s="1"/>
  <c r="AK66"/>
  <c r="AL66" s="1"/>
  <c r="BR66"/>
  <c r="AC67"/>
  <c r="CU67" s="1"/>
  <c r="BE67"/>
  <c r="BF67" s="1"/>
  <c r="DZ67"/>
  <c r="AC68"/>
  <c r="CU68" s="1"/>
  <c r="BE68"/>
  <c r="BF68" s="1"/>
  <c r="DZ68"/>
  <c r="BR69"/>
  <c r="CB69" s="1"/>
  <c r="AC69"/>
  <c r="CU69" s="1"/>
  <c r="BE69"/>
  <c r="BF69" s="1"/>
  <c r="AE70"/>
  <c r="BR71"/>
  <c r="AC71"/>
  <c r="CU71" s="1"/>
  <c r="AL71"/>
  <c r="DF71" s="1"/>
  <c r="BE71"/>
  <c r="AC72"/>
  <c r="CU72" s="1"/>
  <c r="AL72"/>
  <c r="BE72"/>
  <c r="DZ72"/>
  <c r="CT73"/>
  <c r="DF73"/>
  <c r="EA73"/>
  <c r="CA81"/>
  <c r="AE83"/>
  <c r="BF83"/>
  <c r="BS83" s="1"/>
  <c r="DZ69"/>
  <c r="CV69"/>
  <c r="AW71"/>
  <c r="X71"/>
  <c r="AE71" s="1"/>
  <c r="AW72"/>
  <c r="CA72" s="1"/>
  <c r="AB72"/>
  <c r="AE72" s="1"/>
  <c r="AY74"/>
  <c r="AZ74" s="1"/>
  <c r="DG74" s="1"/>
  <c r="AX74"/>
  <c r="DF75"/>
  <c r="BR75"/>
  <c r="CB75" s="1"/>
  <c r="CA75"/>
  <c r="AY76"/>
  <c r="AZ76" s="1"/>
  <c r="DG76" s="1"/>
  <c r="AX76"/>
  <c r="BR77"/>
  <c r="CB77" s="1"/>
  <c r="CA77"/>
  <c r="AY78"/>
  <c r="AZ78" s="1"/>
  <c r="DG78" s="1"/>
  <c r="AX78"/>
  <c r="AY79"/>
  <c r="AZ79" s="1"/>
  <c r="DG79" s="1"/>
  <c r="AX79"/>
  <c r="BR80"/>
  <c r="CB80" s="1"/>
  <c r="CA80"/>
  <c r="AX81"/>
  <c r="DZ81"/>
  <c r="CV81"/>
  <c r="DF82"/>
  <c r="AM82"/>
  <c r="BA82" s="1"/>
  <c r="BB82" s="1"/>
  <c r="BR82"/>
  <c r="CA82"/>
  <c r="BR83"/>
  <c r="CA83"/>
  <c r="AY84"/>
  <c r="AZ84" s="1"/>
  <c r="DG84" s="1"/>
  <c r="AX84"/>
  <c r="BE60"/>
  <c r="BF60" s="1"/>
  <c r="BE61"/>
  <c r="BF61" s="1"/>
  <c r="BE62"/>
  <c r="BF62" s="1"/>
  <c r="BE63"/>
  <c r="BF63" s="1"/>
  <c r="BE64"/>
  <c r="BF64" s="1"/>
  <c r="BE65"/>
  <c r="BF65" s="1"/>
  <c r="BE66"/>
  <c r="BF66" s="1"/>
  <c r="AW70"/>
  <c r="BF71"/>
  <c r="DE71"/>
  <c r="DZ71"/>
  <c r="BR72"/>
  <c r="BF72"/>
  <c r="DE72"/>
  <c r="AW73"/>
  <c r="CV73"/>
  <c r="AE76"/>
  <c r="BF76"/>
  <c r="DW76" s="1"/>
  <c r="AE78"/>
  <c r="BF78"/>
  <c r="BS78" s="1"/>
  <c r="BF84"/>
  <c r="CA84"/>
  <c r="BQ88"/>
  <c r="W88"/>
  <c r="AE88" s="1"/>
  <c r="BU90"/>
  <c r="EA90"/>
  <c r="CT90"/>
  <c r="DH90" s="1"/>
  <c r="AX90"/>
  <c r="BR91"/>
  <c r="CA91"/>
  <c r="BR92"/>
  <c r="CA92"/>
  <c r="DF93"/>
  <c r="BR93"/>
  <c r="CA93"/>
  <c r="DF94"/>
  <c r="BR94"/>
  <c r="CA94"/>
  <c r="BR95"/>
  <c r="CA95"/>
  <c r="AY96"/>
  <c r="AZ96" s="1"/>
  <c r="DG96" s="1"/>
  <c r="AX96"/>
  <c r="AY97"/>
  <c r="AZ97" s="1"/>
  <c r="DG97" s="1"/>
  <c r="AX97"/>
  <c r="BE70"/>
  <c r="BF70" s="1"/>
  <c r="BS70" s="1"/>
  <c r="BE73"/>
  <c r="BF73" s="1"/>
  <c r="BG73"/>
  <c r="AC74"/>
  <c r="CU74" s="1"/>
  <c r="BE74"/>
  <c r="BF74" s="1"/>
  <c r="DZ74"/>
  <c r="AC75"/>
  <c r="CU75" s="1"/>
  <c r="BE75"/>
  <c r="BF75" s="1"/>
  <c r="DZ75"/>
  <c r="AC76"/>
  <c r="CU76" s="1"/>
  <c r="BE76"/>
  <c r="DZ76"/>
  <c r="AC77"/>
  <c r="CU77" s="1"/>
  <c r="BE77"/>
  <c r="BF77" s="1"/>
  <c r="DZ77"/>
  <c r="AC78"/>
  <c r="CU78" s="1"/>
  <c r="BE78"/>
  <c r="CG78"/>
  <c r="CH78" s="1"/>
  <c r="DZ78"/>
  <c r="AC79"/>
  <c r="CU79" s="1"/>
  <c r="BE79"/>
  <c r="BF79" s="1"/>
  <c r="DZ79"/>
  <c r="AC80"/>
  <c r="CU80" s="1"/>
  <c r="BE80"/>
  <c r="BF80" s="1"/>
  <c r="DZ80"/>
  <c r="X81"/>
  <c r="AE81" s="1"/>
  <c r="AH81"/>
  <c r="AK81"/>
  <c r="AL81" s="1"/>
  <c r="BR81"/>
  <c r="CB81" s="1"/>
  <c r="Y82"/>
  <c r="Y7" s="1"/>
  <c r="AC82"/>
  <c r="CU82" s="1"/>
  <c r="BE82"/>
  <c r="BF82" s="1"/>
  <c r="DZ82"/>
  <c r="AC83"/>
  <c r="CU83" s="1"/>
  <c r="BE83"/>
  <c r="DZ83"/>
  <c r="BR84"/>
  <c r="CB84" s="1"/>
  <c r="AC84"/>
  <c r="CU84" s="1"/>
  <c r="BE84"/>
  <c r="DE84"/>
  <c r="AL85"/>
  <c r="DF85" s="1"/>
  <c r="CU85"/>
  <c r="AW85"/>
  <c r="DE85"/>
  <c r="CV85"/>
  <c r="AL86"/>
  <c r="CU86"/>
  <c r="AW86"/>
  <c r="DE86"/>
  <c r="CV86"/>
  <c r="AE87"/>
  <c r="CA87"/>
  <c r="DF88"/>
  <c r="G89"/>
  <c r="AE89"/>
  <c r="BS89"/>
  <c r="AL89"/>
  <c r="DF89" s="1"/>
  <c r="BF97"/>
  <c r="BS97" s="1"/>
  <c r="BQ85"/>
  <c r="W85"/>
  <c r="AE85" s="1"/>
  <c r="BQ86"/>
  <c r="W86"/>
  <c r="AE86" s="1"/>
  <c r="CV89"/>
  <c r="DZ89"/>
  <c r="DI89"/>
  <c r="BR89"/>
  <c r="CA89"/>
  <c r="I90"/>
  <c r="Q90" s="1"/>
  <c r="BX90" s="1"/>
  <c r="G90"/>
  <c r="AY91"/>
  <c r="AZ91" s="1"/>
  <c r="DG91" s="1"/>
  <c r="AX91"/>
  <c r="AY92"/>
  <c r="AZ92" s="1"/>
  <c r="DG92" s="1"/>
  <c r="AX92"/>
  <c r="AY93"/>
  <c r="AZ93" s="1"/>
  <c r="DG93" s="1"/>
  <c r="AX93"/>
  <c r="AY94"/>
  <c r="AZ94" s="1"/>
  <c r="DG94" s="1"/>
  <c r="AX94"/>
  <c r="AY95"/>
  <c r="AZ95" s="1"/>
  <c r="DG95" s="1"/>
  <c r="AX95"/>
  <c r="BR96"/>
  <c r="CB96" s="1"/>
  <c r="CA96"/>
  <c r="BR97"/>
  <c r="CB97" s="1"/>
  <c r="CA97"/>
  <c r="BE81"/>
  <c r="BF81" s="1"/>
  <c r="DZ84"/>
  <c r="AW87"/>
  <c r="AW88"/>
  <c r="AX89"/>
  <c r="AL90"/>
  <c r="DF90" s="1"/>
  <c r="DK90"/>
  <c r="AY99"/>
  <c r="AZ99" s="1"/>
  <c r="DG99" s="1"/>
  <c r="AX99"/>
  <c r="AX101"/>
  <c r="DZ101"/>
  <c r="CV101"/>
  <c r="BU102"/>
  <c r="EA102"/>
  <c r="CT102"/>
  <c r="DH102" s="1"/>
  <c r="AX102"/>
  <c r="BR103"/>
  <c r="CB103" s="1"/>
  <c r="CA103"/>
  <c r="AY104"/>
  <c r="AZ104" s="1"/>
  <c r="DG104" s="1"/>
  <c r="AX104"/>
  <c r="BE85"/>
  <c r="BF85" s="1"/>
  <c r="BE86"/>
  <c r="BF86" s="1"/>
  <c r="BE87"/>
  <c r="BF87" s="1"/>
  <c r="BE88"/>
  <c r="BF88" s="1"/>
  <c r="AK90"/>
  <c r="BE90"/>
  <c r="BF90" s="1"/>
  <c r="BR90"/>
  <c r="CB90" s="1"/>
  <c r="DY90"/>
  <c r="AC91"/>
  <c r="CU91" s="1"/>
  <c r="BE91"/>
  <c r="BF91" s="1"/>
  <c r="DZ91"/>
  <c r="W92"/>
  <c r="AC92"/>
  <c r="CU92" s="1"/>
  <c r="BE92"/>
  <c r="BF92" s="1"/>
  <c r="DZ92"/>
  <c r="W93"/>
  <c r="AC93"/>
  <c r="CU93" s="1"/>
  <c r="BE93"/>
  <c r="BF93" s="1"/>
  <c r="DZ93"/>
  <c r="W94"/>
  <c r="AC94"/>
  <c r="CU94" s="1"/>
  <c r="BE94"/>
  <c r="BF94" s="1"/>
  <c r="DZ94"/>
  <c r="W95"/>
  <c r="AC95"/>
  <c r="CU95" s="1"/>
  <c r="BE95"/>
  <c r="BF95" s="1"/>
  <c r="DZ95"/>
  <c r="AC96"/>
  <c r="CU96" s="1"/>
  <c r="BE96"/>
  <c r="BF96" s="1"/>
  <c r="DZ96"/>
  <c r="W97"/>
  <c r="AE97" s="1"/>
  <c r="AC97"/>
  <c r="CU97" s="1"/>
  <c r="BE97"/>
  <c r="DE97"/>
  <c r="AE98"/>
  <c r="DF98"/>
  <c r="CA100"/>
  <c r="BF102"/>
  <c r="AL106"/>
  <c r="DF106" s="1"/>
  <c r="CA106"/>
  <c r="BR99"/>
  <c r="CB99" s="1"/>
  <c r="CA99"/>
  <c r="AX100"/>
  <c r="DZ100"/>
  <c r="CV100"/>
  <c r="I102"/>
  <c r="Q102" s="1"/>
  <c r="BX102" s="1"/>
  <c r="G102"/>
  <c r="AY103"/>
  <c r="AZ103" s="1"/>
  <c r="DG103" s="1"/>
  <c r="AX103"/>
  <c r="BR104"/>
  <c r="CB104" s="1"/>
  <c r="CA104"/>
  <c r="CT105"/>
  <c r="DH105" s="1"/>
  <c r="EA105"/>
  <c r="BU105"/>
  <c r="AY105"/>
  <c r="AZ105" s="1"/>
  <c r="DG105" s="1"/>
  <c r="AX105"/>
  <c r="AX106"/>
  <c r="DZ106"/>
  <c r="CV106"/>
  <c r="CV97"/>
  <c r="AW98"/>
  <c r="DK102"/>
  <c r="CB105"/>
  <c r="CA105"/>
  <c r="AE106"/>
  <c r="BE98"/>
  <c r="BF98" s="1"/>
  <c r="BS98" s="1"/>
  <c r="AC99"/>
  <c r="CU99" s="1"/>
  <c r="BE99"/>
  <c r="BF99" s="1"/>
  <c r="DZ99"/>
  <c r="AB100"/>
  <c r="AE100" s="1"/>
  <c r="AH100"/>
  <c r="AK100"/>
  <c r="AL100" s="1"/>
  <c r="BR100"/>
  <c r="CB100" s="1"/>
  <c r="AB101"/>
  <c r="AE101" s="1"/>
  <c r="AK101"/>
  <c r="AL101" s="1"/>
  <c r="BR101"/>
  <c r="AK102"/>
  <c r="AL102" s="1"/>
  <c r="BE102"/>
  <c r="BR102"/>
  <c r="CB102" s="1"/>
  <c r="DY102"/>
  <c r="AC103"/>
  <c r="CU103" s="1"/>
  <c r="BE103"/>
  <c r="BF103" s="1"/>
  <c r="DZ103"/>
  <c r="AC104"/>
  <c r="CU104" s="1"/>
  <c r="BE104"/>
  <c r="BF104" s="1"/>
  <c r="DZ104"/>
  <c r="BE105"/>
  <c r="BF105" s="1"/>
  <c r="DE105"/>
  <c r="DK105" s="1"/>
  <c r="X106"/>
  <c r="AK106"/>
  <c r="BR106"/>
  <c r="CB106" s="1"/>
  <c r="BE100"/>
  <c r="BF100" s="1"/>
  <c r="BE101"/>
  <c r="BF101" s="1"/>
  <c r="CV105"/>
  <c r="BE106"/>
  <c r="BF106" s="1"/>
  <c r="CU41" i="21"/>
  <c r="CV53"/>
  <c r="CU59"/>
  <c r="BQ59"/>
  <c r="BR59" s="1"/>
  <c r="AE95"/>
  <c r="BN7"/>
  <c r="DE64"/>
  <c r="AE66"/>
  <c r="CU66"/>
  <c r="DE66"/>
  <c r="AE67"/>
  <c r="CU67"/>
  <c r="DE67"/>
  <c r="CV75"/>
  <c r="CU94"/>
  <c r="BQ94"/>
  <c r="DE94"/>
  <c r="BP7"/>
  <c r="CZ7"/>
  <c r="CU10"/>
  <c r="AD26"/>
  <c r="CU28"/>
  <c r="CU30"/>
  <c r="BQ30"/>
  <c r="DE30"/>
  <c r="AW32"/>
  <c r="DE32"/>
  <c r="CU46"/>
  <c r="BQ55"/>
  <c r="AL57"/>
  <c r="CU57"/>
  <c r="BQ57"/>
  <c r="CU61"/>
  <c r="DE61"/>
  <c r="CV77"/>
  <c r="CV84"/>
  <c r="BQ84"/>
  <c r="AC89"/>
  <c r="CU89" s="1"/>
  <c r="CU95"/>
  <c r="BQ95"/>
  <c r="DE95"/>
  <c r="CV103"/>
  <c r="BQ103"/>
  <c r="BR103" s="1"/>
  <c r="S7"/>
  <c r="CU37"/>
  <c r="CU93"/>
  <c r="CT93" s="1"/>
  <c r="BQ93"/>
  <c r="AW97"/>
  <c r="BQ97"/>
  <c r="AE98"/>
  <c r="CU98"/>
  <c r="DE98"/>
  <c r="DK98" s="1"/>
  <c r="AP7"/>
  <c r="CV9"/>
  <c r="CR7"/>
  <c r="DO160"/>
  <c r="BO7"/>
  <c r="CU12"/>
  <c r="BQ12"/>
  <c r="DE12"/>
  <c r="AT7"/>
  <c r="AW15"/>
  <c r="DE15"/>
  <c r="AW16"/>
  <c r="DE16"/>
  <c r="CV18"/>
  <c r="BQ18"/>
  <c r="CU24"/>
  <c r="BQ24"/>
  <c r="CV25"/>
  <c r="AE46"/>
  <c r="CV51"/>
  <c r="AW53"/>
  <c r="DE53"/>
  <c r="CV54"/>
  <c r="BE55"/>
  <c r="CV55"/>
  <c r="CU68"/>
  <c r="BQ68"/>
  <c r="DE68"/>
  <c r="AW69"/>
  <c r="CU70"/>
  <c r="BQ70"/>
  <c r="DE70"/>
  <c r="AW73"/>
  <c r="DE73"/>
  <c r="CV74"/>
  <c r="AW75"/>
  <c r="AX75" s="1"/>
  <c r="DE75"/>
  <c r="CV76"/>
  <c r="AW77"/>
  <c r="DE77"/>
  <c r="AW80"/>
  <c r="DE80"/>
  <c r="CV81"/>
  <c r="AC86"/>
  <c r="CU86" s="1"/>
  <c r="CV87"/>
  <c r="AD90"/>
  <c r="CV90" s="1"/>
  <c r="AW26"/>
  <c r="AC26"/>
  <c r="CU26" s="1"/>
  <c r="AK56"/>
  <c r="AL56" s="1"/>
  <c r="DF56" s="1"/>
  <c r="AV7"/>
  <c r="BD7"/>
  <c r="CY7"/>
  <c r="CU96"/>
  <c r="BQ96"/>
  <c r="CA96" s="1"/>
  <c r="DE96"/>
  <c r="AW99"/>
  <c r="AX99" s="1"/>
  <c r="DE99"/>
  <c r="AW100"/>
  <c r="AW101"/>
  <c r="AC102"/>
  <c r="CU102" s="1"/>
  <c r="AW8"/>
  <c r="DE8"/>
  <c r="AW9"/>
  <c r="DE9"/>
  <c r="BQ10"/>
  <c r="DE10"/>
  <c r="AW11"/>
  <c r="CV13"/>
  <c r="BQ13"/>
  <c r="CU14"/>
  <c r="BQ14"/>
  <c r="DE14"/>
  <c r="CV17"/>
  <c r="BQ17"/>
  <c r="BR17" s="1"/>
  <c r="CV19"/>
  <c r="BQ19"/>
  <c r="BR19" s="1"/>
  <c r="BQ20"/>
  <c r="DE20"/>
  <c r="AW21"/>
  <c r="AW25"/>
  <c r="DE25"/>
  <c r="BQ26"/>
  <c r="CA26" s="1"/>
  <c r="DE26"/>
  <c r="CU27"/>
  <c r="BQ27"/>
  <c r="DE27"/>
  <c r="BQ28"/>
  <c r="AW29"/>
  <c r="AW33"/>
  <c r="DE33"/>
  <c r="AW34"/>
  <c r="AW35"/>
  <c r="AX35" s="1"/>
  <c r="AW36"/>
  <c r="BQ37"/>
  <c r="DE37"/>
  <c r="AW38"/>
  <c r="AX38" s="1"/>
  <c r="BQ39"/>
  <c r="DE39"/>
  <c r="AW40"/>
  <c r="BQ41"/>
  <c r="DE41"/>
  <c r="AW42"/>
  <c r="AX42" s="1"/>
  <c r="AW43"/>
  <c r="BQ44"/>
  <c r="CA44" s="1"/>
  <c r="DE44"/>
  <c r="AW45"/>
  <c r="AX45" s="1"/>
  <c r="BQ46"/>
  <c r="DE46"/>
  <c r="DK46" s="1"/>
  <c r="AW47"/>
  <c r="AW48"/>
  <c r="BQ49"/>
  <c r="DE49"/>
  <c r="AW50"/>
  <c r="BQ50"/>
  <c r="CA50" s="1"/>
  <c r="AW51"/>
  <c r="DE51"/>
  <c r="CV52"/>
  <c r="BQ52"/>
  <c r="CA52" s="1"/>
  <c r="AW54"/>
  <c r="CU56"/>
  <c r="BQ56"/>
  <c r="BQ60"/>
  <c r="BR60" s="1"/>
  <c r="AE62"/>
  <c r="CU62"/>
  <c r="DE62"/>
  <c r="BQ63"/>
  <c r="BR63" s="1"/>
  <c r="AE65"/>
  <c r="CU65"/>
  <c r="CT65" s="1"/>
  <c r="DH65" s="1"/>
  <c r="DK65" s="1"/>
  <c r="DE65"/>
  <c r="CU71"/>
  <c r="BQ71"/>
  <c r="DE71"/>
  <c r="AW74"/>
  <c r="DE74"/>
  <c r="AW76"/>
  <c r="DE76"/>
  <c r="AW78"/>
  <c r="CV79"/>
  <c r="BQ79"/>
  <c r="AW81"/>
  <c r="DE81"/>
  <c r="CV83"/>
  <c r="BQ83"/>
  <c r="AW87"/>
  <c r="DE87"/>
  <c r="CV88"/>
  <c r="BQ88"/>
  <c r="AE89"/>
  <c r="AW89"/>
  <c r="AD89"/>
  <c r="CV89" s="1"/>
  <c r="BQ90"/>
  <c r="CU91"/>
  <c r="BQ91"/>
  <c r="DE91"/>
  <c r="AE93"/>
  <c r="AE94"/>
  <c r="BR104"/>
  <c r="AE103"/>
  <c r="BQ8"/>
  <c r="AL9"/>
  <c r="DF9" s="1"/>
  <c r="BQ9"/>
  <c r="CA9" s="1"/>
  <c r="AW10"/>
  <c r="CA10" s="1"/>
  <c r="CU11"/>
  <c r="BQ11"/>
  <c r="CA11" s="1"/>
  <c r="DE11"/>
  <c r="AW12"/>
  <c r="AX12" s="1"/>
  <c r="AW13"/>
  <c r="DE13"/>
  <c r="AW14"/>
  <c r="BQ15"/>
  <c r="CA15" s="1"/>
  <c r="AL16"/>
  <c r="BQ16"/>
  <c r="BR16" s="1"/>
  <c r="CB16" s="1"/>
  <c r="AW17"/>
  <c r="AW18"/>
  <c r="AX18" s="1"/>
  <c r="AK19"/>
  <c r="AL19" s="1"/>
  <c r="AW19"/>
  <c r="DE19"/>
  <c r="AW20"/>
  <c r="AX20" s="1"/>
  <c r="CU21"/>
  <c r="BQ21"/>
  <c r="CA21" s="1"/>
  <c r="AW22"/>
  <c r="CU23"/>
  <c r="BQ23"/>
  <c r="CA23" s="1"/>
  <c r="DE23"/>
  <c r="AW24"/>
  <c r="AL25"/>
  <c r="DF25" s="1"/>
  <c r="BQ25"/>
  <c r="CV26"/>
  <c r="AK26"/>
  <c r="AL26" s="1"/>
  <c r="BE26"/>
  <c r="BF26" s="1"/>
  <c r="AW27"/>
  <c r="AW28"/>
  <c r="CA28" s="1"/>
  <c r="CU29"/>
  <c r="BQ29"/>
  <c r="DE29"/>
  <c r="AW30"/>
  <c r="CA30" s="1"/>
  <c r="CU31"/>
  <c r="BQ31"/>
  <c r="CA31" s="1"/>
  <c r="AL32"/>
  <c r="DF32" s="1"/>
  <c r="BQ32"/>
  <c r="BQ33"/>
  <c r="CU34"/>
  <c r="BQ34"/>
  <c r="CA34" s="1"/>
  <c r="DE34"/>
  <c r="CU35"/>
  <c r="BQ35"/>
  <c r="CA35" s="1"/>
  <c r="DE35"/>
  <c r="CU36"/>
  <c r="BQ36"/>
  <c r="CA36" s="1"/>
  <c r="DE36"/>
  <c r="AW37"/>
  <c r="CU38"/>
  <c r="BQ38"/>
  <c r="DE38"/>
  <c r="AW39"/>
  <c r="CU40"/>
  <c r="BQ40"/>
  <c r="CA40" s="1"/>
  <c r="DE40"/>
  <c r="AW41"/>
  <c r="CU42"/>
  <c r="BQ42"/>
  <c r="DE42"/>
  <c r="CU43"/>
  <c r="BQ43"/>
  <c r="BR43" s="1"/>
  <c r="CB43" s="1"/>
  <c r="DE43"/>
  <c r="AW44"/>
  <c r="CU45"/>
  <c r="BQ45"/>
  <c r="CA45" s="1"/>
  <c r="DE45"/>
  <c r="AW46"/>
  <c r="AX46" s="1"/>
  <c r="CU47"/>
  <c r="BQ47"/>
  <c r="BR47" s="1"/>
  <c r="CB47" s="1"/>
  <c r="DE47"/>
  <c r="CU48"/>
  <c r="BQ48"/>
  <c r="DE48"/>
  <c r="AW49"/>
  <c r="BR50"/>
  <c r="CB50" s="1"/>
  <c r="CU50"/>
  <c r="DE50"/>
  <c r="AL51"/>
  <c r="BQ51"/>
  <c r="CA51" s="1"/>
  <c r="AK52"/>
  <c r="AL52" s="1"/>
  <c r="AW52"/>
  <c r="DE52"/>
  <c r="AL53"/>
  <c r="DF53" s="1"/>
  <c r="BQ53"/>
  <c r="AL54"/>
  <c r="DF54" s="1"/>
  <c r="BQ54"/>
  <c r="CA54" s="1"/>
  <c r="AC55"/>
  <c r="CU55" s="1"/>
  <c r="CV56"/>
  <c r="CV57"/>
  <c r="CU58"/>
  <c r="BQ58"/>
  <c r="CA58" s="1"/>
  <c r="AW59"/>
  <c r="AE60"/>
  <c r="CU60"/>
  <c r="DE60"/>
  <c r="AL61"/>
  <c r="DF61" s="1"/>
  <c r="BQ61"/>
  <c r="AL62"/>
  <c r="BQ62"/>
  <c r="AK63"/>
  <c r="AL63" s="1"/>
  <c r="CU63"/>
  <c r="DE63"/>
  <c r="BQ64"/>
  <c r="AL65"/>
  <c r="DF65" s="1"/>
  <c r="BQ65"/>
  <c r="BR65" s="1"/>
  <c r="BQ66"/>
  <c r="AL67"/>
  <c r="AM67" s="1"/>
  <c r="BA67" s="1"/>
  <c r="BB67" s="1"/>
  <c r="BQ67"/>
  <c r="AW68"/>
  <c r="CA68" s="1"/>
  <c r="CU69"/>
  <c r="BQ69"/>
  <c r="CA69" s="1"/>
  <c r="DE69"/>
  <c r="AW70"/>
  <c r="AW71"/>
  <c r="BQ72"/>
  <c r="BR72" s="1"/>
  <c r="BQ73"/>
  <c r="BQ74"/>
  <c r="BR74" s="1"/>
  <c r="CB74" s="1"/>
  <c r="AL75"/>
  <c r="BQ75"/>
  <c r="CA75" s="1"/>
  <c r="BQ76"/>
  <c r="BQ77"/>
  <c r="CA77" s="1"/>
  <c r="BQ78"/>
  <c r="DE78"/>
  <c r="AK79"/>
  <c r="AL79" s="1"/>
  <c r="AW79"/>
  <c r="DE79"/>
  <c r="BQ80"/>
  <c r="BR80" s="1"/>
  <c r="CB80" s="1"/>
  <c r="BQ81"/>
  <c r="AW82"/>
  <c r="AX82" s="1"/>
  <c r="DE82"/>
  <c r="AK83"/>
  <c r="AL83" s="1"/>
  <c r="AW83"/>
  <c r="DE83"/>
  <c r="AW84"/>
  <c r="DE84"/>
  <c r="AW85"/>
  <c r="AW86"/>
  <c r="AX86" s="1"/>
  <c r="AD86"/>
  <c r="BQ87"/>
  <c r="BR87" s="1"/>
  <c r="AK88"/>
  <c r="AL88" s="1"/>
  <c r="AW88"/>
  <c r="AX88" s="1"/>
  <c r="DE88"/>
  <c r="AK89"/>
  <c r="AL89" s="1"/>
  <c r="BQ89"/>
  <c r="AC90"/>
  <c r="CU90" s="1"/>
  <c r="AL90"/>
  <c r="DF90" s="1"/>
  <c r="AW90"/>
  <c r="CA90" s="1"/>
  <c r="AW91"/>
  <c r="W92"/>
  <c r="AE92" s="1"/>
  <c r="CU92"/>
  <c r="BQ92"/>
  <c r="CA92" s="1"/>
  <c r="DE92"/>
  <c r="AW93"/>
  <c r="CA93" s="1"/>
  <c r="AW94"/>
  <c r="AW95"/>
  <c r="CA95" s="1"/>
  <c r="AW96"/>
  <c r="W97"/>
  <c r="AE97" s="1"/>
  <c r="CU97"/>
  <c r="DE97"/>
  <c r="AL98"/>
  <c r="BQ98"/>
  <c r="BR98" s="1"/>
  <c r="AC99"/>
  <c r="CU99" s="1"/>
  <c r="AL99"/>
  <c r="DF99" s="1"/>
  <c r="BQ99"/>
  <c r="AE100"/>
  <c r="CU100"/>
  <c r="BQ100"/>
  <c r="CA100" s="1"/>
  <c r="DE100"/>
  <c r="CU101"/>
  <c r="BQ101"/>
  <c r="CA101" s="1"/>
  <c r="DE101"/>
  <c r="BQ102"/>
  <c r="CA102" s="1"/>
  <c r="DE102"/>
  <c r="AK103"/>
  <c r="AL103" s="1"/>
  <c r="AW103"/>
  <c r="AW104"/>
  <c r="CU105"/>
  <c r="BQ105"/>
  <c r="CA105" s="1"/>
  <c r="AW106"/>
  <c r="CA106" s="1"/>
  <c r="BQ106"/>
  <c r="DE106"/>
  <c r="CA8"/>
  <c r="AX10"/>
  <c r="AX8"/>
  <c r="AX9"/>
  <c r="AX11"/>
  <c r="DZ11"/>
  <c r="CV11"/>
  <c r="BR13"/>
  <c r="CA13"/>
  <c r="AX15"/>
  <c r="AX16"/>
  <c r="CA17"/>
  <c r="DE18"/>
  <c r="CA19"/>
  <c r="AX21"/>
  <c r="DZ21"/>
  <c r="CV21"/>
  <c r="EC11"/>
  <c r="BR8"/>
  <c r="BR9"/>
  <c r="CA12"/>
  <c r="CA14"/>
  <c r="CA20"/>
  <c r="DZ10"/>
  <c r="AD7"/>
  <c r="CV10"/>
  <c r="DZ12"/>
  <c r="CV12"/>
  <c r="AX13"/>
  <c r="AX14"/>
  <c r="DZ14"/>
  <c r="CV14"/>
  <c r="BR15"/>
  <c r="DF16"/>
  <c r="CA16"/>
  <c r="AX17"/>
  <c r="DE17"/>
  <c r="CQ7"/>
  <c r="BR18"/>
  <c r="AX19"/>
  <c r="DZ20"/>
  <c r="CV20"/>
  <c r="DE21"/>
  <c r="AX23"/>
  <c r="DZ23"/>
  <c r="CV23"/>
  <c r="DE24"/>
  <c r="AX25"/>
  <c r="AX26"/>
  <c r="BR26"/>
  <c r="DE28"/>
  <c r="DZ30"/>
  <c r="CV30"/>
  <c r="BR33"/>
  <c r="CA33"/>
  <c r="AX34"/>
  <c r="DZ34"/>
  <c r="CV34"/>
  <c r="DZ35"/>
  <c r="CV35"/>
  <c r="AX36"/>
  <c r="DZ36"/>
  <c r="CV36"/>
  <c r="DZ38"/>
  <c r="CV38"/>
  <c r="AX40"/>
  <c r="DZ40"/>
  <c r="CV40"/>
  <c r="DZ42"/>
  <c r="CV42"/>
  <c r="AX43"/>
  <c r="DZ43"/>
  <c r="CV43"/>
  <c r="DZ45"/>
  <c r="CV45"/>
  <c r="BU46"/>
  <c r="EA46"/>
  <c r="CT46"/>
  <c r="DH46" s="1"/>
  <c r="AX47"/>
  <c r="DZ47"/>
  <c r="CV47"/>
  <c r="AX48"/>
  <c r="DZ48"/>
  <c r="CV48"/>
  <c r="AX50"/>
  <c r="CV50"/>
  <c r="DZ50"/>
  <c r="AY51"/>
  <c r="AZ51" s="1"/>
  <c r="DG51" s="1"/>
  <c r="AX51"/>
  <c r="BR52"/>
  <c r="AY53"/>
  <c r="AZ53" s="1"/>
  <c r="DG53" s="1"/>
  <c r="AX53"/>
  <c r="AY54"/>
  <c r="AZ54" s="1"/>
  <c r="DG54" s="1"/>
  <c r="AX54"/>
  <c r="AC8"/>
  <c r="BE8"/>
  <c r="DZ8"/>
  <c r="AC9"/>
  <c r="CU9" s="1"/>
  <c r="BE9"/>
  <c r="BF9" s="1"/>
  <c r="BS9" s="1"/>
  <c r="DZ9"/>
  <c r="X10"/>
  <c r="AK10"/>
  <c r="BR10"/>
  <c r="X11"/>
  <c r="AE11" s="1"/>
  <c r="AK11"/>
  <c r="BR11"/>
  <c r="X12"/>
  <c r="AE12" s="1"/>
  <c r="AK12"/>
  <c r="AL12" s="1"/>
  <c r="DF12" s="1"/>
  <c r="BR12"/>
  <c r="AC13"/>
  <c r="CU13" s="1"/>
  <c r="BE13"/>
  <c r="DZ13"/>
  <c r="AB14"/>
  <c r="AE14" s="1"/>
  <c r="AK14"/>
  <c r="AL14" s="1"/>
  <c r="BR14"/>
  <c r="CB14" s="1"/>
  <c r="W15"/>
  <c r="AC15"/>
  <c r="CU15" s="1"/>
  <c r="BE15"/>
  <c r="DZ15"/>
  <c r="AC16"/>
  <c r="CU16" s="1"/>
  <c r="BE16"/>
  <c r="BF16" s="1"/>
  <c r="DZ16"/>
  <c r="AC17"/>
  <c r="CU17" s="1"/>
  <c r="BE17"/>
  <c r="DZ17"/>
  <c r="AC18"/>
  <c r="CU18" s="1"/>
  <c r="BE18"/>
  <c r="DZ18"/>
  <c r="AC19"/>
  <c r="CU19" s="1"/>
  <c r="BE19"/>
  <c r="BF19" s="1"/>
  <c r="DZ19"/>
  <c r="AB20"/>
  <c r="AE20" s="1"/>
  <c r="AK20"/>
  <c r="AL20" s="1"/>
  <c r="DF20" s="1"/>
  <c r="BR20"/>
  <c r="X21"/>
  <c r="AE21" s="1"/>
  <c r="AK21"/>
  <c r="CA22"/>
  <c r="CA24"/>
  <c r="CA27"/>
  <c r="CA29"/>
  <c r="EC29" s="1"/>
  <c r="CA32"/>
  <c r="AL33"/>
  <c r="DF33" s="1"/>
  <c r="CA37"/>
  <c r="CA39"/>
  <c r="CA41"/>
  <c r="CA46"/>
  <c r="CA49"/>
  <c r="BR54"/>
  <c r="CB54" s="1"/>
  <c r="AX22"/>
  <c r="DZ22"/>
  <c r="CV22"/>
  <c r="AX24"/>
  <c r="CV24"/>
  <c r="DZ24"/>
  <c r="BR25"/>
  <c r="CB25" s="1"/>
  <c r="I26"/>
  <c r="Q26" s="1"/>
  <c r="BX26" s="1"/>
  <c r="G26"/>
  <c r="AX27"/>
  <c r="DZ27"/>
  <c r="CV27"/>
  <c r="DZ28"/>
  <c r="CV28"/>
  <c r="AX29"/>
  <c r="DZ29"/>
  <c r="CV29"/>
  <c r="AX31"/>
  <c r="DZ31"/>
  <c r="CV31"/>
  <c r="AY32"/>
  <c r="AZ32" s="1"/>
  <c r="DG32" s="1"/>
  <c r="AX32"/>
  <c r="AX33"/>
  <c r="AX37"/>
  <c r="DZ37"/>
  <c r="CV37"/>
  <c r="AX39"/>
  <c r="DZ39"/>
  <c r="CV39"/>
  <c r="AX41"/>
  <c r="DZ41"/>
  <c r="CV41"/>
  <c r="AX44"/>
  <c r="DZ44"/>
  <c r="CV44"/>
  <c r="DZ46"/>
  <c r="CV46"/>
  <c r="AX49"/>
  <c r="DZ49"/>
  <c r="CV49"/>
  <c r="DF51"/>
  <c r="BR51"/>
  <c r="CB51" s="1"/>
  <c r="AX52"/>
  <c r="BR53"/>
  <c r="CB53" s="1"/>
  <c r="CA53"/>
  <c r="BE10"/>
  <c r="BE11"/>
  <c r="BE12"/>
  <c r="BF12" s="1"/>
  <c r="BE14"/>
  <c r="BF14" s="1"/>
  <c r="BE20"/>
  <c r="BF20" s="1"/>
  <c r="BE21"/>
  <c r="AW55"/>
  <c r="AB55"/>
  <c r="AW56"/>
  <c r="X56"/>
  <c r="AE56" s="1"/>
  <c r="AW57"/>
  <c r="X57"/>
  <c r="AE57" s="1"/>
  <c r="AX58"/>
  <c r="CV58"/>
  <c r="DZ58"/>
  <c r="BU62"/>
  <c r="EA62"/>
  <c r="CT62"/>
  <c r="DH62" s="1"/>
  <c r="BU64"/>
  <c r="EA64"/>
  <c r="CT64"/>
  <c r="DH64" s="1"/>
  <c r="DK64" s="1"/>
  <c r="BU65"/>
  <c r="EA65"/>
  <c r="BU66"/>
  <c r="EA66"/>
  <c r="CT66"/>
  <c r="DH66" s="1"/>
  <c r="DK66" s="1"/>
  <c r="BU67"/>
  <c r="EA67"/>
  <c r="CT67"/>
  <c r="DH67" s="1"/>
  <c r="AX69"/>
  <c r="DZ69"/>
  <c r="CV69"/>
  <c r="X22"/>
  <c r="AE22" s="1"/>
  <c r="AK22"/>
  <c r="BR22"/>
  <c r="CB22" s="1"/>
  <c r="X23"/>
  <c r="AE23" s="1"/>
  <c r="AK23"/>
  <c r="BR23"/>
  <c r="CB23" s="1"/>
  <c r="X24"/>
  <c r="AE24" s="1"/>
  <c r="AK24"/>
  <c r="BR24"/>
  <c r="AC25"/>
  <c r="CU25" s="1"/>
  <c r="BE25"/>
  <c r="BF25" s="1"/>
  <c r="DZ25"/>
  <c r="DZ26"/>
  <c r="X27"/>
  <c r="AE27" s="1"/>
  <c r="AK27"/>
  <c r="AL27" s="1"/>
  <c r="BR27"/>
  <c r="CB27" s="1"/>
  <c r="X28"/>
  <c r="AE28" s="1"/>
  <c r="AK28"/>
  <c r="BR28"/>
  <c r="X29"/>
  <c r="AE29" s="1"/>
  <c r="AK29"/>
  <c r="BR29"/>
  <c r="CB29" s="1"/>
  <c r="X30"/>
  <c r="AE30" s="1"/>
  <c r="AK30"/>
  <c r="BR30"/>
  <c r="AB31"/>
  <c r="AE31" s="1"/>
  <c r="AK31"/>
  <c r="AL31" s="1"/>
  <c r="AA32"/>
  <c r="AC32"/>
  <c r="CU32" s="1"/>
  <c r="DZ32"/>
  <c r="AC33"/>
  <c r="CU33" s="1"/>
  <c r="BE33"/>
  <c r="CV33"/>
  <c r="AB34"/>
  <c r="AE34" s="1"/>
  <c r="AK34"/>
  <c r="AL34" s="1"/>
  <c r="BR34"/>
  <c r="CB34" s="1"/>
  <c r="AB35"/>
  <c r="AE35" s="1"/>
  <c r="AK35"/>
  <c r="AL35" s="1"/>
  <c r="DF35" s="1"/>
  <c r="BR35"/>
  <c r="X36"/>
  <c r="AE36" s="1"/>
  <c r="AK36"/>
  <c r="BR36"/>
  <c r="AB37"/>
  <c r="AE37" s="1"/>
  <c r="AK37"/>
  <c r="AL37" s="1"/>
  <c r="BR37"/>
  <c r="CB37" s="1"/>
  <c r="X38"/>
  <c r="AE38" s="1"/>
  <c r="AK38"/>
  <c r="AL38" s="1"/>
  <c r="BR38"/>
  <c r="AB39"/>
  <c r="AE39" s="1"/>
  <c r="AK39"/>
  <c r="AL39" s="1"/>
  <c r="BR39"/>
  <c r="CB39" s="1"/>
  <c r="AB40"/>
  <c r="AE40" s="1"/>
  <c r="AK40"/>
  <c r="BR40"/>
  <c r="AB41"/>
  <c r="AE41" s="1"/>
  <c r="AK41"/>
  <c r="AL41" s="1"/>
  <c r="BR41"/>
  <c r="CB41" s="1"/>
  <c r="AB42"/>
  <c r="AE42" s="1"/>
  <c r="AK42"/>
  <c r="AL42" s="1"/>
  <c r="BR42"/>
  <c r="X43"/>
  <c r="AE43" s="1"/>
  <c r="AK43"/>
  <c r="X44"/>
  <c r="AE44" s="1"/>
  <c r="AK44"/>
  <c r="BR44"/>
  <c r="CB44" s="1"/>
  <c r="X45"/>
  <c r="AE45" s="1"/>
  <c r="AK45"/>
  <c r="AL45" s="1"/>
  <c r="BR45"/>
  <c r="AK46"/>
  <c r="BR46"/>
  <c r="X47"/>
  <c r="AE47" s="1"/>
  <c r="AK47"/>
  <c r="AL47" s="1"/>
  <c r="X48"/>
  <c r="AE48" s="1"/>
  <c r="AK48"/>
  <c r="AL48" s="1"/>
  <c r="BR48"/>
  <c r="CB48" s="1"/>
  <c r="AB49"/>
  <c r="AE49" s="1"/>
  <c r="AK49"/>
  <c r="BR49"/>
  <c r="Z50"/>
  <c r="Z7" s="1"/>
  <c r="AK50"/>
  <c r="AC51"/>
  <c r="CU51" s="1"/>
  <c r="BE51"/>
  <c r="BF51" s="1"/>
  <c r="DZ51"/>
  <c r="AC52"/>
  <c r="CU52" s="1"/>
  <c r="BE52"/>
  <c r="BF52" s="1"/>
  <c r="DZ52"/>
  <c r="AC53"/>
  <c r="CU53" s="1"/>
  <c r="BE53"/>
  <c r="BF53" s="1"/>
  <c r="DZ53"/>
  <c r="AC54"/>
  <c r="CU54" s="1"/>
  <c r="BE54"/>
  <c r="BF54" s="1"/>
  <c r="DE54"/>
  <c r="DZ54"/>
  <c r="BR55"/>
  <c r="DE55"/>
  <c r="DZ55"/>
  <c r="DE56"/>
  <c r="DZ56"/>
  <c r="DE57"/>
  <c r="DZ57"/>
  <c r="BR58"/>
  <c r="CB58" s="1"/>
  <c r="CA59"/>
  <c r="DK62"/>
  <c r="DK67"/>
  <c r="CA70"/>
  <c r="CA71"/>
  <c r="DF57"/>
  <c r="AX59"/>
  <c r="CV59"/>
  <c r="DZ59"/>
  <c r="BU60"/>
  <c r="CT60"/>
  <c r="DH60" s="1"/>
  <c r="DF62"/>
  <c r="BR62"/>
  <c r="BR64"/>
  <c r="BR66"/>
  <c r="AH67"/>
  <c r="BR67"/>
  <c r="DZ68"/>
  <c r="CV68"/>
  <c r="AX70"/>
  <c r="DZ70"/>
  <c r="CV70"/>
  <c r="AX71"/>
  <c r="DZ71"/>
  <c r="CV71"/>
  <c r="BE22"/>
  <c r="BE23"/>
  <c r="BE24"/>
  <c r="BE27"/>
  <c r="BF27" s="1"/>
  <c r="BE28"/>
  <c r="BE29"/>
  <c r="BF29" s="1"/>
  <c r="BE30"/>
  <c r="BE31"/>
  <c r="BF31" s="1"/>
  <c r="DE31"/>
  <c r="BE34"/>
  <c r="BF34" s="1"/>
  <c r="BE35"/>
  <c r="BF35" s="1"/>
  <c r="BE36"/>
  <c r="BE37"/>
  <c r="BF37" s="1"/>
  <c r="BE38"/>
  <c r="BF38" s="1"/>
  <c r="BE39"/>
  <c r="BF39" s="1"/>
  <c r="BE40"/>
  <c r="BE41"/>
  <c r="BF41" s="1"/>
  <c r="BE42"/>
  <c r="BF42" s="1"/>
  <c r="BE43"/>
  <c r="BE44"/>
  <c r="BE45"/>
  <c r="BF45" s="1"/>
  <c r="BE46"/>
  <c r="BF46" s="1"/>
  <c r="BE47"/>
  <c r="BF47" s="1"/>
  <c r="BE48"/>
  <c r="BF48" s="1"/>
  <c r="BE49"/>
  <c r="BE50"/>
  <c r="BR56"/>
  <c r="BE56"/>
  <c r="BF56" s="1"/>
  <c r="BR57"/>
  <c r="BE57"/>
  <c r="BF57" s="1"/>
  <c r="DK60"/>
  <c r="AX73"/>
  <c r="AX74"/>
  <c r="AX76"/>
  <c r="AX77"/>
  <c r="AX78"/>
  <c r="BR79"/>
  <c r="CA79"/>
  <c r="AX80"/>
  <c r="AX81"/>
  <c r="BR82"/>
  <c r="CA82"/>
  <c r="BR83"/>
  <c r="CA83"/>
  <c r="BR84"/>
  <c r="CA84"/>
  <c r="BU85"/>
  <c r="EA85"/>
  <c r="CT85"/>
  <c r="DH85" s="1"/>
  <c r="DK85" s="1"/>
  <c r="DE86"/>
  <c r="CA87"/>
  <c r="I89"/>
  <c r="Q89" s="1"/>
  <c r="BX89" s="1"/>
  <c r="G89"/>
  <c r="BE58"/>
  <c r="DE58"/>
  <c r="AL59"/>
  <c r="DF59" s="1"/>
  <c r="BE59"/>
  <c r="BF59" s="1"/>
  <c r="DE59"/>
  <c r="AW60"/>
  <c r="CV60"/>
  <c r="AW61"/>
  <c r="CV61"/>
  <c r="AW62"/>
  <c r="CV62"/>
  <c r="DY62" s="1"/>
  <c r="AW63"/>
  <c r="CV63"/>
  <c r="AW64"/>
  <c r="CV64"/>
  <c r="DY64" s="1"/>
  <c r="AW65"/>
  <c r="CV65"/>
  <c r="AW66"/>
  <c r="CA66" s="1"/>
  <c r="CV66"/>
  <c r="DY66" s="1"/>
  <c r="AW67"/>
  <c r="CA67" s="1"/>
  <c r="CV67"/>
  <c r="DY67" s="1"/>
  <c r="AB68"/>
  <c r="AE68" s="1"/>
  <c r="AK68"/>
  <c r="BR68"/>
  <c r="AB69"/>
  <c r="AE69" s="1"/>
  <c r="AK69"/>
  <c r="BR69"/>
  <c r="CB69" s="1"/>
  <c r="X70"/>
  <c r="AE70" s="1"/>
  <c r="AK70"/>
  <c r="AL70" s="1"/>
  <c r="BR70"/>
  <c r="X71"/>
  <c r="AE71" s="1"/>
  <c r="AH71"/>
  <c r="AK71"/>
  <c r="BR71"/>
  <c r="CB71" s="1"/>
  <c r="AB72"/>
  <c r="AL72"/>
  <c r="CU72"/>
  <c r="AW72"/>
  <c r="CA72" s="1"/>
  <c r="DE72"/>
  <c r="CV72"/>
  <c r="CA85"/>
  <c r="CA89"/>
  <c r="BR73"/>
  <c r="CB73" s="1"/>
  <c r="CA73"/>
  <c r="CA74"/>
  <c r="DF75"/>
  <c r="BR75"/>
  <c r="BR76"/>
  <c r="CB76" s="1"/>
  <c r="CA76"/>
  <c r="BR77"/>
  <c r="CB77" s="1"/>
  <c r="BR78"/>
  <c r="CB78" s="1"/>
  <c r="CA78"/>
  <c r="AX79"/>
  <c r="CA80"/>
  <c r="BR81"/>
  <c r="CA81"/>
  <c r="AX83"/>
  <c r="AX84"/>
  <c r="AX85"/>
  <c r="DZ85"/>
  <c r="CV85"/>
  <c r="CV86"/>
  <c r="DZ86"/>
  <c r="BQ86"/>
  <c r="CA86" s="1"/>
  <c r="W86"/>
  <c r="AX87"/>
  <c r="BR88"/>
  <c r="CA88"/>
  <c r="CT89"/>
  <c r="DH89" s="1"/>
  <c r="AX89"/>
  <c r="AB58"/>
  <c r="AE58" s="1"/>
  <c r="X59"/>
  <c r="AE59" s="1"/>
  <c r="BE60"/>
  <c r="AA61"/>
  <c r="BE62"/>
  <c r="BF62" s="1"/>
  <c r="Y63"/>
  <c r="AE63" s="1"/>
  <c r="BE63"/>
  <c r="BF63" s="1"/>
  <c r="BE64"/>
  <c r="BE65"/>
  <c r="BF65" s="1"/>
  <c r="BE66"/>
  <c r="BE67"/>
  <c r="BF67" s="1"/>
  <c r="BE68"/>
  <c r="BE69"/>
  <c r="BE70"/>
  <c r="BF70" s="1"/>
  <c r="BE71"/>
  <c r="BF71" s="1"/>
  <c r="AE72"/>
  <c r="BR89"/>
  <c r="CB89" s="1"/>
  <c r="BE89"/>
  <c r="BF89" s="1"/>
  <c r="DE89"/>
  <c r="DK89" s="1"/>
  <c r="AY90"/>
  <c r="AZ90" s="1"/>
  <c r="DG90" s="1"/>
  <c r="AX91"/>
  <c r="DZ91"/>
  <c r="CV91"/>
  <c r="BU92"/>
  <c r="CT92"/>
  <c r="DH92" s="1"/>
  <c r="DK92" s="1"/>
  <c r="DZ93"/>
  <c r="CV93"/>
  <c r="BU94"/>
  <c r="CT94"/>
  <c r="DH94" s="1"/>
  <c r="DK94" s="1"/>
  <c r="BU95"/>
  <c r="EA95"/>
  <c r="CT95"/>
  <c r="DH95" s="1"/>
  <c r="AX97"/>
  <c r="DZ97"/>
  <c r="CV97"/>
  <c r="BE72"/>
  <c r="BF72" s="1"/>
  <c r="AC73"/>
  <c r="CU73" s="1"/>
  <c r="BE73"/>
  <c r="DZ73"/>
  <c r="AC74"/>
  <c r="CU74" s="1"/>
  <c r="BE74"/>
  <c r="DZ74"/>
  <c r="AC75"/>
  <c r="CU75" s="1"/>
  <c r="BE75"/>
  <c r="BF75" s="1"/>
  <c r="DZ75"/>
  <c r="AC76"/>
  <c r="CU76" s="1"/>
  <c r="BE76"/>
  <c r="DZ76"/>
  <c r="AC77"/>
  <c r="CU77" s="1"/>
  <c r="BE77"/>
  <c r="DZ77"/>
  <c r="AC78"/>
  <c r="CU78" s="1"/>
  <c r="BE78"/>
  <c r="BF78" s="1"/>
  <c r="CG78"/>
  <c r="CH78" s="1"/>
  <c r="DZ78"/>
  <c r="AC79"/>
  <c r="CU79" s="1"/>
  <c r="BE79"/>
  <c r="BF79" s="1"/>
  <c r="DZ79"/>
  <c r="AC80"/>
  <c r="CU80" s="1"/>
  <c r="BE80"/>
  <c r="DZ80"/>
  <c r="AC81"/>
  <c r="CU81" s="1"/>
  <c r="BE81"/>
  <c r="DZ81"/>
  <c r="Y82"/>
  <c r="AC82"/>
  <c r="CU82" s="1"/>
  <c r="BE82"/>
  <c r="DZ82"/>
  <c r="AC83"/>
  <c r="CU83" s="1"/>
  <c r="BE83"/>
  <c r="BF83" s="1"/>
  <c r="DZ83"/>
  <c r="AC84"/>
  <c r="CU84" s="1"/>
  <c r="BE84"/>
  <c r="DZ84"/>
  <c r="AK85"/>
  <c r="AL85" s="1"/>
  <c r="BR85"/>
  <c r="DY85"/>
  <c r="AK86"/>
  <c r="BR86"/>
  <c r="AC87"/>
  <c r="CU87" s="1"/>
  <c r="BE87"/>
  <c r="DZ87"/>
  <c r="W88"/>
  <c r="AC88"/>
  <c r="CU88" s="1"/>
  <c r="BE88"/>
  <c r="BF88" s="1"/>
  <c r="DZ88"/>
  <c r="BR90"/>
  <c r="CA94"/>
  <c r="DK95"/>
  <c r="DZ89"/>
  <c r="I90"/>
  <c r="Q90" s="1"/>
  <c r="BX90" s="1"/>
  <c r="G90"/>
  <c r="AX92"/>
  <c r="DZ92"/>
  <c r="CV92"/>
  <c r="BU93"/>
  <c r="EA93"/>
  <c r="DE93"/>
  <c r="AX94"/>
  <c r="DZ94"/>
  <c r="CV94"/>
  <c r="DZ95"/>
  <c r="CV95"/>
  <c r="AX96"/>
  <c r="DZ96"/>
  <c r="CV96"/>
  <c r="EA97"/>
  <c r="BE85"/>
  <c r="BF85" s="1"/>
  <c r="BE86"/>
  <c r="BF86" s="1"/>
  <c r="BU98"/>
  <c r="CT98"/>
  <c r="DH98" s="1"/>
  <c r="AY99"/>
  <c r="AZ99" s="1"/>
  <c r="DG99" s="1"/>
  <c r="AH100"/>
  <c r="AX100"/>
  <c r="AX101"/>
  <c r="DZ101"/>
  <c r="CV101"/>
  <c r="AX102"/>
  <c r="CT103"/>
  <c r="DH103" s="1"/>
  <c r="AX105"/>
  <c r="CV105"/>
  <c r="DZ105"/>
  <c r="BU106"/>
  <c r="EA106"/>
  <c r="EB106" s="1"/>
  <c r="EC106" s="1"/>
  <c r="CT106"/>
  <c r="DH106" s="1"/>
  <c r="DE90"/>
  <c r="DZ90"/>
  <c r="AB91"/>
  <c r="AE91" s="1"/>
  <c r="AK91"/>
  <c r="AL91" s="1"/>
  <c r="BR91"/>
  <c r="AK92"/>
  <c r="AL92" s="1"/>
  <c r="DY92"/>
  <c r="AK93"/>
  <c r="BR93"/>
  <c r="AK94"/>
  <c r="AL94" s="1"/>
  <c r="BR94"/>
  <c r="CB94" s="1"/>
  <c r="AK95"/>
  <c r="AL95" s="1"/>
  <c r="BR95"/>
  <c r="X96"/>
  <c r="AE96" s="1"/>
  <c r="AK96"/>
  <c r="AL96" s="1"/>
  <c r="AK97"/>
  <c r="AL97" s="1"/>
  <c r="CA97"/>
  <c r="CA103"/>
  <c r="CA104"/>
  <c r="BR105"/>
  <c r="CB105" s="1"/>
  <c r="BE97"/>
  <c r="BF97" s="1"/>
  <c r="DF98"/>
  <c r="EA100"/>
  <c r="I102"/>
  <c r="Q102" s="1"/>
  <c r="BX102" s="1"/>
  <c r="G102"/>
  <c r="AX103"/>
  <c r="AX104"/>
  <c r="CB104" s="1"/>
  <c r="CV104"/>
  <c r="DZ104"/>
  <c r="AX106"/>
  <c r="BE90"/>
  <c r="BF90" s="1"/>
  <c r="BE91"/>
  <c r="BF91" s="1"/>
  <c r="BE92"/>
  <c r="BF92" s="1"/>
  <c r="BE93"/>
  <c r="BE94"/>
  <c r="BF94" s="1"/>
  <c r="BE95"/>
  <c r="BF95" s="1"/>
  <c r="BE96"/>
  <c r="BF96" s="1"/>
  <c r="BR97"/>
  <c r="CB97" s="1"/>
  <c r="DY103"/>
  <c r="DK106"/>
  <c r="AW98"/>
  <c r="CV98"/>
  <c r="BR99"/>
  <c r="CV99"/>
  <c r="AK100"/>
  <c r="AL100" s="1"/>
  <c r="BR100"/>
  <c r="CV100"/>
  <c r="AB101"/>
  <c r="AE101" s="1"/>
  <c r="AK101"/>
  <c r="AL101" s="1"/>
  <c r="DF101" s="1"/>
  <c r="BR101"/>
  <c r="CB101" s="1"/>
  <c r="AK102"/>
  <c r="AL102" s="1"/>
  <c r="BE102"/>
  <c r="BF102" s="1"/>
  <c r="BR102"/>
  <c r="CV102"/>
  <c r="BE103"/>
  <c r="BF103" s="1"/>
  <c r="DE103"/>
  <c r="DZ103"/>
  <c r="AL104"/>
  <c r="DF104" s="1"/>
  <c r="BE104"/>
  <c r="BF104" s="1"/>
  <c r="DE104"/>
  <c r="AL105"/>
  <c r="DF105" s="1"/>
  <c r="BE105"/>
  <c r="BF105" s="1"/>
  <c r="DE105"/>
  <c r="AK106"/>
  <c r="AL106" s="1"/>
  <c r="DF106" s="1"/>
  <c r="BR106"/>
  <c r="CB106" s="1"/>
  <c r="CV106"/>
  <c r="DY106" s="1"/>
  <c r="BE98"/>
  <c r="BF98" s="1"/>
  <c r="BE99"/>
  <c r="BF99" s="1"/>
  <c r="BE100"/>
  <c r="BF100" s="1"/>
  <c r="BE101"/>
  <c r="BF101" s="1"/>
  <c r="AB104"/>
  <c r="AE104" s="1"/>
  <c r="AB105"/>
  <c r="AE105" s="1"/>
  <c r="BE106"/>
  <c r="BF106" s="1"/>
  <c r="CG106"/>
  <c r="CH106" s="1"/>
  <c r="CI86" i="19"/>
  <c r="CN86"/>
  <c r="CJ86"/>
  <c r="CJ33"/>
  <c r="CN93"/>
  <c r="CJ93"/>
  <c r="CQ93" s="1"/>
  <c r="CJ28"/>
  <c r="CN28"/>
  <c r="CJ17"/>
  <c r="CJ24"/>
  <c r="CN17"/>
  <c r="CN18"/>
  <c r="CJ18"/>
  <c r="CJ86" i="15"/>
  <c r="CN86"/>
  <c r="CJ36"/>
  <c r="CL33"/>
  <c r="CN33"/>
  <c r="CJ33"/>
  <c r="CN18"/>
  <c r="CN17"/>
  <c r="CJ105"/>
  <c r="CN93"/>
  <c r="CJ93"/>
  <c r="CJ94"/>
  <c r="CJ28"/>
  <c r="CJ24"/>
  <c r="CJ18"/>
  <c r="CJ17"/>
  <c r="CH108" i="19"/>
  <c r="BZ108"/>
  <c r="AL108"/>
  <c r="CH107"/>
  <c r="BZ107"/>
  <c r="AL107"/>
  <c r="AK107"/>
  <c r="DO106"/>
  <c r="DN106"/>
  <c r="CZ106"/>
  <c r="CY106"/>
  <c r="S106" s="1"/>
  <c r="CS106"/>
  <c r="CR106"/>
  <c r="CQ106"/>
  <c r="BX106"/>
  <c r="CG106" s="1"/>
  <c r="CH106" s="1"/>
  <c r="BP106"/>
  <c r="BO106"/>
  <c r="BQ106" s="1"/>
  <c r="BJ106"/>
  <c r="BD106"/>
  <c r="AV106"/>
  <c r="AD106" s="1"/>
  <c r="AU106"/>
  <c r="AP106"/>
  <c r="AJ106"/>
  <c r="AG106"/>
  <c r="AC106"/>
  <c r="CU106" s="1"/>
  <c r="AB106"/>
  <c r="AA106"/>
  <c r="Z106"/>
  <c r="Y106"/>
  <c r="W106"/>
  <c r="I106"/>
  <c r="H106"/>
  <c r="G106"/>
  <c r="CZ105"/>
  <c r="CY105"/>
  <c r="CS105"/>
  <c r="CR105"/>
  <c r="CQ105"/>
  <c r="BP105"/>
  <c r="BO105"/>
  <c r="BN105"/>
  <c r="BD105"/>
  <c r="AV105"/>
  <c r="AD105" s="1"/>
  <c r="CV105" s="1"/>
  <c r="AU105"/>
  <c r="AT105"/>
  <c r="AJ105"/>
  <c r="AK105" s="1"/>
  <c r="AB105"/>
  <c r="AA105"/>
  <c r="Z105"/>
  <c r="Y105"/>
  <c r="X105"/>
  <c r="W105"/>
  <c r="S105"/>
  <c r="I105"/>
  <c r="H105"/>
  <c r="G105"/>
  <c r="CZ104"/>
  <c r="CY104"/>
  <c r="S104" s="1"/>
  <c r="CS104"/>
  <c r="CR104"/>
  <c r="CQ104"/>
  <c r="BP104"/>
  <c r="BO104"/>
  <c r="BN104"/>
  <c r="BD104"/>
  <c r="AV104"/>
  <c r="AD104" s="1"/>
  <c r="AU104"/>
  <c r="AT104"/>
  <c r="AJ104"/>
  <c r="AK104" s="1"/>
  <c r="AB104"/>
  <c r="AA104"/>
  <c r="Z104"/>
  <c r="Y104"/>
  <c r="X104"/>
  <c r="W104"/>
  <c r="I104"/>
  <c r="H104"/>
  <c r="G104"/>
  <c r="DO103"/>
  <c r="CZ103"/>
  <c r="CY103"/>
  <c r="S103" s="1"/>
  <c r="CS103"/>
  <c r="CR103"/>
  <c r="CQ103"/>
  <c r="BP103"/>
  <c r="BO103"/>
  <c r="BL103"/>
  <c r="BQ103" s="1"/>
  <c r="BD103"/>
  <c r="AV103"/>
  <c r="AD103" s="1"/>
  <c r="CV103" s="1"/>
  <c r="AU103"/>
  <c r="AR103"/>
  <c r="AJ103"/>
  <c r="AK103" s="1"/>
  <c r="AB103"/>
  <c r="AA103"/>
  <c r="Z103"/>
  <c r="Y103"/>
  <c r="X103"/>
  <c r="W103"/>
  <c r="I103"/>
  <c r="H103"/>
  <c r="G103"/>
  <c r="DO102"/>
  <c r="CZ102"/>
  <c r="CY102"/>
  <c r="S102" s="1"/>
  <c r="CS102"/>
  <c r="CR102"/>
  <c r="CQ102"/>
  <c r="BP102"/>
  <c r="BO102"/>
  <c r="BD102"/>
  <c r="AV102"/>
  <c r="AU102"/>
  <c r="AC102" s="1"/>
  <c r="CU102" s="1"/>
  <c r="AJ102"/>
  <c r="AB102"/>
  <c r="AA102"/>
  <c r="Z102"/>
  <c r="Y102"/>
  <c r="X102"/>
  <c r="W102"/>
  <c r="H102"/>
  <c r="P102" s="1"/>
  <c r="DO101"/>
  <c r="CZ101"/>
  <c r="CY101"/>
  <c r="CS101"/>
  <c r="CR101"/>
  <c r="CQ101"/>
  <c r="BP101"/>
  <c r="BO101"/>
  <c r="BN101"/>
  <c r="BD101"/>
  <c r="AV101"/>
  <c r="AD101" s="1"/>
  <c r="AU101"/>
  <c r="AT101"/>
  <c r="AJ101"/>
  <c r="AC101"/>
  <c r="AA101"/>
  <c r="Z101"/>
  <c r="Y101"/>
  <c r="X101"/>
  <c r="W101"/>
  <c r="S101"/>
  <c r="I101"/>
  <c r="H101"/>
  <c r="G101"/>
  <c r="DO100"/>
  <c r="CZ100"/>
  <c r="CY100"/>
  <c r="CS100"/>
  <c r="CR100"/>
  <c r="CQ100"/>
  <c r="BP100"/>
  <c r="BO100"/>
  <c r="BN100"/>
  <c r="BD100"/>
  <c r="AV100"/>
  <c r="AD100" s="1"/>
  <c r="AU100"/>
  <c r="AT100"/>
  <c r="AJ100"/>
  <c r="AC100"/>
  <c r="AA100"/>
  <c r="Z100"/>
  <c r="Y100"/>
  <c r="X100"/>
  <c r="W100"/>
  <c r="S100"/>
  <c r="I100"/>
  <c r="H100"/>
  <c r="G100"/>
  <c r="DO99"/>
  <c r="CZ99"/>
  <c r="CY99"/>
  <c r="CS99"/>
  <c r="CR99"/>
  <c r="CQ99"/>
  <c r="BP99"/>
  <c r="BO99"/>
  <c r="BN99"/>
  <c r="BD99"/>
  <c r="AV99"/>
  <c r="AD99" s="1"/>
  <c r="AU99"/>
  <c r="AT99"/>
  <c r="AJ99"/>
  <c r="AC99"/>
  <c r="AA99"/>
  <c r="Z99"/>
  <c r="Y99"/>
  <c r="X99"/>
  <c r="W99"/>
  <c r="S99"/>
  <c r="I99"/>
  <c r="H99"/>
  <c r="G99"/>
  <c r="DO98"/>
  <c r="CZ98"/>
  <c r="CY98"/>
  <c r="S98" s="1"/>
  <c r="CS98"/>
  <c r="CR98"/>
  <c r="CQ98"/>
  <c r="BP98"/>
  <c r="BO98"/>
  <c r="BN98"/>
  <c r="BD98"/>
  <c r="AV98"/>
  <c r="AD98" s="1"/>
  <c r="AU98"/>
  <c r="AT98"/>
  <c r="AJ98"/>
  <c r="AK98" s="1"/>
  <c r="AB98"/>
  <c r="AA98"/>
  <c r="Z98"/>
  <c r="Y98"/>
  <c r="X98"/>
  <c r="W98"/>
  <c r="I98"/>
  <c r="H98"/>
  <c r="G98"/>
  <c r="DO97"/>
  <c r="CZ97"/>
  <c r="CY97"/>
  <c r="S97" s="1"/>
  <c r="CS97"/>
  <c r="CR97"/>
  <c r="CQ97"/>
  <c r="BP97"/>
  <c r="BO97"/>
  <c r="BI97"/>
  <c r="BD97"/>
  <c r="AV97"/>
  <c r="AU97"/>
  <c r="AO97"/>
  <c r="AJ97"/>
  <c r="AD97"/>
  <c r="AB97"/>
  <c r="AA97"/>
  <c r="Z97"/>
  <c r="Y97"/>
  <c r="X97"/>
  <c r="I97"/>
  <c r="H97"/>
  <c r="G97"/>
  <c r="DO96"/>
  <c r="CZ96"/>
  <c r="CY96"/>
  <c r="CS96"/>
  <c r="CR96"/>
  <c r="CQ96"/>
  <c r="BP96"/>
  <c r="BO96"/>
  <c r="BJ96"/>
  <c r="BD96"/>
  <c r="AV96"/>
  <c r="AU96"/>
  <c r="AP96"/>
  <c r="AJ96"/>
  <c r="AD96"/>
  <c r="AB96"/>
  <c r="AA96"/>
  <c r="Z96"/>
  <c r="Y96"/>
  <c r="X96"/>
  <c r="W96"/>
  <c r="S96"/>
  <c r="I96"/>
  <c r="H96"/>
  <c r="G96"/>
  <c r="DO95"/>
  <c r="CZ95"/>
  <c r="CY95"/>
  <c r="CS95"/>
  <c r="CR95"/>
  <c r="CQ95"/>
  <c r="DE95" s="1"/>
  <c r="BP95"/>
  <c r="BO95"/>
  <c r="BI95"/>
  <c r="BD95"/>
  <c r="AV95"/>
  <c r="AU95"/>
  <c r="AW95" s="1"/>
  <c r="AO95"/>
  <c r="AK95"/>
  <c r="AJ95"/>
  <c r="AD95"/>
  <c r="CV95" s="1"/>
  <c r="AB95"/>
  <c r="AA95"/>
  <c r="Z95"/>
  <c r="Y95"/>
  <c r="X95"/>
  <c r="S95"/>
  <c r="I95"/>
  <c r="H95"/>
  <c r="G95"/>
  <c r="CZ94"/>
  <c r="CY94"/>
  <c r="S94" s="1"/>
  <c r="CS94"/>
  <c r="CR94"/>
  <c r="CQ94"/>
  <c r="BP94"/>
  <c r="BO94"/>
  <c r="BI94"/>
  <c r="BQ94" s="1"/>
  <c r="BD94"/>
  <c r="AV94"/>
  <c r="AD94" s="1"/>
  <c r="CV94" s="1"/>
  <c r="AU94"/>
  <c r="AO94"/>
  <c r="AJ94"/>
  <c r="AK94" s="1"/>
  <c r="AB94"/>
  <c r="AA94"/>
  <c r="Z94"/>
  <c r="Y94"/>
  <c r="X94"/>
  <c r="I94"/>
  <c r="H94"/>
  <c r="G94"/>
  <c r="CZ93"/>
  <c r="CY93"/>
  <c r="S93" s="1"/>
  <c r="CS93"/>
  <c r="CR93"/>
  <c r="BP93"/>
  <c r="BO93"/>
  <c r="BI93"/>
  <c r="BD93"/>
  <c r="AV93"/>
  <c r="AD93" s="1"/>
  <c r="AU93"/>
  <c r="AO93"/>
  <c r="AJ93"/>
  <c r="AC93"/>
  <c r="CU93" s="1"/>
  <c r="AB93"/>
  <c r="AA93"/>
  <c r="Z93"/>
  <c r="Y93"/>
  <c r="X93"/>
  <c r="W93"/>
  <c r="AE93" s="1"/>
  <c r="I93"/>
  <c r="H93"/>
  <c r="G93"/>
  <c r="DO92"/>
  <c r="CZ92"/>
  <c r="CY92"/>
  <c r="S92" s="1"/>
  <c r="CS92"/>
  <c r="CR92"/>
  <c r="CQ92"/>
  <c r="BP92"/>
  <c r="BO92"/>
  <c r="BI92"/>
  <c r="BD92"/>
  <c r="AV92"/>
  <c r="AD92" s="1"/>
  <c r="AU92"/>
  <c r="AO92"/>
  <c r="W92" s="1"/>
  <c r="AJ92"/>
  <c r="AC92"/>
  <c r="AB92"/>
  <c r="AA92"/>
  <c r="Z92"/>
  <c r="Y92"/>
  <c r="X92"/>
  <c r="I92"/>
  <c r="H92"/>
  <c r="G92"/>
  <c r="DO91"/>
  <c r="CZ91"/>
  <c r="CY91"/>
  <c r="CS91"/>
  <c r="CR91"/>
  <c r="CQ91"/>
  <c r="BP91"/>
  <c r="BO91"/>
  <c r="BN91"/>
  <c r="BD91"/>
  <c r="AV91"/>
  <c r="AD91" s="1"/>
  <c r="AU91"/>
  <c r="AT91"/>
  <c r="AJ91"/>
  <c r="AC91"/>
  <c r="AA91"/>
  <c r="Z91"/>
  <c r="Y91"/>
  <c r="X91"/>
  <c r="W91"/>
  <c r="S91"/>
  <c r="I91"/>
  <c r="H91"/>
  <c r="G91"/>
  <c r="DO90"/>
  <c r="CZ90"/>
  <c r="CY90"/>
  <c r="S90" s="1"/>
  <c r="CS90"/>
  <c r="CR90"/>
  <c r="CQ90"/>
  <c r="BP90"/>
  <c r="BO90"/>
  <c r="AC90" s="1"/>
  <c r="BD90"/>
  <c r="AV90"/>
  <c r="AD90" s="1"/>
  <c r="AU90"/>
  <c r="AJ90"/>
  <c r="AK90" s="1"/>
  <c r="AB90"/>
  <c r="AA90"/>
  <c r="BE90" s="1"/>
  <c r="Z90"/>
  <c r="Y90"/>
  <c r="X90"/>
  <c r="W90"/>
  <c r="H90"/>
  <c r="P90" s="1"/>
  <c r="DO89"/>
  <c r="CZ89"/>
  <c r="CY89"/>
  <c r="S89" s="1"/>
  <c r="CS89"/>
  <c r="CR89"/>
  <c r="CQ89"/>
  <c r="BP89"/>
  <c r="BO89"/>
  <c r="BD89"/>
  <c r="AV89"/>
  <c r="AU89"/>
  <c r="AC89" s="1"/>
  <c r="CU89" s="1"/>
  <c r="AJ89"/>
  <c r="AK89" s="1"/>
  <c r="AB89"/>
  <c r="AA89"/>
  <c r="Z89"/>
  <c r="Y89"/>
  <c r="X89"/>
  <c r="W89"/>
  <c r="H89"/>
  <c r="P89" s="1"/>
  <c r="DO88"/>
  <c r="CZ88"/>
  <c r="CY88"/>
  <c r="S88" s="1"/>
  <c r="CS88"/>
  <c r="CR88"/>
  <c r="CQ88"/>
  <c r="BP88"/>
  <c r="BO88"/>
  <c r="BI88"/>
  <c r="BD88"/>
  <c r="AV88"/>
  <c r="AD88" s="1"/>
  <c r="AU88"/>
  <c r="AO88"/>
  <c r="AJ88"/>
  <c r="AK88" s="1"/>
  <c r="AB88"/>
  <c r="AA88"/>
  <c r="Z88"/>
  <c r="Y88"/>
  <c r="X88"/>
  <c r="I88"/>
  <c r="H88"/>
  <c r="G88"/>
  <c r="CZ87"/>
  <c r="CY87"/>
  <c r="S87" s="1"/>
  <c r="CS87"/>
  <c r="CR87"/>
  <c r="CQ87"/>
  <c r="BP87"/>
  <c r="BO87"/>
  <c r="BN87"/>
  <c r="BD87"/>
  <c r="AV87"/>
  <c r="AD87" s="1"/>
  <c r="AU87"/>
  <c r="AT87"/>
  <c r="AJ87"/>
  <c r="AK87" s="1"/>
  <c r="AA87"/>
  <c r="Z87"/>
  <c r="Y87"/>
  <c r="X87"/>
  <c r="W87"/>
  <c r="I87"/>
  <c r="H87"/>
  <c r="G87"/>
  <c r="CZ86"/>
  <c r="CY86"/>
  <c r="S86" s="1"/>
  <c r="CS86"/>
  <c r="CR86"/>
  <c r="CQ86"/>
  <c r="BP86"/>
  <c r="BO86"/>
  <c r="BI86"/>
  <c r="BD86"/>
  <c r="AV86"/>
  <c r="AD86" s="1"/>
  <c r="AU86"/>
  <c r="AC86" s="1"/>
  <c r="AO86"/>
  <c r="AJ86"/>
  <c r="AK86" s="1"/>
  <c r="AB86"/>
  <c r="AA86"/>
  <c r="Z86"/>
  <c r="Y86"/>
  <c r="X86"/>
  <c r="I86"/>
  <c r="H86"/>
  <c r="G86"/>
  <c r="DO85"/>
  <c r="CZ85"/>
  <c r="CY85"/>
  <c r="CS85"/>
  <c r="CR85"/>
  <c r="CQ85"/>
  <c r="BP85"/>
  <c r="BO85"/>
  <c r="BI85"/>
  <c r="BD85"/>
  <c r="AV85"/>
  <c r="AD85" s="1"/>
  <c r="AU85"/>
  <c r="AO85"/>
  <c r="W85" s="1"/>
  <c r="AJ85"/>
  <c r="AK85" s="1"/>
  <c r="AC85"/>
  <c r="AB85"/>
  <c r="AA85"/>
  <c r="Z85"/>
  <c r="Y85"/>
  <c r="X85"/>
  <c r="I85"/>
  <c r="H85"/>
  <c r="G85"/>
  <c r="CZ84"/>
  <c r="CY84"/>
  <c r="CS84"/>
  <c r="CR84"/>
  <c r="CQ84"/>
  <c r="BP84"/>
  <c r="BO84"/>
  <c r="BN84"/>
  <c r="BD84"/>
  <c r="AV84"/>
  <c r="AD84" s="1"/>
  <c r="DZ84" s="1"/>
  <c r="AU84"/>
  <c r="AC84" s="1"/>
  <c r="AT84"/>
  <c r="AJ84"/>
  <c r="AK84" s="1"/>
  <c r="AB84"/>
  <c r="AA84"/>
  <c r="Z84"/>
  <c r="Y84"/>
  <c r="X84"/>
  <c r="W84"/>
  <c r="S84"/>
  <c r="I84"/>
  <c r="H84"/>
  <c r="G84"/>
  <c r="CZ83"/>
  <c r="CY83"/>
  <c r="CS83"/>
  <c r="CR83"/>
  <c r="CQ83"/>
  <c r="BP83"/>
  <c r="BO83"/>
  <c r="BJ83"/>
  <c r="BD83"/>
  <c r="AV83"/>
  <c r="AD83" s="1"/>
  <c r="DZ83" s="1"/>
  <c r="AU83"/>
  <c r="AC83" s="1"/>
  <c r="AP83"/>
  <c r="AJ83"/>
  <c r="AK83" s="1"/>
  <c r="AB83"/>
  <c r="AA83"/>
  <c r="Z83"/>
  <c r="Y83"/>
  <c r="X83"/>
  <c r="W83"/>
  <c r="S83"/>
  <c r="I83"/>
  <c r="H83"/>
  <c r="G83"/>
  <c r="CZ82"/>
  <c r="CY82"/>
  <c r="S82" s="1"/>
  <c r="CS82"/>
  <c r="CR82"/>
  <c r="CQ82"/>
  <c r="BP82"/>
  <c r="BO82"/>
  <c r="BK82"/>
  <c r="BD82"/>
  <c r="AV82"/>
  <c r="AD82" s="1"/>
  <c r="DZ82" s="1"/>
  <c r="AU82"/>
  <c r="AC82" s="1"/>
  <c r="AQ82"/>
  <c r="AJ82"/>
  <c r="AK82" s="1"/>
  <c r="AB82"/>
  <c r="AA82"/>
  <c r="Z82"/>
  <c r="X82"/>
  <c r="W82"/>
  <c r="I82"/>
  <c r="H82"/>
  <c r="G82"/>
  <c r="CZ81"/>
  <c r="CY81"/>
  <c r="CS81"/>
  <c r="CR81"/>
  <c r="CQ81"/>
  <c r="BP81"/>
  <c r="BO81"/>
  <c r="BJ81"/>
  <c r="BD81"/>
  <c r="AV81"/>
  <c r="AD81" s="1"/>
  <c r="DZ81" s="1"/>
  <c r="AU81"/>
  <c r="AC81" s="1"/>
  <c r="AP81"/>
  <c r="AJ81"/>
  <c r="AK81" s="1"/>
  <c r="AB81"/>
  <c r="AA81"/>
  <c r="Z81"/>
  <c r="Y81"/>
  <c r="X81"/>
  <c r="W81"/>
  <c r="S81"/>
  <c r="I81"/>
  <c r="H81"/>
  <c r="G81"/>
  <c r="CZ80"/>
  <c r="CY80"/>
  <c r="S80" s="1"/>
  <c r="CS80"/>
  <c r="CR80"/>
  <c r="CQ80"/>
  <c r="BP80"/>
  <c r="BO80"/>
  <c r="BJ80"/>
  <c r="BD80"/>
  <c r="AV80"/>
  <c r="AD80" s="1"/>
  <c r="DZ80" s="1"/>
  <c r="AU80"/>
  <c r="AC80" s="1"/>
  <c r="AP80"/>
  <c r="AJ80"/>
  <c r="AK80" s="1"/>
  <c r="AB80"/>
  <c r="AA80"/>
  <c r="Z80"/>
  <c r="Y80"/>
  <c r="X80"/>
  <c r="W80"/>
  <c r="I80"/>
  <c r="H80"/>
  <c r="G80"/>
  <c r="DO79"/>
  <c r="CZ79"/>
  <c r="CY79"/>
  <c r="CS79"/>
  <c r="CR79"/>
  <c r="CQ79"/>
  <c r="BP79"/>
  <c r="BO79"/>
  <c r="BN79"/>
  <c r="BD79"/>
  <c r="AV79"/>
  <c r="AD79" s="1"/>
  <c r="DZ79" s="1"/>
  <c r="AU79"/>
  <c r="AC79" s="1"/>
  <c r="AT79"/>
  <c r="AJ79"/>
  <c r="AK79" s="1"/>
  <c r="AB79"/>
  <c r="AA79"/>
  <c r="Z79"/>
  <c r="Y79"/>
  <c r="X79"/>
  <c r="W79"/>
  <c r="S79"/>
  <c r="I79"/>
  <c r="H79"/>
  <c r="G79"/>
  <c r="CZ78"/>
  <c r="CY78"/>
  <c r="CS78"/>
  <c r="CR78"/>
  <c r="CQ78"/>
  <c r="BX78"/>
  <c r="BP78"/>
  <c r="BO78"/>
  <c r="BL78"/>
  <c r="BD78"/>
  <c r="AV78"/>
  <c r="AD78" s="1"/>
  <c r="DZ78" s="1"/>
  <c r="AU78"/>
  <c r="AC78" s="1"/>
  <c r="CU78" s="1"/>
  <c r="AR78"/>
  <c r="AJ78"/>
  <c r="AK78" s="1"/>
  <c r="AB78"/>
  <c r="AA78"/>
  <c r="Z78"/>
  <c r="Y78"/>
  <c r="X78"/>
  <c r="W78"/>
  <c r="S78"/>
  <c r="I78"/>
  <c r="H78"/>
  <c r="G78"/>
  <c r="CZ77"/>
  <c r="CY77"/>
  <c r="CS77"/>
  <c r="CR77"/>
  <c r="CQ77"/>
  <c r="BP77"/>
  <c r="BO77"/>
  <c r="BN77"/>
  <c r="BD77"/>
  <c r="AV77"/>
  <c r="AD77" s="1"/>
  <c r="DZ77" s="1"/>
  <c r="AU77"/>
  <c r="AC77" s="1"/>
  <c r="AT77"/>
  <c r="AJ77"/>
  <c r="AK77" s="1"/>
  <c r="AB77"/>
  <c r="AA77"/>
  <c r="Z77"/>
  <c r="Y77"/>
  <c r="X77"/>
  <c r="W77"/>
  <c r="S77"/>
  <c r="I77"/>
  <c r="H77"/>
  <c r="G77"/>
  <c r="CZ76"/>
  <c r="CY76"/>
  <c r="CS76"/>
  <c r="CR76"/>
  <c r="CQ76"/>
  <c r="BP76"/>
  <c r="BO76"/>
  <c r="BN76"/>
  <c r="BD76"/>
  <c r="AV76"/>
  <c r="AD76" s="1"/>
  <c r="DZ76" s="1"/>
  <c r="AU76"/>
  <c r="AC76" s="1"/>
  <c r="AT76"/>
  <c r="AJ76"/>
  <c r="AK76" s="1"/>
  <c r="AB76"/>
  <c r="AA76"/>
  <c r="Z76"/>
  <c r="Y76"/>
  <c r="X76"/>
  <c r="W76"/>
  <c r="S76"/>
  <c r="I76"/>
  <c r="H76"/>
  <c r="G76"/>
  <c r="CZ75"/>
  <c r="CY75"/>
  <c r="CS75"/>
  <c r="CR75"/>
  <c r="CQ75"/>
  <c r="BP75"/>
  <c r="BO75"/>
  <c r="BN75"/>
  <c r="BD75"/>
  <c r="AV75"/>
  <c r="AD75" s="1"/>
  <c r="DZ75" s="1"/>
  <c r="AU75"/>
  <c r="AC75" s="1"/>
  <c r="AT75"/>
  <c r="AJ75"/>
  <c r="AK75" s="1"/>
  <c r="AB75"/>
  <c r="AA75"/>
  <c r="Z75"/>
  <c r="Y75"/>
  <c r="X75"/>
  <c r="W75"/>
  <c r="S75"/>
  <c r="I75"/>
  <c r="H75"/>
  <c r="G75"/>
  <c r="CZ74"/>
  <c r="CY74"/>
  <c r="S74" s="1"/>
  <c r="CS74"/>
  <c r="CR74"/>
  <c r="CQ74"/>
  <c r="BP74"/>
  <c r="BO74"/>
  <c r="BJ74"/>
  <c r="BD74"/>
  <c r="AV74"/>
  <c r="AD74" s="1"/>
  <c r="DZ74" s="1"/>
  <c r="AU74"/>
  <c r="AC74" s="1"/>
  <c r="AP74"/>
  <c r="AJ74"/>
  <c r="AK74" s="1"/>
  <c r="AB74"/>
  <c r="AA74"/>
  <c r="Z74"/>
  <c r="Y74"/>
  <c r="X74"/>
  <c r="W74"/>
  <c r="I74"/>
  <c r="H74"/>
  <c r="G74"/>
  <c r="CZ73"/>
  <c r="CY73"/>
  <c r="CS73"/>
  <c r="CR73"/>
  <c r="CQ73"/>
  <c r="BP73"/>
  <c r="BO73"/>
  <c r="BN73"/>
  <c r="BD73"/>
  <c r="AV73"/>
  <c r="AD73" s="1"/>
  <c r="DZ73" s="1"/>
  <c r="AU73"/>
  <c r="AC73" s="1"/>
  <c r="AT73"/>
  <c r="AJ73"/>
  <c r="AK73" s="1"/>
  <c r="AB73"/>
  <c r="AA73"/>
  <c r="Z73"/>
  <c r="Y73"/>
  <c r="X73"/>
  <c r="W73"/>
  <c r="S73"/>
  <c r="I73"/>
  <c r="H73"/>
  <c r="G73"/>
  <c r="CZ72"/>
  <c r="CY72"/>
  <c r="CS72"/>
  <c r="CR72"/>
  <c r="CQ72"/>
  <c r="BP72"/>
  <c r="BO72"/>
  <c r="BN72"/>
  <c r="BD72"/>
  <c r="AV72"/>
  <c r="AD72" s="1"/>
  <c r="AU72"/>
  <c r="AC72" s="1"/>
  <c r="AT72"/>
  <c r="AJ72"/>
  <c r="AB72"/>
  <c r="AA72"/>
  <c r="Z72"/>
  <c r="Y72"/>
  <c r="X72"/>
  <c r="W72"/>
  <c r="S72"/>
  <c r="I72"/>
  <c r="H72"/>
  <c r="G72"/>
  <c r="CZ71"/>
  <c r="CY71"/>
  <c r="S71" s="1"/>
  <c r="CS71"/>
  <c r="CR71"/>
  <c r="CQ71"/>
  <c r="BP71"/>
  <c r="BO71"/>
  <c r="BJ71"/>
  <c r="BQ71" s="1"/>
  <c r="BD71"/>
  <c r="AV71"/>
  <c r="AU71"/>
  <c r="AC71" s="1"/>
  <c r="AP71"/>
  <c r="AJ71"/>
  <c r="AK71" s="1"/>
  <c r="AD71"/>
  <c r="DZ71" s="1"/>
  <c r="AB71"/>
  <c r="AA71"/>
  <c r="Z71"/>
  <c r="Y71"/>
  <c r="W71"/>
  <c r="I71"/>
  <c r="H71"/>
  <c r="G71"/>
  <c r="DO70"/>
  <c r="CZ70"/>
  <c r="CY70"/>
  <c r="CS70"/>
  <c r="CR70"/>
  <c r="CQ70"/>
  <c r="BP70"/>
  <c r="BO70"/>
  <c r="BJ70"/>
  <c r="BD70"/>
  <c r="AV70"/>
  <c r="AD70" s="1"/>
  <c r="AU70"/>
  <c r="AP70"/>
  <c r="AJ70"/>
  <c r="AC70"/>
  <c r="AB70"/>
  <c r="AA70"/>
  <c r="Z70"/>
  <c r="Y70"/>
  <c r="W70"/>
  <c r="S70"/>
  <c r="I70"/>
  <c r="H70"/>
  <c r="G70"/>
  <c r="CZ69"/>
  <c r="CY69"/>
  <c r="CS69"/>
  <c r="CR69"/>
  <c r="CQ69"/>
  <c r="BP69"/>
  <c r="BO69"/>
  <c r="BN69"/>
  <c r="BD69"/>
  <c r="AV69"/>
  <c r="AD69" s="1"/>
  <c r="AU69"/>
  <c r="AC69" s="1"/>
  <c r="CU69" s="1"/>
  <c r="AT69"/>
  <c r="AJ69"/>
  <c r="AA69"/>
  <c r="Z69"/>
  <c r="Y69"/>
  <c r="X69"/>
  <c r="W69"/>
  <c r="S69"/>
  <c r="I69"/>
  <c r="H69"/>
  <c r="G69"/>
  <c r="CZ68"/>
  <c r="CY68"/>
  <c r="S68" s="1"/>
  <c r="CS68"/>
  <c r="CR68"/>
  <c r="CQ68"/>
  <c r="BP68"/>
  <c r="BO68"/>
  <c r="BN68"/>
  <c r="BD68"/>
  <c r="AV68"/>
  <c r="AD68" s="1"/>
  <c r="AU68"/>
  <c r="AC68" s="1"/>
  <c r="AT68"/>
  <c r="AJ68"/>
  <c r="AA68"/>
  <c r="Z68"/>
  <c r="Y68"/>
  <c r="X68"/>
  <c r="W68"/>
  <c r="I68"/>
  <c r="H68"/>
  <c r="G68"/>
  <c r="DO67"/>
  <c r="CZ67"/>
  <c r="CY67"/>
  <c r="CS67"/>
  <c r="CR67"/>
  <c r="CQ67"/>
  <c r="BP67"/>
  <c r="BO67"/>
  <c r="BJ67"/>
  <c r="BD67"/>
  <c r="AV67"/>
  <c r="AD67" s="1"/>
  <c r="AU67"/>
  <c r="AP67"/>
  <c r="AJ67"/>
  <c r="AC67"/>
  <c r="AB67"/>
  <c r="AA67"/>
  <c r="Z67"/>
  <c r="Y67"/>
  <c r="W67"/>
  <c r="S67"/>
  <c r="I67"/>
  <c r="H67"/>
  <c r="G67"/>
  <c r="CZ66"/>
  <c r="CY66"/>
  <c r="S66" s="1"/>
  <c r="CS66"/>
  <c r="CR66"/>
  <c r="CQ66"/>
  <c r="BP66"/>
  <c r="BO66"/>
  <c r="BN66"/>
  <c r="BD66"/>
  <c r="AV66"/>
  <c r="AD66" s="1"/>
  <c r="AU66"/>
  <c r="AC66" s="1"/>
  <c r="AT66"/>
  <c r="AJ66"/>
  <c r="AA66"/>
  <c r="Z66"/>
  <c r="Y66"/>
  <c r="X66"/>
  <c r="W66"/>
  <c r="I66"/>
  <c r="H66"/>
  <c r="G66"/>
  <c r="CZ65"/>
  <c r="CY65"/>
  <c r="S65" s="1"/>
  <c r="CS65"/>
  <c r="CR65"/>
  <c r="CQ65"/>
  <c r="BP65"/>
  <c r="BO65"/>
  <c r="BN65"/>
  <c r="BD65"/>
  <c r="AV65"/>
  <c r="AD65" s="1"/>
  <c r="AU65"/>
  <c r="AC65" s="1"/>
  <c r="AT65"/>
  <c r="AJ65"/>
  <c r="AA65"/>
  <c r="Z65"/>
  <c r="Y65"/>
  <c r="X65"/>
  <c r="W65"/>
  <c r="I65"/>
  <c r="H65"/>
  <c r="G65"/>
  <c r="CZ64"/>
  <c r="CY64"/>
  <c r="CS64"/>
  <c r="CR64"/>
  <c r="CQ64"/>
  <c r="BP64"/>
  <c r="BO64"/>
  <c r="BN64"/>
  <c r="BD64"/>
  <c r="AV64"/>
  <c r="AD64" s="1"/>
  <c r="AU64"/>
  <c r="AC64" s="1"/>
  <c r="AT64"/>
  <c r="AJ64"/>
  <c r="AA64"/>
  <c r="Z64"/>
  <c r="Y64"/>
  <c r="X64"/>
  <c r="W64"/>
  <c r="S64"/>
  <c r="I64"/>
  <c r="H64"/>
  <c r="G64"/>
  <c r="DO63"/>
  <c r="CZ63"/>
  <c r="CY63"/>
  <c r="S63" s="1"/>
  <c r="CS63"/>
  <c r="CR63"/>
  <c r="CQ63"/>
  <c r="BP63"/>
  <c r="BO63"/>
  <c r="BK63"/>
  <c r="BD63"/>
  <c r="AV63"/>
  <c r="AD63" s="1"/>
  <c r="AU63"/>
  <c r="AQ63"/>
  <c r="AJ63"/>
  <c r="AC63"/>
  <c r="AB63"/>
  <c r="AA63"/>
  <c r="Z63"/>
  <c r="X63"/>
  <c r="W63"/>
  <c r="I63"/>
  <c r="H63"/>
  <c r="G63"/>
  <c r="CZ62"/>
  <c r="CY62"/>
  <c r="CS62"/>
  <c r="CR62"/>
  <c r="CQ62"/>
  <c r="BP62"/>
  <c r="BO62"/>
  <c r="BN62"/>
  <c r="BD62"/>
  <c r="AV62"/>
  <c r="AD62" s="1"/>
  <c r="AU62"/>
  <c r="AC62" s="1"/>
  <c r="CU62" s="1"/>
  <c r="AT62"/>
  <c r="AJ62"/>
  <c r="AA62"/>
  <c r="Z62"/>
  <c r="Y62"/>
  <c r="X62"/>
  <c r="W62"/>
  <c r="S62"/>
  <c r="I62"/>
  <c r="H62"/>
  <c r="G62"/>
  <c r="CZ61"/>
  <c r="CY61"/>
  <c r="CS61"/>
  <c r="CR61"/>
  <c r="CQ61"/>
  <c r="BP61"/>
  <c r="BO61"/>
  <c r="BM61"/>
  <c r="BD61"/>
  <c r="AV61"/>
  <c r="AD61" s="1"/>
  <c r="AU61"/>
  <c r="AC61" s="1"/>
  <c r="AS61"/>
  <c r="AA61" s="1"/>
  <c r="AJ61"/>
  <c r="AB61"/>
  <c r="Z61"/>
  <c r="Y61"/>
  <c r="X61"/>
  <c r="W61"/>
  <c r="S61"/>
  <c r="I61"/>
  <c r="H61"/>
  <c r="G61"/>
  <c r="CZ60"/>
  <c r="CY60"/>
  <c r="S60" s="1"/>
  <c r="CS60"/>
  <c r="CR60"/>
  <c r="CQ60"/>
  <c r="BP60"/>
  <c r="BO60"/>
  <c r="BL60"/>
  <c r="BD60"/>
  <c r="AV60"/>
  <c r="AD60" s="1"/>
  <c r="AU60"/>
  <c r="AC60" s="1"/>
  <c r="AR60"/>
  <c r="AJ60"/>
  <c r="AB60"/>
  <c r="AA60"/>
  <c r="Y60"/>
  <c r="X60"/>
  <c r="W60"/>
  <c r="I60"/>
  <c r="H60"/>
  <c r="G60"/>
  <c r="DO59"/>
  <c r="CZ59"/>
  <c r="CY59"/>
  <c r="CS59"/>
  <c r="CR59"/>
  <c r="CQ59"/>
  <c r="BP59"/>
  <c r="BO59"/>
  <c r="BJ59"/>
  <c r="BD59"/>
  <c r="AV59"/>
  <c r="AD59" s="1"/>
  <c r="CV59" s="1"/>
  <c r="AU59"/>
  <c r="AP59"/>
  <c r="AJ59"/>
  <c r="AK59" s="1"/>
  <c r="AB59"/>
  <c r="AA59"/>
  <c r="Z59"/>
  <c r="Y59"/>
  <c r="X59"/>
  <c r="W59"/>
  <c r="S59"/>
  <c r="I59"/>
  <c r="H59"/>
  <c r="G59"/>
  <c r="CZ58"/>
  <c r="CY58"/>
  <c r="CS58"/>
  <c r="CR58"/>
  <c r="CQ58"/>
  <c r="BP58"/>
  <c r="BO58"/>
  <c r="BN58"/>
  <c r="BD58"/>
  <c r="AV58"/>
  <c r="AD58" s="1"/>
  <c r="AU58"/>
  <c r="AT58"/>
  <c r="AJ58"/>
  <c r="AK58" s="1"/>
  <c r="AB58"/>
  <c r="AA58"/>
  <c r="Z58"/>
  <c r="Y58"/>
  <c r="X58"/>
  <c r="W58"/>
  <c r="S58"/>
  <c r="I58"/>
  <c r="H58"/>
  <c r="G58"/>
  <c r="CZ57"/>
  <c r="CY57"/>
  <c r="CS57"/>
  <c r="CR57"/>
  <c r="CQ57"/>
  <c r="BP57"/>
  <c r="BO57"/>
  <c r="BJ57"/>
  <c r="BD57"/>
  <c r="AV57"/>
  <c r="AD57" s="1"/>
  <c r="CV57" s="1"/>
  <c r="AU57"/>
  <c r="AP57"/>
  <c r="AJ57"/>
  <c r="AK57" s="1"/>
  <c r="AB57"/>
  <c r="AA57"/>
  <c r="Z57"/>
  <c r="Y57"/>
  <c r="X57"/>
  <c r="W57"/>
  <c r="S57"/>
  <c r="I57"/>
  <c r="H57"/>
  <c r="G57"/>
  <c r="CZ56"/>
  <c r="CY56"/>
  <c r="CS56"/>
  <c r="CR56"/>
  <c r="CQ56"/>
  <c r="BP56"/>
  <c r="BO56"/>
  <c r="BJ56"/>
  <c r="BD56"/>
  <c r="AV56"/>
  <c r="AD56" s="1"/>
  <c r="AU56"/>
  <c r="AP56"/>
  <c r="AJ56"/>
  <c r="AK56" s="1"/>
  <c r="AB56"/>
  <c r="AA56"/>
  <c r="Z56"/>
  <c r="Y56"/>
  <c r="X56"/>
  <c r="W56"/>
  <c r="S56"/>
  <c r="I56"/>
  <c r="H56"/>
  <c r="G56"/>
  <c r="CZ55"/>
  <c r="CY55"/>
  <c r="CS55"/>
  <c r="CR55"/>
  <c r="CQ55"/>
  <c r="BP55"/>
  <c r="BO55"/>
  <c r="BN55"/>
  <c r="BQ55" s="1"/>
  <c r="BD55"/>
  <c r="AV55"/>
  <c r="AU55"/>
  <c r="AC55" s="1"/>
  <c r="AT55"/>
  <c r="AJ55"/>
  <c r="AK55" s="1"/>
  <c r="AB55"/>
  <c r="AA55"/>
  <c r="Z55"/>
  <c r="Y55"/>
  <c r="X55"/>
  <c r="W55"/>
  <c r="S55"/>
  <c r="I55"/>
  <c r="H55"/>
  <c r="G55"/>
  <c r="CZ54"/>
  <c r="CY54"/>
  <c r="CS54"/>
  <c r="CR54"/>
  <c r="CQ54"/>
  <c r="BP54"/>
  <c r="BO54"/>
  <c r="BL54"/>
  <c r="BD54"/>
  <c r="AV54"/>
  <c r="AU54"/>
  <c r="AW54" s="1"/>
  <c r="AR54"/>
  <c r="AK54"/>
  <c r="AJ54"/>
  <c r="AD54"/>
  <c r="CV54" s="1"/>
  <c r="AB54"/>
  <c r="AA54"/>
  <c r="Z54"/>
  <c r="Y54"/>
  <c r="X54"/>
  <c r="W54"/>
  <c r="S54"/>
  <c r="I54"/>
  <c r="H54"/>
  <c r="G54"/>
  <c r="CZ53"/>
  <c r="CY53"/>
  <c r="S53" s="1"/>
  <c r="CS53"/>
  <c r="CR53"/>
  <c r="CQ53"/>
  <c r="BP53"/>
  <c r="BO53"/>
  <c r="BN53"/>
  <c r="BQ53" s="1"/>
  <c r="BD53"/>
  <c r="AV53"/>
  <c r="AD53" s="1"/>
  <c r="CV53" s="1"/>
  <c r="AU53"/>
  <c r="AT53"/>
  <c r="AJ53"/>
  <c r="AK53" s="1"/>
  <c r="AB53"/>
  <c r="AA53"/>
  <c r="Z53"/>
  <c r="Y53"/>
  <c r="X53"/>
  <c r="W53"/>
  <c r="I53"/>
  <c r="H53"/>
  <c r="G53"/>
  <c r="DO52"/>
  <c r="CZ52"/>
  <c r="CY52"/>
  <c r="CS52"/>
  <c r="CR52"/>
  <c r="CQ52"/>
  <c r="DE52" s="1"/>
  <c r="BP52"/>
  <c r="BO52"/>
  <c r="BL52"/>
  <c r="BD52"/>
  <c r="AV52"/>
  <c r="AU52"/>
  <c r="AW52" s="1"/>
  <c r="AR52"/>
  <c r="AK52"/>
  <c r="AJ52"/>
  <c r="AD52"/>
  <c r="CV52" s="1"/>
  <c r="AB52"/>
  <c r="AA52"/>
  <c r="Z52"/>
  <c r="Y52"/>
  <c r="X52"/>
  <c r="W52"/>
  <c r="S52"/>
  <c r="I52"/>
  <c r="H52"/>
  <c r="G52"/>
  <c r="DO51"/>
  <c r="CZ51"/>
  <c r="CY51"/>
  <c r="S51" s="1"/>
  <c r="CS51"/>
  <c r="CR51"/>
  <c r="CQ51"/>
  <c r="BP51"/>
  <c r="BO51"/>
  <c r="BJ51"/>
  <c r="BQ51" s="1"/>
  <c r="BD51"/>
  <c r="AV51"/>
  <c r="AD51" s="1"/>
  <c r="CV51" s="1"/>
  <c r="AU51"/>
  <c r="AP51"/>
  <c r="AJ51"/>
  <c r="AB51"/>
  <c r="AA51"/>
  <c r="Z51"/>
  <c r="Y51"/>
  <c r="X51"/>
  <c r="W51"/>
  <c r="I51"/>
  <c r="H51"/>
  <c r="G51"/>
  <c r="CZ50"/>
  <c r="CY50"/>
  <c r="CS50"/>
  <c r="CR50"/>
  <c r="CQ50"/>
  <c r="BP50"/>
  <c r="BO50"/>
  <c r="BL50"/>
  <c r="BD50"/>
  <c r="AV50"/>
  <c r="AD50" s="1"/>
  <c r="AU50"/>
  <c r="AR50"/>
  <c r="AJ50"/>
  <c r="AK50" s="1"/>
  <c r="AB50"/>
  <c r="AA50"/>
  <c r="Z50"/>
  <c r="Y50"/>
  <c r="X50"/>
  <c r="W50"/>
  <c r="S50"/>
  <c r="I50"/>
  <c r="H50"/>
  <c r="G50"/>
  <c r="CZ49"/>
  <c r="CY49"/>
  <c r="CS49"/>
  <c r="CR49"/>
  <c r="CQ49"/>
  <c r="BP49"/>
  <c r="BO49"/>
  <c r="BN49"/>
  <c r="BD49"/>
  <c r="AV49"/>
  <c r="AD49" s="1"/>
  <c r="CV49" s="1"/>
  <c r="AU49"/>
  <c r="AT49"/>
  <c r="AJ49"/>
  <c r="AK49" s="1"/>
  <c r="AB49"/>
  <c r="AA49"/>
  <c r="Z49"/>
  <c r="Y49"/>
  <c r="X49"/>
  <c r="W49"/>
  <c r="S49"/>
  <c r="I49"/>
  <c r="H49"/>
  <c r="G49"/>
  <c r="CZ48"/>
  <c r="CY48"/>
  <c r="CS48"/>
  <c r="CR48"/>
  <c r="CQ48"/>
  <c r="BP48"/>
  <c r="BO48"/>
  <c r="BJ48"/>
  <c r="BD48"/>
  <c r="AV48"/>
  <c r="AD48" s="1"/>
  <c r="AU48"/>
  <c r="AP48"/>
  <c r="AJ48"/>
  <c r="AB48"/>
  <c r="AA48"/>
  <c r="Z48"/>
  <c r="Y48"/>
  <c r="X48"/>
  <c r="W48"/>
  <c r="S48"/>
  <c r="I48"/>
  <c r="H48"/>
  <c r="G48"/>
  <c r="DO47"/>
  <c r="CZ47"/>
  <c r="CY47"/>
  <c r="S47" s="1"/>
  <c r="CS47"/>
  <c r="CR47"/>
  <c r="CQ47"/>
  <c r="BP47"/>
  <c r="BO47"/>
  <c r="BJ47"/>
  <c r="BD47"/>
  <c r="AV47"/>
  <c r="AD47" s="1"/>
  <c r="AU47"/>
  <c r="AP47"/>
  <c r="AJ47"/>
  <c r="AB47"/>
  <c r="AA47"/>
  <c r="Z47"/>
  <c r="Y47"/>
  <c r="X47"/>
  <c r="W47"/>
  <c r="I47"/>
  <c r="H47"/>
  <c r="G47"/>
  <c r="CZ46"/>
  <c r="CY46"/>
  <c r="S46" s="1"/>
  <c r="CS46"/>
  <c r="CR46"/>
  <c r="CQ46"/>
  <c r="BP46"/>
  <c r="BO46"/>
  <c r="BM46"/>
  <c r="BQ46" s="1"/>
  <c r="BD46"/>
  <c r="AV46"/>
  <c r="AD46" s="1"/>
  <c r="CV46" s="1"/>
  <c r="AU46"/>
  <c r="AS46"/>
  <c r="AJ46"/>
  <c r="AK46" s="1"/>
  <c r="AB46"/>
  <c r="Z46"/>
  <c r="Y46"/>
  <c r="X46"/>
  <c r="W46"/>
  <c r="I46"/>
  <c r="H46"/>
  <c r="G46"/>
  <c r="DO45"/>
  <c r="CZ45"/>
  <c r="CY45"/>
  <c r="S45" s="1"/>
  <c r="CS45"/>
  <c r="CR45"/>
  <c r="CQ45"/>
  <c r="BP45"/>
  <c r="BO45"/>
  <c r="BJ45"/>
  <c r="BD45"/>
  <c r="AV45"/>
  <c r="AD45" s="1"/>
  <c r="CV45" s="1"/>
  <c r="AU45"/>
  <c r="AP45"/>
  <c r="AJ45"/>
  <c r="AK45" s="1"/>
  <c r="AB45"/>
  <c r="AA45"/>
  <c r="Z45"/>
  <c r="Y45"/>
  <c r="X45"/>
  <c r="W45"/>
  <c r="I45"/>
  <c r="H45"/>
  <c r="G45"/>
  <c r="CZ44"/>
  <c r="CY44"/>
  <c r="CS44"/>
  <c r="CR44"/>
  <c r="CQ44"/>
  <c r="BP44"/>
  <c r="BO44"/>
  <c r="BJ44"/>
  <c r="BD44"/>
  <c r="AV44"/>
  <c r="AD44" s="1"/>
  <c r="AU44"/>
  <c r="AP44"/>
  <c r="AJ44"/>
  <c r="AK44" s="1"/>
  <c r="AB44"/>
  <c r="AA44"/>
  <c r="Z44"/>
  <c r="Y44"/>
  <c r="X44"/>
  <c r="W44"/>
  <c r="S44"/>
  <c r="I44"/>
  <c r="H44"/>
  <c r="G44"/>
  <c r="CZ43"/>
  <c r="CY43"/>
  <c r="CS43"/>
  <c r="CR43"/>
  <c r="CQ43"/>
  <c r="BP43"/>
  <c r="BO43"/>
  <c r="BJ43"/>
  <c r="BD43"/>
  <c r="AV43"/>
  <c r="AD43" s="1"/>
  <c r="AU43"/>
  <c r="AP43"/>
  <c r="AJ43"/>
  <c r="AK43" s="1"/>
  <c r="AB43"/>
  <c r="AA43"/>
  <c r="Z43"/>
  <c r="Y43"/>
  <c r="X43"/>
  <c r="W43"/>
  <c r="S43"/>
  <c r="I43"/>
  <c r="H43"/>
  <c r="G43"/>
  <c r="DO42"/>
  <c r="CZ42"/>
  <c r="CY42"/>
  <c r="S42" s="1"/>
  <c r="CS42"/>
  <c r="CR42"/>
  <c r="CQ42"/>
  <c r="BP42"/>
  <c r="BO42"/>
  <c r="BN42"/>
  <c r="BD42"/>
  <c r="AV42"/>
  <c r="AD42" s="1"/>
  <c r="AU42"/>
  <c r="AT42"/>
  <c r="AJ42"/>
  <c r="AB42"/>
  <c r="AA42"/>
  <c r="Z42"/>
  <c r="Y42"/>
  <c r="X42"/>
  <c r="W42"/>
  <c r="I42"/>
  <c r="H42"/>
  <c r="G42"/>
  <c r="CZ41"/>
  <c r="CY41"/>
  <c r="CS41"/>
  <c r="CR41"/>
  <c r="CQ41"/>
  <c r="BP41"/>
  <c r="BO41"/>
  <c r="BN41"/>
  <c r="BD41"/>
  <c r="AV41"/>
  <c r="AD41" s="1"/>
  <c r="AU41"/>
  <c r="AT41"/>
  <c r="AJ41"/>
  <c r="AB41"/>
  <c r="AA41"/>
  <c r="Z41"/>
  <c r="Y41"/>
  <c r="X41"/>
  <c r="W41"/>
  <c r="S41"/>
  <c r="I41"/>
  <c r="H41"/>
  <c r="G41"/>
  <c r="CZ40"/>
  <c r="CY40"/>
  <c r="S40" s="1"/>
  <c r="CS40"/>
  <c r="CR40"/>
  <c r="CQ40"/>
  <c r="BP40"/>
  <c r="BO40"/>
  <c r="BN40"/>
  <c r="BD40"/>
  <c r="AV40"/>
  <c r="AU40"/>
  <c r="AT40"/>
  <c r="AB40" s="1"/>
  <c r="AJ40"/>
  <c r="AK40" s="1"/>
  <c r="AD40"/>
  <c r="AA40"/>
  <c r="Z40"/>
  <c r="Y40"/>
  <c r="X40"/>
  <c r="W40"/>
  <c r="I40"/>
  <c r="H40"/>
  <c r="G40"/>
  <c r="CZ39"/>
  <c r="CY39"/>
  <c r="CS39"/>
  <c r="CR39"/>
  <c r="CQ39"/>
  <c r="BP39"/>
  <c r="BO39"/>
  <c r="BN39"/>
  <c r="BD39"/>
  <c r="AV39"/>
  <c r="AD39" s="1"/>
  <c r="AU39"/>
  <c r="AT39"/>
  <c r="AJ39"/>
  <c r="AB39"/>
  <c r="AA39"/>
  <c r="Z39"/>
  <c r="Y39"/>
  <c r="X39"/>
  <c r="W39"/>
  <c r="S39"/>
  <c r="I39"/>
  <c r="H39"/>
  <c r="G39"/>
  <c r="CZ38"/>
  <c r="CY38"/>
  <c r="CS38"/>
  <c r="CR38"/>
  <c r="CQ38"/>
  <c r="BP38"/>
  <c r="BO38"/>
  <c r="BJ38"/>
  <c r="BD38"/>
  <c r="AV38"/>
  <c r="AD38" s="1"/>
  <c r="AU38"/>
  <c r="AP38"/>
  <c r="AJ38"/>
  <c r="AK38" s="1"/>
  <c r="AB38"/>
  <c r="AA38"/>
  <c r="Z38"/>
  <c r="Y38"/>
  <c r="X38"/>
  <c r="W38"/>
  <c r="S38"/>
  <c r="I38"/>
  <c r="H38"/>
  <c r="G38"/>
  <c r="CZ37"/>
  <c r="CY37"/>
  <c r="CS37"/>
  <c r="CR37"/>
  <c r="CQ37"/>
  <c r="BP37"/>
  <c r="BO37"/>
  <c r="BN37"/>
  <c r="BD37"/>
  <c r="AV37"/>
  <c r="AD37" s="1"/>
  <c r="AU37"/>
  <c r="AT37"/>
  <c r="AJ37"/>
  <c r="AK37" s="1"/>
  <c r="AB37"/>
  <c r="AA37"/>
  <c r="Z37"/>
  <c r="Y37"/>
  <c r="X37"/>
  <c r="W37"/>
  <c r="S37"/>
  <c r="I37"/>
  <c r="H37"/>
  <c r="G37"/>
  <c r="CZ36"/>
  <c r="CY36"/>
  <c r="CS36"/>
  <c r="CR36"/>
  <c r="CQ36"/>
  <c r="BP36"/>
  <c r="BO36"/>
  <c r="BJ36"/>
  <c r="BD36"/>
  <c r="AV36"/>
  <c r="AD36" s="1"/>
  <c r="AU36"/>
  <c r="AP36"/>
  <c r="AJ36"/>
  <c r="AK36" s="1"/>
  <c r="AB36"/>
  <c r="AA36"/>
  <c r="Z36"/>
  <c r="Y36"/>
  <c r="X36"/>
  <c r="W36"/>
  <c r="S36"/>
  <c r="I36"/>
  <c r="H36"/>
  <c r="G36"/>
  <c r="DO35"/>
  <c r="CZ35"/>
  <c r="CY35"/>
  <c r="S35" s="1"/>
  <c r="CS35"/>
  <c r="CR35"/>
  <c r="CQ35"/>
  <c r="BP35"/>
  <c r="BO35"/>
  <c r="BN35"/>
  <c r="BD35"/>
  <c r="AV35"/>
  <c r="AD35" s="1"/>
  <c r="AU35"/>
  <c r="AT35"/>
  <c r="AJ35"/>
  <c r="AK35" s="1"/>
  <c r="AB35"/>
  <c r="AA35"/>
  <c r="Z35"/>
  <c r="Y35"/>
  <c r="X35"/>
  <c r="W35"/>
  <c r="I35"/>
  <c r="H35"/>
  <c r="G35"/>
  <c r="DO34"/>
  <c r="CZ34"/>
  <c r="CY34"/>
  <c r="S34" s="1"/>
  <c r="CS34"/>
  <c r="CR34"/>
  <c r="CQ34"/>
  <c r="BP34"/>
  <c r="BO34"/>
  <c r="BN34"/>
  <c r="BD34"/>
  <c r="AV34"/>
  <c r="AD34" s="1"/>
  <c r="AU34"/>
  <c r="AT34"/>
  <c r="AJ34"/>
  <c r="AB34"/>
  <c r="AA34"/>
  <c r="Z34"/>
  <c r="Y34"/>
  <c r="X34"/>
  <c r="W34"/>
  <c r="I34"/>
  <c r="H34"/>
  <c r="G34"/>
  <c r="CZ33"/>
  <c r="CY33"/>
  <c r="S33" s="1"/>
  <c r="CS33"/>
  <c r="CR33"/>
  <c r="CQ33"/>
  <c r="BP33"/>
  <c r="BO33"/>
  <c r="BJ33"/>
  <c r="BQ33" s="1"/>
  <c r="BD33"/>
  <c r="AV33"/>
  <c r="AU33"/>
  <c r="AP33"/>
  <c r="X33" s="1"/>
  <c r="AJ33"/>
  <c r="AK33" s="1"/>
  <c r="AD33"/>
  <c r="AB33"/>
  <c r="AA33"/>
  <c r="Z33"/>
  <c r="Y33"/>
  <c r="W33"/>
  <c r="I33"/>
  <c r="H33"/>
  <c r="G33"/>
  <c r="DO32"/>
  <c r="CZ32"/>
  <c r="CY32"/>
  <c r="CS32"/>
  <c r="CR32"/>
  <c r="CQ32"/>
  <c r="DE32" s="1"/>
  <c r="BP32"/>
  <c r="BO32"/>
  <c r="BM32"/>
  <c r="BD32"/>
  <c r="AV32"/>
  <c r="AU32"/>
  <c r="AW32" s="1"/>
  <c r="AS32"/>
  <c r="AK32"/>
  <c r="AJ32"/>
  <c r="AD32"/>
  <c r="CV32" s="1"/>
  <c r="AB32"/>
  <c r="Z32"/>
  <c r="Y32"/>
  <c r="X32"/>
  <c r="W32"/>
  <c r="S32"/>
  <c r="I32"/>
  <c r="H32"/>
  <c r="G32"/>
  <c r="CZ31"/>
  <c r="CY31"/>
  <c r="CS31"/>
  <c r="CR31"/>
  <c r="CQ31"/>
  <c r="BP31"/>
  <c r="BO31"/>
  <c r="BN31"/>
  <c r="BD31"/>
  <c r="AV31"/>
  <c r="AD31" s="1"/>
  <c r="AU31"/>
  <c r="AT31"/>
  <c r="AW31" s="1"/>
  <c r="AJ31"/>
  <c r="AC31"/>
  <c r="AA31"/>
  <c r="Z31"/>
  <c r="Y31"/>
  <c r="X31"/>
  <c r="W31"/>
  <c r="S31"/>
  <c r="I31"/>
  <c r="H31"/>
  <c r="G31"/>
  <c r="CZ30"/>
  <c r="CY30"/>
  <c r="S30" s="1"/>
  <c r="CS30"/>
  <c r="CR30"/>
  <c r="CQ30"/>
  <c r="BP30"/>
  <c r="BO30"/>
  <c r="BJ30"/>
  <c r="BD30"/>
  <c r="AV30"/>
  <c r="AD30" s="1"/>
  <c r="AU30"/>
  <c r="AC30" s="1"/>
  <c r="AP30"/>
  <c r="AJ30"/>
  <c r="AB30"/>
  <c r="AA30"/>
  <c r="Z30"/>
  <c r="Y30"/>
  <c r="W30"/>
  <c r="I30"/>
  <c r="H30"/>
  <c r="G30"/>
  <c r="CZ29"/>
  <c r="CY29"/>
  <c r="S29" s="1"/>
  <c r="CS29"/>
  <c r="CR29"/>
  <c r="CQ29"/>
  <c r="BX29"/>
  <c r="BP29"/>
  <c r="BO29"/>
  <c r="BJ29"/>
  <c r="BD29"/>
  <c r="AV29"/>
  <c r="AD29" s="1"/>
  <c r="CV29" s="1"/>
  <c r="AU29"/>
  <c r="AP29"/>
  <c r="AJ29"/>
  <c r="AK29" s="1"/>
  <c r="AB29"/>
  <c r="AA29"/>
  <c r="Z29"/>
  <c r="Y29"/>
  <c r="X29"/>
  <c r="W29"/>
  <c r="I29"/>
  <c r="H29"/>
  <c r="G29"/>
  <c r="CZ28"/>
  <c r="CY28"/>
  <c r="CS28"/>
  <c r="CR28"/>
  <c r="CQ28"/>
  <c r="BP28"/>
  <c r="BO28"/>
  <c r="BJ28"/>
  <c r="BD28"/>
  <c r="AV28"/>
  <c r="AD28" s="1"/>
  <c r="AU28"/>
  <c r="AP28"/>
  <c r="AJ28"/>
  <c r="AK28" s="1"/>
  <c r="AB28"/>
  <c r="AA28"/>
  <c r="Z28"/>
  <c r="Y28"/>
  <c r="X28"/>
  <c r="W28"/>
  <c r="S28"/>
  <c r="I28"/>
  <c r="H28"/>
  <c r="G28"/>
  <c r="DO27"/>
  <c r="CZ27"/>
  <c r="CY27"/>
  <c r="S27" s="1"/>
  <c r="CS27"/>
  <c r="CR27"/>
  <c r="CQ27"/>
  <c r="BP27"/>
  <c r="BO27"/>
  <c r="BJ27"/>
  <c r="BD27"/>
  <c r="AV27"/>
  <c r="AD27" s="1"/>
  <c r="AU27"/>
  <c r="AP27"/>
  <c r="AJ27"/>
  <c r="AK27" s="1"/>
  <c r="AB27"/>
  <c r="AA27"/>
  <c r="Z27"/>
  <c r="Y27"/>
  <c r="X27"/>
  <c r="W27"/>
  <c r="I27"/>
  <c r="H27"/>
  <c r="G27"/>
  <c r="DO26"/>
  <c r="CZ26"/>
  <c r="CY26"/>
  <c r="CS26"/>
  <c r="CR26"/>
  <c r="CQ26"/>
  <c r="DE26" s="1"/>
  <c r="BP26"/>
  <c r="BO26"/>
  <c r="BQ26" s="1"/>
  <c r="BD26"/>
  <c r="AV26"/>
  <c r="AU26"/>
  <c r="AJ26"/>
  <c r="AD26"/>
  <c r="CV26" s="1"/>
  <c r="AB26"/>
  <c r="AA26"/>
  <c r="Z26"/>
  <c r="Y26"/>
  <c r="X26"/>
  <c r="W26"/>
  <c r="S26"/>
  <c r="H26"/>
  <c r="P26" s="1"/>
  <c r="CZ25"/>
  <c r="CY25"/>
  <c r="CS25"/>
  <c r="CR25"/>
  <c r="CQ25"/>
  <c r="BP25"/>
  <c r="BO25"/>
  <c r="BJ25"/>
  <c r="BD25"/>
  <c r="AV25"/>
  <c r="AU25"/>
  <c r="AC25" s="1"/>
  <c r="AP25"/>
  <c r="AJ25"/>
  <c r="AB25"/>
  <c r="AA25"/>
  <c r="Z25"/>
  <c r="Y25"/>
  <c r="W25"/>
  <c r="S25"/>
  <c r="I25"/>
  <c r="H25"/>
  <c r="G25"/>
  <c r="CZ24"/>
  <c r="CY24"/>
  <c r="S24" s="1"/>
  <c r="CS24"/>
  <c r="CR24"/>
  <c r="CQ24"/>
  <c r="BP24"/>
  <c r="BO24"/>
  <c r="BJ24"/>
  <c r="BD24"/>
  <c r="AV24"/>
  <c r="AD24" s="1"/>
  <c r="AU24"/>
  <c r="AC24" s="1"/>
  <c r="AP24"/>
  <c r="AJ24"/>
  <c r="AB24"/>
  <c r="AA24"/>
  <c r="Z24"/>
  <c r="Y24"/>
  <c r="W24"/>
  <c r="I24"/>
  <c r="H24"/>
  <c r="G24"/>
  <c r="CZ23"/>
  <c r="CY23"/>
  <c r="S23" s="1"/>
  <c r="CS23"/>
  <c r="CR23"/>
  <c r="CQ23"/>
  <c r="BP23"/>
  <c r="BO23"/>
  <c r="BJ23"/>
  <c r="BD23"/>
  <c r="AV23"/>
  <c r="AD23" s="1"/>
  <c r="DZ23" s="1"/>
  <c r="AU23"/>
  <c r="AC23" s="1"/>
  <c r="AP23"/>
  <c r="AJ23"/>
  <c r="AK23" s="1"/>
  <c r="AB23"/>
  <c r="AA23"/>
  <c r="Z23"/>
  <c r="Y23"/>
  <c r="W23"/>
  <c r="I23"/>
  <c r="H23"/>
  <c r="G23"/>
  <c r="CZ22"/>
  <c r="CY22"/>
  <c r="S22" s="1"/>
  <c r="CS22"/>
  <c r="CR22"/>
  <c r="CQ22"/>
  <c r="BP22"/>
  <c r="BO22"/>
  <c r="BJ22"/>
  <c r="BD22"/>
  <c r="AV22"/>
  <c r="AD22" s="1"/>
  <c r="AU22"/>
  <c r="AP22"/>
  <c r="AJ22"/>
  <c r="AK22" s="1"/>
  <c r="AB22"/>
  <c r="AA22"/>
  <c r="Z22"/>
  <c r="Y22"/>
  <c r="W22"/>
  <c r="I22"/>
  <c r="H22"/>
  <c r="G22"/>
  <c r="CZ21"/>
  <c r="CY21"/>
  <c r="CS21"/>
  <c r="CR21"/>
  <c r="CQ21"/>
  <c r="BX21"/>
  <c r="CG21" s="1"/>
  <c r="CH21" s="1"/>
  <c r="BP21"/>
  <c r="BO21"/>
  <c r="BJ21"/>
  <c r="BD21"/>
  <c r="AV21"/>
  <c r="AU21"/>
  <c r="AC21" s="1"/>
  <c r="AP21"/>
  <c r="AK21"/>
  <c r="AJ21"/>
  <c r="AD21"/>
  <c r="DZ21" s="1"/>
  <c r="AB21"/>
  <c r="AA21"/>
  <c r="Z21"/>
  <c r="Y21"/>
  <c r="W21"/>
  <c r="S21"/>
  <c r="I21"/>
  <c r="H21"/>
  <c r="G21"/>
  <c r="CZ20"/>
  <c r="CY20"/>
  <c r="S20" s="1"/>
  <c r="CS20"/>
  <c r="CR20"/>
  <c r="CQ20"/>
  <c r="BP20"/>
  <c r="BO20"/>
  <c r="BN20"/>
  <c r="BD20"/>
  <c r="AV20"/>
  <c r="AD20" s="1"/>
  <c r="DZ20" s="1"/>
  <c r="AU20"/>
  <c r="AT20"/>
  <c r="AJ20"/>
  <c r="AB20"/>
  <c r="AA20"/>
  <c r="Z20"/>
  <c r="Y20"/>
  <c r="X20"/>
  <c r="W20"/>
  <c r="I20"/>
  <c r="H20"/>
  <c r="G20"/>
  <c r="CZ19"/>
  <c r="CY19"/>
  <c r="CS19"/>
  <c r="CR19"/>
  <c r="CQ19"/>
  <c r="BP19"/>
  <c r="BO19"/>
  <c r="BJ19"/>
  <c r="BD19"/>
  <c r="AV19"/>
  <c r="AD19" s="1"/>
  <c r="AU19"/>
  <c r="AC19" s="1"/>
  <c r="CU19" s="1"/>
  <c r="AP19"/>
  <c r="AJ19"/>
  <c r="AB19"/>
  <c r="AA19"/>
  <c r="Z19"/>
  <c r="Y19"/>
  <c r="W19"/>
  <c r="S19"/>
  <c r="I19"/>
  <c r="H19"/>
  <c r="G19"/>
  <c r="CZ18"/>
  <c r="CY18"/>
  <c r="S18" s="1"/>
  <c r="CS18"/>
  <c r="CR18"/>
  <c r="CQ18"/>
  <c r="BP18"/>
  <c r="BO18"/>
  <c r="BJ18"/>
  <c r="BD18"/>
  <c r="AV18"/>
  <c r="AD18" s="1"/>
  <c r="AU18"/>
  <c r="AC18" s="1"/>
  <c r="AP18"/>
  <c r="AJ18"/>
  <c r="AB18"/>
  <c r="AA18"/>
  <c r="Z18"/>
  <c r="Y18"/>
  <c r="W18"/>
  <c r="I18"/>
  <c r="H18"/>
  <c r="G18"/>
  <c r="CZ17"/>
  <c r="CY17"/>
  <c r="S17" s="1"/>
  <c r="CS17"/>
  <c r="CR17"/>
  <c r="CQ17"/>
  <c r="BP17"/>
  <c r="BO17"/>
  <c r="BJ17"/>
  <c r="BD17"/>
  <c r="AV17"/>
  <c r="AD17" s="1"/>
  <c r="AU17"/>
  <c r="AC17" s="1"/>
  <c r="AP17"/>
  <c r="AJ17"/>
  <c r="AB17"/>
  <c r="AA17"/>
  <c r="Z17"/>
  <c r="Y17"/>
  <c r="W17"/>
  <c r="I17"/>
  <c r="H17"/>
  <c r="G17"/>
  <c r="DO16"/>
  <c r="CZ16"/>
  <c r="CY16"/>
  <c r="CS16"/>
  <c r="CR16"/>
  <c r="CQ16"/>
  <c r="BP16"/>
  <c r="BO16"/>
  <c r="BJ16"/>
  <c r="BD16"/>
  <c r="AV16"/>
  <c r="AD16" s="1"/>
  <c r="AU16"/>
  <c r="AP16"/>
  <c r="AJ16"/>
  <c r="AC16"/>
  <c r="AB16"/>
  <c r="AA16"/>
  <c r="Z16"/>
  <c r="Y16"/>
  <c r="W16"/>
  <c r="S16"/>
  <c r="I16"/>
  <c r="H16"/>
  <c r="G16"/>
  <c r="CZ15"/>
  <c r="CY15"/>
  <c r="S15" s="1"/>
  <c r="CS15"/>
  <c r="CR15"/>
  <c r="CQ15"/>
  <c r="BP15"/>
  <c r="BO15"/>
  <c r="BI15"/>
  <c r="BD15"/>
  <c r="AV15"/>
  <c r="AD15" s="1"/>
  <c r="AU15"/>
  <c r="AO15"/>
  <c r="AW15" s="1"/>
  <c r="AJ15"/>
  <c r="AC15"/>
  <c r="CU15" s="1"/>
  <c r="AB15"/>
  <c r="AA15"/>
  <c r="Z15"/>
  <c r="Y15"/>
  <c r="X15"/>
  <c r="W15"/>
  <c r="I15"/>
  <c r="H15"/>
  <c r="G15"/>
  <c r="DO14"/>
  <c r="CZ14"/>
  <c r="CY14"/>
  <c r="S14" s="1"/>
  <c r="CS14"/>
  <c r="CR14"/>
  <c r="CQ14"/>
  <c r="BP14"/>
  <c r="BO14"/>
  <c r="BN14"/>
  <c r="BD14"/>
  <c r="AV14"/>
  <c r="AD14" s="1"/>
  <c r="CV14" s="1"/>
  <c r="AU14"/>
  <c r="AT14"/>
  <c r="AJ14"/>
  <c r="AK14" s="1"/>
  <c r="AB14"/>
  <c r="AA14"/>
  <c r="Z14"/>
  <c r="Y14"/>
  <c r="X14"/>
  <c r="W14"/>
  <c r="I14"/>
  <c r="H14"/>
  <c r="G14"/>
  <c r="CZ13"/>
  <c r="CY13"/>
  <c r="S13" s="1"/>
  <c r="CS13"/>
  <c r="CR13"/>
  <c r="CQ13"/>
  <c r="BP13"/>
  <c r="BO13"/>
  <c r="BJ13"/>
  <c r="BD13"/>
  <c r="AV13"/>
  <c r="AD13" s="1"/>
  <c r="AU13"/>
  <c r="AC13" s="1"/>
  <c r="AP13"/>
  <c r="AJ13"/>
  <c r="AB13"/>
  <c r="AA13"/>
  <c r="Z13"/>
  <c r="Y13"/>
  <c r="W13"/>
  <c r="I13"/>
  <c r="H13"/>
  <c r="G13"/>
  <c r="DO12"/>
  <c r="CZ12"/>
  <c r="CY12"/>
  <c r="CS12"/>
  <c r="CR12"/>
  <c r="CQ12"/>
  <c r="BP12"/>
  <c r="BO12"/>
  <c r="BJ12"/>
  <c r="BD12"/>
  <c r="AV12"/>
  <c r="AD12" s="1"/>
  <c r="AU12"/>
  <c r="AP12"/>
  <c r="AW12" s="1"/>
  <c r="AJ12"/>
  <c r="AC12"/>
  <c r="AB12"/>
  <c r="AA12"/>
  <c r="Z12"/>
  <c r="Y12"/>
  <c r="W12"/>
  <c r="S12"/>
  <c r="I12"/>
  <c r="H12"/>
  <c r="G12"/>
  <c r="CZ11"/>
  <c r="CY11"/>
  <c r="CS11"/>
  <c r="CR11"/>
  <c r="CQ11"/>
  <c r="BX11"/>
  <c r="CG11" s="1"/>
  <c r="CH11" s="1"/>
  <c r="BP11"/>
  <c r="BO11"/>
  <c r="BJ11"/>
  <c r="BD11"/>
  <c r="AV11"/>
  <c r="AD11" s="1"/>
  <c r="AU11"/>
  <c r="AC11" s="1"/>
  <c r="CU11" s="1"/>
  <c r="AP11"/>
  <c r="AJ11"/>
  <c r="AB11"/>
  <c r="AA11"/>
  <c r="Z11"/>
  <c r="Y11"/>
  <c r="W11"/>
  <c r="S11"/>
  <c r="I11"/>
  <c r="H11"/>
  <c r="G11"/>
  <c r="CZ10"/>
  <c r="CY10"/>
  <c r="S10" s="1"/>
  <c r="CS10"/>
  <c r="CR10"/>
  <c r="CQ10"/>
  <c r="BP10"/>
  <c r="BO10"/>
  <c r="BJ10"/>
  <c r="BD10"/>
  <c r="AV10"/>
  <c r="AD10" s="1"/>
  <c r="AU10"/>
  <c r="AC10" s="1"/>
  <c r="AP10"/>
  <c r="AJ10"/>
  <c r="AB10"/>
  <c r="AA10"/>
  <c r="Z10"/>
  <c r="Y10"/>
  <c r="W10"/>
  <c r="I10"/>
  <c r="H10"/>
  <c r="G10"/>
  <c r="DO9"/>
  <c r="CZ9"/>
  <c r="CY9"/>
  <c r="CS9"/>
  <c r="CR9"/>
  <c r="CQ9"/>
  <c r="BP9"/>
  <c r="BO9"/>
  <c r="BJ9"/>
  <c r="BD9"/>
  <c r="AV9"/>
  <c r="AD9" s="1"/>
  <c r="AU9"/>
  <c r="AP9"/>
  <c r="AJ9"/>
  <c r="AC9"/>
  <c r="AB9"/>
  <c r="AA9"/>
  <c r="Z9"/>
  <c r="Y9"/>
  <c r="W9"/>
  <c r="S9"/>
  <c r="I9"/>
  <c r="H9"/>
  <c r="G9"/>
  <c r="CZ8"/>
  <c r="CZ7" s="1"/>
  <c r="CY8"/>
  <c r="CS8"/>
  <c r="CR8"/>
  <c r="CQ8"/>
  <c r="BP8"/>
  <c r="BO8"/>
  <c r="BJ8"/>
  <c r="BD8"/>
  <c r="AV8"/>
  <c r="AD8" s="1"/>
  <c r="AU8"/>
  <c r="AC8" s="1"/>
  <c r="AP8"/>
  <c r="AJ8"/>
  <c r="AB8"/>
  <c r="AA8"/>
  <c r="Z8"/>
  <c r="Y8"/>
  <c r="W8"/>
  <c r="S8"/>
  <c r="I8"/>
  <c r="H8"/>
  <c r="G8"/>
  <c r="DD7"/>
  <c r="DC7"/>
  <c r="DB7"/>
  <c r="DA7"/>
  <c r="CX7"/>
  <c r="CW7"/>
  <c r="CS7"/>
  <c r="CP7"/>
  <c r="CO7"/>
  <c r="CN7"/>
  <c r="CM7"/>
  <c r="CL7"/>
  <c r="CK7"/>
  <c r="CI7"/>
  <c r="CF7"/>
  <c r="CE7"/>
  <c r="BO7"/>
  <c r="BM7"/>
  <c r="BL7"/>
  <c r="BK7"/>
  <c r="BI7"/>
  <c r="BH7"/>
  <c r="BD7"/>
  <c r="BC7"/>
  <c r="AV7"/>
  <c r="AT7"/>
  <c r="AS7"/>
  <c r="AR7"/>
  <c r="AQ7"/>
  <c r="AO7"/>
  <c r="AN7"/>
  <c r="AI7"/>
  <c r="U7"/>
  <c r="CT4"/>
  <c r="CQ4"/>
  <c r="CJ67" i="12"/>
  <c r="BM61" i="15"/>
  <c r="AS61"/>
  <c r="BM61" i="12"/>
  <c r="AS61"/>
  <c r="AY25" i="21" l="1"/>
  <c r="AZ25" s="1"/>
  <c r="DG25" s="1"/>
  <c r="AW59" i="19"/>
  <c r="DE59"/>
  <c r="BQ74"/>
  <c r="AE79"/>
  <c r="CU79"/>
  <c r="DE79"/>
  <c r="CU86"/>
  <c r="AW88"/>
  <c r="CV88"/>
  <c r="AE89"/>
  <c r="AY16" i="21"/>
  <c r="AZ16" s="1"/>
  <c r="DG16" s="1"/>
  <c r="DW26" i="22"/>
  <c r="CV35" i="19"/>
  <c r="CV36"/>
  <c r="CV38"/>
  <c r="CV41"/>
  <c r="CU64"/>
  <c r="DH93" i="21"/>
  <c r="DY93"/>
  <c r="CB86"/>
  <c r="CB75"/>
  <c r="DY65"/>
  <c r="CB46"/>
  <c r="CB45"/>
  <c r="CB42"/>
  <c r="CB35"/>
  <c r="CB12"/>
  <c r="CB18"/>
  <c r="DK103"/>
  <c r="CB102"/>
  <c r="CB99"/>
  <c r="CT100"/>
  <c r="DH100" s="1"/>
  <c r="DK100" s="1"/>
  <c r="BU100"/>
  <c r="BR96"/>
  <c r="CB96" s="1"/>
  <c r="BR92"/>
  <c r="CB92" s="1"/>
  <c r="BU103"/>
  <c r="EA103"/>
  <c r="EA98"/>
  <c r="CT97"/>
  <c r="BU97"/>
  <c r="AX95"/>
  <c r="CB95" s="1"/>
  <c r="CB85"/>
  <c r="EA94"/>
  <c r="AX93"/>
  <c r="CB93" s="1"/>
  <c r="EA92"/>
  <c r="AX90"/>
  <c r="CB90" s="1"/>
  <c r="BU89"/>
  <c r="EA89"/>
  <c r="CB88"/>
  <c r="AE86"/>
  <c r="CB81"/>
  <c r="CA65"/>
  <c r="CA64"/>
  <c r="CA61"/>
  <c r="AX68"/>
  <c r="DF67"/>
  <c r="EA60"/>
  <c r="CB49"/>
  <c r="DY46"/>
  <c r="CB40"/>
  <c r="CB38"/>
  <c r="CB36"/>
  <c r="BR31"/>
  <c r="CB31" s="1"/>
  <c r="CB30"/>
  <c r="CB24"/>
  <c r="AE55"/>
  <c r="BR21"/>
  <c r="CB21" s="1"/>
  <c r="AX28"/>
  <c r="CB28" s="1"/>
  <c r="CA25"/>
  <c r="CB20"/>
  <c r="CB10"/>
  <c r="AX30"/>
  <c r="CA18"/>
  <c r="AY9"/>
  <c r="AZ9" s="1"/>
  <c r="DG9" s="1"/>
  <c r="CA99"/>
  <c r="AY75"/>
  <c r="AZ75" s="1"/>
  <c r="DG75" s="1"/>
  <c r="CA48"/>
  <c r="CA42"/>
  <c r="CA38"/>
  <c r="AE82"/>
  <c r="AL71"/>
  <c r="AM71" s="1"/>
  <c r="BA71" s="1"/>
  <c r="CB15"/>
  <c r="AE26"/>
  <c r="DI106" i="22"/>
  <c r="BY106"/>
  <c r="BZ106" s="1"/>
  <c r="BV106"/>
  <c r="BS106"/>
  <c r="DI101"/>
  <c r="BY101"/>
  <c r="BZ101" s="1"/>
  <c r="BX101"/>
  <c r="BV101"/>
  <c r="BS101"/>
  <c r="DF101"/>
  <c r="AY101"/>
  <c r="AZ101" s="1"/>
  <c r="DG101" s="1"/>
  <c r="BU101"/>
  <c r="EA101"/>
  <c r="CT101"/>
  <c r="DF100"/>
  <c r="AY100"/>
  <c r="AZ100" s="1"/>
  <c r="DG100" s="1"/>
  <c r="AM100"/>
  <c r="BA100" s="1"/>
  <c r="BU100"/>
  <c r="EA100"/>
  <c r="CT100"/>
  <c r="BX99"/>
  <c r="BV99"/>
  <c r="DI99"/>
  <c r="DL99" s="1"/>
  <c r="BY99"/>
  <c r="BZ99" s="1"/>
  <c r="BS99"/>
  <c r="BX96"/>
  <c r="BV96"/>
  <c r="DI96"/>
  <c r="DL96" s="1"/>
  <c r="BY96"/>
  <c r="BZ96" s="1"/>
  <c r="BS96"/>
  <c r="BX95"/>
  <c r="BV95"/>
  <c r="DI95"/>
  <c r="DL95" s="1"/>
  <c r="BY95"/>
  <c r="BZ95" s="1"/>
  <c r="BS95"/>
  <c r="BX93"/>
  <c r="BV93"/>
  <c r="DI93"/>
  <c r="BY93"/>
  <c r="BZ93" s="1"/>
  <c r="DW93"/>
  <c r="BS93"/>
  <c r="BX91"/>
  <c r="BV91"/>
  <c r="DI91"/>
  <c r="DL91" s="1"/>
  <c r="BY91"/>
  <c r="BZ91" s="1"/>
  <c r="BS91"/>
  <c r="DI86"/>
  <c r="BY86"/>
  <c r="BZ86" s="1"/>
  <c r="BX86"/>
  <c r="BV86"/>
  <c r="BS86"/>
  <c r="DI81"/>
  <c r="BY81"/>
  <c r="BZ81" s="1"/>
  <c r="BX81"/>
  <c r="BV81"/>
  <c r="BS81"/>
  <c r="BT97"/>
  <c r="CC97"/>
  <c r="BX77"/>
  <c r="BV77"/>
  <c r="DI77"/>
  <c r="DL77" s="1"/>
  <c r="BY77"/>
  <c r="BZ77" s="1"/>
  <c r="BS77"/>
  <c r="BX75"/>
  <c r="BV75"/>
  <c r="DI75"/>
  <c r="BY75"/>
  <c r="BZ75" s="1"/>
  <c r="BS75"/>
  <c r="DW75"/>
  <c r="BX74"/>
  <c r="BV74"/>
  <c r="DI74"/>
  <c r="BY74"/>
  <c r="BZ74" s="1"/>
  <c r="BS74"/>
  <c r="DW74"/>
  <c r="BT78"/>
  <c r="CC78"/>
  <c r="DI65"/>
  <c r="BY65"/>
  <c r="BZ65" s="1"/>
  <c r="BX65"/>
  <c r="BV65"/>
  <c r="BS65"/>
  <c r="DI63"/>
  <c r="BY63"/>
  <c r="BZ63" s="1"/>
  <c r="BX63"/>
  <c r="BV63"/>
  <c r="BS63"/>
  <c r="DI61"/>
  <c r="BY61"/>
  <c r="BZ61" s="1"/>
  <c r="BX61"/>
  <c r="BV61"/>
  <c r="BS61"/>
  <c r="EA72"/>
  <c r="CT72"/>
  <c r="BU72"/>
  <c r="EA71"/>
  <c r="CT71"/>
  <c r="BU71"/>
  <c r="BT83"/>
  <c r="CC83"/>
  <c r="DF66"/>
  <c r="AY66"/>
  <c r="AZ66" s="1"/>
  <c r="DG66" s="1"/>
  <c r="BU66"/>
  <c r="EA66"/>
  <c r="CT66"/>
  <c r="DW65"/>
  <c r="DF65"/>
  <c r="DL65" s="1"/>
  <c r="AY65"/>
  <c r="AZ65" s="1"/>
  <c r="DG65" s="1"/>
  <c r="BU65"/>
  <c r="EA65"/>
  <c r="CT65"/>
  <c r="DW64"/>
  <c r="DF64"/>
  <c r="AY64"/>
  <c r="AZ64" s="1"/>
  <c r="DG64" s="1"/>
  <c r="BU64"/>
  <c r="EA64"/>
  <c r="CT64"/>
  <c r="BU62"/>
  <c r="EA62"/>
  <c r="CT62"/>
  <c r="DW60"/>
  <c r="DF60"/>
  <c r="AY60"/>
  <c r="AZ60" s="1"/>
  <c r="DG60" s="1"/>
  <c r="BU60"/>
  <c r="EA60"/>
  <c r="CT60"/>
  <c r="BX59"/>
  <c r="BV59"/>
  <c r="DI59"/>
  <c r="DL59" s="1"/>
  <c r="BY59"/>
  <c r="BZ59" s="1"/>
  <c r="BS59"/>
  <c r="BX58"/>
  <c r="BV58"/>
  <c r="DI58"/>
  <c r="BY58"/>
  <c r="BZ58" s="1"/>
  <c r="DW58"/>
  <c r="BS58"/>
  <c r="BX56"/>
  <c r="BV56"/>
  <c r="DI56"/>
  <c r="BY56"/>
  <c r="BZ56" s="1"/>
  <c r="BS56"/>
  <c r="DW56"/>
  <c r="BX55"/>
  <c r="BV55"/>
  <c r="DI55"/>
  <c r="BY55"/>
  <c r="BZ55" s="1"/>
  <c r="BS55"/>
  <c r="DW55"/>
  <c r="BX54"/>
  <c r="BV54"/>
  <c r="DI54"/>
  <c r="BY54"/>
  <c r="BZ54" s="1"/>
  <c r="DW54"/>
  <c r="BS54"/>
  <c r="DI50"/>
  <c r="BY50"/>
  <c r="BZ50" s="1"/>
  <c r="BX50"/>
  <c r="BV50"/>
  <c r="BS50"/>
  <c r="DI49"/>
  <c r="BY49"/>
  <c r="BZ49" s="1"/>
  <c r="BX49"/>
  <c r="BV49"/>
  <c r="BS49"/>
  <c r="DI47"/>
  <c r="BY47"/>
  <c r="BZ47" s="1"/>
  <c r="BX47"/>
  <c r="BV47"/>
  <c r="BS47"/>
  <c r="DI45"/>
  <c r="BY45"/>
  <c r="BZ45" s="1"/>
  <c r="BX45"/>
  <c r="BV45"/>
  <c r="BS45"/>
  <c r="DI28"/>
  <c r="BY28"/>
  <c r="BZ28" s="1"/>
  <c r="BX28"/>
  <c r="BV28"/>
  <c r="BS28"/>
  <c r="DI24"/>
  <c r="BY24"/>
  <c r="BZ24" s="1"/>
  <c r="BX24"/>
  <c r="BV24"/>
  <c r="BS24"/>
  <c r="DW46"/>
  <c r="DF46"/>
  <c r="AY46"/>
  <c r="AZ46" s="1"/>
  <c r="DG46" s="1"/>
  <c r="BV29"/>
  <c r="DI29"/>
  <c r="BY29"/>
  <c r="BZ29" s="1"/>
  <c r="DW29"/>
  <c r="BS29"/>
  <c r="BG29"/>
  <c r="DW24"/>
  <c r="DF24"/>
  <c r="DL24" s="1"/>
  <c r="AY24"/>
  <c r="AZ24" s="1"/>
  <c r="DG24" s="1"/>
  <c r="AM24"/>
  <c r="BA24" s="1"/>
  <c r="BU24"/>
  <c r="EA24"/>
  <c r="CT24"/>
  <c r="BX23"/>
  <c r="BV23"/>
  <c r="DI23"/>
  <c r="BY23"/>
  <c r="BZ23" s="1"/>
  <c r="BS23"/>
  <c r="DW23"/>
  <c r="BX22"/>
  <c r="BV22"/>
  <c r="DI22"/>
  <c r="DL22" s="1"/>
  <c r="BY22"/>
  <c r="BZ22" s="1"/>
  <c r="BS22"/>
  <c r="DI12"/>
  <c r="BY12"/>
  <c r="BZ12" s="1"/>
  <c r="BX12"/>
  <c r="BV12"/>
  <c r="BS12"/>
  <c r="DI10"/>
  <c r="BY10"/>
  <c r="BZ10" s="1"/>
  <c r="BX10"/>
  <c r="BV10"/>
  <c r="BS10"/>
  <c r="DF14"/>
  <c r="AY14"/>
  <c r="AZ14" s="1"/>
  <c r="DG14" s="1"/>
  <c r="BU14"/>
  <c r="EA14"/>
  <c r="CT14"/>
  <c r="BX13"/>
  <c r="BV13"/>
  <c r="DI13"/>
  <c r="DL13" s="1"/>
  <c r="BY13"/>
  <c r="BZ13" s="1"/>
  <c r="BS13"/>
  <c r="DF12"/>
  <c r="DL12" s="1"/>
  <c r="AY12"/>
  <c r="AZ12" s="1"/>
  <c r="DG12" s="1"/>
  <c r="BU12"/>
  <c r="DW12" s="1"/>
  <c r="EA12"/>
  <c r="CT12"/>
  <c r="DF11"/>
  <c r="AY11"/>
  <c r="AZ11" s="1"/>
  <c r="DG11" s="1"/>
  <c r="DW10"/>
  <c r="DF10"/>
  <c r="DL10" s="1"/>
  <c r="AL7"/>
  <c r="AY10"/>
  <c r="AZ10" s="1"/>
  <c r="DG10" s="1"/>
  <c r="BX9"/>
  <c r="BV9"/>
  <c r="DI9"/>
  <c r="DL9" s="1"/>
  <c r="BY9"/>
  <c r="BZ9" s="1"/>
  <c r="BS9"/>
  <c r="DI100"/>
  <c r="BY100"/>
  <c r="BZ100" s="1"/>
  <c r="BX100"/>
  <c r="BV100"/>
  <c r="BS100"/>
  <c r="BX105"/>
  <c r="BV105"/>
  <c r="DI105"/>
  <c r="DL105" s="1"/>
  <c r="BY105"/>
  <c r="BZ105" s="1"/>
  <c r="BS105"/>
  <c r="BX104"/>
  <c r="BV104"/>
  <c r="DI104"/>
  <c r="DL104" s="1"/>
  <c r="BY104"/>
  <c r="BZ104" s="1"/>
  <c r="BS104"/>
  <c r="BX103"/>
  <c r="BV103"/>
  <c r="DI103"/>
  <c r="DL103" s="1"/>
  <c r="BY103"/>
  <c r="BZ103" s="1"/>
  <c r="BS103"/>
  <c r="DF102"/>
  <c r="AY102"/>
  <c r="AZ102" s="1"/>
  <c r="DG102" s="1"/>
  <c r="BT98"/>
  <c r="BX94"/>
  <c r="BV94"/>
  <c r="DI94"/>
  <c r="BY94"/>
  <c r="BZ94" s="1"/>
  <c r="BS94"/>
  <c r="DW94"/>
  <c r="BX92"/>
  <c r="BV92"/>
  <c r="DI92"/>
  <c r="DL92" s="1"/>
  <c r="BY92"/>
  <c r="BZ92" s="1"/>
  <c r="BS92"/>
  <c r="DI90"/>
  <c r="BY90"/>
  <c r="BZ90" s="1"/>
  <c r="BV90"/>
  <c r="BS90"/>
  <c r="DI85"/>
  <c r="BY85"/>
  <c r="BZ85" s="1"/>
  <c r="BX85"/>
  <c r="BV85"/>
  <c r="BS85"/>
  <c r="BX82"/>
  <c r="BV82"/>
  <c r="DI82"/>
  <c r="BY82"/>
  <c r="BZ82" s="1"/>
  <c r="DW82"/>
  <c r="BS82"/>
  <c r="DW81"/>
  <c r="DF81"/>
  <c r="DL81" s="1"/>
  <c r="AM81"/>
  <c r="BA81" s="1"/>
  <c r="AY81"/>
  <c r="AZ81" s="1"/>
  <c r="DG81" s="1"/>
  <c r="BU81"/>
  <c r="EA81"/>
  <c r="CT81"/>
  <c r="BX80"/>
  <c r="BV80"/>
  <c r="DI80"/>
  <c r="DL80" s="1"/>
  <c r="BY80"/>
  <c r="BZ80" s="1"/>
  <c r="BS80"/>
  <c r="BX79"/>
  <c r="BV79"/>
  <c r="DI79"/>
  <c r="DL79" s="1"/>
  <c r="BY79"/>
  <c r="BZ79" s="1"/>
  <c r="BS79"/>
  <c r="DI66"/>
  <c r="BY66"/>
  <c r="BZ66" s="1"/>
  <c r="BX66"/>
  <c r="BV66"/>
  <c r="BS66"/>
  <c r="DI64"/>
  <c r="BY64"/>
  <c r="BZ64" s="1"/>
  <c r="BX64"/>
  <c r="BV64"/>
  <c r="BS64"/>
  <c r="DI62"/>
  <c r="BY62"/>
  <c r="BZ62" s="1"/>
  <c r="BX62"/>
  <c r="BV62"/>
  <c r="BS62"/>
  <c r="DI60"/>
  <c r="BY60"/>
  <c r="BZ60" s="1"/>
  <c r="BX60"/>
  <c r="BV60"/>
  <c r="BS60"/>
  <c r="BX69"/>
  <c r="BV69"/>
  <c r="DI69"/>
  <c r="DL69" s="1"/>
  <c r="BY69"/>
  <c r="BZ69" s="1"/>
  <c r="BS69"/>
  <c r="BX68"/>
  <c r="BV68"/>
  <c r="DI68"/>
  <c r="BY68"/>
  <c r="BZ68" s="1"/>
  <c r="BS68"/>
  <c r="DW68"/>
  <c r="BX67"/>
  <c r="BV67"/>
  <c r="DI67"/>
  <c r="BY67"/>
  <c r="BZ67" s="1"/>
  <c r="BS67"/>
  <c r="DW67"/>
  <c r="DW63"/>
  <c r="DF63"/>
  <c r="DL63" s="1"/>
  <c r="AY63"/>
  <c r="AZ63" s="1"/>
  <c r="DG63" s="1"/>
  <c r="DF61"/>
  <c r="DL61" s="1"/>
  <c r="AY61"/>
  <c r="AZ61" s="1"/>
  <c r="DG61" s="1"/>
  <c r="BX53"/>
  <c r="BV53"/>
  <c r="DI53"/>
  <c r="DL53" s="1"/>
  <c r="BY53"/>
  <c r="BZ53" s="1"/>
  <c r="BS53"/>
  <c r="DI52"/>
  <c r="BY52"/>
  <c r="BZ52" s="1"/>
  <c r="BX52"/>
  <c r="BV52"/>
  <c r="BS52"/>
  <c r="DI48"/>
  <c r="BY48"/>
  <c r="BZ48" s="1"/>
  <c r="BX48"/>
  <c r="BV48"/>
  <c r="BS48"/>
  <c r="DI46"/>
  <c r="BY46"/>
  <c r="BZ46" s="1"/>
  <c r="BX46"/>
  <c r="BV46"/>
  <c r="BS46"/>
  <c r="DI44"/>
  <c r="BY44"/>
  <c r="BZ44" s="1"/>
  <c r="BX44"/>
  <c r="BV44"/>
  <c r="BS44"/>
  <c r="DI27"/>
  <c r="BY27"/>
  <c r="BZ27" s="1"/>
  <c r="BX27"/>
  <c r="BV27"/>
  <c r="BS27"/>
  <c r="BT57"/>
  <c r="CC57"/>
  <c r="BU52"/>
  <c r="EA52"/>
  <c r="CT52"/>
  <c r="DF49"/>
  <c r="DL49" s="1"/>
  <c r="AY49"/>
  <c r="AZ49" s="1"/>
  <c r="DG49" s="1"/>
  <c r="BU49"/>
  <c r="DW49" s="1"/>
  <c r="EA49"/>
  <c r="CT49"/>
  <c r="DF48"/>
  <c r="AY48"/>
  <c r="AZ48" s="1"/>
  <c r="DG48" s="1"/>
  <c r="BU48"/>
  <c r="EA48"/>
  <c r="CT48"/>
  <c r="DF47"/>
  <c r="DL47" s="1"/>
  <c r="AY47"/>
  <c r="AZ47" s="1"/>
  <c r="DG47" s="1"/>
  <c r="BU47"/>
  <c r="DW47" s="1"/>
  <c r="EA47"/>
  <c r="CT47"/>
  <c r="DF45"/>
  <c r="DL45" s="1"/>
  <c r="AY45"/>
  <c r="AZ45" s="1"/>
  <c r="DG45" s="1"/>
  <c r="BU45"/>
  <c r="DW45" s="1"/>
  <c r="EA45"/>
  <c r="CT45"/>
  <c r="DW44"/>
  <c r="DF44"/>
  <c r="AY44"/>
  <c r="AZ44" s="1"/>
  <c r="DG44" s="1"/>
  <c r="AM44"/>
  <c r="BA44" s="1"/>
  <c r="BU44"/>
  <c r="EA44"/>
  <c r="CT44"/>
  <c r="BX43"/>
  <c r="BV43"/>
  <c r="DI43"/>
  <c r="DL43" s="1"/>
  <c r="BY43"/>
  <c r="BZ43" s="1"/>
  <c r="BS43"/>
  <c r="BX42"/>
  <c r="BV42"/>
  <c r="DI42"/>
  <c r="BY42"/>
  <c r="BZ42" s="1"/>
  <c r="DW42"/>
  <c r="BS42"/>
  <c r="BX41"/>
  <c r="BV41"/>
  <c r="DI41"/>
  <c r="BY41"/>
  <c r="BZ41" s="1"/>
  <c r="BS41"/>
  <c r="DW41"/>
  <c r="BX40"/>
  <c r="BV40"/>
  <c r="DI40"/>
  <c r="BY40"/>
  <c r="BZ40" s="1"/>
  <c r="DW40"/>
  <c r="BS40"/>
  <c r="BX39"/>
  <c r="BV39"/>
  <c r="DI39"/>
  <c r="DL39" s="1"/>
  <c r="BY39"/>
  <c r="BZ39" s="1"/>
  <c r="BS39"/>
  <c r="BX38"/>
  <c r="BV38"/>
  <c r="DI38"/>
  <c r="DL38" s="1"/>
  <c r="BY38"/>
  <c r="BZ38" s="1"/>
  <c r="BS38"/>
  <c r="BX37"/>
  <c r="BV37"/>
  <c r="DI37"/>
  <c r="DL37" s="1"/>
  <c r="BY37"/>
  <c r="BZ37" s="1"/>
  <c r="BS37"/>
  <c r="BX36"/>
  <c r="BV36"/>
  <c r="DI36"/>
  <c r="BY36"/>
  <c r="BZ36" s="1"/>
  <c r="DW36"/>
  <c r="BS36"/>
  <c r="BX35"/>
  <c r="BV35"/>
  <c r="DI35"/>
  <c r="DL35" s="1"/>
  <c r="BY35"/>
  <c r="BZ35" s="1"/>
  <c r="BS35"/>
  <c r="BX34"/>
  <c r="BV34"/>
  <c r="DI34"/>
  <c r="DL34" s="1"/>
  <c r="BY34"/>
  <c r="BZ34" s="1"/>
  <c r="BS34"/>
  <c r="BX33"/>
  <c r="BV33"/>
  <c r="DI33"/>
  <c r="DL33" s="1"/>
  <c r="BY33"/>
  <c r="BZ33" s="1"/>
  <c r="BS33"/>
  <c r="BX31"/>
  <c r="BV31"/>
  <c r="DI31"/>
  <c r="DL31" s="1"/>
  <c r="BY31"/>
  <c r="BZ31" s="1"/>
  <c r="BS31"/>
  <c r="BX30"/>
  <c r="BV30"/>
  <c r="DI30"/>
  <c r="DL30" s="1"/>
  <c r="BY30"/>
  <c r="BZ30" s="1"/>
  <c r="BS30"/>
  <c r="DF28"/>
  <c r="DL28" s="1"/>
  <c r="AY28"/>
  <c r="AZ28" s="1"/>
  <c r="DG28" s="1"/>
  <c r="BU28"/>
  <c r="DW28" s="1"/>
  <c r="EA28"/>
  <c r="CT28"/>
  <c r="DF27"/>
  <c r="DL27" s="1"/>
  <c r="AY27"/>
  <c r="AZ27" s="1"/>
  <c r="DG27" s="1"/>
  <c r="BU27"/>
  <c r="EA27"/>
  <c r="CT27"/>
  <c r="BX25"/>
  <c r="BV25"/>
  <c r="DI25"/>
  <c r="BY25"/>
  <c r="BZ25" s="1"/>
  <c r="DW25"/>
  <c r="BS25"/>
  <c r="BG25"/>
  <c r="BV21"/>
  <c r="DI21"/>
  <c r="DL21" s="1"/>
  <c r="BY21"/>
  <c r="BZ21" s="1"/>
  <c r="BS21"/>
  <c r="DI17"/>
  <c r="BY17"/>
  <c r="BZ17" s="1"/>
  <c r="BX17"/>
  <c r="BV17"/>
  <c r="BS17"/>
  <c r="BT19"/>
  <c r="DI14"/>
  <c r="BY14"/>
  <c r="BZ14" s="1"/>
  <c r="BX14"/>
  <c r="BV14"/>
  <c r="BS14"/>
  <c r="DI11"/>
  <c r="BY11"/>
  <c r="BZ11" s="1"/>
  <c r="BV11"/>
  <c r="BS11"/>
  <c r="EA19"/>
  <c r="CT19"/>
  <c r="BU19"/>
  <c r="BX16"/>
  <c r="BV16"/>
  <c r="DI16"/>
  <c r="BY16"/>
  <c r="BZ16" s="1"/>
  <c r="BS16"/>
  <c r="DW16"/>
  <c r="BX15"/>
  <c r="BV15"/>
  <c r="DI15"/>
  <c r="DL15" s="1"/>
  <c r="BY15"/>
  <c r="BZ15" s="1"/>
  <c r="BS15"/>
  <c r="AX98"/>
  <c r="CB98" s="1"/>
  <c r="AY98"/>
  <c r="AZ98" s="1"/>
  <c r="DG98" s="1"/>
  <c r="AX88"/>
  <c r="AY88"/>
  <c r="AZ88" s="1"/>
  <c r="DG88" s="1"/>
  <c r="AX87"/>
  <c r="CB87" s="1"/>
  <c r="AY87"/>
  <c r="AZ87" s="1"/>
  <c r="DG87" s="1"/>
  <c r="CA86"/>
  <c r="BR86"/>
  <c r="CA85"/>
  <c r="BR85"/>
  <c r="BT89"/>
  <c r="BU87"/>
  <c r="EA87"/>
  <c r="CT87"/>
  <c r="DW86"/>
  <c r="DF86"/>
  <c r="DL86" s="1"/>
  <c r="DI73"/>
  <c r="BY73"/>
  <c r="BZ73" s="1"/>
  <c r="BV73"/>
  <c r="DW73" s="1"/>
  <c r="BX73"/>
  <c r="DI70"/>
  <c r="DL70" s="1"/>
  <c r="BY70"/>
  <c r="BZ70" s="1"/>
  <c r="BV70"/>
  <c r="BX70"/>
  <c r="CA88"/>
  <c r="BR88"/>
  <c r="CB88" s="1"/>
  <c r="BX72"/>
  <c r="BV72"/>
  <c r="DI72"/>
  <c r="BY72"/>
  <c r="BZ72" s="1"/>
  <c r="DY73"/>
  <c r="DH73"/>
  <c r="DK73" s="1"/>
  <c r="BU70"/>
  <c r="DW70" s="1"/>
  <c r="EA70"/>
  <c r="CT70"/>
  <c r="DI51"/>
  <c r="BY51"/>
  <c r="BZ51" s="1"/>
  <c r="BV51"/>
  <c r="BX51"/>
  <c r="AX51"/>
  <c r="CB51" s="1"/>
  <c r="AY51"/>
  <c r="AZ51" s="1"/>
  <c r="DG51" s="1"/>
  <c r="AX52"/>
  <c r="CB52" s="1"/>
  <c r="AY52"/>
  <c r="AZ52" s="1"/>
  <c r="DG52" s="1"/>
  <c r="DW52"/>
  <c r="DF52"/>
  <c r="DL52" s="1"/>
  <c r="AX50"/>
  <c r="CB50" s="1"/>
  <c r="AY50"/>
  <c r="AZ50" s="1"/>
  <c r="DG50" s="1"/>
  <c r="DW50"/>
  <c r="DF50"/>
  <c r="DL50" s="1"/>
  <c r="BR32"/>
  <c r="CB32" s="1"/>
  <c r="BE32"/>
  <c r="BF32" s="1"/>
  <c r="AA7"/>
  <c r="DI20"/>
  <c r="DL20" s="1"/>
  <c r="BY20"/>
  <c r="BZ20" s="1"/>
  <c r="BV20"/>
  <c r="BX20"/>
  <c r="DI18"/>
  <c r="BY18"/>
  <c r="BZ18" s="1"/>
  <c r="BV18"/>
  <c r="BX18"/>
  <c r="BU17"/>
  <c r="EA17"/>
  <c r="CT17"/>
  <c r="DJ26"/>
  <c r="CD26"/>
  <c r="BW26"/>
  <c r="AY19"/>
  <c r="AZ19" s="1"/>
  <c r="DG19" s="1"/>
  <c r="AX19"/>
  <c r="CB19" s="1"/>
  <c r="DW19"/>
  <c r="DF19"/>
  <c r="BU18"/>
  <c r="EA18"/>
  <c r="CT18"/>
  <c r="AE15"/>
  <c r="W7"/>
  <c r="CU8"/>
  <c r="CU7" s="1"/>
  <c r="AC7"/>
  <c r="EB26"/>
  <c r="EC26" s="1"/>
  <c r="CG26"/>
  <c r="CH26" s="1"/>
  <c r="AZ8"/>
  <c r="CB101"/>
  <c r="AE103"/>
  <c r="AY106"/>
  <c r="AZ106" s="1"/>
  <c r="DG106" s="1"/>
  <c r="DW105"/>
  <c r="AE104"/>
  <c r="AE99"/>
  <c r="CA98"/>
  <c r="AE95"/>
  <c r="AE94"/>
  <c r="AE93"/>
  <c r="AE92"/>
  <c r="AY89"/>
  <c r="AZ89" s="1"/>
  <c r="DG89" s="1"/>
  <c r="BY89"/>
  <c r="BZ89" s="1"/>
  <c r="BV89"/>
  <c r="AE96"/>
  <c r="DL85"/>
  <c r="BG82"/>
  <c r="CB95"/>
  <c r="CB94"/>
  <c r="CB93"/>
  <c r="CB92"/>
  <c r="CB91"/>
  <c r="AY90"/>
  <c r="AZ90" s="1"/>
  <c r="DG90" s="1"/>
  <c r="DW90"/>
  <c r="AE84"/>
  <c r="AE82"/>
  <c r="AE79"/>
  <c r="BS76"/>
  <c r="AE74"/>
  <c r="BS73"/>
  <c r="CB83"/>
  <c r="CB82"/>
  <c r="DL82"/>
  <c r="DL75"/>
  <c r="AE75"/>
  <c r="BG67"/>
  <c r="CB66"/>
  <c r="CB64"/>
  <c r="CB60"/>
  <c r="CB79"/>
  <c r="CB78"/>
  <c r="CB76"/>
  <c r="CB74"/>
  <c r="AM71"/>
  <c r="BA71" s="1"/>
  <c r="AE56"/>
  <c r="DL67"/>
  <c r="DL55"/>
  <c r="AE69"/>
  <c r="AE68"/>
  <c r="AE67"/>
  <c r="AE59"/>
  <c r="AE55"/>
  <c r="CA51"/>
  <c r="BS51"/>
  <c r="CB58"/>
  <c r="CB56"/>
  <c r="CB54"/>
  <c r="AE40"/>
  <c r="AE38"/>
  <c r="AE36"/>
  <c r="AE34"/>
  <c r="AE31"/>
  <c r="AE22"/>
  <c r="CA17"/>
  <c r="CA7" s="1"/>
  <c r="DL41"/>
  <c r="DW51"/>
  <c r="AE41"/>
  <c r="AE35"/>
  <c r="AE33"/>
  <c r="AE32"/>
  <c r="AE30"/>
  <c r="DY26"/>
  <c r="AE23"/>
  <c r="BS20"/>
  <c r="DL18"/>
  <c r="BE7"/>
  <c r="DL42"/>
  <c r="DL40"/>
  <c r="DL36"/>
  <c r="CB25"/>
  <c r="DL25"/>
  <c r="BF8"/>
  <c r="AE8"/>
  <c r="CB16"/>
  <c r="DE7"/>
  <c r="CA19"/>
  <c r="DW18"/>
  <c r="AE9"/>
  <c r="CB15"/>
  <c r="CB13"/>
  <c r="DI98"/>
  <c r="DL98" s="1"/>
  <c r="BY98"/>
  <c r="BZ98" s="1"/>
  <c r="BV98"/>
  <c r="BX98"/>
  <c r="BU106"/>
  <c r="DW106" s="1"/>
  <c r="EA106"/>
  <c r="EB106" s="1"/>
  <c r="EC106" s="1"/>
  <c r="CT106"/>
  <c r="EB102"/>
  <c r="EC102" s="1"/>
  <c r="CG102"/>
  <c r="CH102" s="1"/>
  <c r="DI102"/>
  <c r="BY102"/>
  <c r="BZ102" s="1"/>
  <c r="BV102"/>
  <c r="DW102" s="1"/>
  <c r="EA98"/>
  <c r="BU98"/>
  <c r="CT98"/>
  <c r="EA97"/>
  <c r="CT97"/>
  <c r="BU97"/>
  <c r="DI88"/>
  <c r="DL88" s="1"/>
  <c r="BY88"/>
  <c r="BZ88" s="1"/>
  <c r="BV88"/>
  <c r="BX88"/>
  <c r="DI87"/>
  <c r="DL87" s="1"/>
  <c r="BY87"/>
  <c r="BZ87" s="1"/>
  <c r="BV87"/>
  <c r="BX87"/>
  <c r="EB90"/>
  <c r="EC90" s="1"/>
  <c r="CG90"/>
  <c r="CH90" s="1"/>
  <c r="BU86"/>
  <c r="EA86"/>
  <c r="CT86"/>
  <c r="BU85"/>
  <c r="DW85" s="1"/>
  <c r="EA85"/>
  <c r="CT85"/>
  <c r="BX97"/>
  <c r="BV97"/>
  <c r="DI97"/>
  <c r="DL97" s="1"/>
  <c r="BY97"/>
  <c r="BZ97" s="1"/>
  <c r="EA89"/>
  <c r="EB89" s="1"/>
  <c r="EC89" s="1"/>
  <c r="CT89"/>
  <c r="BU89"/>
  <c r="DW89" s="1"/>
  <c r="AX86"/>
  <c r="AY86"/>
  <c r="AZ86" s="1"/>
  <c r="DG86" s="1"/>
  <c r="AX85"/>
  <c r="AY85"/>
  <c r="AZ85" s="1"/>
  <c r="DG85" s="1"/>
  <c r="BU88"/>
  <c r="DW88" s="1"/>
  <c r="EA88"/>
  <c r="CT88"/>
  <c r="BX84"/>
  <c r="BV84"/>
  <c r="BS84"/>
  <c r="DI84"/>
  <c r="DL84" s="1"/>
  <c r="BY84"/>
  <c r="BZ84" s="1"/>
  <c r="BV78"/>
  <c r="DI78"/>
  <c r="DL78" s="1"/>
  <c r="BY78"/>
  <c r="BZ78" s="1"/>
  <c r="EA78"/>
  <c r="EB78" s="1"/>
  <c r="EC78" s="1"/>
  <c r="CT78"/>
  <c r="BU78"/>
  <c r="DW78" s="1"/>
  <c r="BX76"/>
  <c r="BV76"/>
  <c r="DI76"/>
  <c r="BY76"/>
  <c r="BZ76" s="1"/>
  <c r="EA76"/>
  <c r="CT76"/>
  <c r="BU76"/>
  <c r="AX73"/>
  <c r="CB73" s="1"/>
  <c r="AY73"/>
  <c r="AZ73" s="1"/>
  <c r="DG73" s="1"/>
  <c r="BX71"/>
  <c r="BV71"/>
  <c r="DI71"/>
  <c r="BY71"/>
  <c r="BZ71" s="1"/>
  <c r="AX70"/>
  <c r="CB70" s="1"/>
  <c r="AY70"/>
  <c r="AZ70" s="1"/>
  <c r="DG70" s="1"/>
  <c r="AY72"/>
  <c r="AZ72" s="1"/>
  <c r="DG72" s="1"/>
  <c r="AX72"/>
  <c r="CB72" s="1"/>
  <c r="AY71"/>
  <c r="AZ71" s="1"/>
  <c r="DG71" s="1"/>
  <c r="AX71"/>
  <c r="CB71" s="1"/>
  <c r="BX83"/>
  <c r="BV83"/>
  <c r="DI83"/>
  <c r="DL83" s="1"/>
  <c r="BY83"/>
  <c r="BZ83" s="1"/>
  <c r="EA83"/>
  <c r="CT83"/>
  <c r="BU83"/>
  <c r="DW83" s="1"/>
  <c r="DW72"/>
  <c r="DF72"/>
  <c r="DL72" s="1"/>
  <c r="BT70"/>
  <c r="DW62"/>
  <c r="DF62"/>
  <c r="DL62" s="1"/>
  <c r="BU50"/>
  <c r="EA50"/>
  <c r="CT50"/>
  <c r="BX57"/>
  <c r="BV57"/>
  <c r="DI57"/>
  <c r="DL57" s="1"/>
  <c r="BY57"/>
  <c r="BZ57" s="1"/>
  <c r="EA57"/>
  <c r="CT57"/>
  <c r="BU57"/>
  <c r="EA53"/>
  <c r="CT53"/>
  <c r="BU53"/>
  <c r="DW53" s="1"/>
  <c r="BU51"/>
  <c r="EA51"/>
  <c r="CT51"/>
  <c r="EA29"/>
  <c r="EB29" s="1"/>
  <c r="CT29"/>
  <c r="BU29"/>
  <c r="EA25"/>
  <c r="CT25"/>
  <c r="BU25"/>
  <c r="EA21"/>
  <c r="EB21" s="1"/>
  <c r="EC21" s="1"/>
  <c r="CT21"/>
  <c r="BU21"/>
  <c r="DW21" s="1"/>
  <c r="AX20"/>
  <c r="CB20" s="1"/>
  <c r="AY20"/>
  <c r="AZ20" s="1"/>
  <c r="DG20" s="1"/>
  <c r="BX19"/>
  <c r="BV19"/>
  <c r="DI19"/>
  <c r="BY19"/>
  <c r="BZ19" s="1"/>
  <c r="AX18"/>
  <c r="CB18" s="1"/>
  <c r="AY18"/>
  <c r="AZ18" s="1"/>
  <c r="DG18" s="1"/>
  <c r="BU20"/>
  <c r="DW20" s="1"/>
  <c r="EA20"/>
  <c r="CT20"/>
  <c r="AX17"/>
  <c r="CB17" s="1"/>
  <c r="AY17"/>
  <c r="AZ17" s="1"/>
  <c r="DG17" s="1"/>
  <c r="DW17"/>
  <c r="DF17"/>
  <c r="DL17" s="1"/>
  <c r="BU11"/>
  <c r="DW11" s="1"/>
  <c r="EA11"/>
  <c r="EB11" s="1"/>
  <c r="CT11"/>
  <c r="CB8"/>
  <c r="BR7"/>
  <c r="DL106"/>
  <c r="DY105"/>
  <c r="BS102"/>
  <c r="AE91"/>
  <c r="DL90"/>
  <c r="CB89"/>
  <c r="DW98"/>
  <c r="DL89"/>
  <c r="BS88"/>
  <c r="BS87"/>
  <c r="DL94"/>
  <c r="DL93"/>
  <c r="AE80"/>
  <c r="AE77"/>
  <c r="DL73"/>
  <c r="CA73"/>
  <c r="BS71"/>
  <c r="DL71"/>
  <c r="CA70"/>
  <c r="DL76"/>
  <c r="DL74"/>
  <c r="AE58"/>
  <c r="AE54"/>
  <c r="DL68"/>
  <c r="DW61"/>
  <c r="BS72"/>
  <c r="CA71"/>
  <c r="DL51"/>
  <c r="Z7"/>
  <c r="AY62"/>
  <c r="AZ62" s="1"/>
  <c r="DG62" s="1"/>
  <c r="DL58"/>
  <c r="DL56"/>
  <c r="DL54"/>
  <c r="AE42"/>
  <c r="DM26"/>
  <c r="DX26" s="1"/>
  <c r="CC26"/>
  <c r="DL23"/>
  <c r="AE43"/>
  <c r="AE39"/>
  <c r="AE37"/>
  <c r="CA18"/>
  <c r="BS18"/>
  <c r="AB7"/>
  <c r="X7"/>
  <c r="CB42"/>
  <c r="CB40"/>
  <c r="CB38"/>
  <c r="CB36"/>
  <c r="CB34"/>
  <c r="CB31"/>
  <c r="CB29"/>
  <c r="DL29"/>
  <c r="CB22"/>
  <c r="CB21"/>
  <c r="AM19"/>
  <c r="BA19" s="1"/>
  <c r="AE13"/>
  <c r="AE10"/>
  <c r="AK7"/>
  <c r="DL16"/>
  <c r="AX7"/>
  <c r="AE16"/>
  <c r="BQ7"/>
  <c r="CB59" i="21"/>
  <c r="CB103"/>
  <c r="CB11"/>
  <c r="AE99"/>
  <c r="CA91"/>
  <c r="AE90"/>
  <c r="CA47"/>
  <c r="CA43"/>
  <c r="AE102"/>
  <c r="DK93"/>
  <c r="AY33"/>
  <c r="AZ33" s="1"/>
  <c r="DG33" s="1"/>
  <c r="AY94"/>
  <c r="AZ94" s="1"/>
  <c r="DG94" s="1"/>
  <c r="DF89"/>
  <c r="AY89"/>
  <c r="AZ89" s="1"/>
  <c r="DG89" s="1"/>
  <c r="DF83"/>
  <c r="AY83"/>
  <c r="AZ83" s="1"/>
  <c r="DG83" s="1"/>
  <c r="BS26"/>
  <c r="BT26" s="1"/>
  <c r="DJ26" s="1"/>
  <c r="BV26"/>
  <c r="BY26"/>
  <c r="BZ26" s="1"/>
  <c r="DI26"/>
  <c r="DF103"/>
  <c r="AY103"/>
  <c r="AZ103" s="1"/>
  <c r="DG103" s="1"/>
  <c r="DF88"/>
  <c r="AY88"/>
  <c r="AZ88" s="1"/>
  <c r="DG88" s="1"/>
  <c r="DF79"/>
  <c r="AY79"/>
  <c r="AZ79" s="1"/>
  <c r="DG79" s="1"/>
  <c r="DF63"/>
  <c r="DF52"/>
  <c r="AY52"/>
  <c r="AZ52" s="1"/>
  <c r="DG52" s="1"/>
  <c r="DF26"/>
  <c r="AY26"/>
  <c r="AZ26" s="1"/>
  <c r="DG26" s="1"/>
  <c r="AY19"/>
  <c r="AZ19" s="1"/>
  <c r="DG19" s="1"/>
  <c r="DF19"/>
  <c r="AE84"/>
  <c r="CB26"/>
  <c r="AE18"/>
  <c r="AE9"/>
  <c r="AY104"/>
  <c r="AZ104" s="1"/>
  <c r="DG104" s="1"/>
  <c r="AE88"/>
  <c r="AE83"/>
  <c r="AE33"/>
  <c r="CV7"/>
  <c r="DI106"/>
  <c r="BY106"/>
  <c r="BZ106" s="1"/>
  <c r="BV106"/>
  <c r="BS106"/>
  <c r="EA105"/>
  <c r="CT105"/>
  <c r="BU105"/>
  <c r="DI101"/>
  <c r="BY101"/>
  <c r="BZ101" s="1"/>
  <c r="BX101"/>
  <c r="BV101"/>
  <c r="BS101"/>
  <c r="DI99"/>
  <c r="DL99" s="1"/>
  <c r="BY99"/>
  <c r="BZ99" s="1"/>
  <c r="BX99"/>
  <c r="BV99"/>
  <c r="BS99"/>
  <c r="BX104"/>
  <c r="BV104"/>
  <c r="DI104"/>
  <c r="BY104"/>
  <c r="BZ104" s="1"/>
  <c r="BS104"/>
  <c r="BX103"/>
  <c r="BV103"/>
  <c r="DI103"/>
  <c r="DL103" s="1"/>
  <c r="BY103"/>
  <c r="BZ103" s="1"/>
  <c r="BS103"/>
  <c r="DF102"/>
  <c r="AY102"/>
  <c r="AZ102" s="1"/>
  <c r="DG102" s="1"/>
  <c r="DF100"/>
  <c r="AM100"/>
  <c r="BA100" s="1"/>
  <c r="AY100"/>
  <c r="AZ100" s="1"/>
  <c r="DG100" s="1"/>
  <c r="DI96"/>
  <c r="BY96"/>
  <c r="BZ96" s="1"/>
  <c r="BX96"/>
  <c r="BV96"/>
  <c r="BS96"/>
  <c r="DI94"/>
  <c r="BY94"/>
  <c r="BZ94" s="1"/>
  <c r="BX94"/>
  <c r="BV94"/>
  <c r="BS94"/>
  <c r="DI92"/>
  <c r="BY92"/>
  <c r="BZ92" s="1"/>
  <c r="BX92"/>
  <c r="BV92"/>
  <c r="BS92"/>
  <c r="BV90"/>
  <c r="DI90"/>
  <c r="DL90" s="1"/>
  <c r="BY90"/>
  <c r="BZ90" s="1"/>
  <c r="BS90"/>
  <c r="DF97"/>
  <c r="AY97"/>
  <c r="AZ97" s="1"/>
  <c r="DG97" s="1"/>
  <c r="DF91"/>
  <c r="AY91"/>
  <c r="AZ91" s="1"/>
  <c r="DG91" s="1"/>
  <c r="BU91"/>
  <c r="EA91"/>
  <c r="CT91"/>
  <c r="BX88"/>
  <c r="BV88"/>
  <c r="DI88"/>
  <c r="BY88"/>
  <c r="BZ88" s="1"/>
  <c r="BS88"/>
  <c r="EA82"/>
  <c r="CT82"/>
  <c r="BU82"/>
  <c r="BX79"/>
  <c r="BV79"/>
  <c r="DI79"/>
  <c r="BY79"/>
  <c r="BZ79" s="1"/>
  <c r="BS79"/>
  <c r="BX75"/>
  <c r="BV75"/>
  <c r="DI75"/>
  <c r="BY75"/>
  <c r="BZ75" s="1"/>
  <c r="BS75"/>
  <c r="DW75"/>
  <c r="DI72"/>
  <c r="BY72"/>
  <c r="BZ72" s="1"/>
  <c r="BX72"/>
  <c r="BV72"/>
  <c r="BS72"/>
  <c r="DI70"/>
  <c r="BY70"/>
  <c r="BZ70" s="1"/>
  <c r="BX70"/>
  <c r="BV70"/>
  <c r="BS70"/>
  <c r="BU63"/>
  <c r="EA63"/>
  <c r="CT63"/>
  <c r="BX57"/>
  <c r="BV57"/>
  <c r="DI57"/>
  <c r="BY57"/>
  <c r="BZ57" s="1"/>
  <c r="DW57"/>
  <c r="BS57"/>
  <c r="BX56"/>
  <c r="BV56"/>
  <c r="DI56"/>
  <c r="BY56"/>
  <c r="BZ56" s="1"/>
  <c r="DW56"/>
  <c r="BS56"/>
  <c r="DI48"/>
  <c r="BY48"/>
  <c r="BZ48" s="1"/>
  <c r="BX48"/>
  <c r="BV48"/>
  <c r="BS48"/>
  <c r="DI46"/>
  <c r="BS46"/>
  <c r="DI42"/>
  <c r="BY42"/>
  <c r="BZ42" s="1"/>
  <c r="BX42"/>
  <c r="BV42"/>
  <c r="BS42"/>
  <c r="DI38"/>
  <c r="BY38"/>
  <c r="BZ38" s="1"/>
  <c r="BX38"/>
  <c r="BV38"/>
  <c r="BS38"/>
  <c r="DI34"/>
  <c r="BY34"/>
  <c r="BZ34" s="1"/>
  <c r="BX34"/>
  <c r="BV34"/>
  <c r="BS34"/>
  <c r="DI31"/>
  <c r="BY31"/>
  <c r="BZ31" s="1"/>
  <c r="BX31"/>
  <c r="BV31"/>
  <c r="BS31"/>
  <c r="DI27"/>
  <c r="BY27"/>
  <c r="BZ27" s="1"/>
  <c r="BX27"/>
  <c r="BV27"/>
  <c r="BS27"/>
  <c r="BX54"/>
  <c r="BV54"/>
  <c r="DI54"/>
  <c r="BY54"/>
  <c r="BZ54" s="1"/>
  <c r="DW54"/>
  <c r="BS54"/>
  <c r="BX52"/>
  <c r="BV52"/>
  <c r="DI52"/>
  <c r="BY52"/>
  <c r="BZ52" s="1"/>
  <c r="DW52"/>
  <c r="BS52"/>
  <c r="BX51"/>
  <c r="BV51"/>
  <c r="DI51"/>
  <c r="BY51"/>
  <c r="BZ51" s="1"/>
  <c r="BS51"/>
  <c r="DW51"/>
  <c r="BU49"/>
  <c r="EA49"/>
  <c r="CT49"/>
  <c r="DF48"/>
  <c r="DL48" s="1"/>
  <c r="AY48"/>
  <c r="AZ48" s="1"/>
  <c r="DG48" s="1"/>
  <c r="BU48"/>
  <c r="EA48"/>
  <c r="CT48"/>
  <c r="DF47"/>
  <c r="AY47"/>
  <c r="AZ47" s="1"/>
  <c r="DG47" s="1"/>
  <c r="BU47"/>
  <c r="EA47"/>
  <c r="CT47"/>
  <c r="DF45"/>
  <c r="AY45"/>
  <c r="AZ45" s="1"/>
  <c r="DG45" s="1"/>
  <c r="BU45"/>
  <c r="EA45"/>
  <c r="CT45"/>
  <c r="BU44"/>
  <c r="EA44"/>
  <c r="CT44"/>
  <c r="BU43"/>
  <c r="EA43"/>
  <c r="CT43"/>
  <c r="DW42"/>
  <c r="DF42"/>
  <c r="AY42"/>
  <c r="AZ42" s="1"/>
  <c r="DG42" s="1"/>
  <c r="BU42"/>
  <c r="EA42"/>
  <c r="CT42"/>
  <c r="DW41"/>
  <c r="DF41"/>
  <c r="AY41"/>
  <c r="AZ41" s="1"/>
  <c r="DG41" s="1"/>
  <c r="BU40"/>
  <c r="EA40"/>
  <c r="CT40"/>
  <c r="DF39"/>
  <c r="AY39"/>
  <c r="AZ39" s="1"/>
  <c r="DG39" s="1"/>
  <c r="DF38"/>
  <c r="DL38" s="1"/>
  <c r="AY38"/>
  <c r="AZ38" s="1"/>
  <c r="DG38" s="1"/>
  <c r="BU38"/>
  <c r="EA38"/>
  <c r="CT38"/>
  <c r="DF37"/>
  <c r="AY37"/>
  <c r="AZ37" s="1"/>
  <c r="DG37" s="1"/>
  <c r="BU37"/>
  <c r="EA37"/>
  <c r="CT37"/>
  <c r="BU36"/>
  <c r="EA36"/>
  <c r="CT36"/>
  <c r="BU35"/>
  <c r="EA35"/>
  <c r="CT35"/>
  <c r="DF34"/>
  <c r="DL34" s="1"/>
  <c r="AY34"/>
  <c r="AZ34" s="1"/>
  <c r="DG34" s="1"/>
  <c r="BU34"/>
  <c r="EA34"/>
  <c r="CT34"/>
  <c r="EA24"/>
  <c r="CT24"/>
  <c r="BU24"/>
  <c r="BU23"/>
  <c r="EA23"/>
  <c r="CT23"/>
  <c r="BU22"/>
  <c r="EA22"/>
  <c r="CT22"/>
  <c r="DI14"/>
  <c r="BY14"/>
  <c r="BZ14" s="1"/>
  <c r="BX14"/>
  <c r="BV14"/>
  <c r="BS14"/>
  <c r="BX16"/>
  <c r="BV16"/>
  <c r="DI16"/>
  <c r="BY16"/>
  <c r="BZ16" s="1"/>
  <c r="BS16"/>
  <c r="DW16"/>
  <c r="DF14"/>
  <c r="AY14"/>
  <c r="AZ14" s="1"/>
  <c r="DG14" s="1"/>
  <c r="BU14"/>
  <c r="EA14"/>
  <c r="CT14"/>
  <c r="BT9"/>
  <c r="CC9"/>
  <c r="DI98"/>
  <c r="DL98" s="1"/>
  <c r="BY98"/>
  <c r="BZ98" s="1"/>
  <c r="BX98"/>
  <c r="BV98"/>
  <c r="BS98"/>
  <c r="DW98"/>
  <c r="BX105"/>
  <c r="BV105"/>
  <c r="DI105"/>
  <c r="BY105"/>
  <c r="BZ105" s="1"/>
  <c r="BS105"/>
  <c r="DI102"/>
  <c r="BY102"/>
  <c r="BZ102" s="1"/>
  <c r="BV102"/>
  <c r="BS102"/>
  <c r="BU101"/>
  <c r="DW101" s="1"/>
  <c r="EA101"/>
  <c r="CT101"/>
  <c r="DI95"/>
  <c r="BY95"/>
  <c r="BZ95" s="1"/>
  <c r="BX95"/>
  <c r="BV95"/>
  <c r="DW95" s="1"/>
  <c r="BS95"/>
  <c r="DI91"/>
  <c r="BY91"/>
  <c r="BZ91" s="1"/>
  <c r="BX91"/>
  <c r="BV91"/>
  <c r="BS91"/>
  <c r="DF96"/>
  <c r="DL96" s="1"/>
  <c r="AY96"/>
  <c r="AZ96" s="1"/>
  <c r="DG96" s="1"/>
  <c r="BU96"/>
  <c r="DW96" s="1"/>
  <c r="EA96"/>
  <c r="CT96"/>
  <c r="DF95"/>
  <c r="AY95"/>
  <c r="AZ95" s="1"/>
  <c r="DG95" s="1"/>
  <c r="DF92"/>
  <c r="DL92" s="1"/>
  <c r="AY92"/>
  <c r="AZ92" s="1"/>
  <c r="DG92" s="1"/>
  <c r="DI85"/>
  <c r="BY85"/>
  <c r="BZ85" s="1"/>
  <c r="BX85"/>
  <c r="BV85"/>
  <c r="BS85"/>
  <c r="DF85"/>
  <c r="AY85"/>
  <c r="AZ85" s="1"/>
  <c r="DG85" s="1"/>
  <c r="BX83"/>
  <c r="BV83"/>
  <c r="DI83"/>
  <c r="BY83"/>
  <c r="BZ83" s="1"/>
  <c r="BS83"/>
  <c r="DI78"/>
  <c r="BS78"/>
  <c r="DI67"/>
  <c r="BY67"/>
  <c r="BZ67" s="1"/>
  <c r="BX67"/>
  <c r="BV67"/>
  <c r="BS67"/>
  <c r="DW67"/>
  <c r="BG67"/>
  <c r="DI65"/>
  <c r="BY65"/>
  <c r="BZ65" s="1"/>
  <c r="BX65"/>
  <c r="BV65"/>
  <c r="BS65"/>
  <c r="DW65"/>
  <c r="DI63"/>
  <c r="BY63"/>
  <c r="BZ63" s="1"/>
  <c r="BX63"/>
  <c r="BV63"/>
  <c r="DW63"/>
  <c r="BS63"/>
  <c r="DI62"/>
  <c r="DL62" s="1"/>
  <c r="BY62"/>
  <c r="BZ62" s="1"/>
  <c r="BX62"/>
  <c r="BV62"/>
  <c r="BS62"/>
  <c r="DW62"/>
  <c r="EA59"/>
  <c r="CT59"/>
  <c r="BU59"/>
  <c r="EA58"/>
  <c r="CT58"/>
  <c r="BU58"/>
  <c r="DF71"/>
  <c r="AY71"/>
  <c r="AZ71" s="1"/>
  <c r="DG71" s="1"/>
  <c r="BU71"/>
  <c r="EA71"/>
  <c r="CT71"/>
  <c r="DF70"/>
  <c r="DL70" s="1"/>
  <c r="AY70"/>
  <c r="AZ70" s="1"/>
  <c r="DG70" s="1"/>
  <c r="BU70"/>
  <c r="EA70"/>
  <c r="CT70"/>
  <c r="BU69"/>
  <c r="EA69"/>
  <c r="CT69"/>
  <c r="BU68"/>
  <c r="EA68"/>
  <c r="CT68"/>
  <c r="BX59"/>
  <c r="BV59"/>
  <c r="DI59"/>
  <c r="BY59"/>
  <c r="BZ59" s="1"/>
  <c r="BS59"/>
  <c r="DI47"/>
  <c r="BY47"/>
  <c r="BZ47" s="1"/>
  <c r="BX47"/>
  <c r="BV47"/>
  <c r="BS47"/>
  <c r="DI45"/>
  <c r="BY45"/>
  <c r="BZ45" s="1"/>
  <c r="BX45"/>
  <c r="BV45"/>
  <c r="BS45"/>
  <c r="DI41"/>
  <c r="BY41"/>
  <c r="BZ41" s="1"/>
  <c r="BX41"/>
  <c r="BV41"/>
  <c r="BS41"/>
  <c r="DI39"/>
  <c r="BY39"/>
  <c r="BZ39" s="1"/>
  <c r="BX39"/>
  <c r="BV39"/>
  <c r="BS39"/>
  <c r="DI37"/>
  <c r="BY37"/>
  <c r="BZ37" s="1"/>
  <c r="BX37"/>
  <c r="BV37"/>
  <c r="BS37"/>
  <c r="DI35"/>
  <c r="BY35"/>
  <c r="BZ35" s="1"/>
  <c r="BX35"/>
  <c r="BV35"/>
  <c r="BS35"/>
  <c r="BX53"/>
  <c r="BV53"/>
  <c r="DI53"/>
  <c r="DL53" s="1"/>
  <c r="BY53"/>
  <c r="BZ53" s="1"/>
  <c r="BS53"/>
  <c r="DF31"/>
  <c r="DL31" s="1"/>
  <c r="AY31"/>
  <c r="AZ31" s="1"/>
  <c r="DG31" s="1"/>
  <c r="EA31"/>
  <c r="BU31"/>
  <c r="DW31" s="1"/>
  <c r="CT31"/>
  <c r="BU30"/>
  <c r="EA30"/>
  <c r="CT30"/>
  <c r="BU29"/>
  <c r="EA29"/>
  <c r="EB29" s="1"/>
  <c r="CT29"/>
  <c r="BU28"/>
  <c r="EA28"/>
  <c r="CT28"/>
  <c r="DF27"/>
  <c r="AY27"/>
  <c r="AZ27" s="1"/>
  <c r="DG27" s="1"/>
  <c r="BU27"/>
  <c r="DW27" s="1"/>
  <c r="EA27"/>
  <c r="CT27"/>
  <c r="BX25"/>
  <c r="BV25"/>
  <c r="DI25"/>
  <c r="BY25"/>
  <c r="BZ25" s="1"/>
  <c r="BS25"/>
  <c r="DW25"/>
  <c r="EA57"/>
  <c r="CT57"/>
  <c r="BU57"/>
  <c r="EA56"/>
  <c r="CT56"/>
  <c r="BU56"/>
  <c r="EA55"/>
  <c r="CT55"/>
  <c r="BU55"/>
  <c r="DI20"/>
  <c r="DL20" s="1"/>
  <c r="BY20"/>
  <c r="BZ20" s="1"/>
  <c r="BX20"/>
  <c r="BV20"/>
  <c r="BS20"/>
  <c r="DI12"/>
  <c r="BY12"/>
  <c r="BZ12" s="1"/>
  <c r="BX12"/>
  <c r="BV12"/>
  <c r="BS12"/>
  <c r="EA21"/>
  <c r="EB21" s="1"/>
  <c r="EC21" s="1"/>
  <c r="CT21"/>
  <c r="BU21"/>
  <c r="BU20"/>
  <c r="EA20"/>
  <c r="CT20"/>
  <c r="BX19"/>
  <c r="BV19"/>
  <c r="DI19"/>
  <c r="DL19" s="1"/>
  <c r="BY19"/>
  <c r="BZ19" s="1"/>
  <c r="BS19"/>
  <c r="DW19"/>
  <c r="BU11"/>
  <c r="EA11"/>
  <c r="EB11" s="1"/>
  <c r="CT11"/>
  <c r="DI97"/>
  <c r="BY97"/>
  <c r="BZ97" s="1"/>
  <c r="BV97"/>
  <c r="BX97"/>
  <c r="CG90"/>
  <c r="CH90" s="1"/>
  <c r="DI89"/>
  <c r="DL89" s="1"/>
  <c r="BV89"/>
  <c r="BS89"/>
  <c r="BY89"/>
  <c r="BZ89" s="1"/>
  <c r="EA72"/>
  <c r="BU72"/>
  <c r="CT72"/>
  <c r="BE61"/>
  <c r="BF61" s="1"/>
  <c r="BR61"/>
  <c r="AX67"/>
  <c r="CB67" s="1"/>
  <c r="AY67"/>
  <c r="AZ67" s="1"/>
  <c r="DG67" s="1"/>
  <c r="AX66"/>
  <c r="CB66" s="1"/>
  <c r="AX65"/>
  <c r="CB65" s="1"/>
  <c r="AY65"/>
  <c r="AZ65" s="1"/>
  <c r="DG65" s="1"/>
  <c r="AX64"/>
  <c r="CB64" s="1"/>
  <c r="BR32"/>
  <c r="CB32" s="1"/>
  <c r="BE32"/>
  <c r="BF32" s="1"/>
  <c r="AA7"/>
  <c r="CG26"/>
  <c r="CH26" s="1"/>
  <c r="AE15"/>
  <c r="W7"/>
  <c r="CD26"/>
  <c r="CB8"/>
  <c r="DL104"/>
  <c r="CB100"/>
  <c r="DY98"/>
  <c r="AY106"/>
  <c r="AZ106" s="1"/>
  <c r="DG106" s="1"/>
  <c r="BS97"/>
  <c r="DY95"/>
  <c r="DY94"/>
  <c r="CB91"/>
  <c r="DW103"/>
  <c r="AY101"/>
  <c r="AZ101" s="1"/>
  <c r="DG101" s="1"/>
  <c r="DY89"/>
  <c r="AE79"/>
  <c r="AE78"/>
  <c r="AE77"/>
  <c r="AE76"/>
  <c r="AE75"/>
  <c r="AE74"/>
  <c r="AE73"/>
  <c r="CB70"/>
  <c r="CB68"/>
  <c r="DL59"/>
  <c r="AE61"/>
  <c r="DL65"/>
  <c r="DL57"/>
  <c r="DL56"/>
  <c r="DY60"/>
  <c r="AE51"/>
  <c r="AE50"/>
  <c r="AE32"/>
  <c r="AK7"/>
  <c r="X7"/>
  <c r="AY35"/>
  <c r="AZ35" s="1"/>
  <c r="DG35" s="1"/>
  <c r="AE19"/>
  <c r="AE17"/>
  <c r="AY20"/>
  <c r="AZ20" s="1"/>
  <c r="DG20" s="1"/>
  <c r="AE16"/>
  <c r="CB9"/>
  <c r="AE10"/>
  <c r="CB19"/>
  <c r="CB17"/>
  <c r="CB13"/>
  <c r="AY12"/>
  <c r="AZ12" s="1"/>
  <c r="DG12" s="1"/>
  <c r="BQ7"/>
  <c r="AX98"/>
  <c r="CB98" s="1"/>
  <c r="AY98"/>
  <c r="AZ98" s="1"/>
  <c r="DG98" s="1"/>
  <c r="CG102"/>
  <c r="CH102" s="1"/>
  <c r="EA104"/>
  <c r="CT104"/>
  <c r="BU104"/>
  <c r="DW104" s="1"/>
  <c r="DW94"/>
  <c r="DF94"/>
  <c r="DL94" s="1"/>
  <c r="EA88"/>
  <c r="CT88"/>
  <c r="BU88"/>
  <c r="EA84"/>
  <c r="BU84"/>
  <c r="CT83"/>
  <c r="EA86"/>
  <c r="BU86"/>
  <c r="AX72"/>
  <c r="CB72" s="1"/>
  <c r="AY72"/>
  <c r="AZ72" s="1"/>
  <c r="DG72" s="1"/>
  <c r="DW72"/>
  <c r="DF72"/>
  <c r="DL72" s="1"/>
  <c r="AX63"/>
  <c r="CB63" s="1"/>
  <c r="AY63"/>
  <c r="AZ63" s="1"/>
  <c r="DG63" s="1"/>
  <c r="AX62"/>
  <c r="CB62" s="1"/>
  <c r="AY62"/>
  <c r="AZ62" s="1"/>
  <c r="DG62" s="1"/>
  <c r="AX61"/>
  <c r="AY61"/>
  <c r="AZ61" s="1"/>
  <c r="DG61" s="1"/>
  <c r="AX60"/>
  <c r="CB60" s="1"/>
  <c r="EB89"/>
  <c r="EC89" s="1"/>
  <c r="CG89"/>
  <c r="CH89" s="1"/>
  <c r="AY57"/>
  <c r="AZ57" s="1"/>
  <c r="DG57" s="1"/>
  <c r="AX57"/>
  <c r="CB57" s="1"/>
  <c r="AY56"/>
  <c r="AZ56" s="1"/>
  <c r="DG56" s="1"/>
  <c r="AX56"/>
  <c r="CB56" s="1"/>
  <c r="AX55"/>
  <c r="BU41"/>
  <c r="EA41"/>
  <c r="CT41"/>
  <c r="BU39"/>
  <c r="DW39" s="1"/>
  <c r="EA39"/>
  <c r="CT39"/>
  <c r="EA33"/>
  <c r="CT33"/>
  <c r="BU33"/>
  <c r="CU8"/>
  <c r="CU7" s="1"/>
  <c r="AC7"/>
  <c r="BU12"/>
  <c r="DW12" s="1"/>
  <c r="EA12"/>
  <c r="CT12"/>
  <c r="CT18"/>
  <c r="BX9"/>
  <c r="BV9"/>
  <c r="DI9"/>
  <c r="DL9" s="1"/>
  <c r="BY9"/>
  <c r="BZ9" s="1"/>
  <c r="EA9"/>
  <c r="CT9"/>
  <c r="BU9"/>
  <c r="DL105"/>
  <c r="DL101"/>
  <c r="CA98"/>
  <c r="DL106"/>
  <c r="DW106"/>
  <c r="AY105"/>
  <c r="AZ105" s="1"/>
  <c r="DG105" s="1"/>
  <c r="DW92"/>
  <c r="AE87"/>
  <c r="Y7"/>
  <c r="DW89"/>
  <c r="DL75"/>
  <c r="AE81"/>
  <c r="AE80"/>
  <c r="CB87"/>
  <c r="DW85"/>
  <c r="CB84"/>
  <c r="CB83"/>
  <c r="CB82"/>
  <c r="CB79"/>
  <c r="CA62"/>
  <c r="AY59"/>
  <c r="AZ59" s="1"/>
  <c r="DG59" s="1"/>
  <c r="CA63"/>
  <c r="CA60"/>
  <c r="AE52"/>
  <c r="DL35"/>
  <c r="DL54"/>
  <c r="DL51"/>
  <c r="DL25"/>
  <c r="CA57"/>
  <c r="CA56"/>
  <c r="CA55"/>
  <c r="AE54"/>
  <c r="AE53"/>
  <c r="AE25"/>
  <c r="AB7"/>
  <c r="CB52"/>
  <c r="CB33"/>
  <c r="DL16"/>
  <c r="DL12"/>
  <c r="AE8"/>
  <c r="AE13"/>
  <c r="DE7"/>
  <c r="AW7"/>
  <c r="AP7" i="19"/>
  <c r="DO160"/>
  <c r="CV27"/>
  <c r="CV28"/>
  <c r="AW40"/>
  <c r="DE40"/>
  <c r="BQ41"/>
  <c r="CU61"/>
  <c r="BQ61"/>
  <c r="DE61"/>
  <c r="AW62"/>
  <c r="AW63"/>
  <c r="CU66"/>
  <c r="CU68"/>
  <c r="BQ68"/>
  <c r="DE68"/>
  <c r="CU70"/>
  <c r="BQ70"/>
  <c r="DE70"/>
  <c r="CV97"/>
  <c r="BQ97"/>
  <c r="AW98"/>
  <c r="AX98" s="1"/>
  <c r="CV98"/>
  <c r="AW99"/>
  <c r="AW100"/>
  <c r="AW101"/>
  <c r="AE102"/>
  <c r="CU16"/>
  <c r="BQ16"/>
  <c r="DE16"/>
  <c r="CU18"/>
  <c r="BQ19"/>
  <c r="DE19"/>
  <c r="AE85"/>
  <c r="AE92"/>
  <c r="AW8"/>
  <c r="AW9"/>
  <c r="CU13"/>
  <c r="AW14"/>
  <c r="DE14"/>
  <c r="CU17"/>
  <c r="DE17"/>
  <c r="AE83"/>
  <c r="CU83"/>
  <c r="DE83"/>
  <c r="CU85"/>
  <c r="BQ85"/>
  <c r="BR85" s="1"/>
  <c r="W86"/>
  <c r="AW89"/>
  <c r="AD89"/>
  <c r="DZ89" s="1"/>
  <c r="CV90"/>
  <c r="AW91"/>
  <c r="CU92"/>
  <c r="BQ92"/>
  <c r="DE92"/>
  <c r="CV96"/>
  <c r="BQ96"/>
  <c r="CU99"/>
  <c r="AW102"/>
  <c r="AD102"/>
  <c r="DZ102" s="1"/>
  <c r="CU23"/>
  <c r="AW25"/>
  <c r="AW27"/>
  <c r="DE27"/>
  <c r="AW28"/>
  <c r="DE28"/>
  <c r="BQ29"/>
  <c r="DE29"/>
  <c r="CV34"/>
  <c r="BQ34"/>
  <c r="AW35"/>
  <c r="DE35"/>
  <c r="CV37"/>
  <c r="BQ37"/>
  <c r="AW38"/>
  <c r="DE38"/>
  <c r="CV39"/>
  <c r="BQ39"/>
  <c r="CV40"/>
  <c r="CV42"/>
  <c r="BQ42"/>
  <c r="AW45"/>
  <c r="DE45"/>
  <c r="CV47"/>
  <c r="BQ47"/>
  <c r="CV48"/>
  <c r="BQ48"/>
  <c r="DE49"/>
  <c r="CV50"/>
  <c r="BQ50"/>
  <c r="CU60"/>
  <c r="CU65"/>
  <c r="BQ65"/>
  <c r="DE65"/>
  <c r="AW66"/>
  <c r="CU67"/>
  <c r="BQ67"/>
  <c r="DE67"/>
  <c r="BQ86"/>
  <c r="BR86" s="1"/>
  <c r="AE78"/>
  <c r="AW49"/>
  <c r="CV43"/>
  <c r="CV33"/>
  <c r="BQ23"/>
  <c r="CJ7"/>
  <c r="BQ17"/>
  <c r="CQ7"/>
  <c r="CV89"/>
  <c r="DZ26"/>
  <c r="AE75"/>
  <c r="CU75"/>
  <c r="DE75"/>
  <c r="BQ76"/>
  <c r="AE77"/>
  <c r="CU77"/>
  <c r="DE77"/>
  <c r="BQ80"/>
  <c r="AE81"/>
  <c r="CU81"/>
  <c r="DE81"/>
  <c r="CU82"/>
  <c r="DE82"/>
  <c r="AE84"/>
  <c r="CU84"/>
  <c r="DE84"/>
  <c r="AW85"/>
  <c r="CU9"/>
  <c r="BQ9"/>
  <c r="CA9" s="1"/>
  <c r="DE9"/>
  <c r="AW10"/>
  <c r="BQ11"/>
  <c r="AW13"/>
  <c r="AL14"/>
  <c r="DF14" s="1"/>
  <c r="BQ14"/>
  <c r="AW16"/>
  <c r="CA16" s="1"/>
  <c r="BQ18"/>
  <c r="DE18"/>
  <c r="BQ20"/>
  <c r="BQ22"/>
  <c r="AW24"/>
  <c r="AC26"/>
  <c r="CU26" s="1"/>
  <c r="AW26"/>
  <c r="AL27"/>
  <c r="DF27" s="1"/>
  <c r="BQ27"/>
  <c r="AW30"/>
  <c r="AX30" s="1"/>
  <c r="CU31"/>
  <c r="BQ31"/>
  <c r="AL32"/>
  <c r="DF32" s="1"/>
  <c r="BQ32"/>
  <c r="AK34"/>
  <c r="AL34" s="1"/>
  <c r="AW34"/>
  <c r="DE34"/>
  <c r="AL35"/>
  <c r="DF35" s="1"/>
  <c r="BQ35"/>
  <c r="BQ36"/>
  <c r="AW37"/>
  <c r="DE37"/>
  <c r="AK42"/>
  <c r="AL42" s="1"/>
  <c r="AW42"/>
  <c r="DE42"/>
  <c r="AW43"/>
  <c r="DE43"/>
  <c r="CV44"/>
  <c r="BQ44"/>
  <c r="AL45"/>
  <c r="DF45" s="1"/>
  <c r="BQ45"/>
  <c r="AK47"/>
  <c r="AL47" s="1"/>
  <c r="AW47"/>
  <c r="DE47"/>
  <c r="AK51"/>
  <c r="AL51" s="1"/>
  <c r="AW51"/>
  <c r="DE51"/>
  <c r="AL52"/>
  <c r="BQ52"/>
  <c r="BQ56"/>
  <c r="AW57"/>
  <c r="DE57"/>
  <c r="CV58"/>
  <c r="BQ58"/>
  <c r="AL59"/>
  <c r="DF59" s="1"/>
  <c r="BQ59"/>
  <c r="AW60"/>
  <c r="AE61"/>
  <c r="Y63"/>
  <c r="AE63" s="1"/>
  <c r="CU63"/>
  <c r="BQ63"/>
  <c r="DE63"/>
  <c r="BQ64"/>
  <c r="DE64"/>
  <c r="BQ66"/>
  <c r="AW67"/>
  <c r="BQ69"/>
  <c r="AW70"/>
  <c r="BQ72"/>
  <c r="AE73"/>
  <c r="CU73"/>
  <c r="DE73"/>
  <c r="AL79"/>
  <c r="DF79" s="1"/>
  <c r="BQ79"/>
  <c r="CA85"/>
  <c r="AE86"/>
  <c r="CV87"/>
  <c r="AC88"/>
  <c r="CU88" s="1"/>
  <c r="BQ89"/>
  <c r="CA89" s="1"/>
  <c r="AE90"/>
  <c r="CU90"/>
  <c r="AL90"/>
  <c r="DF90" s="1"/>
  <c r="AW90"/>
  <c r="BF90"/>
  <c r="BQ90"/>
  <c r="DE90"/>
  <c r="CU91"/>
  <c r="BQ91"/>
  <c r="DE91"/>
  <c r="AW92"/>
  <c r="CA92" s="1"/>
  <c r="BQ93"/>
  <c r="AL95"/>
  <c r="DF95" s="1"/>
  <c r="BQ95"/>
  <c r="AK96"/>
  <c r="AL96" s="1"/>
  <c r="AW96"/>
  <c r="DE96"/>
  <c r="AK97"/>
  <c r="AL97" s="1"/>
  <c r="AW97"/>
  <c r="DE97"/>
  <c r="BQ98"/>
  <c r="CA98" s="1"/>
  <c r="BQ99"/>
  <c r="CA99" s="1"/>
  <c r="DE99"/>
  <c r="CU100"/>
  <c r="BQ100"/>
  <c r="CA100" s="1"/>
  <c r="DE100"/>
  <c r="CU101"/>
  <c r="BQ101"/>
  <c r="CA101" s="1"/>
  <c r="DE101"/>
  <c r="BQ102"/>
  <c r="CA102" s="1"/>
  <c r="DE102"/>
  <c r="AW103"/>
  <c r="DE103"/>
  <c r="CV104"/>
  <c r="BQ104"/>
  <c r="AW105"/>
  <c r="DE105"/>
  <c r="AW106"/>
  <c r="CA106" s="1"/>
  <c r="DE106"/>
  <c r="BR71"/>
  <c r="CU12"/>
  <c r="AJ7"/>
  <c r="AU7"/>
  <c r="BJ7"/>
  <c r="BQ12"/>
  <c r="DE12"/>
  <c r="BP7"/>
  <c r="CR7"/>
  <c r="AL103"/>
  <c r="DF103" s="1"/>
  <c r="AW104"/>
  <c r="DE104"/>
  <c r="BQ105"/>
  <c r="AL104"/>
  <c r="DF104" s="1"/>
  <c r="AW93"/>
  <c r="AW94"/>
  <c r="DE94"/>
  <c r="AW86"/>
  <c r="CA86" s="1"/>
  <c r="AC87"/>
  <c r="CU87" s="1"/>
  <c r="AE80"/>
  <c r="CU80"/>
  <c r="DE80"/>
  <c r="BQ81"/>
  <c r="BQ82"/>
  <c r="BQ84"/>
  <c r="AL83"/>
  <c r="DF83" s="1"/>
  <c r="BQ83"/>
  <c r="BQ78"/>
  <c r="DE78"/>
  <c r="AK72"/>
  <c r="AL72" s="1"/>
  <c r="DF72" s="1"/>
  <c r="CU72"/>
  <c r="DE72"/>
  <c r="BQ73"/>
  <c r="AE74"/>
  <c r="CU74"/>
  <c r="DE74"/>
  <c r="AL75"/>
  <c r="BQ75"/>
  <c r="AE76"/>
  <c r="CU76"/>
  <c r="DE76"/>
  <c r="BQ77"/>
  <c r="AW68"/>
  <c r="AW69"/>
  <c r="DE69"/>
  <c r="AW64"/>
  <c r="AW65"/>
  <c r="AX65" s="1"/>
  <c r="DE66"/>
  <c r="BQ62"/>
  <c r="CA62" s="1"/>
  <c r="DE62"/>
  <c r="BQ60"/>
  <c r="CA60" s="1"/>
  <c r="DE60"/>
  <c r="AW61"/>
  <c r="CA61" s="1"/>
  <c r="AW53"/>
  <c r="DE53"/>
  <c r="AL54"/>
  <c r="AY54" s="1"/>
  <c r="AZ54" s="1"/>
  <c r="DG54" s="1"/>
  <c r="BQ54"/>
  <c r="BR55"/>
  <c r="AD55"/>
  <c r="AW56"/>
  <c r="DE56"/>
  <c r="AL57"/>
  <c r="BQ57"/>
  <c r="AW58"/>
  <c r="DE58"/>
  <c r="AL53"/>
  <c r="DF53" s="1"/>
  <c r="AL56"/>
  <c r="AK48"/>
  <c r="AL48" s="1"/>
  <c r="AW48"/>
  <c r="DE48"/>
  <c r="BQ49"/>
  <c r="BR49" s="1"/>
  <c r="AW50"/>
  <c r="DE50"/>
  <c r="AW46"/>
  <c r="CA46" s="1"/>
  <c r="DE46"/>
  <c r="BQ43"/>
  <c r="CA43" s="1"/>
  <c r="AW44"/>
  <c r="DE44"/>
  <c r="AW36"/>
  <c r="DE36"/>
  <c r="AL37"/>
  <c r="DF37" s="1"/>
  <c r="AL38"/>
  <c r="DF38" s="1"/>
  <c r="BQ38"/>
  <c r="AK39"/>
  <c r="AL39" s="1"/>
  <c r="AW39"/>
  <c r="DE39"/>
  <c r="BQ40"/>
  <c r="CA40" s="1"/>
  <c r="AK41"/>
  <c r="AL41" s="1"/>
  <c r="AW41"/>
  <c r="DE41"/>
  <c r="AW33"/>
  <c r="CA33" s="1"/>
  <c r="DE33"/>
  <c r="CU30"/>
  <c r="BQ30"/>
  <c r="DE30"/>
  <c r="BQ28"/>
  <c r="CA28" s="1"/>
  <c r="AW29"/>
  <c r="AD25"/>
  <c r="BN7"/>
  <c r="CY7"/>
  <c r="AW17"/>
  <c r="CA17" s="1"/>
  <c r="AW18"/>
  <c r="CA18" s="1"/>
  <c r="AW19"/>
  <c r="CA19" s="1"/>
  <c r="AK20"/>
  <c r="AL20" s="1"/>
  <c r="AW20"/>
  <c r="AX20" s="1"/>
  <c r="DE20"/>
  <c r="BQ21"/>
  <c r="BR21" s="1"/>
  <c r="CV22"/>
  <c r="CV23"/>
  <c r="CU24"/>
  <c r="BQ24"/>
  <c r="DE24"/>
  <c r="CU25"/>
  <c r="BQ25"/>
  <c r="DE25"/>
  <c r="AE15"/>
  <c r="BQ15"/>
  <c r="CA15" s="1"/>
  <c r="DE15"/>
  <c r="BQ13"/>
  <c r="BR13" s="1"/>
  <c r="DE13"/>
  <c r="CU10"/>
  <c r="BQ10"/>
  <c r="DE10"/>
  <c r="AW11"/>
  <c r="CA11" s="1"/>
  <c r="EC11" s="1"/>
  <c r="DE11"/>
  <c r="CU8"/>
  <c r="BQ8"/>
  <c r="CA8" s="1"/>
  <c r="DE8"/>
  <c r="AX8"/>
  <c r="DZ8"/>
  <c r="CV8"/>
  <c r="AX9"/>
  <c r="DZ9"/>
  <c r="CV9"/>
  <c r="AX10"/>
  <c r="DZ10"/>
  <c r="CV10"/>
  <c r="AY14"/>
  <c r="AZ14" s="1"/>
  <c r="DG14" s="1"/>
  <c r="AX14"/>
  <c r="AX15"/>
  <c r="DZ15"/>
  <c r="CV15"/>
  <c r="AX16"/>
  <c r="DZ16"/>
  <c r="CV16"/>
  <c r="DZ17"/>
  <c r="CV17"/>
  <c r="AX18"/>
  <c r="DZ18"/>
  <c r="CV18"/>
  <c r="AX19"/>
  <c r="DZ19"/>
  <c r="CV19"/>
  <c r="S7"/>
  <c r="CA12"/>
  <c r="DZ11"/>
  <c r="CV11"/>
  <c r="AX12"/>
  <c r="DZ12"/>
  <c r="CV12"/>
  <c r="DZ13"/>
  <c r="CV13"/>
  <c r="BR14"/>
  <c r="CA14"/>
  <c r="BU15"/>
  <c r="EA15"/>
  <c r="CT15"/>
  <c r="DH15" s="1"/>
  <c r="DK15" s="1"/>
  <c r="CA20"/>
  <c r="BR20"/>
  <c r="AW23"/>
  <c r="CA23" s="1"/>
  <c r="X23"/>
  <c r="AE23" s="1"/>
  <c r="I26"/>
  <c r="Q26" s="1"/>
  <c r="BX26" s="1"/>
  <c r="G26"/>
  <c r="AY27"/>
  <c r="AZ27" s="1"/>
  <c r="DG27" s="1"/>
  <c r="AX27"/>
  <c r="BR28"/>
  <c r="AX29"/>
  <c r="DZ30"/>
  <c r="CV30"/>
  <c r="AX33"/>
  <c r="BR34"/>
  <c r="CA34"/>
  <c r="AY35"/>
  <c r="AZ35" s="1"/>
  <c r="DG35" s="1"/>
  <c r="AX35"/>
  <c r="BR36"/>
  <c r="CA36"/>
  <c r="AY37"/>
  <c r="AZ37" s="1"/>
  <c r="DG37" s="1"/>
  <c r="AX37"/>
  <c r="BR38"/>
  <c r="CA38"/>
  <c r="AX39"/>
  <c r="BR40"/>
  <c r="AX41"/>
  <c r="BR42"/>
  <c r="CA42"/>
  <c r="AX43"/>
  <c r="BR44"/>
  <c r="AY45"/>
  <c r="AZ45" s="1"/>
  <c r="DG45" s="1"/>
  <c r="AX45"/>
  <c r="BR47"/>
  <c r="CA47"/>
  <c r="AX48"/>
  <c r="AX50"/>
  <c r="BR51"/>
  <c r="CA51"/>
  <c r="AY52"/>
  <c r="AZ52" s="1"/>
  <c r="DG52" s="1"/>
  <c r="AX52"/>
  <c r="BR53"/>
  <c r="CA53"/>
  <c r="AX54"/>
  <c r="DZ55"/>
  <c r="CV55"/>
  <c r="X8"/>
  <c r="AE8" s="1"/>
  <c r="AK8"/>
  <c r="BR8"/>
  <c r="X9"/>
  <c r="AE9" s="1"/>
  <c r="AK9"/>
  <c r="AL9" s="1"/>
  <c r="BR9"/>
  <c r="CB9" s="1"/>
  <c r="X10"/>
  <c r="AE10" s="1"/>
  <c r="AK10"/>
  <c r="BR10"/>
  <c r="CB10" s="1"/>
  <c r="X11"/>
  <c r="AE11" s="1"/>
  <c r="AK11"/>
  <c r="BR11"/>
  <c r="X12"/>
  <c r="AE12" s="1"/>
  <c r="AK12"/>
  <c r="AL12" s="1"/>
  <c r="BR12"/>
  <c r="X13"/>
  <c r="AE13" s="1"/>
  <c r="AK13"/>
  <c r="AC14"/>
  <c r="BE14"/>
  <c r="BF14" s="1"/>
  <c r="DZ14"/>
  <c r="AK15"/>
  <c r="BR15"/>
  <c r="CB15" s="1"/>
  <c r="X16"/>
  <c r="AE16" s="1"/>
  <c r="AK16"/>
  <c r="AL16" s="1"/>
  <c r="BR16"/>
  <c r="CB16" s="1"/>
  <c r="X17"/>
  <c r="AE17" s="1"/>
  <c r="AK17"/>
  <c r="BR17"/>
  <c r="X18"/>
  <c r="AE18" s="1"/>
  <c r="AK18"/>
  <c r="BR18"/>
  <c r="CB18" s="1"/>
  <c r="X19"/>
  <c r="AE19" s="1"/>
  <c r="AK19"/>
  <c r="BR19"/>
  <c r="CB19" s="1"/>
  <c r="AC20"/>
  <c r="CU20" s="1"/>
  <c r="BE20"/>
  <c r="BF20" s="1"/>
  <c r="X21"/>
  <c r="AE21" s="1"/>
  <c r="CU21"/>
  <c r="AW21"/>
  <c r="CV21"/>
  <c r="BR22"/>
  <c r="AC22"/>
  <c r="CU22" s="1"/>
  <c r="AL22"/>
  <c r="DF22" s="1"/>
  <c r="BE22"/>
  <c r="DZ22"/>
  <c r="DE23"/>
  <c r="CA24"/>
  <c r="CA25"/>
  <c r="CA26"/>
  <c r="CA31"/>
  <c r="CA32"/>
  <c r="AW22"/>
  <c r="CA22" s="1"/>
  <c r="X22"/>
  <c r="AX24"/>
  <c r="DZ24"/>
  <c r="CV24"/>
  <c r="AX25"/>
  <c r="DZ25"/>
  <c r="CV25"/>
  <c r="AX26"/>
  <c r="BR27"/>
  <c r="CA27"/>
  <c r="AX28"/>
  <c r="BR29"/>
  <c r="CB29" s="1"/>
  <c r="CA29"/>
  <c r="EC29" s="1"/>
  <c r="AX31"/>
  <c r="DZ31"/>
  <c r="CV31"/>
  <c r="AY32"/>
  <c r="AZ32" s="1"/>
  <c r="DG32" s="1"/>
  <c r="AX32"/>
  <c r="BR33"/>
  <c r="AX34"/>
  <c r="BR35"/>
  <c r="CB35" s="1"/>
  <c r="CA35"/>
  <c r="AX36"/>
  <c r="BR37"/>
  <c r="CB37" s="1"/>
  <c r="CA37"/>
  <c r="AX38"/>
  <c r="BR39"/>
  <c r="CA39"/>
  <c r="AX40"/>
  <c r="BR41"/>
  <c r="CB41" s="1"/>
  <c r="CA41"/>
  <c r="AX42"/>
  <c r="BR43"/>
  <c r="AX44"/>
  <c r="BR45"/>
  <c r="CB45" s="1"/>
  <c r="CA45"/>
  <c r="AX47"/>
  <c r="BR48"/>
  <c r="CB48" s="1"/>
  <c r="CA48"/>
  <c r="AX49"/>
  <c r="BR50"/>
  <c r="CA50"/>
  <c r="AX51"/>
  <c r="DF52"/>
  <c r="BR52"/>
  <c r="CB52" s="1"/>
  <c r="CA52"/>
  <c r="AY53"/>
  <c r="AZ53" s="1"/>
  <c r="DG53" s="1"/>
  <c r="AX53"/>
  <c r="DF54"/>
  <c r="BR54"/>
  <c r="CB54" s="1"/>
  <c r="CA54"/>
  <c r="BE8"/>
  <c r="BE9"/>
  <c r="BF9" s="1"/>
  <c r="BE10"/>
  <c r="BE11"/>
  <c r="BE12"/>
  <c r="BF12" s="1"/>
  <c r="BE13"/>
  <c r="BE15"/>
  <c r="BE16"/>
  <c r="BF16" s="1"/>
  <c r="BE17"/>
  <c r="BE18"/>
  <c r="BE19"/>
  <c r="BF19" s="1"/>
  <c r="CV20"/>
  <c r="DE22"/>
  <c r="BR23"/>
  <c r="BE23"/>
  <c r="CV56"/>
  <c r="DZ56"/>
  <c r="DF56"/>
  <c r="BR56"/>
  <c r="CA56"/>
  <c r="AY57"/>
  <c r="AZ57" s="1"/>
  <c r="DG57" s="1"/>
  <c r="AX57"/>
  <c r="BR58"/>
  <c r="CA58"/>
  <c r="AY59"/>
  <c r="AZ59" s="1"/>
  <c r="DG59" s="1"/>
  <c r="AX59"/>
  <c r="DZ61"/>
  <c r="CV61"/>
  <c r="AX62"/>
  <c r="DZ62"/>
  <c r="CV62"/>
  <c r="BE21"/>
  <c r="DE21"/>
  <c r="X24"/>
  <c r="AE24" s="1"/>
  <c r="AK24"/>
  <c r="BR24"/>
  <c r="X25"/>
  <c r="AE25" s="1"/>
  <c r="AK25"/>
  <c r="AL25" s="1"/>
  <c r="BR25"/>
  <c r="CB25" s="1"/>
  <c r="AK26"/>
  <c r="AL26" s="1"/>
  <c r="BE26"/>
  <c r="BF26" s="1"/>
  <c r="BR26"/>
  <c r="AC27"/>
  <c r="CU27" s="1"/>
  <c r="BE27"/>
  <c r="BF27" s="1"/>
  <c r="DZ27"/>
  <c r="AC28"/>
  <c r="CU28" s="1"/>
  <c r="BE28"/>
  <c r="DZ28"/>
  <c r="AC29"/>
  <c r="CU29" s="1"/>
  <c r="BE29"/>
  <c r="CG29"/>
  <c r="CH29" s="1"/>
  <c r="DZ29"/>
  <c r="X30"/>
  <c r="AE30" s="1"/>
  <c r="AK30"/>
  <c r="BR30"/>
  <c r="AB31"/>
  <c r="AK31"/>
  <c r="AL31" s="1"/>
  <c r="BR31"/>
  <c r="AA32"/>
  <c r="AC32"/>
  <c r="CU32" s="1"/>
  <c r="DZ32"/>
  <c r="AC33"/>
  <c r="CU33" s="1"/>
  <c r="BE33"/>
  <c r="DZ33"/>
  <c r="AC34"/>
  <c r="CU34" s="1"/>
  <c r="BE34"/>
  <c r="BF34" s="1"/>
  <c r="DZ34"/>
  <c r="AC35"/>
  <c r="CU35" s="1"/>
  <c r="BE35"/>
  <c r="BF35" s="1"/>
  <c r="DZ35"/>
  <c r="AC36"/>
  <c r="CU36" s="1"/>
  <c r="BE36"/>
  <c r="BF36" s="1"/>
  <c r="DZ36"/>
  <c r="AC37"/>
  <c r="CU37" s="1"/>
  <c r="BE37"/>
  <c r="BF37" s="1"/>
  <c r="DZ37"/>
  <c r="AC38"/>
  <c r="CU38" s="1"/>
  <c r="BE38"/>
  <c r="BF38" s="1"/>
  <c r="DZ38"/>
  <c r="AC39"/>
  <c r="CU39" s="1"/>
  <c r="BE39"/>
  <c r="BF39" s="1"/>
  <c r="DZ39"/>
  <c r="AC40"/>
  <c r="CU40" s="1"/>
  <c r="BE40"/>
  <c r="DZ40"/>
  <c r="AC41"/>
  <c r="CU41" s="1"/>
  <c r="BE41"/>
  <c r="BF41" s="1"/>
  <c r="DZ41"/>
  <c r="AC42"/>
  <c r="CU42" s="1"/>
  <c r="BE42"/>
  <c r="BF42" s="1"/>
  <c r="BS42" s="1"/>
  <c r="DZ42"/>
  <c r="AC43"/>
  <c r="CU43" s="1"/>
  <c r="BE43"/>
  <c r="DZ43"/>
  <c r="AC44"/>
  <c r="CU44" s="1"/>
  <c r="BE44"/>
  <c r="DZ44"/>
  <c r="AC45"/>
  <c r="CU45" s="1"/>
  <c r="BE45"/>
  <c r="BF45" s="1"/>
  <c r="DZ45"/>
  <c r="AA46"/>
  <c r="AC46"/>
  <c r="CU46" s="1"/>
  <c r="DZ46"/>
  <c r="AC47"/>
  <c r="CU47" s="1"/>
  <c r="BE47"/>
  <c r="BF47" s="1"/>
  <c r="DZ47"/>
  <c r="AC48"/>
  <c r="CU48" s="1"/>
  <c r="BE48"/>
  <c r="BF48" s="1"/>
  <c r="DZ48"/>
  <c r="AC49"/>
  <c r="CU49" s="1"/>
  <c r="BE49"/>
  <c r="DZ49"/>
  <c r="AC50"/>
  <c r="CU50" s="1"/>
  <c r="BE50"/>
  <c r="DZ50"/>
  <c r="AC51"/>
  <c r="CU51" s="1"/>
  <c r="BE51"/>
  <c r="BF51" s="1"/>
  <c r="DZ51"/>
  <c r="AC52"/>
  <c r="CU52" s="1"/>
  <c r="BE52"/>
  <c r="BF52" s="1"/>
  <c r="DZ52"/>
  <c r="AC53"/>
  <c r="CU53" s="1"/>
  <c r="BE53"/>
  <c r="BF53" s="1"/>
  <c r="BS53" s="1"/>
  <c r="DZ53"/>
  <c r="AC54"/>
  <c r="CU54" s="1"/>
  <c r="BE54"/>
  <c r="BF54" s="1"/>
  <c r="DE54"/>
  <c r="AE55"/>
  <c r="CU55"/>
  <c r="AW55"/>
  <c r="CA55" s="1"/>
  <c r="DE55"/>
  <c r="CA63"/>
  <c r="CA65"/>
  <c r="CA66"/>
  <c r="CA67"/>
  <c r="CA68"/>
  <c r="CA70"/>
  <c r="AY56"/>
  <c r="AZ56" s="1"/>
  <c r="DG56" s="1"/>
  <c r="AX56"/>
  <c r="DF57"/>
  <c r="BR57"/>
  <c r="CA57"/>
  <c r="AX58"/>
  <c r="BR59"/>
  <c r="CA59"/>
  <c r="AX60"/>
  <c r="DZ60"/>
  <c r="CV60"/>
  <c r="BU61"/>
  <c r="EA61"/>
  <c r="CT61"/>
  <c r="DH61" s="1"/>
  <c r="DK61" s="1"/>
  <c r="AX63"/>
  <c r="DZ63"/>
  <c r="CV63"/>
  <c r="AX64"/>
  <c r="DZ64"/>
  <c r="CV64"/>
  <c r="DZ65"/>
  <c r="CV65"/>
  <c r="AX66"/>
  <c r="DZ66"/>
  <c r="CV66"/>
  <c r="AX67"/>
  <c r="DZ67"/>
  <c r="CV67"/>
  <c r="AX68"/>
  <c r="DZ68"/>
  <c r="CV68"/>
  <c r="AX69"/>
  <c r="DZ69"/>
  <c r="CV69"/>
  <c r="AX70"/>
  <c r="DZ70"/>
  <c r="CV70"/>
  <c r="BE24"/>
  <c r="BE25"/>
  <c r="BF25" s="1"/>
  <c r="BE30"/>
  <c r="BE31"/>
  <c r="BF31" s="1"/>
  <c r="DE31"/>
  <c r="DZ54"/>
  <c r="DZ72"/>
  <c r="CV72"/>
  <c r="BR72"/>
  <c r="BU73"/>
  <c r="EA73"/>
  <c r="CT73"/>
  <c r="DH73" s="1"/>
  <c r="DK73" s="1"/>
  <c r="BR74"/>
  <c r="BU75"/>
  <c r="EA75"/>
  <c r="CT75"/>
  <c r="DH75" s="1"/>
  <c r="DK75" s="1"/>
  <c r="BR76"/>
  <c r="BU77"/>
  <c r="EA77"/>
  <c r="CT77"/>
  <c r="DH77" s="1"/>
  <c r="DK77" s="1"/>
  <c r="BR78"/>
  <c r="BR79"/>
  <c r="BU80"/>
  <c r="BR81"/>
  <c r="BR82"/>
  <c r="BU83"/>
  <c r="EA83"/>
  <c r="CT83"/>
  <c r="DH83" s="1"/>
  <c r="DK83" s="1"/>
  <c r="BR84"/>
  <c r="AX85"/>
  <c r="CV85"/>
  <c r="DZ85"/>
  <c r="EA89"/>
  <c r="CT89"/>
  <c r="DH89" s="1"/>
  <c r="BU89"/>
  <c r="AX89"/>
  <c r="BE55"/>
  <c r="AC56"/>
  <c r="CU56" s="1"/>
  <c r="BE56"/>
  <c r="BF56" s="1"/>
  <c r="AC57"/>
  <c r="CU57" s="1"/>
  <c r="BE57"/>
  <c r="BF57" s="1"/>
  <c r="DZ57"/>
  <c r="AC58"/>
  <c r="CU58" s="1"/>
  <c r="BE58"/>
  <c r="DZ58"/>
  <c r="AC59"/>
  <c r="CU59" s="1"/>
  <c r="BE59"/>
  <c r="BF59" s="1"/>
  <c r="DZ59"/>
  <c r="Z60"/>
  <c r="Z7" s="1"/>
  <c r="AK60"/>
  <c r="BR60"/>
  <c r="AK61"/>
  <c r="AL61" s="1"/>
  <c r="DF61" s="1"/>
  <c r="BR61"/>
  <c r="AB62"/>
  <c r="AE62" s="1"/>
  <c r="AK62"/>
  <c r="AL62" s="1"/>
  <c r="BR62"/>
  <c r="AK63"/>
  <c r="AL63" s="1"/>
  <c r="BR63"/>
  <c r="CB63" s="1"/>
  <c r="AB64"/>
  <c r="AE64" s="1"/>
  <c r="AK64"/>
  <c r="BR64"/>
  <c r="CB64" s="1"/>
  <c r="AB65"/>
  <c r="AE65" s="1"/>
  <c r="AK65"/>
  <c r="AL65" s="1"/>
  <c r="BR65"/>
  <c r="AB66"/>
  <c r="AE66" s="1"/>
  <c r="AK66"/>
  <c r="BR66"/>
  <c r="X67"/>
  <c r="AE67" s="1"/>
  <c r="AK67"/>
  <c r="AL67" s="1"/>
  <c r="BR67"/>
  <c r="CB67" s="1"/>
  <c r="AB68"/>
  <c r="AE68" s="1"/>
  <c r="AK68"/>
  <c r="BR68"/>
  <c r="AB69"/>
  <c r="AE69" s="1"/>
  <c r="AK69"/>
  <c r="BR69"/>
  <c r="X70"/>
  <c r="AE70" s="1"/>
  <c r="AK70"/>
  <c r="AL70" s="1"/>
  <c r="BR70"/>
  <c r="CB70" s="1"/>
  <c r="X71"/>
  <c r="AE71" s="1"/>
  <c r="AL71"/>
  <c r="DF71" s="1"/>
  <c r="CU71"/>
  <c r="AW71"/>
  <c r="DE71"/>
  <c r="CV71"/>
  <c r="AE72"/>
  <c r="BR73"/>
  <c r="BU74"/>
  <c r="EA74"/>
  <c r="CT74"/>
  <c r="DH74" s="1"/>
  <c r="DK74" s="1"/>
  <c r="DF75"/>
  <c r="BR75"/>
  <c r="CT76"/>
  <c r="DH76" s="1"/>
  <c r="DK76" s="1"/>
  <c r="BR77"/>
  <c r="BU78"/>
  <c r="CT78"/>
  <c r="DH78" s="1"/>
  <c r="DK78" s="1"/>
  <c r="BU79"/>
  <c r="EA79"/>
  <c r="CT79"/>
  <c r="DH79" s="1"/>
  <c r="DK79" s="1"/>
  <c r="BR80"/>
  <c r="EA81"/>
  <c r="BR83"/>
  <c r="BU84"/>
  <c r="EA84"/>
  <c r="CT84"/>
  <c r="DH84" s="1"/>
  <c r="DK84" s="1"/>
  <c r="EA85"/>
  <c r="CT85"/>
  <c r="DH85" s="1"/>
  <c r="BU85"/>
  <c r="AX86"/>
  <c r="CV86"/>
  <c r="DZ86"/>
  <c r="I89"/>
  <c r="Q89" s="1"/>
  <c r="BX89" s="1"/>
  <c r="G89"/>
  <c r="BE60"/>
  <c r="BE61"/>
  <c r="BF61" s="1"/>
  <c r="BE62"/>
  <c r="BF62" s="1"/>
  <c r="BE63"/>
  <c r="BF63" s="1"/>
  <c r="BE64"/>
  <c r="BE65"/>
  <c r="BF65" s="1"/>
  <c r="BE66"/>
  <c r="BE67"/>
  <c r="BF67" s="1"/>
  <c r="BE68"/>
  <c r="BE69"/>
  <c r="BE70"/>
  <c r="BF70" s="1"/>
  <c r="CA71"/>
  <c r="AW87"/>
  <c r="AB87"/>
  <c r="AE87" s="1"/>
  <c r="BR89"/>
  <c r="CB89" s="1"/>
  <c r="BE89"/>
  <c r="BF89" s="1"/>
  <c r="BS89" s="1"/>
  <c r="I90"/>
  <c r="Q90" s="1"/>
  <c r="BX90" s="1"/>
  <c r="G90"/>
  <c r="AX91"/>
  <c r="DZ91"/>
  <c r="CV91"/>
  <c r="BU92"/>
  <c r="EA92"/>
  <c r="CT92"/>
  <c r="DH92" s="1"/>
  <c r="DK92" s="1"/>
  <c r="AX93"/>
  <c r="DZ93"/>
  <c r="CV93"/>
  <c r="AX94"/>
  <c r="AY95"/>
  <c r="AZ95" s="1"/>
  <c r="DG95" s="1"/>
  <c r="AX95"/>
  <c r="BR96"/>
  <c r="CA96"/>
  <c r="BR97"/>
  <c r="CA97"/>
  <c r="AW72"/>
  <c r="CA72" s="1"/>
  <c r="AW73"/>
  <c r="CV73"/>
  <c r="DY73" s="1"/>
  <c r="AW74"/>
  <c r="CA74" s="1"/>
  <c r="CV74"/>
  <c r="AW75"/>
  <c r="CV75"/>
  <c r="DY75" s="1"/>
  <c r="AW76"/>
  <c r="CA76" s="1"/>
  <c r="CV76"/>
  <c r="AW77"/>
  <c r="CV77"/>
  <c r="DY77" s="1"/>
  <c r="AW78"/>
  <c r="CA78" s="1"/>
  <c r="CV78"/>
  <c r="AW79"/>
  <c r="CV79"/>
  <c r="AW80"/>
  <c r="CA80" s="1"/>
  <c r="CV80"/>
  <c r="AW81"/>
  <c r="CV81"/>
  <c r="AW82"/>
  <c r="CV82"/>
  <c r="AW83"/>
  <c r="CV83"/>
  <c r="AW84"/>
  <c r="CA84" s="1"/>
  <c r="CV84"/>
  <c r="AL85"/>
  <c r="DF85" s="1"/>
  <c r="BE85"/>
  <c r="BF85" s="1"/>
  <c r="DE85"/>
  <c r="BE86"/>
  <c r="DE86"/>
  <c r="BQ87"/>
  <c r="DE87"/>
  <c r="BQ88"/>
  <c r="CA88" s="1"/>
  <c r="DE88"/>
  <c r="DE89"/>
  <c r="DK89" s="1"/>
  <c r="DY89"/>
  <c r="EA90"/>
  <c r="CT90"/>
  <c r="DH90" s="1"/>
  <c r="DK90" s="1"/>
  <c r="BU90"/>
  <c r="AX90"/>
  <c r="AY90"/>
  <c r="AZ90" s="1"/>
  <c r="DG90" s="1"/>
  <c r="BV90"/>
  <c r="DI90"/>
  <c r="BY90"/>
  <c r="BZ90" s="1"/>
  <c r="BR90"/>
  <c r="CA90"/>
  <c r="AX92"/>
  <c r="DZ92"/>
  <c r="CV92"/>
  <c r="EA93"/>
  <c r="BU93"/>
  <c r="CT93"/>
  <c r="DH93" s="1"/>
  <c r="BR94"/>
  <c r="CB94" s="1"/>
  <c r="CA94"/>
  <c r="BR95"/>
  <c r="CB95" s="1"/>
  <c r="CA95"/>
  <c r="AX96"/>
  <c r="AX97"/>
  <c r="BE71"/>
  <c r="BE72"/>
  <c r="BF72" s="1"/>
  <c r="BE73"/>
  <c r="BE74"/>
  <c r="BE75"/>
  <c r="BF75" s="1"/>
  <c r="BE76"/>
  <c r="BE77"/>
  <c r="BE78"/>
  <c r="CG78"/>
  <c r="CH78" s="1"/>
  <c r="BE79"/>
  <c r="BF79" s="1"/>
  <c r="BE80"/>
  <c r="BE81"/>
  <c r="Y82"/>
  <c r="Y7" s="1"/>
  <c r="BE82"/>
  <c r="BE83"/>
  <c r="BF83" s="1"/>
  <c r="BE84"/>
  <c r="BE87"/>
  <c r="DZ87"/>
  <c r="W88"/>
  <c r="BR88"/>
  <c r="AL88"/>
  <c r="DF88" s="1"/>
  <c r="AX88"/>
  <c r="BE88"/>
  <c r="BF88" s="1"/>
  <c r="DZ88"/>
  <c r="AL89"/>
  <c r="DF89" s="1"/>
  <c r="DL90"/>
  <c r="CA91"/>
  <c r="AX99"/>
  <c r="DZ99"/>
  <c r="CV99"/>
  <c r="AX100"/>
  <c r="DZ100"/>
  <c r="CV100"/>
  <c r="AX101"/>
  <c r="DZ101"/>
  <c r="CV101"/>
  <c r="BU102"/>
  <c r="EA102"/>
  <c r="CT102"/>
  <c r="DH102" s="1"/>
  <c r="AX102"/>
  <c r="BR103"/>
  <c r="CA103"/>
  <c r="AY104"/>
  <c r="AZ104" s="1"/>
  <c r="DG104" s="1"/>
  <c r="AX104"/>
  <c r="BR105"/>
  <c r="CA105"/>
  <c r="AX106"/>
  <c r="DZ106"/>
  <c r="CV106"/>
  <c r="DZ90"/>
  <c r="AB91"/>
  <c r="AE91" s="1"/>
  <c r="AK91"/>
  <c r="AL91" s="1"/>
  <c r="DF91" s="1"/>
  <c r="BR91"/>
  <c r="CB91" s="1"/>
  <c r="AK92"/>
  <c r="AL92" s="1"/>
  <c r="DF92" s="1"/>
  <c r="BR92"/>
  <c r="CB92" s="1"/>
  <c r="AK93"/>
  <c r="W94"/>
  <c r="AC94"/>
  <c r="CU94" s="1"/>
  <c r="BE94"/>
  <c r="BF94" s="1"/>
  <c r="DZ94"/>
  <c r="W95"/>
  <c r="AC95"/>
  <c r="CU95" s="1"/>
  <c r="BE95"/>
  <c r="BF95" s="1"/>
  <c r="DZ95"/>
  <c r="AC96"/>
  <c r="CU96" s="1"/>
  <c r="BE96"/>
  <c r="BF96" s="1"/>
  <c r="BS96" s="1"/>
  <c r="DZ96"/>
  <c r="W97"/>
  <c r="AC97"/>
  <c r="CU97" s="1"/>
  <c r="BE97"/>
  <c r="BF97" s="1"/>
  <c r="DZ97"/>
  <c r="BR98"/>
  <c r="CB98" s="1"/>
  <c r="AC98"/>
  <c r="CU98" s="1"/>
  <c r="AL98"/>
  <c r="BE98"/>
  <c r="BF98" s="1"/>
  <c r="DZ98"/>
  <c r="I102"/>
  <c r="Q102" s="1"/>
  <c r="BX102" s="1"/>
  <c r="G102"/>
  <c r="AY103"/>
  <c r="AZ103" s="1"/>
  <c r="DG103" s="1"/>
  <c r="AX103"/>
  <c r="BR104"/>
  <c r="CA104"/>
  <c r="AX105"/>
  <c r="BE91"/>
  <c r="BF91" s="1"/>
  <c r="BE92"/>
  <c r="BF92" s="1"/>
  <c r="BE93"/>
  <c r="DE93"/>
  <c r="AY98"/>
  <c r="AZ98" s="1"/>
  <c r="DG98" s="1"/>
  <c r="DE98"/>
  <c r="DK102"/>
  <c r="AB99"/>
  <c r="AE99" s="1"/>
  <c r="AK99"/>
  <c r="AL99" s="1"/>
  <c r="DF99" s="1"/>
  <c r="BR99"/>
  <c r="AB100"/>
  <c r="AE100" s="1"/>
  <c r="AK100"/>
  <c r="AL100" s="1"/>
  <c r="BR100"/>
  <c r="CB100" s="1"/>
  <c r="AB101"/>
  <c r="AE101" s="1"/>
  <c r="AK101"/>
  <c r="AL101" s="1"/>
  <c r="DF101" s="1"/>
  <c r="BR101"/>
  <c r="AK102"/>
  <c r="AL102" s="1"/>
  <c r="BE102"/>
  <c r="BF102" s="1"/>
  <c r="BR102"/>
  <c r="AC103"/>
  <c r="CU103" s="1"/>
  <c r="BE103"/>
  <c r="BF103" s="1"/>
  <c r="DZ103"/>
  <c r="AC104"/>
  <c r="CU104" s="1"/>
  <c r="BE104"/>
  <c r="BF104" s="1"/>
  <c r="DZ104"/>
  <c r="AC105"/>
  <c r="CU105" s="1"/>
  <c r="BE105"/>
  <c r="BF105" s="1"/>
  <c r="DZ105"/>
  <c r="X106"/>
  <c r="AE106" s="1"/>
  <c r="AH106"/>
  <c r="AK106"/>
  <c r="AL106" s="1"/>
  <c r="DF106" s="1"/>
  <c r="BR106"/>
  <c r="CB106" s="1"/>
  <c r="BE99"/>
  <c r="BF99" s="1"/>
  <c r="BE100"/>
  <c r="BE101"/>
  <c r="BF101" s="1"/>
  <c r="BE106"/>
  <c r="BF106" s="1"/>
  <c r="DN55" i="15"/>
  <c r="DN30"/>
  <c r="CH108"/>
  <c r="BZ108"/>
  <c r="AL108"/>
  <c r="CH107"/>
  <c r="BZ107"/>
  <c r="AL107"/>
  <c r="AK107"/>
  <c r="DO106"/>
  <c r="CZ106"/>
  <c r="CY106"/>
  <c r="S106" s="1"/>
  <c r="CS106"/>
  <c r="CR106"/>
  <c r="CQ106"/>
  <c r="BX106"/>
  <c r="CG106" s="1"/>
  <c r="CH106" s="1"/>
  <c r="BP106"/>
  <c r="BO106"/>
  <c r="BJ106"/>
  <c r="BD106"/>
  <c r="AV106"/>
  <c r="AD106" s="1"/>
  <c r="AU106"/>
  <c r="AC106" s="1"/>
  <c r="CU106" s="1"/>
  <c r="AP106"/>
  <c r="AJ106"/>
  <c r="AB106"/>
  <c r="AA106"/>
  <c r="Z106"/>
  <c r="Y106"/>
  <c r="W106"/>
  <c r="AG106"/>
  <c r="I106"/>
  <c r="H106"/>
  <c r="G106"/>
  <c r="DO105"/>
  <c r="CZ105"/>
  <c r="CY105"/>
  <c r="CS105"/>
  <c r="CR105"/>
  <c r="CQ105"/>
  <c r="BP105"/>
  <c r="BO105"/>
  <c r="BN105"/>
  <c r="BD105"/>
  <c r="AV105"/>
  <c r="AD105" s="1"/>
  <c r="AU105"/>
  <c r="AT105"/>
  <c r="AJ105"/>
  <c r="AK105" s="1"/>
  <c r="AC105"/>
  <c r="AA105"/>
  <c r="Z105"/>
  <c r="Y105"/>
  <c r="X105"/>
  <c r="W105"/>
  <c r="S105"/>
  <c r="I105"/>
  <c r="H105"/>
  <c r="G105"/>
  <c r="DO104"/>
  <c r="CZ104"/>
  <c r="CY104"/>
  <c r="S104" s="1"/>
  <c r="CS104"/>
  <c r="CR104"/>
  <c r="CQ104"/>
  <c r="BP104"/>
  <c r="BO104"/>
  <c r="BN104"/>
  <c r="BD104"/>
  <c r="AV104"/>
  <c r="AD104" s="1"/>
  <c r="AU104"/>
  <c r="AC104" s="1"/>
  <c r="AT104"/>
  <c r="AJ104"/>
  <c r="AK104" s="1"/>
  <c r="AA104"/>
  <c r="Z104"/>
  <c r="Y104"/>
  <c r="X104"/>
  <c r="W104"/>
  <c r="I104"/>
  <c r="H104"/>
  <c r="G104"/>
  <c r="DO103"/>
  <c r="CZ103"/>
  <c r="CY103"/>
  <c r="CS103"/>
  <c r="CR103"/>
  <c r="CQ103"/>
  <c r="BP103"/>
  <c r="BO103"/>
  <c r="BL103"/>
  <c r="BD103"/>
  <c r="AV103"/>
  <c r="AD103" s="1"/>
  <c r="CV103" s="1"/>
  <c r="AU103"/>
  <c r="AC103" s="1"/>
  <c r="AR103"/>
  <c r="AJ103"/>
  <c r="AK103" s="1"/>
  <c r="AB103"/>
  <c r="AA103"/>
  <c r="Z103"/>
  <c r="Y103"/>
  <c r="X103"/>
  <c r="W103"/>
  <c r="S103"/>
  <c r="I103"/>
  <c r="H103"/>
  <c r="G103"/>
  <c r="DO102"/>
  <c r="CZ102"/>
  <c r="CY102"/>
  <c r="S102" s="1"/>
  <c r="CS102"/>
  <c r="CR102"/>
  <c r="CQ102"/>
  <c r="BP102"/>
  <c r="BO102"/>
  <c r="BD102"/>
  <c r="AV102"/>
  <c r="AD102" s="1"/>
  <c r="DZ102" s="1"/>
  <c r="AU102"/>
  <c r="AJ102"/>
  <c r="AB102"/>
  <c r="AA102"/>
  <c r="Z102"/>
  <c r="Y102"/>
  <c r="X102"/>
  <c r="W102"/>
  <c r="H102"/>
  <c r="P102" s="1"/>
  <c r="DO101"/>
  <c r="CZ101"/>
  <c r="CY101"/>
  <c r="CS101"/>
  <c r="CR101"/>
  <c r="CQ101"/>
  <c r="BP101"/>
  <c r="BO101"/>
  <c r="BN101"/>
  <c r="BD101"/>
  <c r="AV101"/>
  <c r="AD101" s="1"/>
  <c r="AU101"/>
  <c r="AT101"/>
  <c r="AJ101"/>
  <c r="AC101"/>
  <c r="AA101"/>
  <c r="Z101"/>
  <c r="Y101"/>
  <c r="X101"/>
  <c r="W101"/>
  <c r="S101"/>
  <c r="I101"/>
  <c r="H101"/>
  <c r="G101"/>
  <c r="DO100"/>
  <c r="CZ100"/>
  <c r="CY100"/>
  <c r="S100" s="1"/>
  <c r="CS100"/>
  <c r="CR100"/>
  <c r="CQ100"/>
  <c r="BP100"/>
  <c r="BO100"/>
  <c r="BN100"/>
  <c r="BD100"/>
  <c r="AV100"/>
  <c r="AD100" s="1"/>
  <c r="DZ100" s="1"/>
  <c r="AU100"/>
  <c r="AT100"/>
  <c r="AJ100"/>
  <c r="AK100" s="1"/>
  <c r="AB100"/>
  <c r="AA100"/>
  <c r="Z100"/>
  <c r="Y100"/>
  <c r="X100"/>
  <c r="W100"/>
  <c r="I100"/>
  <c r="H100"/>
  <c r="G100"/>
  <c r="DO99"/>
  <c r="CZ99"/>
  <c r="CY99"/>
  <c r="S99" s="1"/>
  <c r="CS99"/>
  <c r="CR99"/>
  <c r="CQ99"/>
  <c r="BP99"/>
  <c r="BO99"/>
  <c r="BN99"/>
  <c r="BD99"/>
  <c r="AV99"/>
  <c r="AD99" s="1"/>
  <c r="DZ99" s="1"/>
  <c r="AU99"/>
  <c r="AC99" s="1"/>
  <c r="AT99"/>
  <c r="AJ99"/>
  <c r="AK99" s="1"/>
  <c r="AB99"/>
  <c r="AA99"/>
  <c r="Z99"/>
  <c r="Y99"/>
  <c r="X99"/>
  <c r="W99"/>
  <c r="I99"/>
  <c r="H99"/>
  <c r="G99"/>
  <c r="DO98"/>
  <c r="CZ98"/>
  <c r="CY98"/>
  <c r="CS98"/>
  <c r="CR98"/>
  <c r="CQ98"/>
  <c r="BP98"/>
  <c r="BO98"/>
  <c r="BN98"/>
  <c r="BD98"/>
  <c r="AV98"/>
  <c r="AD98" s="1"/>
  <c r="DZ98" s="1"/>
  <c r="AU98"/>
  <c r="AC98" s="1"/>
  <c r="AT98"/>
  <c r="AJ98"/>
  <c r="AK98" s="1"/>
  <c r="AB98"/>
  <c r="AA98"/>
  <c r="Z98"/>
  <c r="Y98"/>
  <c r="X98"/>
  <c r="W98"/>
  <c r="S98"/>
  <c r="I98"/>
  <c r="H98"/>
  <c r="G98"/>
  <c r="DO97"/>
  <c r="CZ97"/>
  <c r="CY97"/>
  <c r="CS97"/>
  <c r="CR97"/>
  <c r="CQ97"/>
  <c r="BP97"/>
  <c r="BO97"/>
  <c r="BI97"/>
  <c r="BD97"/>
  <c r="AV97"/>
  <c r="AD97" s="1"/>
  <c r="AU97"/>
  <c r="AO97"/>
  <c r="AJ97"/>
  <c r="AC97"/>
  <c r="AB97"/>
  <c r="AA97"/>
  <c r="Z97"/>
  <c r="Y97"/>
  <c r="X97"/>
  <c r="S97"/>
  <c r="I97"/>
  <c r="H97"/>
  <c r="G97"/>
  <c r="DO96"/>
  <c r="CZ96"/>
  <c r="CY96"/>
  <c r="CS96"/>
  <c r="CR96"/>
  <c r="CQ96"/>
  <c r="BP96"/>
  <c r="BO96"/>
  <c r="BJ96"/>
  <c r="BD96"/>
  <c r="AV96"/>
  <c r="AD96" s="1"/>
  <c r="AU96"/>
  <c r="AP96"/>
  <c r="AJ96"/>
  <c r="AC96"/>
  <c r="AB96"/>
  <c r="AA96"/>
  <c r="Z96"/>
  <c r="Y96"/>
  <c r="W96"/>
  <c r="S96"/>
  <c r="I96"/>
  <c r="H96"/>
  <c r="G96"/>
  <c r="DO95"/>
  <c r="CZ95"/>
  <c r="CY95"/>
  <c r="S95" s="1"/>
  <c r="CS95"/>
  <c r="CR95"/>
  <c r="CQ95"/>
  <c r="BP95"/>
  <c r="BO95"/>
  <c r="BI95"/>
  <c r="BD95"/>
  <c r="AV95"/>
  <c r="AD95" s="1"/>
  <c r="AU95"/>
  <c r="AO95"/>
  <c r="W95" s="1"/>
  <c r="AJ95"/>
  <c r="AC95"/>
  <c r="AB95"/>
  <c r="AA95"/>
  <c r="Z95"/>
  <c r="Y95"/>
  <c r="X95"/>
  <c r="I95"/>
  <c r="H95"/>
  <c r="G95"/>
  <c r="DO94"/>
  <c r="CZ94"/>
  <c r="CY94"/>
  <c r="S94" s="1"/>
  <c r="CS94"/>
  <c r="CR94"/>
  <c r="CQ94"/>
  <c r="BP94"/>
  <c r="BO94"/>
  <c r="BI94"/>
  <c r="BD94"/>
  <c r="AV94"/>
  <c r="AD94" s="1"/>
  <c r="AU94"/>
  <c r="AO94"/>
  <c r="AJ94"/>
  <c r="AC94"/>
  <c r="AB94"/>
  <c r="AA94"/>
  <c r="Z94"/>
  <c r="Y94"/>
  <c r="X94"/>
  <c r="I94"/>
  <c r="H94"/>
  <c r="G94"/>
  <c r="CZ93"/>
  <c r="CY93"/>
  <c r="S93" s="1"/>
  <c r="CS93"/>
  <c r="CR93"/>
  <c r="CQ93"/>
  <c r="BP93"/>
  <c r="BO93"/>
  <c r="BI93"/>
  <c r="BQ93" s="1"/>
  <c r="BD93"/>
  <c r="AV93"/>
  <c r="AD93" s="1"/>
  <c r="DZ93" s="1"/>
  <c r="AU93"/>
  <c r="AO93"/>
  <c r="W93" s="1"/>
  <c r="AJ93"/>
  <c r="AK93" s="1"/>
  <c r="AB93"/>
  <c r="AA93"/>
  <c r="Z93"/>
  <c r="Y93"/>
  <c r="X93"/>
  <c r="I93"/>
  <c r="H93"/>
  <c r="G93"/>
  <c r="DO92"/>
  <c r="CZ92"/>
  <c r="CY92"/>
  <c r="CS92"/>
  <c r="CR92"/>
  <c r="CQ92"/>
  <c r="BP92"/>
  <c r="BO92"/>
  <c r="BI92"/>
  <c r="BD92"/>
  <c r="AV92"/>
  <c r="AD92" s="1"/>
  <c r="CV92" s="1"/>
  <c r="AU92"/>
  <c r="AO92"/>
  <c r="AJ92"/>
  <c r="AK92" s="1"/>
  <c r="AB92"/>
  <c r="AA92"/>
  <c r="Z92"/>
  <c r="Y92"/>
  <c r="X92"/>
  <c r="S92"/>
  <c r="I92"/>
  <c r="H92"/>
  <c r="G92"/>
  <c r="DO91"/>
  <c r="CZ91"/>
  <c r="CY91"/>
  <c r="S91" s="1"/>
  <c r="CS91"/>
  <c r="CR91"/>
  <c r="CQ91"/>
  <c r="BP91"/>
  <c r="BO91"/>
  <c r="BN91"/>
  <c r="BD91"/>
  <c r="AV91"/>
  <c r="AD91" s="1"/>
  <c r="AU91"/>
  <c r="AT91"/>
  <c r="AJ91"/>
  <c r="AK91" s="1"/>
  <c r="AB91"/>
  <c r="AA91"/>
  <c r="Z91"/>
  <c r="Y91"/>
  <c r="X91"/>
  <c r="W91"/>
  <c r="I91"/>
  <c r="H91"/>
  <c r="G91"/>
  <c r="DO90"/>
  <c r="CZ90"/>
  <c r="CY90"/>
  <c r="CS90"/>
  <c r="CR90"/>
  <c r="CQ90"/>
  <c r="BP90"/>
  <c r="AD90" s="1"/>
  <c r="CV90" s="1"/>
  <c r="BO90"/>
  <c r="BD90"/>
  <c r="AV90"/>
  <c r="AU90"/>
  <c r="AJ90"/>
  <c r="AK90" s="1"/>
  <c r="AB90"/>
  <c r="AA90"/>
  <c r="Z90"/>
  <c r="Y90"/>
  <c r="X90"/>
  <c r="W90"/>
  <c r="S90"/>
  <c r="H90"/>
  <c r="P90" s="1"/>
  <c r="DO89"/>
  <c r="CZ89"/>
  <c r="CY89"/>
  <c r="S89" s="1"/>
  <c r="CS89"/>
  <c r="CR89"/>
  <c r="CQ89"/>
  <c r="BP89"/>
  <c r="BO89"/>
  <c r="BD89"/>
  <c r="AV89"/>
  <c r="AU89"/>
  <c r="AW89" s="1"/>
  <c r="AJ89"/>
  <c r="AK89" s="1"/>
  <c r="AD89"/>
  <c r="DZ89" s="1"/>
  <c r="AB89"/>
  <c r="AA89"/>
  <c r="Z89"/>
  <c r="Y89"/>
  <c r="X89"/>
  <c r="W89"/>
  <c r="H89"/>
  <c r="P89" s="1"/>
  <c r="DO88"/>
  <c r="CZ88"/>
  <c r="CY88"/>
  <c r="CS88"/>
  <c r="CR88"/>
  <c r="CQ88"/>
  <c r="BP88"/>
  <c r="BO88"/>
  <c r="BI88"/>
  <c r="BD88"/>
  <c r="AV88"/>
  <c r="AD88" s="1"/>
  <c r="AU88"/>
  <c r="AO88"/>
  <c r="AJ88"/>
  <c r="AK88" s="1"/>
  <c r="AB88"/>
  <c r="AA88"/>
  <c r="Z88"/>
  <c r="Y88"/>
  <c r="X88"/>
  <c r="S88"/>
  <c r="I88"/>
  <c r="H88"/>
  <c r="G88"/>
  <c r="DO87"/>
  <c r="CZ87"/>
  <c r="CY87"/>
  <c r="CS87"/>
  <c r="CR87"/>
  <c r="CQ87"/>
  <c r="BP87"/>
  <c r="BO87"/>
  <c r="BN87"/>
  <c r="BD87"/>
  <c r="AV87"/>
  <c r="AD87" s="1"/>
  <c r="AU87"/>
  <c r="AT87"/>
  <c r="AJ87"/>
  <c r="AK87" s="1"/>
  <c r="AB87"/>
  <c r="AA87"/>
  <c r="Z87"/>
  <c r="Y87"/>
  <c r="X87"/>
  <c r="W87"/>
  <c r="S87"/>
  <c r="I87"/>
  <c r="H87"/>
  <c r="G87"/>
  <c r="DO86"/>
  <c r="CZ86"/>
  <c r="CY86"/>
  <c r="CS86"/>
  <c r="CR86"/>
  <c r="CQ86"/>
  <c r="BP86"/>
  <c r="BO86"/>
  <c r="BI86"/>
  <c r="BD86"/>
  <c r="AV86"/>
  <c r="AD86" s="1"/>
  <c r="AU86"/>
  <c r="AO86"/>
  <c r="AJ86"/>
  <c r="AK86" s="1"/>
  <c r="AB86"/>
  <c r="AA86"/>
  <c r="Z86"/>
  <c r="Y86"/>
  <c r="X86"/>
  <c r="S86"/>
  <c r="I86"/>
  <c r="H86"/>
  <c r="G86"/>
  <c r="DO85"/>
  <c r="CZ85"/>
  <c r="CY85"/>
  <c r="CS85"/>
  <c r="CR85"/>
  <c r="CQ85"/>
  <c r="BP85"/>
  <c r="BO85"/>
  <c r="BI85"/>
  <c r="BD85"/>
  <c r="AV85"/>
  <c r="AD85" s="1"/>
  <c r="CV85" s="1"/>
  <c r="AU85"/>
  <c r="AO85"/>
  <c r="AJ85"/>
  <c r="AK85" s="1"/>
  <c r="AB85"/>
  <c r="AA85"/>
  <c r="Z85"/>
  <c r="Y85"/>
  <c r="X85"/>
  <c r="I85"/>
  <c r="H85"/>
  <c r="G85"/>
  <c r="DO84"/>
  <c r="CZ84"/>
  <c r="CY84"/>
  <c r="S84" s="1"/>
  <c r="CS84"/>
  <c r="CR84"/>
  <c r="CQ84"/>
  <c r="BP84"/>
  <c r="BO84"/>
  <c r="BN84"/>
  <c r="BD84"/>
  <c r="AV84"/>
  <c r="AD84" s="1"/>
  <c r="AU84"/>
  <c r="AT84"/>
  <c r="AJ84"/>
  <c r="AC84"/>
  <c r="AA84"/>
  <c r="Z84"/>
  <c r="Y84"/>
  <c r="X84"/>
  <c r="W84"/>
  <c r="I84"/>
  <c r="H84"/>
  <c r="G84"/>
  <c r="DO83"/>
  <c r="CZ83"/>
  <c r="CY83"/>
  <c r="S83" s="1"/>
  <c r="CS83"/>
  <c r="CR83"/>
  <c r="CQ83"/>
  <c r="BP83"/>
  <c r="BO83"/>
  <c r="BJ83"/>
  <c r="BD83"/>
  <c r="AV83"/>
  <c r="AD83" s="1"/>
  <c r="AU83"/>
  <c r="AP83"/>
  <c r="AJ83"/>
  <c r="AK83" s="1"/>
  <c r="AB83"/>
  <c r="AA83"/>
  <c r="Z83"/>
  <c r="Y83"/>
  <c r="X83"/>
  <c r="W83"/>
  <c r="I83"/>
  <c r="H83"/>
  <c r="G83"/>
  <c r="DO82"/>
  <c r="CZ82"/>
  <c r="CY82"/>
  <c r="S82" s="1"/>
  <c r="CS82"/>
  <c r="CR82"/>
  <c r="CQ82"/>
  <c r="BP82"/>
  <c r="BO82"/>
  <c r="BK82"/>
  <c r="BD82"/>
  <c r="AV82"/>
  <c r="AD82" s="1"/>
  <c r="AU82"/>
  <c r="AQ82"/>
  <c r="AJ82"/>
  <c r="AK82" s="1"/>
  <c r="AB82"/>
  <c r="AA82"/>
  <c r="Z82"/>
  <c r="X82"/>
  <c r="W82"/>
  <c r="I82"/>
  <c r="H82"/>
  <c r="G82"/>
  <c r="DO81"/>
  <c r="CZ81"/>
  <c r="CY81"/>
  <c r="S81" s="1"/>
  <c r="CS81"/>
  <c r="CR81"/>
  <c r="CQ81"/>
  <c r="BP81"/>
  <c r="BO81"/>
  <c r="BJ81"/>
  <c r="BD81"/>
  <c r="AV81"/>
  <c r="AD81" s="1"/>
  <c r="AU81"/>
  <c r="AP81"/>
  <c r="AJ81"/>
  <c r="AC81"/>
  <c r="AB81"/>
  <c r="AA81"/>
  <c r="Z81"/>
  <c r="Y81"/>
  <c r="W81"/>
  <c r="I81"/>
  <c r="H81"/>
  <c r="G81"/>
  <c r="DO80"/>
  <c r="CZ80"/>
  <c r="CY80"/>
  <c r="CS80"/>
  <c r="CR80"/>
  <c r="CQ80"/>
  <c r="BP80"/>
  <c r="BO80"/>
  <c r="BJ80"/>
  <c r="BD80"/>
  <c r="AV80"/>
  <c r="AD80" s="1"/>
  <c r="AU80"/>
  <c r="AP80"/>
  <c r="AJ80"/>
  <c r="AC80"/>
  <c r="AB80"/>
  <c r="AA80"/>
  <c r="Z80"/>
  <c r="Y80"/>
  <c r="W80"/>
  <c r="S80"/>
  <c r="I80"/>
  <c r="H80"/>
  <c r="G80"/>
  <c r="DO79"/>
  <c r="CZ79"/>
  <c r="CY79"/>
  <c r="CS79"/>
  <c r="CR79"/>
  <c r="CQ79"/>
  <c r="BP79"/>
  <c r="BO79"/>
  <c r="BN79"/>
  <c r="BD79"/>
  <c r="AV79"/>
  <c r="AD79" s="1"/>
  <c r="AU79"/>
  <c r="AT79"/>
  <c r="AJ79"/>
  <c r="AC79"/>
  <c r="AA79"/>
  <c r="Z79"/>
  <c r="Y79"/>
  <c r="X79"/>
  <c r="W79"/>
  <c r="S79"/>
  <c r="I79"/>
  <c r="H79"/>
  <c r="G79"/>
  <c r="DO78"/>
  <c r="CZ78"/>
  <c r="CY78"/>
  <c r="CS78"/>
  <c r="CR78"/>
  <c r="CQ78"/>
  <c r="BX78"/>
  <c r="CG78" s="1"/>
  <c r="CH78" s="1"/>
  <c r="BP78"/>
  <c r="BO78"/>
  <c r="BL78"/>
  <c r="BD78"/>
  <c r="AV78"/>
  <c r="AD78" s="1"/>
  <c r="AU78"/>
  <c r="AR78"/>
  <c r="AJ78"/>
  <c r="AC78"/>
  <c r="AB78"/>
  <c r="AA78"/>
  <c r="Y78"/>
  <c r="X78"/>
  <c r="W78"/>
  <c r="S78"/>
  <c r="I78"/>
  <c r="H78"/>
  <c r="G78"/>
  <c r="DO77"/>
  <c r="CZ77"/>
  <c r="CY77"/>
  <c r="S77" s="1"/>
  <c r="CS77"/>
  <c r="CR77"/>
  <c r="CQ77"/>
  <c r="BP77"/>
  <c r="BO77"/>
  <c r="BN77"/>
  <c r="BD77"/>
  <c r="AV77"/>
  <c r="AD77" s="1"/>
  <c r="AU77"/>
  <c r="AT77"/>
  <c r="AW77" s="1"/>
  <c r="AJ77"/>
  <c r="AC77"/>
  <c r="AA77"/>
  <c r="Z77"/>
  <c r="Y77"/>
  <c r="X77"/>
  <c r="W77"/>
  <c r="I77"/>
  <c r="H77"/>
  <c r="G77"/>
  <c r="DO76"/>
  <c r="CZ76"/>
  <c r="CY76"/>
  <c r="S76" s="1"/>
  <c r="CS76"/>
  <c r="CR76"/>
  <c r="CQ76"/>
  <c r="BP76"/>
  <c r="BO76"/>
  <c r="BN76"/>
  <c r="BD76"/>
  <c r="AV76"/>
  <c r="AD76" s="1"/>
  <c r="AU76"/>
  <c r="AT76"/>
  <c r="AJ76"/>
  <c r="AC76"/>
  <c r="AA76"/>
  <c r="Z76"/>
  <c r="Y76"/>
  <c r="X76"/>
  <c r="W76"/>
  <c r="I76"/>
  <c r="H76"/>
  <c r="G76"/>
  <c r="DO75"/>
  <c r="CZ75"/>
  <c r="CY75"/>
  <c r="S75" s="1"/>
  <c r="CS75"/>
  <c r="CR75"/>
  <c r="CQ75"/>
  <c r="BP75"/>
  <c r="BO75"/>
  <c r="BN75"/>
  <c r="BD75"/>
  <c r="AV75"/>
  <c r="AD75" s="1"/>
  <c r="AU75"/>
  <c r="AT75"/>
  <c r="AJ75"/>
  <c r="AK75" s="1"/>
  <c r="AC75"/>
  <c r="AA75"/>
  <c r="Z75"/>
  <c r="Y75"/>
  <c r="X75"/>
  <c r="W75"/>
  <c r="I75"/>
  <c r="H75"/>
  <c r="G75"/>
  <c r="DO74"/>
  <c r="CZ74"/>
  <c r="CY74"/>
  <c r="S74" s="1"/>
  <c r="CS74"/>
  <c r="CR74"/>
  <c r="CQ74"/>
  <c r="BP74"/>
  <c r="BO74"/>
  <c r="BJ74"/>
  <c r="BD74"/>
  <c r="AV74"/>
  <c r="AD74" s="1"/>
  <c r="DZ74" s="1"/>
  <c r="AU74"/>
  <c r="AP74"/>
  <c r="AJ74"/>
  <c r="AK74" s="1"/>
  <c r="AC74"/>
  <c r="AB74"/>
  <c r="AA74"/>
  <c r="Z74"/>
  <c r="Y74"/>
  <c r="W74"/>
  <c r="I74"/>
  <c r="H74"/>
  <c r="G74"/>
  <c r="DO73"/>
  <c r="CZ73"/>
  <c r="CY73"/>
  <c r="CS73"/>
  <c r="CR73"/>
  <c r="CQ73"/>
  <c r="BP73"/>
  <c r="BO73"/>
  <c r="BN73"/>
  <c r="BD73"/>
  <c r="AV73"/>
  <c r="AD73" s="1"/>
  <c r="AU73"/>
  <c r="AT73"/>
  <c r="AJ73"/>
  <c r="AK73" s="1"/>
  <c r="AA73"/>
  <c r="Z73"/>
  <c r="Y73"/>
  <c r="X73"/>
  <c r="W73"/>
  <c r="S73"/>
  <c r="I73"/>
  <c r="H73"/>
  <c r="G73"/>
  <c r="DO72"/>
  <c r="CZ72"/>
  <c r="CY72"/>
  <c r="S72" s="1"/>
  <c r="CS72"/>
  <c r="CR72"/>
  <c r="CQ72"/>
  <c r="BP72"/>
  <c r="BO72"/>
  <c r="BN72"/>
  <c r="BD72"/>
  <c r="AV72"/>
  <c r="AD72" s="1"/>
  <c r="AU72"/>
  <c r="AT72"/>
  <c r="AJ72"/>
  <c r="AC72"/>
  <c r="AA72"/>
  <c r="Z72"/>
  <c r="Y72"/>
  <c r="X72"/>
  <c r="W72"/>
  <c r="I72"/>
  <c r="H72"/>
  <c r="G72"/>
  <c r="DO71"/>
  <c r="CZ71"/>
  <c r="CY71"/>
  <c r="CS71"/>
  <c r="CR71"/>
  <c r="CQ71"/>
  <c r="BP71"/>
  <c r="BO71"/>
  <c r="BJ71"/>
  <c r="BD71"/>
  <c r="AV71"/>
  <c r="AD71" s="1"/>
  <c r="AU71"/>
  <c r="AP71"/>
  <c r="AJ71"/>
  <c r="AC71"/>
  <c r="AB71"/>
  <c r="AA71"/>
  <c r="Z71"/>
  <c r="Y71"/>
  <c r="W71"/>
  <c r="S71"/>
  <c r="I71"/>
  <c r="H71"/>
  <c r="G71"/>
  <c r="DO70"/>
  <c r="CZ70"/>
  <c r="CY70"/>
  <c r="CS70"/>
  <c r="CR70"/>
  <c r="CQ70"/>
  <c r="BP70"/>
  <c r="BO70"/>
  <c r="BJ70"/>
  <c r="BD70"/>
  <c r="AV70"/>
  <c r="AD70" s="1"/>
  <c r="AU70"/>
  <c r="AP70"/>
  <c r="AJ70"/>
  <c r="AC70"/>
  <c r="AB70"/>
  <c r="AA70"/>
  <c r="Z70"/>
  <c r="Y70"/>
  <c r="W70"/>
  <c r="S70"/>
  <c r="I70"/>
  <c r="H70"/>
  <c r="G70"/>
  <c r="DO69"/>
  <c r="CZ69"/>
  <c r="CY69"/>
  <c r="S69" s="1"/>
  <c r="CS69"/>
  <c r="CR69"/>
  <c r="CQ69"/>
  <c r="BP69"/>
  <c r="BO69"/>
  <c r="BN69"/>
  <c r="BD69"/>
  <c r="AV69"/>
  <c r="AD69" s="1"/>
  <c r="AU69"/>
  <c r="AT69"/>
  <c r="AJ69"/>
  <c r="AC69"/>
  <c r="AA69"/>
  <c r="Z69"/>
  <c r="Y69"/>
  <c r="X69"/>
  <c r="W69"/>
  <c r="I69"/>
  <c r="H69"/>
  <c r="G69"/>
  <c r="DO68"/>
  <c r="CZ68"/>
  <c r="CY68"/>
  <c r="S68" s="1"/>
  <c r="CS68"/>
  <c r="CR68"/>
  <c r="CQ68"/>
  <c r="BP68"/>
  <c r="BO68"/>
  <c r="BN68"/>
  <c r="BD68"/>
  <c r="AV68"/>
  <c r="AD68" s="1"/>
  <c r="AU68"/>
  <c r="AT68"/>
  <c r="AJ68"/>
  <c r="AC68"/>
  <c r="AA68"/>
  <c r="Z68"/>
  <c r="Y68"/>
  <c r="X68"/>
  <c r="W68"/>
  <c r="I68"/>
  <c r="H68"/>
  <c r="G68"/>
  <c r="DO67"/>
  <c r="CZ67"/>
  <c r="CY67"/>
  <c r="CS67"/>
  <c r="CR67"/>
  <c r="CQ67"/>
  <c r="BP67"/>
  <c r="BO67"/>
  <c r="BJ67"/>
  <c r="BD67"/>
  <c r="AV67"/>
  <c r="AD67" s="1"/>
  <c r="AU67"/>
  <c r="AC67" s="1"/>
  <c r="AP67"/>
  <c r="AJ67"/>
  <c r="AB67"/>
  <c r="AA67"/>
  <c r="Z67"/>
  <c r="Y67"/>
  <c r="W67"/>
  <c r="S67"/>
  <c r="I67"/>
  <c r="H67"/>
  <c r="G67"/>
  <c r="DO66"/>
  <c r="CZ66"/>
  <c r="CY66"/>
  <c r="S66" s="1"/>
  <c r="CS66"/>
  <c r="CR66"/>
  <c r="CQ66"/>
  <c r="BP66"/>
  <c r="BO66"/>
  <c r="BN66"/>
  <c r="BD66"/>
  <c r="AV66"/>
  <c r="AD66" s="1"/>
  <c r="AU66"/>
  <c r="AT66"/>
  <c r="AJ66"/>
  <c r="AC66"/>
  <c r="AA66"/>
  <c r="Z66"/>
  <c r="Y66"/>
  <c r="X66"/>
  <c r="W66"/>
  <c r="I66"/>
  <c r="H66"/>
  <c r="G66"/>
  <c r="DO65"/>
  <c r="CZ65"/>
  <c r="CY65"/>
  <c r="S65" s="1"/>
  <c r="CS65"/>
  <c r="CR65"/>
  <c r="CQ65"/>
  <c r="BP65"/>
  <c r="BO65"/>
  <c r="BN65"/>
  <c r="BD65"/>
  <c r="AV65"/>
  <c r="AD65" s="1"/>
  <c r="AU65"/>
  <c r="AT65"/>
  <c r="AJ65"/>
  <c r="AC65"/>
  <c r="AA65"/>
  <c r="Z65"/>
  <c r="Y65"/>
  <c r="X65"/>
  <c r="W65"/>
  <c r="I65"/>
  <c r="H65"/>
  <c r="G65"/>
  <c r="DO64"/>
  <c r="CZ64"/>
  <c r="CY64"/>
  <c r="S64" s="1"/>
  <c r="CS64"/>
  <c r="CR64"/>
  <c r="CQ64"/>
  <c r="BP64"/>
  <c r="BO64"/>
  <c r="BN64"/>
  <c r="BD64"/>
  <c r="AV64"/>
  <c r="AD64" s="1"/>
  <c r="AU64"/>
  <c r="AT64"/>
  <c r="AJ64"/>
  <c r="AC64"/>
  <c r="AA64"/>
  <c r="Z64"/>
  <c r="Y64"/>
  <c r="X64"/>
  <c r="W64"/>
  <c r="I64"/>
  <c r="H64"/>
  <c r="G64"/>
  <c r="DO63"/>
  <c r="CZ63"/>
  <c r="CY63"/>
  <c r="CS63"/>
  <c r="CR63"/>
  <c r="CQ63"/>
  <c r="BP63"/>
  <c r="BO63"/>
  <c r="BK63"/>
  <c r="BD63"/>
  <c r="AV63"/>
  <c r="AD63" s="1"/>
  <c r="AU63"/>
  <c r="AQ63"/>
  <c r="AJ63"/>
  <c r="AC63"/>
  <c r="AB63"/>
  <c r="AA63"/>
  <c r="Z63"/>
  <c r="X63"/>
  <c r="W63"/>
  <c r="S63"/>
  <c r="I63"/>
  <c r="H63"/>
  <c r="G63"/>
  <c r="DO62"/>
  <c r="CZ62"/>
  <c r="CY62"/>
  <c r="S62" s="1"/>
  <c r="CS62"/>
  <c r="CR62"/>
  <c r="CQ62"/>
  <c r="BP62"/>
  <c r="BO62"/>
  <c r="BN62"/>
  <c r="BD62"/>
  <c r="AV62"/>
  <c r="AD62" s="1"/>
  <c r="AU62"/>
  <c r="AT62"/>
  <c r="AJ62"/>
  <c r="AC62"/>
  <c r="AA62"/>
  <c r="Z62"/>
  <c r="Y62"/>
  <c r="X62"/>
  <c r="W62"/>
  <c r="I62"/>
  <c r="H62"/>
  <c r="G62"/>
  <c r="DO61"/>
  <c r="CZ61"/>
  <c r="CY61"/>
  <c r="S61" s="1"/>
  <c r="CS61"/>
  <c r="CR61"/>
  <c r="CQ61"/>
  <c r="BP61"/>
  <c r="BO61"/>
  <c r="BD61"/>
  <c r="AV61"/>
  <c r="AU61"/>
  <c r="AJ61"/>
  <c r="AB61"/>
  <c r="AA61"/>
  <c r="Z61"/>
  <c r="Y61"/>
  <c r="W61"/>
  <c r="I61"/>
  <c r="H61"/>
  <c r="G61"/>
  <c r="DO60"/>
  <c r="CZ60"/>
  <c r="CY60"/>
  <c r="S60" s="1"/>
  <c r="CS60"/>
  <c r="CR60"/>
  <c r="CQ60"/>
  <c r="BP60"/>
  <c r="BO60"/>
  <c r="BL60"/>
  <c r="BD60"/>
  <c r="AV60"/>
  <c r="AD60" s="1"/>
  <c r="AU60"/>
  <c r="AR60"/>
  <c r="AJ60"/>
  <c r="AK60" s="1"/>
  <c r="AB60"/>
  <c r="AA60"/>
  <c r="Z60"/>
  <c r="Y60"/>
  <c r="X60"/>
  <c r="W60"/>
  <c r="I60"/>
  <c r="H60"/>
  <c r="G60"/>
  <c r="DO59"/>
  <c r="CZ59"/>
  <c r="CY59"/>
  <c r="CS59"/>
  <c r="CR59"/>
  <c r="CQ59"/>
  <c r="BP59"/>
  <c r="BO59"/>
  <c r="BJ59"/>
  <c r="BD59"/>
  <c r="AV59"/>
  <c r="AD59" s="1"/>
  <c r="AU59"/>
  <c r="AP59"/>
  <c r="AJ59"/>
  <c r="AC59"/>
  <c r="AB59"/>
  <c r="AA59"/>
  <c r="Z59"/>
  <c r="Y59"/>
  <c r="W59"/>
  <c r="S59"/>
  <c r="I59"/>
  <c r="H59"/>
  <c r="G59"/>
  <c r="DO58"/>
  <c r="CZ58"/>
  <c r="CY58"/>
  <c r="S58" s="1"/>
  <c r="CS58"/>
  <c r="CR58"/>
  <c r="CQ58"/>
  <c r="BP58"/>
  <c r="BO58"/>
  <c r="BN58"/>
  <c r="BD58"/>
  <c r="AV58"/>
  <c r="AD58" s="1"/>
  <c r="AU58"/>
  <c r="AT58"/>
  <c r="AJ58"/>
  <c r="AC58"/>
  <c r="AA58"/>
  <c r="Z58"/>
  <c r="Y58"/>
  <c r="X58"/>
  <c r="W58"/>
  <c r="I58"/>
  <c r="H58"/>
  <c r="G58"/>
  <c r="DO57"/>
  <c r="CZ57"/>
  <c r="CY57"/>
  <c r="CS57"/>
  <c r="CR57"/>
  <c r="CQ57"/>
  <c r="BP57"/>
  <c r="BO57"/>
  <c r="BJ57"/>
  <c r="BD57"/>
  <c r="AV57"/>
  <c r="AD57" s="1"/>
  <c r="AU57"/>
  <c r="AP57"/>
  <c r="AJ57"/>
  <c r="AC57"/>
  <c r="AB57"/>
  <c r="AA57"/>
  <c r="Z57"/>
  <c r="Y57"/>
  <c r="W57"/>
  <c r="S57"/>
  <c r="I57"/>
  <c r="H57"/>
  <c r="G57"/>
  <c r="DO56"/>
  <c r="CZ56"/>
  <c r="CY56"/>
  <c r="S56" s="1"/>
  <c r="CS56"/>
  <c r="CR56"/>
  <c r="CQ56"/>
  <c r="BP56"/>
  <c r="BO56"/>
  <c r="BJ56"/>
  <c r="BD56"/>
  <c r="AV56"/>
  <c r="AD56" s="1"/>
  <c r="AU56"/>
  <c r="AP56"/>
  <c r="AJ56"/>
  <c r="AC56"/>
  <c r="AB56"/>
  <c r="AA56"/>
  <c r="Z56"/>
  <c r="Y56"/>
  <c r="W56"/>
  <c r="I56"/>
  <c r="H56"/>
  <c r="G56"/>
  <c r="DO55"/>
  <c r="CZ55"/>
  <c r="CY55"/>
  <c r="S55" s="1"/>
  <c r="CS55"/>
  <c r="CR55"/>
  <c r="CQ55"/>
  <c r="BP55"/>
  <c r="BO55"/>
  <c r="BN55"/>
  <c r="BD55"/>
  <c r="AV55"/>
  <c r="AD55" s="1"/>
  <c r="AU55"/>
  <c r="AT55"/>
  <c r="AJ55"/>
  <c r="AG55"/>
  <c r="AC55"/>
  <c r="AA55"/>
  <c r="Z55"/>
  <c r="Y55"/>
  <c r="X55"/>
  <c r="W55"/>
  <c r="I55"/>
  <c r="H55"/>
  <c r="G55"/>
  <c r="DO54"/>
  <c r="CZ54"/>
  <c r="CY54"/>
  <c r="S54" s="1"/>
  <c r="CS54"/>
  <c r="CR54"/>
  <c r="CQ54"/>
  <c r="BP54"/>
  <c r="BO54"/>
  <c r="BL54"/>
  <c r="BD54"/>
  <c r="AV54"/>
  <c r="AD54" s="1"/>
  <c r="AU54"/>
  <c r="AR54"/>
  <c r="AJ54"/>
  <c r="AC54"/>
  <c r="AB54"/>
  <c r="AA54"/>
  <c r="Y54"/>
  <c r="X54"/>
  <c r="W54"/>
  <c r="I54"/>
  <c r="H54"/>
  <c r="G54"/>
  <c r="DO53"/>
  <c r="CZ53"/>
  <c r="CY53"/>
  <c r="CS53"/>
  <c r="CR53"/>
  <c r="CQ53"/>
  <c r="DE53" s="1"/>
  <c r="BP53"/>
  <c r="BO53"/>
  <c r="BQ53" s="1"/>
  <c r="BN53"/>
  <c r="BD53"/>
  <c r="AV53"/>
  <c r="AD53" s="1"/>
  <c r="AU53"/>
  <c r="AT53"/>
  <c r="AJ53"/>
  <c r="AC53"/>
  <c r="CU53" s="1"/>
  <c r="AA53"/>
  <c r="Z53"/>
  <c r="Y53"/>
  <c r="X53"/>
  <c r="W53"/>
  <c r="S53"/>
  <c r="I53"/>
  <c r="H53"/>
  <c r="G53"/>
  <c r="DO52"/>
  <c r="CZ52"/>
  <c r="CY52"/>
  <c r="CS52"/>
  <c r="CR52"/>
  <c r="CQ52"/>
  <c r="BP52"/>
  <c r="BO52"/>
  <c r="BL52"/>
  <c r="BD52"/>
  <c r="AV52"/>
  <c r="AD52" s="1"/>
  <c r="AU52"/>
  <c r="AR52"/>
  <c r="AJ52"/>
  <c r="AC52"/>
  <c r="AB52"/>
  <c r="AA52"/>
  <c r="Y52"/>
  <c r="X52"/>
  <c r="W52"/>
  <c r="S52"/>
  <c r="I52"/>
  <c r="H52"/>
  <c r="G52"/>
  <c r="DO51"/>
  <c r="CZ51"/>
  <c r="CY51"/>
  <c r="CS51"/>
  <c r="CR51"/>
  <c r="CQ51"/>
  <c r="BP51"/>
  <c r="BO51"/>
  <c r="BJ51"/>
  <c r="BD51"/>
  <c r="AV51"/>
  <c r="AD51" s="1"/>
  <c r="AU51"/>
  <c r="AP51"/>
  <c r="AJ51"/>
  <c r="AC51"/>
  <c r="AB51"/>
  <c r="AA51"/>
  <c r="Z51"/>
  <c r="Y51"/>
  <c r="W51"/>
  <c r="S51"/>
  <c r="I51"/>
  <c r="H51"/>
  <c r="G51"/>
  <c r="DO50"/>
  <c r="CZ50"/>
  <c r="CY50"/>
  <c r="S50" s="1"/>
  <c r="CS50"/>
  <c r="CR50"/>
  <c r="CQ50"/>
  <c r="BP50"/>
  <c r="BO50"/>
  <c r="BL50"/>
  <c r="BD50"/>
  <c r="AV50"/>
  <c r="AD50" s="1"/>
  <c r="AU50"/>
  <c r="AR50"/>
  <c r="AW50" s="1"/>
  <c r="AJ50"/>
  <c r="AC50"/>
  <c r="AB50"/>
  <c r="AA50"/>
  <c r="Y50"/>
  <c r="X50"/>
  <c r="W50"/>
  <c r="I50"/>
  <c r="H50"/>
  <c r="G50"/>
  <c r="DO49"/>
  <c r="CZ49"/>
  <c r="CY49"/>
  <c r="CS49"/>
  <c r="CR49"/>
  <c r="CQ49"/>
  <c r="BP49"/>
  <c r="BO49"/>
  <c r="BN49"/>
  <c r="BD49"/>
  <c r="AV49"/>
  <c r="AD49" s="1"/>
  <c r="CV49" s="1"/>
  <c r="AU49"/>
  <c r="AT49"/>
  <c r="AJ49"/>
  <c r="AK49" s="1"/>
  <c r="AA49"/>
  <c r="Z49"/>
  <c r="Y49"/>
  <c r="X49"/>
  <c r="W49"/>
  <c r="S49"/>
  <c r="I49"/>
  <c r="H49"/>
  <c r="G49"/>
  <c r="DO48"/>
  <c r="CZ48"/>
  <c r="CY48"/>
  <c r="S48" s="1"/>
  <c r="CS48"/>
  <c r="CR48"/>
  <c r="CQ48"/>
  <c r="BP48"/>
  <c r="BO48"/>
  <c r="BJ48"/>
  <c r="BD48"/>
  <c r="AV48"/>
  <c r="AD48" s="1"/>
  <c r="AU48"/>
  <c r="AP48"/>
  <c r="AJ48"/>
  <c r="AC48"/>
  <c r="AB48"/>
  <c r="AA48"/>
  <c r="Z48"/>
  <c r="Y48"/>
  <c r="W48"/>
  <c r="I48"/>
  <c r="H48"/>
  <c r="G48"/>
  <c r="DO47"/>
  <c r="CZ47"/>
  <c r="CY47"/>
  <c r="CS47"/>
  <c r="CR47"/>
  <c r="CQ47"/>
  <c r="BP47"/>
  <c r="BO47"/>
  <c r="BJ47"/>
  <c r="BD47"/>
  <c r="AV47"/>
  <c r="AD47" s="1"/>
  <c r="AU47"/>
  <c r="AP47"/>
  <c r="AJ47"/>
  <c r="AC47"/>
  <c r="AB47"/>
  <c r="AA47"/>
  <c r="Z47"/>
  <c r="Y47"/>
  <c r="W47"/>
  <c r="S47"/>
  <c r="I47"/>
  <c r="H47"/>
  <c r="G47"/>
  <c r="DO46"/>
  <c r="CZ46"/>
  <c r="CY46"/>
  <c r="S46" s="1"/>
  <c r="CS46"/>
  <c r="CR46"/>
  <c r="CQ46"/>
  <c r="BP46"/>
  <c r="BO46"/>
  <c r="BM46"/>
  <c r="BD46"/>
  <c r="AV46"/>
  <c r="AD46" s="1"/>
  <c r="AU46"/>
  <c r="AS46"/>
  <c r="AA46" s="1"/>
  <c r="AJ46"/>
  <c r="AC46"/>
  <c r="AB46"/>
  <c r="Z46"/>
  <c r="Y46"/>
  <c r="X46"/>
  <c r="W46"/>
  <c r="I46"/>
  <c r="H46"/>
  <c r="G46"/>
  <c r="DO45"/>
  <c r="CZ45"/>
  <c r="CY45"/>
  <c r="CS45"/>
  <c r="CR45"/>
  <c r="CQ45"/>
  <c r="BP45"/>
  <c r="BO45"/>
  <c r="BJ45"/>
  <c r="BD45"/>
  <c r="AV45"/>
  <c r="AD45" s="1"/>
  <c r="AU45"/>
  <c r="AP45"/>
  <c r="AJ45"/>
  <c r="AC45"/>
  <c r="AB45"/>
  <c r="AA45"/>
  <c r="Z45"/>
  <c r="Y45"/>
  <c r="W45"/>
  <c r="S45"/>
  <c r="I45"/>
  <c r="H45"/>
  <c r="G45"/>
  <c r="DO44"/>
  <c r="CZ44"/>
  <c r="CY44"/>
  <c r="S44" s="1"/>
  <c r="CS44"/>
  <c r="CR44"/>
  <c r="CQ44"/>
  <c r="BP44"/>
  <c r="BO44"/>
  <c r="BJ44"/>
  <c r="BD44"/>
  <c r="AV44"/>
  <c r="AD44" s="1"/>
  <c r="AU44"/>
  <c r="AP44"/>
  <c r="AJ44"/>
  <c r="AC44"/>
  <c r="AB44"/>
  <c r="AA44"/>
  <c r="Z44"/>
  <c r="Y44"/>
  <c r="W44"/>
  <c r="I44"/>
  <c r="H44"/>
  <c r="G44"/>
  <c r="DO43"/>
  <c r="CZ43"/>
  <c r="CY43"/>
  <c r="CS43"/>
  <c r="CR43"/>
  <c r="CQ43"/>
  <c r="BP43"/>
  <c r="BO43"/>
  <c r="BJ43"/>
  <c r="BD43"/>
  <c r="AV43"/>
  <c r="AD43" s="1"/>
  <c r="AU43"/>
  <c r="AP43"/>
  <c r="AJ43"/>
  <c r="AK43" s="1"/>
  <c r="AB43"/>
  <c r="AA43"/>
  <c r="Z43"/>
  <c r="Y43"/>
  <c r="X43"/>
  <c r="W43"/>
  <c r="S43"/>
  <c r="I43"/>
  <c r="H43"/>
  <c r="G43"/>
  <c r="DO42"/>
  <c r="CZ42"/>
  <c r="CY42"/>
  <c r="S42" s="1"/>
  <c r="CS42"/>
  <c r="CR42"/>
  <c r="CQ42"/>
  <c r="BP42"/>
  <c r="BO42"/>
  <c r="BN42"/>
  <c r="BD42"/>
  <c r="AV42"/>
  <c r="AD42" s="1"/>
  <c r="AU42"/>
  <c r="AT42"/>
  <c r="AJ42"/>
  <c r="AK42" s="1"/>
  <c r="AB42"/>
  <c r="AA42"/>
  <c r="Z42"/>
  <c r="Y42"/>
  <c r="X42"/>
  <c r="W42"/>
  <c r="I42"/>
  <c r="H42"/>
  <c r="G42"/>
  <c r="DO41"/>
  <c r="CZ41"/>
  <c r="CY41"/>
  <c r="CS41"/>
  <c r="CR41"/>
  <c r="CQ41"/>
  <c r="BP41"/>
  <c r="BO41"/>
  <c r="BN41"/>
  <c r="BD41"/>
  <c r="AV41"/>
  <c r="AD41" s="1"/>
  <c r="AU41"/>
  <c r="AT41"/>
  <c r="AJ41"/>
  <c r="AK41" s="1"/>
  <c r="AB41"/>
  <c r="AA41"/>
  <c r="Z41"/>
  <c r="Y41"/>
  <c r="X41"/>
  <c r="W41"/>
  <c r="S41"/>
  <c r="I41"/>
  <c r="H41"/>
  <c r="G41"/>
  <c r="DO40"/>
  <c r="CZ40"/>
  <c r="CY40"/>
  <c r="S40" s="1"/>
  <c r="CS40"/>
  <c r="CR40"/>
  <c r="CQ40"/>
  <c r="BP40"/>
  <c r="BO40"/>
  <c r="BN40"/>
  <c r="BD40"/>
  <c r="AV40"/>
  <c r="AD40" s="1"/>
  <c r="AU40"/>
  <c r="AT40"/>
  <c r="AJ40"/>
  <c r="AK40" s="1"/>
  <c r="AB40"/>
  <c r="AA40"/>
  <c r="Z40"/>
  <c r="Y40"/>
  <c r="X40"/>
  <c r="W40"/>
  <c r="I40"/>
  <c r="H40"/>
  <c r="G40"/>
  <c r="DO39"/>
  <c r="CZ39"/>
  <c r="CY39"/>
  <c r="CS39"/>
  <c r="CR39"/>
  <c r="CQ39"/>
  <c r="BP39"/>
  <c r="BO39"/>
  <c r="BN39"/>
  <c r="BD39"/>
  <c r="AV39"/>
  <c r="AD39" s="1"/>
  <c r="AU39"/>
  <c r="AT39"/>
  <c r="AJ39"/>
  <c r="AK39" s="1"/>
  <c r="AB39"/>
  <c r="AA39"/>
  <c r="Z39"/>
  <c r="Y39"/>
  <c r="X39"/>
  <c r="W39"/>
  <c r="S39"/>
  <c r="I39"/>
  <c r="H39"/>
  <c r="G39"/>
  <c r="DO38"/>
  <c r="CZ38"/>
  <c r="CY38"/>
  <c r="S38" s="1"/>
  <c r="CS38"/>
  <c r="CR38"/>
  <c r="CQ38"/>
  <c r="BP38"/>
  <c r="BO38"/>
  <c r="BJ38"/>
  <c r="BD38"/>
  <c r="AV38"/>
  <c r="AD38" s="1"/>
  <c r="AU38"/>
  <c r="AP38"/>
  <c r="X38" s="1"/>
  <c r="AJ38"/>
  <c r="AK38" s="1"/>
  <c r="AB38"/>
  <c r="AA38"/>
  <c r="Z38"/>
  <c r="Y38"/>
  <c r="W38"/>
  <c r="I38"/>
  <c r="H38"/>
  <c r="G38"/>
  <c r="DO37"/>
  <c r="CZ37"/>
  <c r="CY37"/>
  <c r="S37" s="1"/>
  <c r="CS37"/>
  <c r="CR37"/>
  <c r="CQ37"/>
  <c r="BP37"/>
  <c r="BO37"/>
  <c r="BN37"/>
  <c r="BD37"/>
  <c r="AV37"/>
  <c r="AD37" s="1"/>
  <c r="AU37"/>
  <c r="AT37"/>
  <c r="AJ37"/>
  <c r="AC37"/>
  <c r="AA37"/>
  <c r="Z37"/>
  <c r="Y37"/>
  <c r="X37"/>
  <c r="W37"/>
  <c r="I37"/>
  <c r="H37"/>
  <c r="G37"/>
  <c r="DO36"/>
  <c r="CZ36"/>
  <c r="CY36"/>
  <c r="CS36"/>
  <c r="CR36"/>
  <c r="CQ36"/>
  <c r="DE36" s="1"/>
  <c r="BP36"/>
  <c r="BO36"/>
  <c r="BQ36" s="1"/>
  <c r="BJ36"/>
  <c r="BD36"/>
  <c r="AV36"/>
  <c r="AD36" s="1"/>
  <c r="AU36"/>
  <c r="AP36"/>
  <c r="AJ36"/>
  <c r="AC36"/>
  <c r="CU36" s="1"/>
  <c r="AB36"/>
  <c r="AA36"/>
  <c r="Z36"/>
  <c r="Y36"/>
  <c r="W36"/>
  <c r="S36"/>
  <c r="I36"/>
  <c r="H36"/>
  <c r="G36"/>
  <c r="DO35"/>
  <c r="CZ35"/>
  <c r="CY35"/>
  <c r="CS35"/>
  <c r="CR35"/>
  <c r="CQ35"/>
  <c r="BP35"/>
  <c r="BO35"/>
  <c r="BN35"/>
  <c r="BD35"/>
  <c r="AV35"/>
  <c r="AD35" s="1"/>
  <c r="AU35"/>
  <c r="AT35"/>
  <c r="AJ35"/>
  <c r="AC35"/>
  <c r="AA35"/>
  <c r="Z35"/>
  <c r="Y35"/>
  <c r="X35"/>
  <c r="W35"/>
  <c r="S35"/>
  <c r="I35"/>
  <c r="H35"/>
  <c r="G35"/>
  <c r="DO34"/>
  <c r="CZ34"/>
  <c r="CY34"/>
  <c r="CS34"/>
  <c r="CR34"/>
  <c r="CQ34"/>
  <c r="BP34"/>
  <c r="BO34"/>
  <c r="BN34"/>
  <c r="BD34"/>
  <c r="AV34"/>
  <c r="AD34" s="1"/>
  <c r="AU34"/>
  <c r="AT34"/>
  <c r="AJ34"/>
  <c r="AC34"/>
  <c r="AA34"/>
  <c r="Z34"/>
  <c r="Y34"/>
  <c r="X34"/>
  <c r="W34"/>
  <c r="S34"/>
  <c r="I34"/>
  <c r="H34"/>
  <c r="G34"/>
  <c r="DO33"/>
  <c r="CZ33"/>
  <c r="CY33"/>
  <c r="S33" s="1"/>
  <c r="CS33"/>
  <c r="CR33"/>
  <c r="CQ33"/>
  <c r="BP33"/>
  <c r="BO33"/>
  <c r="BJ33"/>
  <c r="BD33"/>
  <c r="AV33"/>
  <c r="AD33" s="1"/>
  <c r="AU33"/>
  <c r="AP33"/>
  <c r="AW33" s="1"/>
  <c r="AJ33"/>
  <c r="AC33"/>
  <c r="AB33"/>
  <c r="AA33"/>
  <c r="Z33"/>
  <c r="Y33"/>
  <c r="W33"/>
  <c r="I33"/>
  <c r="H33"/>
  <c r="G33"/>
  <c r="DO32"/>
  <c r="CZ32"/>
  <c r="CY32"/>
  <c r="CS32"/>
  <c r="CR32"/>
  <c r="CQ32"/>
  <c r="BP32"/>
  <c r="BO32"/>
  <c r="BM32"/>
  <c r="BD32"/>
  <c r="AV32"/>
  <c r="AD32" s="1"/>
  <c r="AU32"/>
  <c r="AS32"/>
  <c r="AJ32"/>
  <c r="AK32" s="1"/>
  <c r="AB32"/>
  <c r="Z32"/>
  <c r="Y32"/>
  <c r="X32"/>
  <c r="W32"/>
  <c r="S32"/>
  <c r="I32"/>
  <c r="H32"/>
  <c r="G32"/>
  <c r="CZ31"/>
  <c r="CY31"/>
  <c r="CS31"/>
  <c r="CR31"/>
  <c r="CQ31"/>
  <c r="BP31"/>
  <c r="BO31"/>
  <c r="BN31"/>
  <c r="BD31"/>
  <c r="AV31"/>
  <c r="AD31" s="1"/>
  <c r="AU31"/>
  <c r="AT31"/>
  <c r="AJ31"/>
  <c r="AC31"/>
  <c r="AA31"/>
  <c r="Z31"/>
  <c r="Y31"/>
  <c r="X31"/>
  <c r="W31"/>
  <c r="S31"/>
  <c r="I31"/>
  <c r="H31"/>
  <c r="G31"/>
  <c r="DO30"/>
  <c r="CZ30"/>
  <c r="CY30"/>
  <c r="S30" s="1"/>
  <c r="CS30"/>
  <c r="CR30"/>
  <c r="CQ30"/>
  <c r="BP30"/>
  <c r="BO30"/>
  <c r="BJ30"/>
  <c r="BD30"/>
  <c r="AV30"/>
  <c r="AD30" s="1"/>
  <c r="AU30"/>
  <c r="AP30"/>
  <c r="AJ30"/>
  <c r="AG30"/>
  <c r="AC30"/>
  <c r="AB30"/>
  <c r="AA30"/>
  <c r="Z30"/>
  <c r="Y30"/>
  <c r="W30"/>
  <c r="I30"/>
  <c r="H30"/>
  <c r="G30"/>
  <c r="DO29"/>
  <c r="CZ29"/>
  <c r="CY29"/>
  <c r="CS29"/>
  <c r="CR29"/>
  <c r="CQ29"/>
  <c r="BX29"/>
  <c r="CG29" s="1"/>
  <c r="CH29" s="1"/>
  <c r="BP29"/>
  <c r="BO29"/>
  <c r="BJ29"/>
  <c r="BD29"/>
  <c r="AV29"/>
  <c r="AD29" s="1"/>
  <c r="AU29"/>
  <c r="AP29"/>
  <c r="AJ29"/>
  <c r="AC29"/>
  <c r="CU29" s="1"/>
  <c r="AB29"/>
  <c r="AA29"/>
  <c r="Z29"/>
  <c r="Y29"/>
  <c r="W29"/>
  <c r="S29"/>
  <c r="I29"/>
  <c r="H29"/>
  <c r="G29"/>
  <c r="DO28"/>
  <c r="CZ28"/>
  <c r="CY28"/>
  <c r="S28" s="1"/>
  <c r="CS28"/>
  <c r="CR28"/>
  <c r="CQ28"/>
  <c r="BP28"/>
  <c r="BO28"/>
  <c r="BJ28"/>
  <c r="BD28"/>
  <c r="AV28"/>
  <c r="AD28" s="1"/>
  <c r="AU28"/>
  <c r="AP28"/>
  <c r="AJ28"/>
  <c r="AC28"/>
  <c r="AB28"/>
  <c r="AA28"/>
  <c r="Z28"/>
  <c r="Y28"/>
  <c r="W28"/>
  <c r="I28"/>
  <c r="H28"/>
  <c r="G28"/>
  <c r="DO27"/>
  <c r="CZ27"/>
  <c r="CY27"/>
  <c r="CS27"/>
  <c r="CR27"/>
  <c r="CQ27"/>
  <c r="BP27"/>
  <c r="BO27"/>
  <c r="BJ27"/>
  <c r="BD27"/>
  <c r="AV27"/>
  <c r="AD27" s="1"/>
  <c r="AU27"/>
  <c r="AP27"/>
  <c r="AJ27"/>
  <c r="AC27"/>
  <c r="AB27"/>
  <c r="AA27"/>
  <c r="Z27"/>
  <c r="Y27"/>
  <c r="W27"/>
  <c r="S27"/>
  <c r="I27"/>
  <c r="H27"/>
  <c r="G27"/>
  <c r="DO26"/>
  <c r="CZ26"/>
  <c r="CY26"/>
  <c r="S26" s="1"/>
  <c r="CS26"/>
  <c r="CR26"/>
  <c r="CQ26"/>
  <c r="BP26"/>
  <c r="BO26"/>
  <c r="BD26"/>
  <c r="AV26"/>
  <c r="AD26" s="1"/>
  <c r="AU26"/>
  <c r="AJ26"/>
  <c r="AK26" s="1"/>
  <c r="AB26"/>
  <c r="AA26"/>
  <c r="Z26"/>
  <c r="Y26"/>
  <c r="X26"/>
  <c r="W26"/>
  <c r="H26"/>
  <c r="P26" s="1"/>
  <c r="DO25"/>
  <c r="CZ25"/>
  <c r="CY25"/>
  <c r="CS25"/>
  <c r="CR25"/>
  <c r="CQ25"/>
  <c r="BP25"/>
  <c r="BO25"/>
  <c r="BJ25"/>
  <c r="BD25"/>
  <c r="AV25"/>
  <c r="AD25" s="1"/>
  <c r="AU25"/>
  <c r="AP25"/>
  <c r="AJ25"/>
  <c r="AK25" s="1"/>
  <c r="AB25"/>
  <c r="AA25"/>
  <c r="Z25"/>
  <c r="Y25"/>
  <c r="X25"/>
  <c r="W25"/>
  <c r="S25"/>
  <c r="I25"/>
  <c r="H25"/>
  <c r="G25"/>
  <c r="DO24"/>
  <c r="CZ24"/>
  <c r="CY24"/>
  <c r="CS24"/>
  <c r="CR24"/>
  <c r="CQ24"/>
  <c r="BP24"/>
  <c r="BO24"/>
  <c r="BJ24"/>
  <c r="BD24"/>
  <c r="AV24"/>
  <c r="AD24" s="1"/>
  <c r="AU24"/>
  <c r="AP24"/>
  <c r="AJ24"/>
  <c r="AC24"/>
  <c r="AB24"/>
  <c r="AA24"/>
  <c r="Z24"/>
  <c r="Y24"/>
  <c r="W24"/>
  <c r="S24"/>
  <c r="I24"/>
  <c r="H24"/>
  <c r="G24"/>
  <c r="DO23"/>
  <c r="CZ23"/>
  <c r="CY23"/>
  <c r="S23" s="1"/>
  <c r="CS23"/>
  <c r="CR23"/>
  <c r="CQ23"/>
  <c r="BP23"/>
  <c r="BO23"/>
  <c r="BJ23"/>
  <c r="BD23"/>
  <c r="AV23"/>
  <c r="AD23" s="1"/>
  <c r="DZ23" s="1"/>
  <c r="AU23"/>
  <c r="AP23"/>
  <c r="AJ23"/>
  <c r="AK23" s="1"/>
  <c r="AB23"/>
  <c r="AA23"/>
  <c r="Z23"/>
  <c r="Y23"/>
  <c r="X23"/>
  <c r="W23"/>
  <c r="I23"/>
  <c r="H23"/>
  <c r="G23"/>
  <c r="DO22"/>
  <c r="CZ22"/>
  <c r="CY22"/>
  <c r="CS22"/>
  <c r="CR22"/>
  <c r="CQ22"/>
  <c r="BP22"/>
  <c r="BO22"/>
  <c r="BJ22"/>
  <c r="BD22"/>
  <c r="AV22"/>
  <c r="AD22" s="1"/>
  <c r="AU22"/>
  <c r="AP22"/>
  <c r="AJ22"/>
  <c r="AK22" s="1"/>
  <c r="AB22"/>
  <c r="AA22"/>
  <c r="Z22"/>
  <c r="Y22"/>
  <c r="X22"/>
  <c r="W22"/>
  <c r="S22"/>
  <c r="I22"/>
  <c r="H22"/>
  <c r="G22"/>
  <c r="DO21"/>
  <c r="CZ21"/>
  <c r="CY21"/>
  <c r="CS21"/>
  <c r="CR21"/>
  <c r="CQ21"/>
  <c r="BX21"/>
  <c r="BP21"/>
  <c r="BO21"/>
  <c r="BJ21"/>
  <c r="BD21"/>
  <c r="AV21"/>
  <c r="AD21" s="1"/>
  <c r="DZ21" s="1"/>
  <c r="AU21"/>
  <c r="AC21" s="1"/>
  <c r="AP21"/>
  <c r="AJ21"/>
  <c r="AK21" s="1"/>
  <c r="AB21"/>
  <c r="AA21"/>
  <c r="Z21"/>
  <c r="Y21"/>
  <c r="W21"/>
  <c r="S21"/>
  <c r="I21"/>
  <c r="H21"/>
  <c r="G21"/>
  <c r="DO20"/>
  <c r="CZ20"/>
  <c r="CY20"/>
  <c r="CS20"/>
  <c r="CR20"/>
  <c r="CQ20"/>
  <c r="BP20"/>
  <c r="BO20"/>
  <c r="BN20"/>
  <c r="BD20"/>
  <c r="AV20"/>
  <c r="AD20" s="1"/>
  <c r="DZ20" s="1"/>
  <c r="AU20"/>
  <c r="AT20"/>
  <c r="AJ20"/>
  <c r="AK20" s="1"/>
  <c r="AB20"/>
  <c r="AA20"/>
  <c r="Z20"/>
  <c r="Y20"/>
  <c r="X20"/>
  <c r="W20"/>
  <c r="S20"/>
  <c r="I20"/>
  <c r="H20"/>
  <c r="G20"/>
  <c r="DO19"/>
  <c r="CZ19"/>
  <c r="CY19"/>
  <c r="S19" s="1"/>
  <c r="CS19"/>
  <c r="CR19"/>
  <c r="CQ19"/>
  <c r="BP19"/>
  <c r="BO19"/>
  <c r="BJ19"/>
  <c r="BD19"/>
  <c r="AV19"/>
  <c r="AD19" s="1"/>
  <c r="AU19"/>
  <c r="AP19"/>
  <c r="AJ19"/>
  <c r="AC19"/>
  <c r="AB19"/>
  <c r="AA19"/>
  <c r="Z19"/>
  <c r="Y19"/>
  <c r="W19"/>
  <c r="I19"/>
  <c r="H19"/>
  <c r="G19"/>
  <c r="DO18"/>
  <c r="CZ18"/>
  <c r="CY18"/>
  <c r="S18" s="1"/>
  <c r="CS18"/>
  <c r="CR18"/>
  <c r="CQ18"/>
  <c r="BP18"/>
  <c r="BO18"/>
  <c r="BJ18"/>
  <c r="BD18"/>
  <c r="AV18"/>
  <c r="AD18" s="1"/>
  <c r="AU18"/>
  <c r="AP18"/>
  <c r="AJ18"/>
  <c r="AK18" s="1"/>
  <c r="AB18"/>
  <c r="AA18"/>
  <c r="Z18"/>
  <c r="Y18"/>
  <c r="X18"/>
  <c r="W18"/>
  <c r="I18"/>
  <c r="H18"/>
  <c r="G18"/>
  <c r="DO17"/>
  <c r="CZ17"/>
  <c r="CY17"/>
  <c r="CS17"/>
  <c r="CR17"/>
  <c r="BJ17"/>
  <c r="CQ17"/>
  <c r="BP17"/>
  <c r="BO17"/>
  <c r="BD17"/>
  <c r="AV17"/>
  <c r="AU17"/>
  <c r="AP17"/>
  <c r="AJ17"/>
  <c r="AB17"/>
  <c r="AA17"/>
  <c r="Z17"/>
  <c r="Y17"/>
  <c r="W17"/>
  <c r="S17"/>
  <c r="I17"/>
  <c r="H17"/>
  <c r="G17"/>
  <c r="DO16"/>
  <c r="CZ16"/>
  <c r="CY16"/>
  <c r="CS16"/>
  <c r="CR16"/>
  <c r="CQ16"/>
  <c r="BP16"/>
  <c r="BO16"/>
  <c r="BJ16"/>
  <c r="BD16"/>
  <c r="AV16"/>
  <c r="AD16" s="1"/>
  <c r="AU16"/>
  <c r="AP16"/>
  <c r="AJ16"/>
  <c r="AC16"/>
  <c r="AB16"/>
  <c r="AA16"/>
  <c r="Z16"/>
  <c r="Y16"/>
  <c r="W16"/>
  <c r="S16"/>
  <c r="I16"/>
  <c r="H16"/>
  <c r="G16"/>
  <c r="DO15"/>
  <c r="CZ15"/>
  <c r="CY15"/>
  <c r="CS15"/>
  <c r="CR15"/>
  <c r="CQ15"/>
  <c r="BP15"/>
  <c r="BO15"/>
  <c r="BI15"/>
  <c r="BD15"/>
  <c r="AV15"/>
  <c r="AD15" s="1"/>
  <c r="AU15"/>
  <c r="AO15"/>
  <c r="AJ15"/>
  <c r="AC15"/>
  <c r="AB15"/>
  <c r="AA15"/>
  <c r="Z15"/>
  <c r="Y15"/>
  <c r="X15"/>
  <c r="S15"/>
  <c r="I15"/>
  <c r="H15"/>
  <c r="G15"/>
  <c r="DO14"/>
  <c r="CZ14"/>
  <c r="CY14"/>
  <c r="S14" s="1"/>
  <c r="CS14"/>
  <c r="CR14"/>
  <c r="CQ14"/>
  <c r="BP14"/>
  <c r="BO14"/>
  <c r="BN14"/>
  <c r="BD14"/>
  <c r="AV14"/>
  <c r="AD14" s="1"/>
  <c r="AU14"/>
  <c r="AT14"/>
  <c r="AJ14"/>
  <c r="AK14" s="1"/>
  <c r="AB14"/>
  <c r="AA14"/>
  <c r="Z14"/>
  <c r="Y14"/>
  <c r="X14"/>
  <c r="W14"/>
  <c r="I14"/>
  <c r="H14"/>
  <c r="G14"/>
  <c r="DO13"/>
  <c r="CZ13"/>
  <c r="CY13"/>
  <c r="CS13"/>
  <c r="CR13"/>
  <c r="CQ13"/>
  <c r="BP13"/>
  <c r="BO13"/>
  <c r="BJ13"/>
  <c r="BD13"/>
  <c r="AV13"/>
  <c r="AD13" s="1"/>
  <c r="AU13"/>
  <c r="AP13"/>
  <c r="AJ13"/>
  <c r="AG13"/>
  <c r="AC13"/>
  <c r="AB13"/>
  <c r="AA13"/>
  <c r="Z13"/>
  <c r="Y13"/>
  <c r="W13"/>
  <c r="DN13"/>
  <c r="S13"/>
  <c r="I13"/>
  <c r="H13"/>
  <c r="G13"/>
  <c r="DO12"/>
  <c r="CZ12"/>
  <c r="CY12"/>
  <c r="CS12"/>
  <c r="CR12"/>
  <c r="CQ12"/>
  <c r="BP12"/>
  <c r="BO12"/>
  <c r="BJ12"/>
  <c r="BD12"/>
  <c r="AV12"/>
  <c r="AD12" s="1"/>
  <c r="AU12"/>
  <c r="AP12"/>
  <c r="AJ12"/>
  <c r="AK12" s="1"/>
  <c r="AB12"/>
  <c r="AA12"/>
  <c r="Z12"/>
  <c r="Y12"/>
  <c r="X12"/>
  <c r="W12"/>
  <c r="S12"/>
  <c r="I12"/>
  <c r="H12"/>
  <c r="G12"/>
  <c r="DO11"/>
  <c r="CZ11"/>
  <c r="CY11"/>
  <c r="CS11"/>
  <c r="CR11"/>
  <c r="CQ11"/>
  <c r="BX11"/>
  <c r="BP11"/>
  <c r="BO11"/>
  <c r="BJ11"/>
  <c r="BD11"/>
  <c r="AV11"/>
  <c r="AD11" s="1"/>
  <c r="CV11" s="1"/>
  <c r="AU11"/>
  <c r="AP11"/>
  <c r="AJ11"/>
  <c r="AK11" s="1"/>
  <c r="AB11"/>
  <c r="AA11"/>
  <c r="Z11"/>
  <c r="Y11"/>
  <c r="X11"/>
  <c r="W11"/>
  <c r="S11"/>
  <c r="I11"/>
  <c r="H11"/>
  <c r="G11"/>
  <c r="DO10"/>
  <c r="CZ10"/>
  <c r="CY10"/>
  <c r="S10" s="1"/>
  <c r="CS10"/>
  <c r="CR10"/>
  <c r="CQ10"/>
  <c r="BP10"/>
  <c r="BO10"/>
  <c r="BJ10"/>
  <c r="BD10"/>
  <c r="AV10"/>
  <c r="AD10" s="1"/>
  <c r="AU10"/>
  <c r="AP10"/>
  <c r="AJ10"/>
  <c r="AK10" s="1"/>
  <c r="AB10"/>
  <c r="AA10"/>
  <c r="Z10"/>
  <c r="Y10"/>
  <c r="X10"/>
  <c r="W10"/>
  <c r="DN10"/>
  <c r="I10"/>
  <c r="H10"/>
  <c r="G10"/>
  <c r="DO9"/>
  <c r="CZ9"/>
  <c r="CY9"/>
  <c r="CS9"/>
  <c r="CR9"/>
  <c r="CQ9"/>
  <c r="BP9"/>
  <c r="BO9"/>
  <c r="BJ9"/>
  <c r="BD9"/>
  <c r="AV9"/>
  <c r="AD9" s="1"/>
  <c r="AU9"/>
  <c r="AP9"/>
  <c r="AJ9"/>
  <c r="AC9"/>
  <c r="AB9"/>
  <c r="AA9"/>
  <c r="Z9"/>
  <c r="Y9"/>
  <c r="W9"/>
  <c r="S9"/>
  <c r="I9"/>
  <c r="H9"/>
  <c r="G9"/>
  <c r="DO8"/>
  <c r="CZ8"/>
  <c r="CY8"/>
  <c r="CS8"/>
  <c r="CR8"/>
  <c r="CQ8"/>
  <c r="BP8"/>
  <c r="BO8"/>
  <c r="BJ8"/>
  <c r="BD8"/>
  <c r="AV8"/>
  <c r="AD8" s="1"/>
  <c r="AU8"/>
  <c r="AC8" s="1"/>
  <c r="AP8"/>
  <c r="AJ8"/>
  <c r="AB8"/>
  <c r="AA8"/>
  <c r="Z8"/>
  <c r="Y8"/>
  <c r="W8"/>
  <c r="S8"/>
  <c r="I8"/>
  <c r="H8"/>
  <c r="G8"/>
  <c r="DD7"/>
  <c r="DC7"/>
  <c r="DB7"/>
  <c r="DA7"/>
  <c r="CZ7"/>
  <c r="CX7"/>
  <c r="CW7"/>
  <c r="CP7"/>
  <c r="CO7"/>
  <c r="CN7"/>
  <c r="CM7"/>
  <c r="CL7"/>
  <c r="CK7"/>
  <c r="CJ7"/>
  <c r="CI7"/>
  <c r="CF7"/>
  <c r="CE7"/>
  <c r="BN7"/>
  <c r="BM7"/>
  <c r="BL7"/>
  <c r="BK7"/>
  <c r="BI7"/>
  <c r="BH7"/>
  <c r="BD7"/>
  <c r="BC7"/>
  <c r="AS7"/>
  <c r="AR7"/>
  <c r="AQ7"/>
  <c r="AN7"/>
  <c r="AI7"/>
  <c r="U7"/>
  <c r="CT4"/>
  <c r="CQ4"/>
  <c r="CN28" i="12"/>
  <c r="CJ17"/>
  <c r="CN93"/>
  <c r="CJ93"/>
  <c r="CN86"/>
  <c r="CJ86"/>
  <c r="CN33"/>
  <c r="CJ33"/>
  <c r="CN23"/>
  <c r="CN94"/>
  <c r="CJ94"/>
  <c r="CJ105"/>
  <c r="CJ28"/>
  <c r="CJ24"/>
  <c r="CN18"/>
  <c r="CJ18"/>
  <c r="CN17"/>
  <c r="CI17"/>
  <c r="J5" i="23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K5"/>
  <c r="K7"/>
  <c r="K9"/>
  <c r="K11"/>
  <c r="K13"/>
  <c r="K15"/>
  <c r="K17"/>
  <c r="K19"/>
  <c r="K21"/>
  <c r="K23"/>
  <c r="K25"/>
  <c r="K27"/>
  <c r="K29"/>
  <c r="K31"/>
  <c r="K33"/>
  <c r="K35"/>
  <c r="K37"/>
  <c r="K39"/>
  <c r="K41"/>
  <c r="K43"/>
  <c r="K45"/>
  <c r="K47"/>
  <c r="K49"/>
  <c r="K51"/>
  <c r="K53"/>
  <c r="K55"/>
  <c r="K57"/>
  <c r="K59"/>
  <c r="K61"/>
  <c r="K63"/>
  <c r="K65"/>
  <c r="K67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O5"/>
  <c r="O7"/>
  <c r="O9"/>
  <c r="O11"/>
  <c r="O13"/>
  <c r="O15"/>
  <c r="O17"/>
  <c r="O19"/>
  <c r="O21"/>
  <c r="O23"/>
  <c r="O25"/>
  <c r="O27"/>
  <c r="O29"/>
  <c r="O31"/>
  <c r="O33"/>
  <c r="O35"/>
  <c r="O37"/>
  <c r="O39"/>
  <c r="O41"/>
  <c r="O43"/>
  <c r="O45"/>
  <c r="O47"/>
  <c r="O49"/>
  <c r="O51"/>
  <c r="O53"/>
  <c r="O55"/>
  <c r="O57"/>
  <c r="O59"/>
  <c r="O61"/>
  <c r="O63"/>
  <c r="O65"/>
  <c r="O67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K6"/>
  <c r="K8"/>
  <c r="K10"/>
  <c r="K12"/>
  <c r="K14"/>
  <c r="K16"/>
  <c r="K18"/>
  <c r="K20"/>
  <c r="K22"/>
  <c r="K24"/>
  <c r="K26"/>
  <c r="K28"/>
  <c r="K30"/>
  <c r="K32"/>
  <c r="K34"/>
  <c r="K36"/>
  <c r="K38"/>
  <c r="K40"/>
  <c r="K42"/>
  <c r="K44"/>
  <c r="K46"/>
  <c r="K48"/>
  <c r="K50"/>
  <c r="K52"/>
  <c r="K54"/>
  <c r="K56"/>
  <c r="K58"/>
  <c r="K60"/>
  <c r="K62"/>
  <c r="K64"/>
  <c r="K66"/>
  <c r="K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O6"/>
  <c r="O8"/>
  <c r="O10"/>
  <c r="O12"/>
  <c r="O14"/>
  <c r="O16"/>
  <c r="O18"/>
  <c r="O20"/>
  <c r="O22"/>
  <c r="O24"/>
  <c r="O26"/>
  <c r="O28"/>
  <c r="O30"/>
  <c r="O32"/>
  <c r="O34"/>
  <c r="O36"/>
  <c r="O38"/>
  <c r="O40"/>
  <c r="O42"/>
  <c r="O44"/>
  <c r="O46"/>
  <c r="O48"/>
  <c r="O50"/>
  <c r="O52"/>
  <c r="O54"/>
  <c r="O56"/>
  <c r="O58"/>
  <c r="O60"/>
  <c r="O62"/>
  <c r="O64"/>
  <c r="O66"/>
  <c r="O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100"/>
  <c r="I6"/>
  <c r="I8"/>
  <c r="I10"/>
  <c r="I12"/>
  <c r="I14"/>
  <c r="I16"/>
  <c r="I18"/>
  <c r="I20"/>
  <c r="I22"/>
  <c r="I24"/>
  <c r="I26"/>
  <c r="I28"/>
  <c r="I30"/>
  <c r="I32"/>
  <c r="I34"/>
  <c r="I36"/>
  <c r="I38"/>
  <c r="I40"/>
  <c r="I42"/>
  <c r="I44"/>
  <c r="I46"/>
  <c r="I48"/>
  <c r="I50"/>
  <c r="I52"/>
  <c r="I54"/>
  <c r="I56"/>
  <c r="I58"/>
  <c r="I60"/>
  <c r="I62"/>
  <c r="I64"/>
  <c r="I66"/>
  <c r="I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O101"/>
  <c r="O102"/>
  <c r="J4"/>
  <c r="H11"/>
  <c r="H19"/>
  <c r="H27"/>
  <c r="H35"/>
  <c r="H43"/>
  <c r="H51"/>
  <c r="H59"/>
  <c r="H67"/>
  <c r="H75"/>
  <c r="H83"/>
  <c r="H91"/>
  <c r="H99"/>
  <c r="G8"/>
  <c r="G16"/>
  <c r="G24"/>
  <c r="G32"/>
  <c r="G40"/>
  <c r="G48"/>
  <c r="G56"/>
  <c r="G64"/>
  <c r="G72"/>
  <c r="G80"/>
  <c r="G88"/>
  <c r="G96"/>
  <c r="F5"/>
  <c r="F13"/>
  <c r="F21"/>
  <c r="F29"/>
  <c r="F37"/>
  <c r="F45"/>
  <c r="F53"/>
  <c r="F61"/>
  <c r="F69"/>
  <c r="F77"/>
  <c r="F85"/>
  <c r="F93"/>
  <c r="F101"/>
  <c r="E10"/>
  <c r="E18"/>
  <c r="E26"/>
  <c r="E34"/>
  <c r="E42"/>
  <c r="E50"/>
  <c r="E58"/>
  <c r="E66"/>
  <c r="E74"/>
  <c r="E82"/>
  <c r="E90"/>
  <c r="E98"/>
  <c r="D7"/>
  <c r="D15"/>
  <c r="D23"/>
  <c r="D31"/>
  <c r="D39"/>
  <c r="D47"/>
  <c r="D55"/>
  <c r="D63"/>
  <c r="D71"/>
  <c r="D79"/>
  <c r="D87"/>
  <c r="D95"/>
  <c r="D4"/>
  <c r="C12"/>
  <c r="C20"/>
  <c r="C28"/>
  <c r="C36"/>
  <c r="C44"/>
  <c r="C52"/>
  <c r="C60"/>
  <c r="C68"/>
  <c r="C76"/>
  <c r="C84"/>
  <c r="C92"/>
  <c r="C100"/>
  <c r="B9"/>
  <c r="B17"/>
  <c r="B25"/>
  <c r="B33"/>
  <c r="B41"/>
  <c r="B49"/>
  <c r="B57"/>
  <c r="B65"/>
  <c r="B73"/>
  <c r="B81"/>
  <c r="B89"/>
  <c r="B97"/>
  <c r="I101"/>
  <c r="J102"/>
  <c r="O4"/>
  <c r="H6"/>
  <c r="H14"/>
  <c r="H22"/>
  <c r="H30"/>
  <c r="J101"/>
  <c r="M6"/>
  <c r="M8"/>
  <c r="M10"/>
  <c r="M12"/>
  <c r="M14"/>
  <c r="M16"/>
  <c r="M18"/>
  <c r="M20"/>
  <c r="M22"/>
  <c r="M24"/>
  <c r="M26"/>
  <c r="M28"/>
  <c r="M30"/>
  <c r="M32"/>
  <c r="M34"/>
  <c r="M36"/>
  <c r="M38"/>
  <c r="M40"/>
  <c r="M42"/>
  <c r="M44"/>
  <c r="M46"/>
  <c r="M48"/>
  <c r="M50"/>
  <c r="M52"/>
  <c r="M54"/>
  <c r="M56"/>
  <c r="M58"/>
  <c r="M60"/>
  <c r="M62"/>
  <c r="M64"/>
  <c r="M66"/>
  <c r="M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I102"/>
  <c r="P4"/>
  <c r="H5"/>
  <c r="H13"/>
  <c r="H21"/>
  <c r="H29"/>
  <c r="H37"/>
  <c r="H45"/>
  <c r="H53"/>
  <c r="H61"/>
  <c r="H69"/>
  <c r="H77"/>
  <c r="H85"/>
  <c r="H93"/>
  <c r="H101"/>
  <c r="G10"/>
  <c r="G18"/>
  <c r="G26"/>
  <c r="G34"/>
  <c r="G42"/>
  <c r="G50"/>
  <c r="G58"/>
  <c r="G66"/>
  <c r="G74"/>
  <c r="G82"/>
  <c r="G90"/>
  <c r="G98"/>
  <c r="F7"/>
  <c r="F15"/>
  <c r="F23"/>
  <c r="F31"/>
  <c r="F39"/>
  <c r="F47"/>
  <c r="F55"/>
  <c r="F63"/>
  <c r="F71"/>
  <c r="F79"/>
  <c r="F87"/>
  <c r="F95"/>
  <c r="F4"/>
  <c r="E12"/>
  <c r="E20"/>
  <c r="E28"/>
  <c r="E36"/>
  <c r="E44"/>
  <c r="E52"/>
  <c r="E60"/>
  <c r="E68"/>
  <c r="E76"/>
  <c r="E84"/>
  <c r="E92"/>
  <c r="E100"/>
  <c r="D9"/>
  <c r="D17"/>
  <c r="D25"/>
  <c r="D33"/>
  <c r="D41"/>
  <c r="D49"/>
  <c r="D57"/>
  <c r="D65"/>
  <c r="D73"/>
  <c r="D81"/>
  <c r="D89"/>
  <c r="D97"/>
  <c r="C6"/>
  <c r="C14"/>
  <c r="C22"/>
  <c r="C30"/>
  <c r="C38"/>
  <c r="C46"/>
  <c r="C54"/>
  <c r="C62"/>
  <c r="C70"/>
  <c r="C78"/>
  <c r="C86"/>
  <c r="C94"/>
  <c r="C102"/>
  <c r="B11"/>
  <c r="B19"/>
  <c r="B27"/>
  <c r="B35"/>
  <c r="B43"/>
  <c r="B51"/>
  <c r="B59"/>
  <c r="B67"/>
  <c r="B75"/>
  <c r="B83"/>
  <c r="B91"/>
  <c r="B99"/>
  <c r="L101"/>
  <c r="L102"/>
  <c r="M4"/>
  <c r="H8"/>
  <c r="H16"/>
  <c r="H24"/>
  <c r="H32"/>
  <c r="H40"/>
  <c r="H48"/>
  <c r="H56"/>
  <c r="H64"/>
  <c r="H72"/>
  <c r="H80"/>
  <c r="H88"/>
  <c r="H96"/>
  <c r="G5"/>
  <c r="G13"/>
  <c r="G21"/>
  <c r="G29"/>
  <c r="G37"/>
  <c r="G45"/>
  <c r="G53"/>
  <c r="G61"/>
  <c r="G69"/>
  <c r="G77"/>
  <c r="G85"/>
  <c r="G93"/>
  <c r="G101"/>
  <c r="F10"/>
  <c r="F18"/>
  <c r="F26"/>
  <c r="F34"/>
  <c r="F42"/>
  <c r="F50"/>
  <c r="F58"/>
  <c r="F66"/>
  <c r="F74"/>
  <c r="F82"/>
  <c r="F90"/>
  <c r="F98"/>
  <c r="E7"/>
  <c r="E15"/>
  <c r="E23"/>
  <c r="E31"/>
  <c r="E39"/>
  <c r="E47"/>
  <c r="E55"/>
  <c r="E63"/>
  <c r="E71"/>
  <c r="E79"/>
  <c r="E87"/>
  <c r="E95"/>
  <c r="E4"/>
  <c r="D12"/>
  <c r="D20"/>
  <c r="D28"/>
  <c r="D36"/>
  <c r="D44"/>
  <c r="D52"/>
  <c r="D60"/>
  <c r="D68"/>
  <c r="D76"/>
  <c r="D84"/>
  <c r="D92"/>
  <c r="D100"/>
  <c r="C9"/>
  <c r="C17"/>
  <c r="C25"/>
  <c r="C33"/>
  <c r="C41"/>
  <c r="C49"/>
  <c r="C57"/>
  <c r="C65"/>
  <c r="C73"/>
  <c r="C81"/>
  <c r="C89"/>
  <c r="C97"/>
  <c r="B6"/>
  <c r="B14"/>
  <c r="B22"/>
  <c r="B30"/>
  <c r="B38"/>
  <c r="B46"/>
  <c r="B54"/>
  <c r="B62"/>
  <c r="B70"/>
  <c r="B78"/>
  <c r="B86"/>
  <c r="B94"/>
  <c r="B102"/>
  <c r="H42"/>
  <c r="H50"/>
  <c r="H58"/>
  <c r="H66"/>
  <c r="H74"/>
  <c r="H82"/>
  <c r="H90"/>
  <c r="H98"/>
  <c r="G7"/>
  <c r="G15"/>
  <c r="G23"/>
  <c r="G31"/>
  <c r="G43"/>
  <c r="G59"/>
  <c r="G75"/>
  <c r="G91"/>
  <c r="F8"/>
  <c r="F24"/>
  <c r="F40"/>
  <c r="F56"/>
  <c r="F72"/>
  <c r="F88"/>
  <c r="E5"/>
  <c r="E21"/>
  <c r="E37"/>
  <c r="E53"/>
  <c r="E69"/>
  <c r="E85"/>
  <c r="E101"/>
  <c r="D18"/>
  <c r="D34"/>
  <c r="D50"/>
  <c r="D66"/>
  <c r="D82"/>
  <c r="D98"/>
  <c r="C15"/>
  <c r="C31"/>
  <c r="C47"/>
  <c r="C63"/>
  <c r="C79"/>
  <c r="C95"/>
  <c r="B12"/>
  <c r="B28"/>
  <c r="B44"/>
  <c r="B60"/>
  <c r="B76"/>
  <c r="B92"/>
  <c r="G39"/>
  <c r="G55"/>
  <c r="G71"/>
  <c r="G87"/>
  <c r="G4"/>
  <c r="F20"/>
  <c r="F36"/>
  <c r="F52"/>
  <c r="F68"/>
  <c r="F84"/>
  <c r="F100"/>
  <c r="E17"/>
  <c r="E33"/>
  <c r="E49"/>
  <c r="E65"/>
  <c r="E81"/>
  <c r="E97"/>
  <c r="D14"/>
  <c r="D30"/>
  <c r="D46"/>
  <c r="D62"/>
  <c r="D78"/>
  <c r="D94"/>
  <c r="C11"/>
  <c r="C27"/>
  <c r="C43"/>
  <c r="C59"/>
  <c r="C75"/>
  <c r="C91"/>
  <c r="B8"/>
  <c r="B24"/>
  <c r="B40"/>
  <c r="B56"/>
  <c r="B72"/>
  <c r="B88"/>
  <c r="G70"/>
  <c r="F27"/>
  <c r="P99"/>
  <c r="I5"/>
  <c r="I7"/>
  <c r="I9"/>
  <c r="I11"/>
  <c r="I13"/>
  <c r="I15"/>
  <c r="I17"/>
  <c r="I19"/>
  <c r="I21"/>
  <c r="I23"/>
  <c r="I25"/>
  <c r="I27"/>
  <c r="I29"/>
  <c r="I31"/>
  <c r="I33"/>
  <c r="I35"/>
  <c r="I37"/>
  <c r="I39"/>
  <c r="I41"/>
  <c r="I43"/>
  <c r="I45"/>
  <c r="I47"/>
  <c r="I49"/>
  <c r="I51"/>
  <c r="I53"/>
  <c r="I55"/>
  <c r="I57"/>
  <c r="I59"/>
  <c r="I61"/>
  <c r="I63"/>
  <c r="I65"/>
  <c r="I67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K101"/>
  <c r="K102"/>
  <c r="N4"/>
  <c r="H7"/>
  <c r="H15"/>
  <c r="H23"/>
  <c r="H31"/>
  <c r="H39"/>
  <c r="H47"/>
  <c r="H55"/>
  <c r="H63"/>
  <c r="H71"/>
  <c r="H79"/>
  <c r="H87"/>
  <c r="H95"/>
  <c r="H4"/>
  <c r="G12"/>
  <c r="G20"/>
  <c r="G28"/>
  <c r="G36"/>
  <c r="G44"/>
  <c r="G52"/>
  <c r="G60"/>
  <c r="G68"/>
  <c r="G76"/>
  <c r="G84"/>
  <c r="G92"/>
  <c r="G100"/>
  <c r="F9"/>
  <c r="F17"/>
  <c r="F25"/>
  <c r="F33"/>
  <c r="F41"/>
  <c r="F49"/>
  <c r="F57"/>
  <c r="F65"/>
  <c r="F73"/>
  <c r="F81"/>
  <c r="F89"/>
  <c r="F97"/>
  <c r="E6"/>
  <c r="E14"/>
  <c r="E22"/>
  <c r="E30"/>
  <c r="E38"/>
  <c r="E46"/>
  <c r="E54"/>
  <c r="E62"/>
  <c r="E70"/>
  <c r="E78"/>
  <c r="E86"/>
  <c r="E94"/>
  <c r="E102"/>
  <c r="D11"/>
  <c r="D19"/>
  <c r="D27"/>
  <c r="D35"/>
  <c r="D43"/>
  <c r="D51"/>
  <c r="D59"/>
  <c r="D67"/>
  <c r="D75"/>
  <c r="D83"/>
  <c r="D91"/>
  <c r="D99"/>
  <c r="C8"/>
  <c r="C16"/>
  <c r="C24"/>
  <c r="C32"/>
  <c r="C40"/>
  <c r="C48"/>
  <c r="C56"/>
  <c r="C64"/>
  <c r="C72"/>
  <c r="C80"/>
  <c r="C88"/>
  <c r="C96"/>
  <c r="B5"/>
  <c r="B13"/>
  <c r="B21"/>
  <c r="B29"/>
  <c r="B37"/>
  <c r="B45"/>
  <c r="B53"/>
  <c r="B61"/>
  <c r="B69"/>
  <c r="B77"/>
  <c r="B85"/>
  <c r="B93"/>
  <c r="B101"/>
  <c r="N101"/>
  <c r="N102"/>
  <c r="K4"/>
  <c r="H10"/>
  <c r="H18"/>
  <c r="H26"/>
  <c r="H34"/>
  <c r="M5"/>
  <c r="M7"/>
  <c r="M9"/>
  <c r="M11"/>
  <c r="M13"/>
  <c r="M15"/>
  <c r="M17"/>
  <c r="M19"/>
  <c r="M21"/>
  <c r="M23"/>
  <c r="M25"/>
  <c r="M27"/>
  <c r="M29"/>
  <c r="M31"/>
  <c r="M33"/>
  <c r="M35"/>
  <c r="M37"/>
  <c r="M39"/>
  <c r="M41"/>
  <c r="M43"/>
  <c r="M45"/>
  <c r="M47"/>
  <c r="M49"/>
  <c r="M51"/>
  <c r="M53"/>
  <c r="M55"/>
  <c r="M57"/>
  <c r="M59"/>
  <c r="M61"/>
  <c r="M63"/>
  <c r="M65"/>
  <c r="M67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M101"/>
  <c r="M102"/>
  <c r="L4"/>
  <c r="H9"/>
  <c r="H17"/>
  <c r="H25"/>
  <c r="H33"/>
  <c r="H41"/>
  <c r="H49"/>
  <c r="H57"/>
  <c r="H65"/>
  <c r="H73"/>
  <c r="H81"/>
  <c r="H89"/>
  <c r="H97"/>
  <c r="G6"/>
  <c r="G14"/>
  <c r="G22"/>
  <c r="G30"/>
  <c r="G38"/>
  <c r="G46"/>
  <c r="G54"/>
  <c r="G62"/>
  <c r="G78"/>
  <c r="G86"/>
  <c r="G94"/>
  <c r="G102"/>
  <c r="F11"/>
  <c r="F19"/>
  <c r="F35"/>
  <c r="F51"/>
  <c r="F67"/>
  <c r="F83"/>
  <c r="F99"/>
  <c r="E16"/>
  <c r="E32"/>
  <c r="E48"/>
  <c r="E64"/>
  <c r="E80"/>
  <c r="E96"/>
  <c r="D13"/>
  <c r="D29"/>
  <c r="D45"/>
  <c r="D61"/>
  <c r="D77"/>
  <c r="D93"/>
  <c r="C10"/>
  <c r="C26"/>
  <c r="C42"/>
  <c r="C58"/>
  <c r="C74"/>
  <c r="C90"/>
  <c r="B7"/>
  <c r="B23"/>
  <c r="B39"/>
  <c r="B55"/>
  <c r="B71"/>
  <c r="B87"/>
  <c r="B4"/>
  <c r="P102"/>
  <c r="H12"/>
  <c r="H28"/>
  <c r="H44"/>
  <c r="H60"/>
  <c r="H76"/>
  <c r="H92"/>
  <c r="G9"/>
  <c r="G25"/>
  <c r="G41"/>
  <c r="G57"/>
  <c r="G73"/>
  <c r="G89"/>
  <c r="F6"/>
  <c r="F22"/>
  <c r="F38"/>
  <c r="F54"/>
  <c r="F70"/>
  <c r="F86"/>
  <c r="F102"/>
  <c r="E19"/>
  <c r="E35"/>
  <c r="E51"/>
  <c r="E67"/>
  <c r="E83"/>
  <c r="E99"/>
  <c r="D16"/>
  <c r="D32"/>
  <c r="D48"/>
  <c r="D64"/>
  <c r="D80"/>
  <c r="D96"/>
  <c r="C13"/>
  <c r="C29"/>
  <c r="C45"/>
  <c r="C61"/>
  <c r="C77"/>
  <c r="C93"/>
  <c r="B10"/>
  <c r="B26"/>
  <c r="B42"/>
  <c r="B58"/>
  <c r="B74"/>
  <c r="B90"/>
  <c r="H38"/>
  <c r="H54"/>
  <c r="H70"/>
  <c r="H86"/>
  <c r="H102"/>
  <c r="G19"/>
  <c r="G35"/>
  <c r="G67"/>
  <c r="G99"/>
  <c r="F32"/>
  <c r="F64"/>
  <c r="F96"/>
  <c r="E29"/>
  <c r="E61"/>
  <c r="E93"/>
  <c r="D26"/>
  <c r="D58"/>
  <c r="D90"/>
  <c r="C23"/>
  <c r="C55"/>
  <c r="C87"/>
  <c r="B20"/>
  <c r="B52"/>
  <c r="B84"/>
  <c r="G47"/>
  <c r="G79"/>
  <c r="F12"/>
  <c r="F44"/>
  <c r="F76"/>
  <c r="E9"/>
  <c r="E41"/>
  <c r="E73"/>
  <c r="D6"/>
  <c r="D38"/>
  <c r="D70"/>
  <c r="D102"/>
  <c r="C35"/>
  <c r="F43"/>
  <c r="F59"/>
  <c r="F75"/>
  <c r="F91"/>
  <c r="E8"/>
  <c r="E24"/>
  <c r="E40"/>
  <c r="E56"/>
  <c r="E72"/>
  <c r="E88"/>
  <c r="D5"/>
  <c r="D21"/>
  <c r="D37"/>
  <c r="D53"/>
  <c r="D69"/>
  <c r="D85"/>
  <c r="D101"/>
  <c r="C18"/>
  <c r="C34"/>
  <c r="C50"/>
  <c r="C66"/>
  <c r="C82"/>
  <c r="C98"/>
  <c r="B15"/>
  <c r="B31"/>
  <c r="B47"/>
  <c r="B63"/>
  <c r="B79"/>
  <c r="B95"/>
  <c r="P101"/>
  <c r="I4"/>
  <c r="H20"/>
  <c r="H36"/>
  <c r="H52"/>
  <c r="H68"/>
  <c r="H84"/>
  <c r="H100"/>
  <c r="G17"/>
  <c r="G33"/>
  <c r="G49"/>
  <c r="G65"/>
  <c r="G81"/>
  <c r="G97"/>
  <c r="F14"/>
  <c r="F30"/>
  <c r="F46"/>
  <c r="F62"/>
  <c r="F78"/>
  <c r="F94"/>
  <c r="E11"/>
  <c r="E27"/>
  <c r="E43"/>
  <c r="E59"/>
  <c r="E75"/>
  <c r="E91"/>
  <c r="D8"/>
  <c r="D24"/>
  <c r="D40"/>
  <c r="D56"/>
  <c r="D72"/>
  <c r="D88"/>
  <c r="C5"/>
  <c r="C21"/>
  <c r="C37"/>
  <c r="C53"/>
  <c r="C69"/>
  <c r="C85"/>
  <c r="C101"/>
  <c r="B18"/>
  <c r="B34"/>
  <c r="B50"/>
  <c r="B66"/>
  <c r="B82"/>
  <c r="B98"/>
  <c r="H46"/>
  <c r="H62"/>
  <c r="H78"/>
  <c r="H94"/>
  <c r="G11"/>
  <c r="G27"/>
  <c r="G51"/>
  <c r="G83"/>
  <c r="F16"/>
  <c r="F48"/>
  <c r="F80"/>
  <c r="E13"/>
  <c r="E45"/>
  <c r="E77"/>
  <c r="D10"/>
  <c r="D42"/>
  <c r="D74"/>
  <c r="C7"/>
  <c r="C39"/>
  <c r="C71"/>
  <c r="C4"/>
  <c r="B36"/>
  <c r="B68"/>
  <c r="B100"/>
  <c r="G63"/>
  <c r="G95"/>
  <c r="F28"/>
  <c r="F60"/>
  <c r="F92"/>
  <c r="E25"/>
  <c r="E57"/>
  <c r="E89"/>
  <c r="D22"/>
  <c r="D54"/>
  <c r="D86"/>
  <c r="C19"/>
  <c r="C51"/>
  <c r="C83"/>
  <c r="B16"/>
  <c r="B48"/>
  <c r="B80"/>
  <c r="C67"/>
  <c r="C99"/>
  <c r="B32"/>
  <c r="B64"/>
  <c r="B96"/>
  <c r="C3" l="1"/>
  <c r="I3"/>
  <c r="L3"/>
  <c r="K3"/>
  <c r="H3"/>
  <c r="N3"/>
  <c r="G3"/>
  <c r="E3"/>
  <c r="H1" s="1"/>
  <c r="M3"/>
  <c r="F3"/>
  <c r="D1" s="1"/>
  <c r="P3"/>
  <c r="L1" s="1"/>
  <c r="O3"/>
  <c r="K1" s="1"/>
  <c r="D3"/>
  <c r="G1" s="1"/>
  <c r="J3"/>
  <c r="DL19" i="22"/>
  <c r="CC19"/>
  <c r="DW48"/>
  <c r="DL67" i="21"/>
  <c r="EA76" i="19"/>
  <c r="CB102"/>
  <c r="CB101"/>
  <c r="CB99"/>
  <c r="AE97"/>
  <c r="DY79"/>
  <c r="AD7"/>
  <c r="CA69"/>
  <c r="CC89" i="22"/>
  <c r="DL101"/>
  <c r="EA80" i="19"/>
  <c r="EA86"/>
  <c r="BU81"/>
  <c r="EA78"/>
  <c r="EB78" s="1"/>
  <c r="EC78" s="1"/>
  <c r="DL52" i="21"/>
  <c r="DL63"/>
  <c r="DM26"/>
  <c r="DH97"/>
  <c r="DK97" s="1"/>
  <c r="DY97"/>
  <c r="CC26"/>
  <c r="BU18"/>
  <c r="EA18"/>
  <c r="CT86"/>
  <c r="BU83"/>
  <c r="DW83" s="1"/>
  <c r="EA83"/>
  <c r="CT84"/>
  <c r="DW88"/>
  <c r="BW26"/>
  <c r="DW97"/>
  <c r="DL27"/>
  <c r="DW70"/>
  <c r="DL83"/>
  <c r="DW14"/>
  <c r="DL79"/>
  <c r="DL88"/>
  <c r="DY100"/>
  <c r="EA26"/>
  <c r="EB26" s="1"/>
  <c r="EC26" s="1"/>
  <c r="BU26"/>
  <c r="DW26" s="1"/>
  <c r="CT26"/>
  <c r="BU10" i="22"/>
  <c r="EA10"/>
  <c r="CT10"/>
  <c r="BG19"/>
  <c r="BB19"/>
  <c r="CC18"/>
  <c r="BT18"/>
  <c r="EA37"/>
  <c r="CT37"/>
  <c r="BU37"/>
  <c r="DW37" s="1"/>
  <c r="EA43"/>
  <c r="CT43"/>
  <c r="BU43"/>
  <c r="DW43" s="1"/>
  <c r="EA42"/>
  <c r="CT42"/>
  <c r="BU42"/>
  <c r="BT72"/>
  <c r="CC72"/>
  <c r="EA58"/>
  <c r="CT58"/>
  <c r="BU58"/>
  <c r="BT71"/>
  <c r="CC71"/>
  <c r="EA80"/>
  <c r="CT80"/>
  <c r="BU80"/>
  <c r="DW80" s="1"/>
  <c r="CC88"/>
  <c r="BT88"/>
  <c r="EB19"/>
  <c r="EC19" s="1"/>
  <c r="CG19"/>
  <c r="CH19" s="1"/>
  <c r="EB57"/>
  <c r="EC57" s="1"/>
  <c r="CG57"/>
  <c r="CH57" s="1"/>
  <c r="DH50"/>
  <c r="DK50" s="1"/>
  <c r="DY50"/>
  <c r="EB83"/>
  <c r="EC83" s="1"/>
  <c r="CG83"/>
  <c r="CH83" s="1"/>
  <c r="EB71"/>
  <c r="EC71" s="1"/>
  <c r="CG71"/>
  <c r="CH71" s="1"/>
  <c r="EB76"/>
  <c r="EC76" s="1"/>
  <c r="CG76"/>
  <c r="CH76" s="1"/>
  <c r="BT84"/>
  <c r="CC84"/>
  <c r="CG84"/>
  <c r="CH84" s="1"/>
  <c r="EB97"/>
  <c r="EC97" s="1"/>
  <c r="CG97"/>
  <c r="CH97" s="1"/>
  <c r="DH85"/>
  <c r="DK85" s="1"/>
  <c r="DY85"/>
  <c r="DH86"/>
  <c r="DK86" s="1"/>
  <c r="DY86"/>
  <c r="EB98"/>
  <c r="EC98" s="1"/>
  <c r="CG98"/>
  <c r="CH98" s="1"/>
  <c r="EA9"/>
  <c r="CT9"/>
  <c r="BU9"/>
  <c r="DW9" s="1"/>
  <c r="EA8"/>
  <c r="CT8"/>
  <c r="BU8"/>
  <c r="AE7"/>
  <c r="EA23"/>
  <c r="CT23"/>
  <c r="BU23"/>
  <c r="EA30"/>
  <c r="CT30"/>
  <c r="BU30"/>
  <c r="DW30" s="1"/>
  <c r="EA33"/>
  <c r="CT33"/>
  <c r="BU33"/>
  <c r="DW33" s="1"/>
  <c r="EA41"/>
  <c r="CT41"/>
  <c r="BU41"/>
  <c r="EA22"/>
  <c r="CT22"/>
  <c r="BU22"/>
  <c r="DW22" s="1"/>
  <c r="EA34"/>
  <c r="CT34"/>
  <c r="BU34"/>
  <c r="DW34" s="1"/>
  <c r="EA38"/>
  <c r="CT38"/>
  <c r="BU38"/>
  <c r="DW38" s="1"/>
  <c r="CC51"/>
  <c r="BT51"/>
  <c r="EA55"/>
  <c r="CT55"/>
  <c r="BU55"/>
  <c r="EA67"/>
  <c r="CT67"/>
  <c r="BU67"/>
  <c r="CT69"/>
  <c r="EA69"/>
  <c r="BU69"/>
  <c r="DW69" s="1"/>
  <c r="BG71"/>
  <c r="BB71"/>
  <c r="CC73"/>
  <c r="BT73"/>
  <c r="BT76"/>
  <c r="CC76"/>
  <c r="EA82"/>
  <c r="CT82"/>
  <c r="BU82"/>
  <c r="EA92"/>
  <c r="CT92"/>
  <c r="BU92"/>
  <c r="DW92" s="1"/>
  <c r="EA94"/>
  <c r="CT94"/>
  <c r="BU94"/>
  <c r="EA104"/>
  <c r="CT104"/>
  <c r="BU104"/>
  <c r="DW104" s="1"/>
  <c r="AZ7"/>
  <c r="DG8"/>
  <c r="EA15"/>
  <c r="CT15"/>
  <c r="BU15"/>
  <c r="DW15" s="1"/>
  <c r="EB18"/>
  <c r="EC18" s="1"/>
  <c r="CG18"/>
  <c r="CH18" s="1"/>
  <c r="EB20"/>
  <c r="EC20" s="1"/>
  <c r="CG20"/>
  <c r="CH20" s="1"/>
  <c r="EB72"/>
  <c r="EC72" s="1"/>
  <c r="CG72"/>
  <c r="CH72" s="1"/>
  <c r="DJ89"/>
  <c r="CD89"/>
  <c r="BW89"/>
  <c r="DH19"/>
  <c r="DK19" s="1"/>
  <c r="DY19"/>
  <c r="CC11"/>
  <c r="BT11"/>
  <c r="CC14"/>
  <c r="BT14"/>
  <c r="EB14"/>
  <c r="CG14"/>
  <c r="CH14" s="1"/>
  <c r="EC14"/>
  <c r="DJ19"/>
  <c r="CD19"/>
  <c r="BW19"/>
  <c r="BT21"/>
  <c r="CC21"/>
  <c r="EC25"/>
  <c r="EB25"/>
  <c r="CG25"/>
  <c r="CH25" s="1"/>
  <c r="DH27"/>
  <c r="DK27" s="1"/>
  <c r="DY27"/>
  <c r="BT31"/>
  <c r="CC31"/>
  <c r="CG31"/>
  <c r="CH31" s="1"/>
  <c r="BT34"/>
  <c r="CC34"/>
  <c r="EC34"/>
  <c r="EB34"/>
  <c r="CG34"/>
  <c r="CH34" s="1"/>
  <c r="BT36"/>
  <c r="CC36"/>
  <c r="BT37"/>
  <c r="CC37"/>
  <c r="EB37"/>
  <c r="EC37" s="1"/>
  <c r="CG37"/>
  <c r="CH37" s="1"/>
  <c r="BT39"/>
  <c r="CC39"/>
  <c r="CG39"/>
  <c r="CH39" s="1"/>
  <c r="EC40"/>
  <c r="CG40"/>
  <c r="CH40" s="1"/>
  <c r="BT41"/>
  <c r="CC41"/>
  <c r="EC41"/>
  <c r="EB41"/>
  <c r="CG41"/>
  <c r="CH41" s="1"/>
  <c r="EC42"/>
  <c r="EB42"/>
  <c r="CG42"/>
  <c r="CH42" s="1"/>
  <c r="BB44"/>
  <c r="BG44"/>
  <c r="DH47"/>
  <c r="DK47" s="1"/>
  <c r="DY47"/>
  <c r="DH49"/>
  <c r="DK49" s="1"/>
  <c r="DY49"/>
  <c r="CC27"/>
  <c r="BT27"/>
  <c r="EB27"/>
  <c r="EC27" s="1"/>
  <c r="CG27"/>
  <c r="CH27" s="1"/>
  <c r="CC46"/>
  <c r="BT46"/>
  <c r="EB46"/>
  <c r="EC46" s="1"/>
  <c r="CG46"/>
  <c r="CH46" s="1"/>
  <c r="CC52"/>
  <c r="BT52"/>
  <c r="EB52"/>
  <c r="EC52" s="1"/>
  <c r="CG52"/>
  <c r="CH52" s="1"/>
  <c r="BT67"/>
  <c r="CC67"/>
  <c r="EC67"/>
  <c r="EB67"/>
  <c r="CG67"/>
  <c r="CH67" s="1"/>
  <c r="BT68"/>
  <c r="CC68"/>
  <c r="CG68"/>
  <c r="CH68" s="1"/>
  <c r="CC60"/>
  <c r="BT60"/>
  <c r="EB60"/>
  <c r="EC60" s="1"/>
  <c r="CG60"/>
  <c r="CH60" s="1"/>
  <c r="CC64"/>
  <c r="BT64"/>
  <c r="EB64"/>
  <c r="CG64"/>
  <c r="CH64" s="1"/>
  <c r="EC64"/>
  <c r="BT79"/>
  <c r="CC79"/>
  <c r="EC79"/>
  <c r="CG79"/>
  <c r="CH79" s="1"/>
  <c r="BT82"/>
  <c r="CC82"/>
  <c r="CC85"/>
  <c r="BT85"/>
  <c r="EB85"/>
  <c r="CG85"/>
  <c r="CH85" s="1"/>
  <c r="EC85"/>
  <c r="BW98"/>
  <c r="CD98"/>
  <c r="DJ98"/>
  <c r="BT104"/>
  <c r="CC104"/>
  <c r="EB104"/>
  <c r="EC104" s="1"/>
  <c r="CG104"/>
  <c r="CH104" s="1"/>
  <c r="EB105"/>
  <c r="EC105" s="1"/>
  <c r="CG105"/>
  <c r="CH105" s="1"/>
  <c r="CC12"/>
  <c r="BT12"/>
  <c r="EB12"/>
  <c r="CG12"/>
  <c r="CH12" s="1"/>
  <c r="EC12"/>
  <c r="BB24"/>
  <c r="BG24"/>
  <c r="CC24"/>
  <c r="BT24"/>
  <c r="EB24"/>
  <c r="EC24" s="1"/>
  <c r="CG24"/>
  <c r="CH24" s="1"/>
  <c r="CC45"/>
  <c r="BT45"/>
  <c r="EB45"/>
  <c r="EC45" s="1"/>
  <c r="CG45"/>
  <c r="CH45" s="1"/>
  <c r="CC49"/>
  <c r="BT49"/>
  <c r="EB49"/>
  <c r="EC49" s="1"/>
  <c r="CG49"/>
  <c r="CH49" s="1"/>
  <c r="BT54"/>
  <c r="CC54"/>
  <c r="BT58"/>
  <c r="CC58"/>
  <c r="BT59"/>
  <c r="CC59"/>
  <c r="CG59"/>
  <c r="CH59" s="1"/>
  <c r="DH60"/>
  <c r="DK60" s="1"/>
  <c r="DY60"/>
  <c r="DH62"/>
  <c r="DK62" s="1"/>
  <c r="DY62"/>
  <c r="DH64"/>
  <c r="DK64" s="1"/>
  <c r="DY64"/>
  <c r="DH65"/>
  <c r="DK65" s="1"/>
  <c r="DY65"/>
  <c r="DH66"/>
  <c r="DK66" s="1"/>
  <c r="DY66"/>
  <c r="DH71"/>
  <c r="DK71" s="1"/>
  <c r="DY71"/>
  <c r="DH72"/>
  <c r="DK72" s="1"/>
  <c r="DY72"/>
  <c r="CC61"/>
  <c r="BT61"/>
  <c r="EB61"/>
  <c r="CG61"/>
  <c r="CH61" s="1"/>
  <c r="EC61"/>
  <c r="CC65"/>
  <c r="BT65"/>
  <c r="EB65"/>
  <c r="CG65"/>
  <c r="CH65" s="1"/>
  <c r="EC65"/>
  <c r="DJ78"/>
  <c r="CD78"/>
  <c r="BW78"/>
  <c r="BT74"/>
  <c r="CC74"/>
  <c r="EC74"/>
  <c r="CG74"/>
  <c r="CH74" s="1"/>
  <c r="BT75"/>
  <c r="CC75"/>
  <c r="EC75"/>
  <c r="CG75"/>
  <c r="CH75" s="1"/>
  <c r="CC81"/>
  <c r="BT81"/>
  <c r="EB81"/>
  <c r="CG81"/>
  <c r="CH81" s="1"/>
  <c r="EC81"/>
  <c r="BT91"/>
  <c r="CC91"/>
  <c r="EB91"/>
  <c r="EC91" s="1"/>
  <c r="CG91"/>
  <c r="CH91" s="1"/>
  <c r="EC93"/>
  <c r="CG93"/>
  <c r="CH93" s="1"/>
  <c r="BT96"/>
  <c r="CC96"/>
  <c r="EC96"/>
  <c r="CG96"/>
  <c r="CH96" s="1"/>
  <c r="BB100"/>
  <c r="BG100"/>
  <c r="DH101"/>
  <c r="DK101" s="1"/>
  <c r="DY101"/>
  <c r="CC101"/>
  <c r="BT101"/>
  <c r="EB101"/>
  <c r="EC101" s="1"/>
  <c r="CG101"/>
  <c r="CH101" s="1"/>
  <c r="DF7"/>
  <c r="CC70"/>
  <c r="DM89"/>
  <c r="DM19"/>
  <c r="DW87"/>
  <c r="DW27"/>
  <c r="DL44"/>
  <c r="DL48"/>
  <c r="DL102"/>
  <c r="DL14"/>
  <c r="DL46"/>
  <c r="DW66"/>
  <c r="DW71"/>
  <c r="DL100"/>
  <c r="DW101"/>
  <c r="CT16"/>
  <c r="EA16"/>
  <c r="BU16"/>
  <c r="EA13"/>
  <c r="CT13"/>
  <c r="BU13"/>
  <c r="DW13" s="1"/>
  <c r="EA39"/>
  <c r="EB39" s="1"/>
  <c r="EC39" s="1"/>
  <c r="CT39"/>
  <c r="BU39"/>
  <c r="DW39" s="1"/>
  <c r="EA54"/>
  <c r="CT54"/>
  <c r="BU54"/>
  <c r="EA77"/>
  <c r="CT77"/>
  <c r="BU77"/>
  <c r="DW77" s="1"/>
  <c r="CC87"/>
  <c r="BT87"/>
  <c r="EA91"/>
  <c r="CT91"/>
  <c r="BU91"/>
  <c r="DW91" s="1"/>
  <c r="CC102"/>
  <c r="BT102"/>
  <c r="DH11"/>
  <c r="DK11" s="1"/>
  <c r="DY11"/>
  <c r="DY20"/>
  <c r="DH20"/>
  <c r="DK20" s="1"/>
  <c r="DH21"/>
  <c r="DK21" s="1"/>
  <c r="DY21"/>
  <c r="DH25"/>
  <c r="DK25" s="1"/>
  <c r="DY25"/>
  <c r="DH29"/>
  <c r="DK29" s="1"/>
  <c r="DY29"/>
  <c r="DY51"/>
  <c r="DH51"/>
  <c r="DK51" s="1"/>
  <c r="DH53"/>
  <c r="DK53" s="1"/>
  <c r="DY53"/>
  <c r="DH57"/>
  <c r="DK57" s="1"/>
  <c r="DY57"/>
  <c r="BW70"/>
  <c r="CD70"/>
  <c r="DJ70"/>
  <c r="DH83"/>
  <c r="DK83" s="1"/>
  <c r="DY83"/>
  <c r="EF70"/>
  <c r="DM70"/>
  <c r="DH76"/>
  <c r="DK76" s="1"/>
  <c r="DY76"/>
  <c r="DH78"/>
  <c r="DK78" s="1"/>
  <c r="DY78"/>
  <c r="DY88"/>
  <c r="DH88"/>
  <c r="DK88" s="1"/>
  <c r="DH89"/>
  <c r="DK89" s="1"/>
  <c r="DX89" s="1"/>
  <c r="DY89"/>
  <c r="EB87"/>
  <c r="EC87" s="1"/>
  <c r="CG87"/>
  <c r="CH87" s="1"/>
  <c r="EB88"/>
  <c r="EC88" s="1"/>
  <c r="CG88"/>
  <c r="CH88" s="1"/>
  <c r="DH97"/>
  <c r="DK97" s="1"/>
  <c r="DY97"/>
  <c r="DH98"/>
  <c r="DK98" s="1"/>
  <c r="DY98"/>
  <c r="DH106"/>
  <c r="DK106" s="1"/>
  <c r="DY106"/>
  <c r="BX8"/>
  <c r="BV8"/>
  <c r="BF7"/>
  <c r="DI8"/>
  <c r="BY8"/>
  <c r="BS8"/>
  <c r="CC20"/>
  <c r="BT20"/>
  <c r="EA32"/>
  <c r="CT32"/>
  <c r="BU32"/>
  <c r="EA35"/>
  <c r="CT35"/>
  <c r="BU35"/>
  <c r="DW35" s="1"/>
  <c r="EA31"/>
  <c r="EB31" s="1"/>
  <c r="EC31" s="1"/>
  <c r="CT31"/>
  <c r="BU31"/>
  <c r="DW31" s="1"/>
  <c r="EA36"/>
  <c r="CT36"/>
  <c r="BU36"/>
  <c r="EA40"/>
  <c r="EB40" s="1"/>
  <c r="CT40"/>
  <c r="BU40"/>
  <c r="EA59"/>
  <c r="EB59" s="1"/>
  <c r="EC59" s="1"/>
  <c r="CT59"/>
  <c r="BU59"/>
  <c r="DW59" s="1"/>
  <c r="EA68"/>
  <c r="EB68" s="1"/>
  <c r="EC68" s="1"/>
  <c r="CT68"/>
  <c r="BU68"/>
  <c r="EA56"/>
  <c r="CT56"/>
  <c r="BU56"/>
  <c r="EA75"/>
  <c r="EB75" s="1"/>
  <c r="CT75"/>
  <c r="BU75"/>
  <c r="EA74"/>
  <c r="EB74" s="1"/>
  <c r="CT74"/>
  <c r="BU74"/>
  <c r="EA79"/>
  <c r="EB79" s="1"/>
  <c r="CT79"/>
  <c r="BU79"/>
  <c r="DW79" s="1"/>
  <c r="EA84"/>
  <c r="EB84" s="1"/>
  <c r="EC84" s="1"/>
  <c r="CT84"/>
  <c r="BU84"/>
  <c r="DW84" s="1"/>
  <c r="EA96"/>
  <c r="EB96" s="1"/>
  <c r="CT96"/>
  <c r="BU96"/>
  <c r="DW96" s="1"/>
  <c r="EA93"/>
  <c r="EB93" s="1"/>
  <c r="CT93"/>
  <c r="BU93"/>
  <c r="EA95"/>
  <c r="CT95"/>
  <c r="BU95"/>
  <c r="DW95" s="1"/>
  <c r="EA99"/>
  <c r="CT99"/>
  <c r="BU99"/>
  <c r="DW99" s="1"/>
  <c r="EA103"/>
  <c r="CT103"/>
  <c r="BU103"/>
  <c r="DW103" s="1"/>
  <c r="DY18"/>
  <c r="DH18"/>
  <c r="DK18" s="1"/>
  <c r="DH17"/>
  <c r="DK17" s="1"/>
  <c r="DY17"/>
  <c r="BX32"/>
  <c r="BV32"/>
  <c r="DI32"/>
  <c r="DL32" s="1"/>
  <c r="BY32"/>
  <c r="BZ32" s="1"/>
  <c r="EB51"/>
  <c r="EC51" s="1"/>
  <c r="CG51"/>
  <c r="CH51" s="1"/>
  <c r="DY70"/>
  <c r="DH70"/>
  <c r="DK70" s="1"/>
  <c r="DX70" s="1"/>
  <c r="EB70"/>
  <c r="CG70"/>
  <c r="CH70" s="1"/>
  <c r="EC70"/>
  <c r="EB73"/>
  <c r="EC73" s="1"/>
  <c r="CG73"/>
  <c r="CH73" s="1"/>
  <c r="DY87"/>
  <c r="DH87"/>
  <c r="DK87" s="1"/>
  <c r="EF98"/>
  <c r="DM98"/>
  <c r="BT15"/>
  <c r="CC15"/>
  <c r="EB15"/>
  <c r="EC15" s="1"/>
  <c r="CG15"/>
  <c r="CH15" s="1"/>
  <c r="BT16"/>
  <c r="CC16"/>
  <c r="EB16"/>
  <c r="EC16" s="1"/>
  <c r="CG16"/>
  <c r="CH16" s="1"/>
  <c r="CC17"/>
  <c r="BT17"/>
  <c r="EB17"/>
  <c r="EC17" s="1"/>
  <c r="CG17"/>
  <c r="CH17" s="1"/>
  <c r="BT25"/>
  <c r="CC25"/>
  <c r="DH28"/>
  <c r="DK28" s="1"/>
  <c r="DY28"/>
  <c r="BT30"/>
  <c r="CC30"/>
  <c r="EB30"/>
  <c r="EC30" s="1"/>
  <c r="CG30"/>
  <c r="CH30" s="1"/>
  <c r="BT33"/>
  <c r="CC33"/>
  <c r="EB33"/>
  <c r="EC33" s="1"/>
  <c r="CG33"/>
  <c r="CH33" s="1"/>
  <c r="BT35"/>
  <c r="CC35"/>
  <c r="EC35"/>
  <c r="EB35"/>
  <c r="CG35"/>
  <c r="CH35" s="1"/>
  <c r="EB36"/>
  <c r="EC36" s="1"/>
  <c r="CG36"/>
  <c r="CH36" s="1"/>
  <c r="BT38"/>
  <c r="CC38"/>
  <c r="EB38"/>
  <c r="EC38" s="1"/>
  <c r="CG38"/>
  <c r="CH38" s="1"/>
  <c r="BT40"/>
  <c r="CC40"/>
  <c r="BT42"/>
  <c r="CC42"/>
  <c r="BT43"/>
  <c r="CC43"/>
  <c r="EB43"/>
  <c r="EC43" s="1"/>
  <c r="CG43"/>
  <c r="CH43" s="1"/>
  <c r="DH44"/>
  <c r="DK44" s="1"/>
  <c r="DY44"/>
  <c r="DH45"/>
  <c r="DK45" s="1"/>
  <c r="DY45"/>
  <c r="DH48"/>
  <c r="DK48" s="1"/>
  <c r="DY48"/>
  <c r="DH52"/>
  <c r="DK52" s="1"/>
  <c r="DY52"/>
  <c r="DJ57"/>
  <c r="CD57"/>
  <c r="BW57"/>
  <c r="CC44"/>
  <c r="BT44"/>
  <c r="EB44"/>
  <c r="EC44" s="1"/>
  <c r="CG44"/>
  <c r="CH44" s="1"/>
  <c r="CC48"/>
  <c r="BT48"/>
  <c r="EB48"/>
  <c r="EC48" s="1"/>
  <c r="CG48"/>
  <c r="CH48" s="1"/>
  <c r="BT53"/>
  <c r="CC53"/>
  <c r="EB53"/>
  <c r="EC53" s="1"/>
  <c r="CG53"/>
  <c r="CH53" s="1"/>
  <c r="BT69"/>
  <c r="CC69"/>
  <c r="EB69"/>
  <c r="EC69" s="1"/>
  <c r="CG69"/>
  <c r="CH69" s="1"/>
  <c r="CC62"/>
  <c r="BT62"/>
  <c r="EB62"/>
  <c r="CG62"/>
  <c r="CH62" s="1"/>
  <c r="EC62"/>
  <c r="CC66"/>
  <c r="BT66"/>
  <c r="EB66"/>
  <c r="EC66" s="1"/>
  <c r="CG66"/>
  <c r="CH66" s="1"/>
  <c r="BT80"/>
  <c r="CC80"/>
  <c r="EC80"/>
  <c r="EB80"/>
  <c r="CG80"/>
  <c r="CH80" s="1"/>
  <c r="DH81"/>
  <c r="DK81" s="1"/>
  <c r="DY81"/>
  <c r="BB81"/>
  <c r="BG81"/>
  <c r="EC82"/>
  <c r="EB82"/>
  <c r="CG82"/>
  <c r="CH82" s="1"/>
  <c r="CC90"/>
  <c r="BT90"/>
  <c r="BT92"/>
  <c r="CC92"/>
  <c r="EB92"/>
  <c r="EC92" s="1"/>
  <c r="CG92"/>
  <c r="CH92" s="1"/>
  <c r="BT94"/>
  <c r="CC94"/>
  <c r="EB94"/>
  <c r="EC94" s="1"/>
  <c r="CG94"/>
  <c r="CH94" s="1"/>
  <c r="BT103"/>
  <c r="CC103"/>
  <c r="EB103"/>
  <c r="EC103" s="1"/>
  <c r="CG103"/>
  <c r="CH103" s="1"/>
  <c r="BT105"/>
  <c r="CC105"/>
  <c r="CC100"/>
  <c r="BT100"/>
  <c r="EB100"/>
  <c r="EC100" s="1"/>
  <c r="CG100"/>
  <c r="CH100" s="1"/>
  <c r="BT9"/>
  <c r="CC9"/>
  <c r="EC9"/>
  <c r="EB9"/>
  <c r="CG9"/>
  <c r="CH9" s="1"/>
  <c r="DH12"/>
  <c r="DK12" s="1"/>
  <c r="DY12"/>
  <c r="BT13"/>
  <c r="CC13"/>
  <c r="EC13"/>
  <c r="EB13"/>
  <c r="CG13"/>
  <c r="CH13" s="1"/>
  <c r="DH14"/>
  <c r="DK14" s="1"/>
  <c r="DY14"/>
  <c r="CC10"/>
  <c r="BT10"/>
  <c r="EB10"/>
  <c r="CG10"/>
  <c r="CH10" s="1"/>
  <c r="EC10"/>
  <c r="BT22"/>
  <c r="CC22"/>
  <c r="EB22"/>
  <c r="EC22" s="1"/>
  <c r="CG22"/>
  <c r="CH22" s="1"/>
  <c r="BT23"/>
  <c r="CC23"/>
  <c r="EC23"/>
  <c r="EB23"/>
  <c r="CG23"/>
  <c r="CH23" s="1"/>
  <c r="DH24"/>
  <c r="DK24" s="1"/>
  <c r="DY24"/>
  <c r="BT29"/>
  <c r="CC29"/>
  <c r="CC28"/>
  <c r="BT28"/>
  <c r="EB28"/>
  <c r="EC28" s="1"/>
  <c r="CG28"/>
  <c r="CH28" s="1"/>
  <c r="CC47"/>
  <c r="BT47"/>
  <c r="EB47"/>
  <c r="EC47" s="1"/>
  <c r="CG47"/>
  <c r="CH47" s="1"/>
  <c r="CC50"/>
  <c r="BT50"/>
  <c r="EB50"/>
  <c r="EC50" s="1"/>
  <c r="CG50"/>
  <c r="CH50" s="1"/>
  <c r="EB54"/>
  <c r="EC54" s="1"/>
  <c r="CG54"/>
  <c r="CH54" s="1"/>
  <c r="BT55"/>
  <c r="CC55"/>
  <c r="EC55"/>
  <c r="EB55"/>
  <c r="CG55"/>
  <c r="CH55" s="1"/>
  <c r="BT56"/>
  <c r="CC56"/>
  <c r="EC56"/>
  <c r="EB56"/>
  <c r="CG56"/>
  <c r="CH56" s="1"/>
  <c r="EC58"/>
  <c r="EB58"/>
  <c r="CG58"/>
  <c r="CH58" s="1"/>
  <c r="DJ83"/>
  <c r="CD83"/>
  <c r="BW83"/>
  <c r="CC63"/>
  <c r="BT63"/>
  <c r="EB63"/>
  <c r="CG63"/>
  <c r="CH63" s="1"/>
  <c r="EC63"/>
  <c r="BT77"/>
  <c r="CC77"/>
  <c r="EB77"/>
  <c r="EC77" s="1"/>
  <c r="CG77"/>
  <c r="CH77" s="1"/>
  <c r="DJ97"/>
  <c r="CD97"/>
  <c r="BW97"/>
  <c r="CC86"/>
  <c r="BT86"/>
  <c r="EB86"/>
  <c r="CG86"/>
  <c r="CH86" s="1"/>
  <c r="EC86"/>
  <c r="BT93"/>
  <c r="CC93"/>
  <c r="BT95"/>
  <c r="CC95"/>
  <c r="EB95"/>
  <c r="EC95" s="1"/>
  <c r="CG95"/>
  <c r="CH95" s="1"/>
  <c r="BT99"/>
  <c r="CC99"/>
  <c r="EB99"/>
  <c r="EC99" s="1"/>
  <c r="CG99"/>
  <c r="CH99" s="1"/>
  <c r="DH100"/>
  <c r="DK100" s="1"/>
  <c r="DY100"/>
  <c r="CC106"/>
  <c r="BT106"/>
  <c r="DW97"/>
  <c r="AY7"/>
  <c r="BS32"/>
  <c r="CB85"/>
  <c r="CB7" s="1"/>
  <c r="CB86"/>
  <c r="CC98"/>
  <c r="DL11"/>
  <c r="DW14"/>
  <c r="DL60"/>
  <c r="DL64"/>
  <c r="DL66"/>
  <c r="DW100"/>
  <c r="BE7" i="21"/>
  <c r="BU102"/>
  <c r="DW102" s="1"/>
  <c r="CT102"/>
  <c r="EA102"/>
  <c r="EB102" s="1"/>
  <c r="EC102" s="1"/>
  <c r="CT90"/>
  <c r="EA90"/>
  <c r="EB90" s="1"/>
  <c r="EC90" s="1"/>
  <c r="BU90"/>
  <c r="DW90" s="1"/>
  <c r="EA99"/>
  <c r="BU99"/>
  <c r="DW99" s="1"/>
  <c r="CT99"/>
  <c r="CA7"/>
  <c r="AX7"/>
  <c r="DL42"/>
  <c r="DW48"/>
  <c r="DL26"/>
  <c r="DW9"/>
  <c r="DL14"/>
  <c r="CV41" i="15"/>
  <c r="CV43"/>
  <c r="CU57"/>
  <c r="BQ57"/>
  <c r="DE57"/>
  <c r="AW61"/>
  <c r="AW63"/>
  <c r="AW72"/>
  <c r="CU74"/>
  <c r="BQ74"/>
  <c r="CU103"/>
  <c r="CV18"/>
  <c r="AW19"/>
  <c r="AW26"/>
  <c r="DE29"/>
  <c r="AB49"/>
  <c r="AE95"/>
  <c r="CV38"/>
  <c r="CV39"/>
  <c r="AW41"/>
  <c r="DE41"/>
  <c r="DE43"/>
  <c r="CU44"/>
  <c r="DE44"/>
  <c r="AE46"/>
  <c r="CU46"/>
  <c r="DE46"/>
  <c r="CU47"/>
  <c r="CU55"/>
  <c r="AC61"/>
  <c r="AD61"/>
  <c r="AW65"/>
  <c r="AW68"/>
  <c r="DW20" i="21"/>
  <c r="DL95"/>
  <c r="EA8"/>
  <c r="CT8"/>
  <c r="BU8"/>
  <c r="AE7"/>
  <c r="EA25"/>
  <c r="EB25" s="1"/>
  <c r="CT25"/>
  <c r="BU25"/>
  <c r="EA54"/>
  <c r="CT54"/>
  <c r="BU54"/>
  <c r="EA52"/>
  <c r="CT52"/>
  <c r="BU52"/>
  <c r="EA81"/>
  <c r="CT81"/>
  <c r="BU81"/>
  <c r="EA87"/>
  <c r="CT87"/>
  <c r="BU87"/>
  <c r="EC9"/>
  <c r="EB9"/>
  <c r="CG9"/>
  <c r="CH9" s="1"/>
  <c r="DH12"/>
  <c r="DK12" s="1"/>
  <c r="DY12"/>
  <c r="DH33"/>
  <c r="DK33" s="1"/>
  <c r="DY33"/>
  <c r="DH39"/>
  <c r="DK39" s="1"/>
  <c r="DY39"/>
  <c r="DH41"/>
  <c r="DK41" s="1"/>
  <c r="DY41"/>
  <c r="EA16"/>
  <c r="CT16"/>
  <c r="BU16"/>
  <c r="EA17"/>
  <c r="CT17"/>
  <c r="BU17"/>
  <c r="EA51"/>
  <c r="CT51"/>
  <c r="BU51"/>
  <c r="BU61"/>
  <c r="EA61"/>
  <c r="CT61"/>
  <c r="EA74"/>
  <c r="CT74"/>
  <c r="BU74"/>
  <c r="EA76"/>
  <c r="CT76"/>
  <c r="BU76"/>
  <c r="EA78"/>
  <c r="EB78" s="1"/>
  <c r="EC78" s="1"/>
  <c r="CT78"/>
  <c r="BU78"/>
  <c r="EA79"/>
  <c r="CT79"/>
  <c r="BU79"/>
  <c r="DW79" s="1"/>
  <c r="CC97"/>
  <c r="BT97"/>
  <c r="EA15"/>
  <c r="CT15"/>
  <c r="BU15"/>
  <c r="BX32"/>
  <c r="BV32"/>
  <c r="DI32"/>
  <c r="DL32" s="1"/>
  <c r="BY32"/>
  <c r="BZ32" s="1"/>
  <c r="EB97"/>
  <c r="EC97" s="1"/>
  <c r="CG97"/>
  <c r="CH97" s="1"/>
  <c r="DH11"/>
  <c r="DK11" s="1"/>
  <c r="DY11"/>
  <c r="DH21"/>
  <c r="DK21" s="1"/>
  <c r="DY21"/>
  <c r="CC12"/>
  <c r="BT12"/>
  <c r="EB12"/>
  <c r="CG12"/>
  <c r="CH12" s="1"/>
  <c r="EC12"/>
  <c r="DH55"/>
  <c r="DK55" s="1"/>
  <c r="DY55"/>
  <c r="DH56"/>
  <c r="DK56" s="1"/>
  <c r="DY56"/>
  <c r="DH57"/>
  <c r="DK57" s="1"/>
  <c r="DY57"/>
  <c r="EC25"/>
  <c r="CG25"/>
  <c r="CH25" s="1"/>
  <c r="DH27"/>
  <c r="DK27" s="1"/>
  <c r="DY27"/>
  <c r="DH31"/>
  <c r="DK31" s="1"/>
  <c r="DY31"/>
  <c r="CG53"/>
  <c r="CH53" s="1"/>
  <c r="CC37"/>
  <c r="BT37"/>
  <c r="EB37"/>
  <c r="EC37" s="1"/>
  <c r="CG37"/>
  <c r="CH37" s="1"/>
  <c r="CC41"/>
  <c r="BT41"/>
  <c r="EB41"/>
  <c r="CG41"/>
  <c r="CH41" s="1"/>
  <c r="EC41"/>
  <c r="CC47"/>
  <c r="BT47"/>
  <c r="EB47"/>
  <c r="EC47" s="1"/>
  <c r="CG47"/>
  <c r="CH47" s="1"/>
  <c r="DH71"/>
  <c r="DK71" s="1"/>
  <c r="DY71"/>
  <c r="BB71"/>
  <c r="BG71" s="1"/>
  <c r="DH58"/>
  <c r="DK58" s="1"/>
  <c r="DY58"/>
  <c r="DH59"/>
  <c r="DK59" s="1"/>
  <c r="DY59"/>
  <c r="CC62"/>
  <c r="BT62"/>
  <c r="EB62"/>
  <c r="CG62"/>
  <c r="CH62" s="1"/>
  <c r="EC62"/>
  <c r="CC63"/>
  <c r="BT63"/>
  <c r="CC65"/>
  <c r="BT65"/>
  <c r="EB65"/>
  <c r="CG65"/>
  <c r="CH65" s="1"/>
  <c r="EC65"/>
  <c r="BT78"/>
  <c r="CC95"/>
  <c r="BT95"/>
  <c r="EB95"/>
  <c r="EC95" s="1"/>
  <c r="CG95"/>
  <c r="CH95" s="1"/>
  <c r="DH101"/>
  <c r="DK101" s="1"/>
  <c r="DY101"/>
  <c r="CC98"/>
  <c r="BT98"/>
  <c r="EB98"/>
  <c r="EC98" s="1"/>
  <c r="CG98"/>
  <c r="CH98" s="1"/>
  <c r="DJ9"/>
  <c r="DM9" s="1"/>
  <c r="CD9"/>
  <c r="BW9"/>
  <c r="BT16"/>
  <c r="CC16"/>
  <c r="EB16"/>
  <c r="EC16" s="1"/>
  <c r="CG16"/>
  <c r="CH16" s="1"/>
  <c r="CC14"/>
  <c r="BT14"/>
  <c r="EB14"/>
  <c r="CG14"/>
  <c r="CH14" s="1"/>
  <c r="EC14"/>
  <c r="DH22"/>
  <c r="DK22" s="1"/>
  <c r="DY22"/>
  <c r="DH24"/>
  <c r="DK24" s="1"/>
  <c r="DY24"/>
  <c r="DH34"/>
  <c r="DK34" s="1"/>
  <c r="DY34"/>
  <c r="DH38"/>
  <c r="DK38" s="1"/>
  <c r="DY38"/>
  <c r="DH40"/>
  <c r="DK40" s="1"/>
  <c r="DY40"/>
  <c r="DH42"/>
  <c r="DK42" s="1"/>
  <c r="DY42"/>
  <c r="DH43"/>
  <c r="DK43" s="1"/>
  <c r="DY43"/>
  <c r="DH44"/>
  <c r="DK44" s="1"/>
  <c r="DY44"/>
  <c r="DH45"/>
  <c r="DK45" s="1"/>
  <c r="DY45"/>
  <c r="DH48"/>
  <c r="DK48" s="1"/>
  <c r="DY48"/>
  <c r="BT52"/>
  <c r="CC52"/>
  <c r="BT54"/>
  <c r="CC54"/>
  <c r="EB54"/>
  <c r="EC54" s="1"/>
  <c r="CG54"/>
  <c r="CH54" s="1"/>
  <c r="CC27"/>
  <c r="BT27"/>
  <c r="EB27"/>
  <c r="EC27" s="1"/>
  <c r="CG27"/>
  <c r="CH27" s="1"/>
  <c r="CC34"/>
  <c r="BT34"/>
  <c r="EB34"/>
  <c r="CG34"/>
  <c r="CH34" s="1"/>
  <c r="EC34"/>
  <c r="CC38"/>
  <c r="BT38"/>
  <c r="EB38"/>
  <c r="EC38" s="1"/>
  <c r="CG38"/>
  <c r="CH38" s="1"/>
  <c r="BT46"/>
  <c r="BT56"/>
  <c r="CC56"/>
  <c r="BT57"/>
  <c r="CC57"/>
  <c r="CC70"/>
  <c r="BT70"/>
  <c r="EB70"/>
  <c r="CG70"/>
  <c r="CH70" s="1"/>
  <c r="EC70"/>
  <c r="BT75"/>
  <c r="CC75"/>
  <c r="EC75"/>
  <c r="CG75"/>
  <c r="CH75" s="1"/>
  <c r="DH82"/>
  <c r="DK82" s="1"/>
  <c r="DY82"/>
  <c r="BT88"/>
  <c r="CC88"/>
  <c r="EB88"/>
  <c r="EC88" s="1"/>
  <c r="CG88"/>
  <c r="CH88" s="1"/>
  <c r="DH91"/>
  <c r="DK91" s="1"/>
  <c r="DY91"/>
  <c r="CC94"/>
  <c r="BT94"/>
  <c r="EB94"/>
  <c r="EC94" s="1"/>
  <c r="CG94"/>
  <c r="CH94" s="1"/>
  <c r="BT103"/>
  <c r="CC103"/>
  <c r="EB103"/>
  <c r="EC103" s="1"/>
  <c r="CG103"/>
  <c r="CH103" s="1"/>
  <c r="CC101"/>
  <c r="BT101"/>
  <c r="EB101"/>
  <c r="EC101" s="1"/>
  <c r="CG101"/>
  <c r="CH101" s="1"/>
  <c r="CB55"/>
  <c r="BR7"/>
  <c r="BS32"/>
  <c r="CB61"/>
  <c r="DW59"/>
  <c r="DL85"/>
  <c r="DW34"/>
  <c r="DL37"/>
  <c r="DW38"/>
  <c r="DL39"/>
  <c r="DW45"/>
  <c r="DL47"/>
  <c r="DW91"/>
  <c r="DL97"/>
  <c r="EA13"/>
  <c r="CT13"/>
  <c r="BU13"/>
  <c r="EA53"/>
  <c r="EB53" s="1"/>
  <c r="EC53" s="1"/>
  <c r="CT53"/>
  <c r="BU53"/>
  <c r="DW53" s="1"/>
  <c r="EA80"/>
  <c r="CT80"/>
  <c r="BU80"/>
  <c r="DH9"/>
  <c r="DK9" s="1"/>
  <c r="DX9" s="1"/>
  <c r="DY9"/>
  <c r="DH18"/>
  <c r="DK18" s="1"/>
  <c r="DY18"/>
  <c r="DH86"/>
  <c r="DK86" s="1"/>
  <c r="DY86"/>
  <c r="DH83"/>
  <c r="DK83" s="1"/>
  <c r="DY83"/>
  <c r="DH84"/>
  <c r="DK84" s="1"/>
  <c r="DY84"/>
  <c r="DH88"/>
  <c r="DK88" s="1"/>
  <c r="DY88"/>
  <c r="DH104"/>
  <c r="DK104" s="1"/>
  <c r="DY104"/>
  <c r="BU10"/>
  <c r="EA10"/>
  <c r="CT10"/>
  <c r="EA19"/>
  <c r="EB19" s="1"/>
  <c r="EC19" s="1"/>
  <c r="CT19"/>
  <c r="BU19"/>
  <c r="EA32"/>
  <c r="CT32"/>
  <c r="BU32"/>
  <c r="DW32" s="1"/>
  <c r="EA50"/>
  <c r="CT50"/>
  <c r="BU50"/>
  <c r="EA73"/>
  <c r="CT73"/>
  <c r="BU73"/>
  <c r="EA75"/>
  <c r="EB75" s="1"/>
  <c r="CT75"/>
  <c r="BU75"/>
  <c r="EA77"/>
  <c r="CT77"/>
  <c r="BU77"/>
  <c r="DI61"/>
  <c r="DL61" s="1"/>
  <c r="BY61"/>
  <c r="BZ61" s="1"/>
  <c r="BX61"/>
  <c r="BV61"/>
  <c r="DH72"/>
  <c r="DK72" s="1"/>
  <c r="DY72"/>
  <c r="BT89"/>
  <c r="CC89"/>
  <c r="BT19"/>
  <c r="CC19"/>
  <c r="CG19"/>
  <c r="CH19" s="1"/>
  <c r="DH20"/>
  <c r="DK20" s="1"/>
  <c r="DY20"/>
  <c r="CC20"/>
  <c r="BT20"/>
  <c r="EB20"/>
  <c r="EC20" s="1"/>
  <c r="CG20"/>
  <c r="CH20" s="1"/>
  <c r="BT25"/>
  <c r="CC25"/>
  <c r="DH28"/>
  <c r="DK28" s="1"/>
  <c r="DY28"/>
  <c r="DH29"/>
  <c r="DK29" s="1"/>
  <c r="DY29"/>
  <c r="DH30"/>
  <c r="DK30" s="1"/>
  <c r="DY30"/>
  <c r="BT53"/>
  <c r="CC53"/>
  <c r="CC35"/>
  <c r="BT35"/>
  <c r="EB35"/>
  <c r="CG35"/>
  <c r="CH35" s="1"/>
  <c r="EC35"/>
  <c r="CC39"/>
  <c r="BT39"/>
  <c r="EB39"/>
  <c r="EC39" s="1"/>
  <c r="CG39"/>
  <c r="CH39" s="1"/>
  <c r="CC45"/>
  <c r="BT45"/>
  <c r="EB45"/>
  <c r="EC45" s="1"/>
  <c r="CG45"/>
  <c r="CH45" s="1"/>
  <c r="BT59"/>
  <c r="CC59"/>
  <c r="EB59"/>
  <c r="EC59" s="1"/>
  <c r="CG59"/>
  <c r="CH59" s="1"/>
  <c r="DH68"/>
  <c r="DK68" s="1"/>
  <c r="DY68"/>
  <c r="DH69"/>
  <c r="DK69" s="1"/>
  <c r="DY69"/>
  <c r="DH70"/>
  <c r="DK70" s="1"/>
  <c r="DY70"/>
  <c r="EB63"/>
  <c r="CG63"/>
  <c r="CH63" s="1"/>
  <c r="EC63"/>
  <c r="CC67"/>
  <c r="BT67"/>
  <c r="EB67"/>
  <c r="CG67"/>
  <c r="CH67" s="1"/>
  <c r="EC67"/>
  <c r="BT83"/>
  <c r="CC83"/>
  <c r="EB83"/>
  <c r="EC83" s="1"/>
  <c r="CG83"/>
  <c r="CH83" s="1"/>
  <c r="CC85"/>
  <c r="BT85"/>
  <c r="EB85"/>
  <c r="CG85"/>
  <c r="CH85" s="1"/>
  <c r="EC85"/>
  <c r="DH96"/>
  <c r="DK96" s="1"/>
  <c r="DY96"/>
  <c r="CC91"/>
  <c r="BT91"/>
  <c r="EB91"/>
  <c r="EC91" s="1"/>
  <c r="CG91"/>
  <c r="CH91" s="1"/>
  <c r="CC102"/>
  <c r="BT102"/>
  <c r="BT105"/>
  <c r="CC105"/>
  <c r="EB105"/>
  <c r="EC105" s="1"/>
  <c r="CG105"/>
  <c r="CH105" s="1"/>
  <c r="DH14"/>
  <c r="DK14" s="1"/>
  <c r="DY14"/>
  <c r="DH23"/>
  <c r="DK23" s="1"/>
  <c r="DY23"/>
  <c r="DH35"/>
  <c r="DK35" s="1"/>
  <c r="DY35"/>
  <c r="DH36"/>
  <c r="DK36" s="1"/>
  <c r="DY36"/>
  <c r="DH37"/>
  <c r="DK37" s="1"/>
  <c r="DY37"/>
  <c r="DH47"/>
  <c r="DK47" s="1"/>
  <c r="DY47"/>
  <c r="DH49"/>
  <c r="DK49" s="1"/>
  <c r="DY49"/>
  <c r="BT51"/>
  <c r="CC51"/>
  <c r="EB51"/>
  <c r="EC51" s="1"/>
  <c r="CG51"/>
  <c r="CH51" s="1"/>
  <c r="EB52"/>
  <c r="EC52" s="1"/>
  <c r="CG52"/>
  <c r="CH52" s="1"/>
  <c r="CC31"/>
  <c r="BT31"/>
  <c r="CG31"/>
  <c r="CH31" s="1"/>
  <c r="EB31"/>
  <c r="EC31" s="1"/>
  <c r="CC42"/>
  <c r="BT42"/>
  <c r="EB42"/>
  <c r="CG42"/>
  <c r="CH42" s="1"/>
  <c r="EC42"/>
  <c r="CC48"/>
  <c r="BT48"/>
  <c r="EB48"/>
  <c r="EC48" s="1"/>
  <c r="CG48"/>
  <c r="CH48" s="1"/>
  <c r="EC56"/>
  <c r="EB56"/>
  <c r="CG56"/>
  <c r="CH56" s="1"/>
  <c r="EB57"/>
  <c r="EC57" s="1"/>
  <c r="CG57"/>
  <c r="CH57" s="1"/>
  <c r="DH63"/>
  <c r="DK63" s="1"/>
  <c r="DY63"/>
  <c r="CC72"/>
  <c r="BT72"/>
  <c r="EB72"/>
  <c r="EC72" s="1"/>
  <c r="CG72"/>
  <c r="CH72" s="1"/>
  <c r="BT79"/>
  <c r="CC79"/>
  <c r="EC79"/>
  <c r="EB79"/>
  <c r="CG79"/>
  <c r="CH79" s="1"/>
  <c r="BT90"/>
  <c r="CC90"/>
  <c r="CC92"/>
  <c r="BT92"/>
  <c r="EB92"/>
  <c r="EC92" s="1"/>
  <c r="CG92"/>
  <c r="CH92" s="1"/>
  <c r="CC96"/>
  <c r="BT96"/>
  <c r="EB96"/>
  <c r="CG96"/>
  <c r="CH96" s="1"/>
  <c r="EC96"/>
  <c r="BB100"/>
  <c r="BG100" s="1"/>
  <c r="BT104"/>
  <c r="CC104"/>
  <c r="EB104"/>
  <c r="EC104" s="1"/>
  <c r="CG104"/>
  <c r="CH104" s="1"/>
  <c r="CC99"/>
  <c r="BT99"/>
  <c r="EB99"/>
  <c r="EC99" s="1"/>
  <c r="CG99"/>
  <c r="CH99" s="1"/>
  <c r="DH105"/>
  <c r="DK105" s="1"/>
  <c r="DY105"/>
  <c r="CC106"/>
  <c r="BT106"/>
  <c r="CB7"/>
  <c r="BS61"/>
  <c r="DW35"/>
  <c r="DW37"/>
  <c r="DL41"/>
  <c r="DL45"/>
  <c r="DW47"/>
  <c r="DL91"/>
  <c r="DL102"/>
  <c r="DW105"/>
  <c r="CV102" i="19"/>
  <c r="CB85"/>
  <c r="CA64"/>
  <c r="BU63"/>
  <c r="CT63"/>
  <c r="DH63" s="1"/>
  <c r="DK63" s="1"/>
  <c r="EA63"/>
  <c r="BS90"/>
  <c r="BT90" s="1"/>
  <c r="CA44"/>
  <c r="AE26"/>
  <c r="AE32"/>
  <c r="CA93"/>
  <c r="BU76"/>
  <c r="CB69"/>
  <c r="CB86"/>
  <c r="BU86"/>
  <c r="CT86"/>
  <c r="DH86" s="1"/>
  <c r="DK86" s="1"/>
  <c r="CA82"/>
  <c r="CT81"/>
  <c r="DH81" s="1"/>
  <c r="DK81" s="1"/>
  <c r="CT80"/>
  <c r="DH80" s="1"/>
  <c r="DK80" s="1"/>
  <c r="DY78"/>
  <c r="CB66"/>
  <c r="CA49"/>
  <c r="AX46"/>
  <c r="CA21"/>
  <c r="CA13"/>
  <c r="AX13"/>
  <c r="CB13" s="1"/>
  <c r="CB30"/>
  <c r="CA30"/>
  <c r="CA10"/>
  <c r="BR93"/>
  <c r="CB93" s="1"/>
  <c r="AX17"/>
  <c r="CB17" s="1"/>
  <c r="DF97"/>
  <c r="AY97"/>
  <c r="AZ97" s="1"/>
  <c r="DG97" s="1"/>
  <c r="DF47"/>
  <c r="AY47"/>
  <c r="AZ47" s="1"/>
  <c r="DG47" s="1"/>
  <c r="DF96"/>
  <c r="AY96"/>
  <c r="AZ96" s="1"/>
  <c r="DG96" s="1"/>
  <c r="AY51"/>
  <c r="AZ51" s="1"/>
  <c r="DG51" s="1"/>
  <c r="DF51"/>
  <c r="DF42"/>
  <c r="AY42"/>
  <c r="AZ42" s="1"/>
  <c r="DG42" s="1"/>
  <c r="DF34"/>
  <c r="AY34"/>
  <c r="AZ34" s="1"/>
  <c r="DG34" s="1"/>
  <c r="DY102"/>
  <c r="AE96"/>
  <c r="CB90"/>
  <c r="DY74"/>
  <c r="CB97"/>
  <c r="CB96"/>
  <c r="DY85"/>
  <c r="CB68"/>
  <c r="CB31"/>
  <c r="CB26"/>
  <c r="AE44"/>
  <c r="AE42"/>
  <c r="CB39"/>
  <c r="CB27"/>
  <c r="AE22"/>
  <c r="DY15"/>
  <c r="CB12"/>
  <c r="CB20"/>
  <c r="DW90"/>
  <c r="AE98"/>
  <c r="AY38"/>
  <c r="AZ38" s="1"/>
  <c r="DG38" s="1"/>
  <c r="BQ55" i="15"/>
  <c r="BQ46"/>
  <c r="BQ44"/>
  <c r="AW43"/>
  <c r="CV10"/>
  <c r="BQ18"/>
  <c r="AV7"/>
  <c r="BQ90"/>
  <c r="DE90"/>
  <c r="AW94"/>
  <c r="CU95"/>
  <c r="BQ23"/>
  <c r="DE55"/>
  <c r="CS7"/>
  <c r="BQ47"/>
  <c r="DE47"/>
  <c r="AW92"/>
  <c r="DE92"/>
  <c r="BQ95"/>
  <c r="DE95"/>
  <c r="CU96"/>
  <c r="AW106"/>
  <c r="AP7"/>
  <c r="BP7"/>
  <c r="BE26"/>
  <c r="CV83"/>
  <c r="CV86"/>
  <c r="CV91"/>
  <c r="AT7"/>
  <c r="CV14"/>
  <c r="AW15"/>
  <c r="AW16"/>
  <c r="AW17"/>
  <c r="AD17"/>
  <c r="AC17"/>
  <c r="CU17" s="1"/>
  <c r="BQ22"/>
  <c r="CU30"/>
  <c r="BQ30"/>
  <c r="DE30"/>
  <c r="CU31"/>
  <c r="BQ31"/>
  <c r="CV32"/>
  <c r="BQ32"/>
  <c r="CU34"/>
  <c r="BQ34"/>
  <c r="DE34"/>
  <c r="CU35"/>
  <c r="BQ35"/>
  <c r="DE35"/>
  <c r="CU37"/>
  <c r="BQ37"/>
  <c r="DE37"/>
  <c r="AW38"/>
  <c r="DE38"/>
  <c r="AW39"/>
  <c r="DE39"/>
  <c r="CV40"/>
  <c r="BQ40"/>
  <c r="CV42"/>
  <c r="BQ42"/>
  <c r="AW45"/>
  <c r="CU48"/>
  <c r="BQ48"/>
  <c r="DE48"/>
  <c r="AW49"/>
  <c r="DE49"/>
  <c r="CU51"/>
  <c r="BQ51"/>
  <c r="DE51"/>
  <c r="CU52"/>
  <c r="BQ52"/>
  <c r="DE52"/>
  <c r="CU54"/>
  <c r="BQ54"/>
  <c r="DE54"/>
  <c r="CU56"/>
  <c r="BQ56"/>
  <c r="DE56"/>
  <c r="CU58"/>
  <c r="BQ58"/>
  <c r="DE58"/>
  <c r="CU59"/>
  <c r="BQ59"/>
  <c r="DE59"/>
  <c r="CV60"/>
  <c r="BQ60"/>
  <c r="CU62"/>
  <c r="BQ62"/>
  <c r="DE62"/>
  <c r="AW64"/>
  <c r="AW67"/>
  <c r="AW69"/>
  <c r="AW70"/>
  <c r="AW71"/>
  <c r="BQ73"/>
  <c r="AW76"/>
  <c r="AW78"/>
  <c r="CV82"/>
  <c r="BE89"/>
  <c r="BQ96"/>
  <c r="DE96"/>
  <c r="AW100"/>
  <c r="DE100"/>
  <c r="CU101"/>
  <c r="BQ101"/>
  <c r="DE101"/>
  <c r="CU104"/>
  <c r="CA87" i="19"/>
  <c r="DY80"/>
  <c r="DY83"/>
  <c r="AE82"/>
  <c r="CB65"/>
  <c r="CB62"/>
  <c r="DY61"/>
  <c r="CB60"/>
  <c r="AX61"/>
  <c r="CB61" s="1"/>
  <c r="AE56"/>
  <c r="AE53"/>
  <c r="DF48"/>
  <c r="AY48"/>
  <c r="AZ48" s="1"/>
  <c r="DG48" s="1"/>
  <c r="CB50"/>
  <c r="CB43"/>
  <c r="AY41"/>
  <c r="AZ41" s="1"/>
  <c r="DG41" s="1"/>
  <c r="DF41"/>
  <c r="DF39"/>
  <c r="AY39"/>
  <c r="AZ39" s="1"/>
  <c r="DG39" s="1"/>
  <c r="CB33"/>
  <c r="AE28"/>
  <c r="DF20"/>
  <c r="AY20"/>
  <c r="AZ20" s="1"/>
  <c r="DG20" s="1"/>
  <c r="AX11"/>
  <c r="CB11" s="1"/>
  <c r="DI101"/>
  <c r="BY101"/>
  <c r="BZ101" s="1"/>
  <c r="BX101"/>
  <c r="BV101"/>
  <c r="BS101"/>
  <c r="DI99"/>
  <c r="BY99"/>
  <c r="BZ99" s="1"/>
  <c r="BX99"/>
  <c r="BV99"/>
  <c r="BS99"/>
  <c r="BU106"/>
  <c r="EA106"/>
  <c r="EB106" s="1"/>
  <c r="EC106" s="1"/>
  <c r="CT106"/>
  <c r="DI105"/>
  <c r="BS105"/>
  <c r="BX104"/>
  <c r="BV104"/>
  <c r="DI104"/>
  <c r="DL104" s="1"/>
  <c r="BY104"/>
  <c r="BZ104" s="1"/>
  <c r="BS104"/>
  <c r="BX103"/>
  <c r="BV103"/>
  <c r="DI103"/>
  <c r="DL103" s="1"/>
  <c r="BY103"/>
  <c r="BZ103" s="1"/>
  <c r="BS103"/>
  <c r="DF102"/>
  <c r="AY102"/>
  <c r="AZ102" s="1"/>
  <c r="DG102" s="1"/>
  <c r="DI92"/>
  <c r="BY92"/>
  <c r="BZ92" s="1"/>
  <c r="BX92"/>
  <c r="BV92"/>
  <c r="BS92"/>
  <c r="BX98"/>
  <c r="BV98"/>
  <c r="DI98"/>
  <c r="BY98"/>
  <c r="BZ98" s="1"/>
  <c r="BS98"/>
  <c r="BX97"/>
  <c r="BV97"/>
  <c r="DI97"/>
  <c r="DL97" s="1"/>
  <c r="BY97"/>
  <c r="BZ97" s="1"/>
  <c r="BS97"/>
  <c r="DI94"/>
  <c r="BS94"/>
  <c r="BX88"/>
  <c r="BV88"/>
  <c r="DI88"/>
  <c r="BY88"/>
  <c r="BZ88" s="1"/>
  <c r="BS88"/>
  <c r="DI79"/>
  <c r="DL79" s="1"/>
  <c r="BY79"/>
  <c r="BZ79" s="1"/>
  <c r="BX79"/>
  <c r="BV79"/>
  <c r="BS79"/>
  <c r="DI72"/>
  <c r="BY72"/>
  <c r="BZ72" s="1"/>
  <c r="BX72"/>
  <c r="BV72"/>
  <c r="BS72"/>
  <c r="DW72"/>
  <c r="DI67"/>
  <c r="BY67"/>
  <c r="BZ67" s="1"/>
  <c r="BX67"/>
  <c r="BV67"/>
  <c r="BS67"/>
  <c r="DI65"/>
  <c r="BY65"/>
  <c r="BZ65" s="1"/>
  <c r="BX65"/>
  <c r="BV65"/>
  <c r="BS65"/>
  <c r="DI63"/>
  <c r="BY63"/>
  <c r="BZ63" s="1"/>
  <c r="BX63"/>
  <c r="BV63"/>
  <c r="BS63"/>
  <c r="DI61"/>
  <c r="BY61"/>
  <c r="BZ61" s="1"/>
  <c r="BX61"/>
  <c r="BV61"/>
  <c r="BS61"/>
  <c r="DF70"/>
  <c r="AY70"/>
  <c r="AZ70" s="1"/>
  <c r="DG70" s="1"/>
  <c r="BU69"/>
  <c r="EA69"/>
  <c r="CT69"/>
  <c r="DW67"/>
  <c r="DF67"/>
  <c r="DL67" s="1"/>
  <c r="AY67"/>
  <c r="AZ67" s="1"/>
  <c r="DG67" s="1"/>
  <c r="BU67"/>
  <c r="EA67"/>
  <c r="CT67"/>
  <c r="BU66"/>
  <c r="EA66"/>
  <c r="CT66"/>
  <c r="DW65"/>
  <c r="DF65"/>
  <c r="AY65"/>
  <c r="AZ65" s="1"/>
  <c r="DG65" s="1"/>
  <c r="BU65"/>
  <c r="EA65"/>
  <c r="CT65"/>
  <c r="BU64"/>
  <c r="EA64"/>
  <c r="CT64"/>
  <c r="DW62"/>
  <c r="DF62"/>
  <c r="AY62"/>
  <c r="AZ62" s="1"/>
  <c r="DG62" s="1"/>
  <c r="BU62"/>
  <c r="EA62"/>
  <c r="CT62"/>
  <c r="BX59"/>
  <c r="BV59"/>
  <c r="DI59"/>
  <c r="DL59" s="1"/>
  <c r="BY59"/>
  <c r="BZ59" s="1"/>
  <c r="BS59"/>
  <c r="BX57"/>
  <c r="BV57"/>
  <c r="DI57"/>
  <c r="BY57"/>
  <c r="BZ57" s="1"/>
  <c r="BS57"/>
  <c r="DW57"/>
  <c r="DI31"/>
  <c r="BY31"/>
  <c r="BZ31" s="1"/>
  <c r="BX31"/>
  <c r="BV31"/>
  <c r="BS31"/>
  <c r="DI25"/>
  <c r="BY25"/>
  <c r="BZ25" s="1"/>
  <c r="BX25"/>
  <c r="BV25"/>
  <c r="BS25"/>
  <c r="BX54"/>
  <c r="BV54"/>
  <c r="DI54"/>
  <c r="BY54"/>
  <c r="BZ54" s="1"/>
  <c r="BS54"/>
  <c r="DW54"/>
  <c r="BX52"/>
  <c r="BV52"/>
  <c r="DI52"/>
  <c r="BY52"/>
  <c r="BZ52" s="1"/>
  <c r="BS52"/>
  <c r="DW52"/>
  <c r="BX51"/>
  <c r="BV51"/>
  <c r="DI51"/>
  <c r="BY51"/>
  <c r="BZ51" s="1"/>
  <c r="DW51"/>
  <c r="BS51"/>
  <c r="BX48"/>
  <c r="BV48"/>
  <c r="DI48"/>
  <c r="DL48" s="1"/>
  <c r="BY48"/>
  <c r="BZ48" s="1"/>
  <c r="BS48"/>
  <c r="BX47"/>
  <c r="BV47"/>
  <c r="DI47"/>
  <c r="DL47" s="1"/>
  <c r="BY47"/>
  <c r="BZ47" s="1"/>
  <c r="BS47"/>
  <c r="BX45"/>
  <c r="BV45"/>
  <c r="DI45"/>
  <c r="DL45" s="1"/>
  <c r="BY45"/>
  <c r="BZ45" s="1"/>
  <c r="BS45"/>
  <c r="BX41"/>
  <c r="BV41"/>
  <c r="DI41"/>
  <c r="BY41"/>
  <c r="BZ41" s="1"/>
  <c r="BS41"/>
  <c r="DW41"/>
  <c r="BX39"/>
  <c r="BV39"/>
  <c r="DI39"/>
  <c r="DL39" s="1"/>
  <c r="BY39"/>
  <c r="BZ39" s="1"/>
  <c r="BS39"/>
  <c r="BX38"/>
  <c r="BV38"/>
  <c r="DI38"/>
  <c r="DL38" s="1"/>
  <c r="BY38"/>
  <c r="BZ38" s="1"/>
  <c r="BS38"/>
  <c r="BX37"/>
  <c r="BV37"/>
  <c r="DI37"/>
  <c r="DL37" s="1"/>
  <c r="BY37"/>
  <c r="BZ37" s="1"/>
  <c r="BS37"/>
  <c r="DI36"/>
  <c r="BS36"/>
  <c r="BX35"/>
  <c r="BV35"/>
  <c r="DI35"/>
  <c r="DL35" s="1"/>
  <c r="BY35"/>
  <c r="BZ35" s="1"/>
  <c r="BS35"/>
  <c r="BX34"/>
  <c r="BV34"/>
  <c r="DI34"/>
  <c r="DL34" s="1"/>
  <c r="BY34"/>
  <c r="BZ34" s="1"/>
  <c r="BS34"/>
  <c r="EA32"/>
  <c r="CT32"/>
  <c r="BU32"/>
  <c r="DF31"/>
  <c r="AY31"/>
  <c r="AZ31" s="1"/>
  <c r="DG31" s="1"/>
  <c r="BU30"/>
  <c r="EA30"/>
  <c r="CT30"/>
  <c r="DF26"/>
  <c r="AY26"/>
  <c r="AZ26" s="1"/>
  <c r="DG26" s="1"/>
  <c r="BT42"/>
  <c r="CC42"/>
  <c r="DI19"/>
  <c r="BS19"/>
  <c r="DI12"/>
  <c r="BY12"/>
  <c r="BZ12" s="1"/>
  <c r="BX12"/>
  <c r="BV12"/>
  <c r="BS12"/>
  <c r="DI20"/>
  <c r="DL20" s="1"/>
  <c r="BY20"/>
  <c r="BZ20" s="1"/>
  <c r="BV20"/>
  <c r="BX20"/>
  <c r="BS20"/>
  <c r="BU19"/>
  <c r="EA19"/>
  <c r="CT19"/>
  <c r="BU18"/>
  <c r="EA18"/>
  <c r="CT18"/>
  <c r="BU17"/>
  <c r="EA17"/>
  <c r="CT17"/>
  <c r="DW16"/>
  <c r="DF16"/>
  <c r="AY16"/>
  <c r="AZ16" s="1"/>
  <c r="DG16" s="1"/>
  <c r="BU16"/>
  <c r="EA16"/>
  <c r="CT16"/>
  <c r="BX14"/>
  <c r="BV14"/>
  <c r="DI14"/>
  <c r="DL14" s="1"/>
  <c r="BY14"/>
  <c r="BZ14" s="1"/>
  <c r="BS14"/>
  <c r="BU13"/>
  <c r="EA13"/>
  <c r="CT13"/>
  <c r="DF12"/>
  <c r="AY12"/>
  <c r="AZ12" s="1"/>
  <c r="DG12" s="1"/>
  <c r="BU12"/>
  <c r="EA12"/>
  <c r="CT12"/>
  <c r="BU10"/>
  <c r="EA10"/>
  <c r="CT10"/>
  <c r="DF9"/>
  <c r="AY9"/>
  <c r="AZ9" s="1"/>
  <c r="DG9" s="1"/>
  <c r="BU9"/>
  <c r="EA9"/>
  <c r="CT9"/>
  <c r="BU8"/>
  <c r="EA8"/>
  <c r="CT8"/>
  <c r="DI106"/>
  <c r="BY106"/>
  <c r="BZ106" s="1"/>
  <c r="BV106"/>
  <c r="BS106"/>
  <c r="DI102"/>
  <c r="BY102"/>
  <c r="BZ102" s="1"/>
  <c r="BV102"/>
  <c r="BS102"/>
  <c r="BU101"/>
  <c r="DW101" s="1"/>
  <c r="EA101"/>
  <c r="CT101"/>
  <c r="DF100"/>
  <c r="AY100"/>
  <c r="AZ100" s="1"/>
  <c r="DG100" s="1"/>
  <c r="BU100"/>
  <c r="EA100"/>
  <c r="CT100"/>
  <c r="BU99"/>
  <c r="DW99" s="1"/>
  <c r="EA99"/>
  <c r="CT99"/>
  <c r="DI91"/>
  <c r="BY91"/>
  <c r="BZ91" s="1"/>
  <c r="BX91"/>
  <c r="BV91"/>
  <c r="BS91"/>
  <c r="BX95"/>
  <c r="BV95"/>
  <c r="DI95"/>
  <c r="DL95" s="1"/>
  <c r="BY95"/>
  <c r="BZ95" s="1"/>
  <c r="BS95"/>
  <c r="BT96"/>
  <c r="CC96"/>
  <c r="DI83"/>
  <c r="DL83" s="1"/>
  <c r="BY83"/>
  <c r="BZ83" s="1"/>
  <c r="BX83"/>
  <c r="BV83"/>
  <c r="BS83"/>
  <c r="DI75"/>
  <c r="BY75"/>
  <c r="BZ75" s="1"/>
  <c r="BX75"/>
  <c r="BV75"/>
  <c r="BS75"/>
  <c r="DW75"/>
  <c r="BX85"/>
  <c r="BV85"/>
  <c r="DI85"/>
  <c r="BY85"/>
  <c r="BZ85" s="1"/>
  <c r="BS85"/>
  <c r="EA87"/>
  <c r="CT87"/>
  <c r="BU87"/>
  <c r="DI70"/>
  <c r="BY70"/>
  <c r="BZ70" s="1"/>
  <c r="BV70"/>
  <c r="BX70"/>
  <c r="BS70"/>
  <c r="DI62"/>
  <c r="BY62"/>
  <c r="BZ62" s="1"/>
  <c r="BX62"/>
  <c r="BV62"/>
  <c r="BS62"/>
  <c r="DW63"/>
  <c r="DF63"/>
  <c r="DL63" s="1"/>
  <c r="AY63"/>
  <c r="AZ63" s="1"/>
  <c r="DG63" s="1"/>
  <c r="BX56"/>
  <c r="BV56"/>
  <c r="DI56"/>
  <c r="BY56"/>
  <c r="BZ56" s="1"/>
  <c r="DW56"/>
  <c r="BS56"/>
  <c r="BX27"/>
  <c r="BV27"/>
  <c r="DI27"/>
  <c r="DL27" s="1"/>
  <c r="BY27"/>
  <c r="BZ27" s="1"/>
  <c r="BS27"/>
  <c r="DI26"/>
  <c r="BY26"/>
  <c r="BZ26" s="1"/>
  <c r="BV26"/>
  <c r="BS26"/>
  <c r="DW25"/>
  <c r="DF25"/>
  <c r="AY25"/>
  <c r="AZ25" s="1"/>
  <c r="DG25" s="1"/>
  <c r="BU25"/>
  <c r="EA25"/>
  <c r="CT25"/>
  <c r="BU24"/>
  <c r="EA24"/>
  <c r="CT24"/>
  <c r="BT53"/>
  <c r="CC53"/>
  <c r="DI16"/>
  <c r="BY16"/>
  <c r="BZ16" s="1"/>
  <c r="BX16"/>
  <c r="BV16"/>
  <c r="BS16"/>
  <c r="DI9"/>
  <c r="BY9"/>
  <c r="BZ9" s="1"/>
  <c r="BX9"/>
  <c r="BV9"/>
  <c r="BS9"/>
  <c r="EA22"/>
  <c r="CT22"/>
  <c r="BU22"/>
  <c r="EB102"/>
  <c r="EC102" s="1"/>
  <c r="CG102"/>
  <c r="CH102" s="1"/>
  <c r="DW98"/>
  <c r="DF98"/>
  <c r="DL98" s="1"/>
  <c r="DJ90"/>
  <c r="CD90"/>
  <c r="BW90"/>
  <c r="AX83"/>
  <c r="AY83"/>
  <c r="AZ83" s="1"/>
  <c r="DG83" s="1"/>
  <c r="AX81"/>
  <c r="AX79"/>
  <c r="AY79"/>
  <c r="AZ79" s="1"/>
  <c r="DG79" s="1"/>
  <c r="AX77"/>
  <c r="CB77" s="1"/>
  <c r="AX75"/>
  <c r="AY75"/>
  <c r="AZ75" s="1"/>
  <c r="DG75" s="1"/>
  <c r="AX73"/>
  <c r="CB73" s="1"/>
  <c r="DI89"/>
  <c r="DL89" s="1"/>
  <c r="BV89"/>
  <c r="BY89"/>
  <c r="BZ89" s="1"/>
  <c r="AX87"/>
  <c r="EB89"/>
  <c r="EC89" s="1"/>
  <c r="CG89"/>
  <c r="CH89" s="1"/>
  <c r="BU72"/>
  <c r="EA72"/>
  <c r="CT72"/>
  <c r="BR46"/>
  <c r="CB46" s="1"/>
  <c r="BE46"/>
  <c r="CB8"/>
  <c r="AE105"/>
  <c r="AE103"/>
  <c r="DK93"/>
  <c r="CB104"/>
  <c r="AE104"/>
  <c r="AE95"/>
  <c r="AE94"/>
  <c r="DY92"/>
  <c r="CB105"/>
  <c r="CB103"/>
  <c r="DW102"/>
  <c r="DY93"/>
  <c r="CB88"/>
  <c r="AY92"/>
  <c r="AZ92" s="1"/>
  <c r="DG92" s="1"/>
  <c r="DY90"/>
  <c r="AY88"/>
  <c r="AZ88" s="1"/>
  <c r="DG88" s="1"/>
  <c r="BR87"/>
  <c r="DK85"/>
  <c r="DL85"/>
  <c r="AY91"/>
  <c r="AZ91" s="1"/>
  <c r="DG91" s="1"/>
  <c r="CA83"/>
  <c r="DW79"/>
  <c r="CA77"/>
  <c r="CA75"/>
  <c r="CA73"/>
  <c r="DY84"/>
  <c r="DY81"/>
  <c r="DY76"/>
  <c r="AY85"/>
  <c r="AZ85" s="1"/>
  <c r="DG85" s="1"/>
  <c r="DW83"/>
  <c r="CA81"/>
  <c r="CA79"/>
  <c r="AE60"/>
  <c r="AE58"/>
  <c r="DW61"/>
  <c r="CB59"/>
  <c r="CB57"/>
  <c r="AE59"/>
  <c r="AE57"/>
  <c r="CB24"/>
  <c r="CB58"/>
  <c r="CB56"/>
  <c r="AE51"/>
  <c r="AE49"/>
  <c r="AE47"/>
  <c r="AE40"/>
  <c r="AE38"/>
  <c r="AE36"/>
  <c r="AE34"/>
  <c r="DL54"/>
  <c r="DL52"/>
  <c r="DL41"/>
  <c r="AE54"/>
  <c r="AE52"/>
  <c r="AE41"/>
  <c r="AE39"/>
  <c r="AE37"/>
  <c r="AE35"/>
  <c r="AE33"/>
  <c r="DL51"/>
  <c r="CB14"/>
  <c r="AE20"/>
  <c r="CV7"/>
  <c r="EA97"/>
  <c r="CT97"/>
  <c r="BU97"/>
  <c r="DW97" s="1"/>
  <c r="BX96"/>
  <c r="BV96"/>
  <c r="DI96"/>
  <c r="DL96" s="1"/>
  <c r="BY96"/>
  <c r="BZ96" s="1"/>
  <c r="EA96"/>
  <c r="CT96"/>
  <c r="BU96"/>
  <c r="DW96" s="1"/>
  <c r="AE88"/>
  <c r="W7"/>
  <c r="EA98"/>
  <c r="CT98"/>
  <c r="BU98"/>
  <c r="BU91"/>
  <c r="DW91" s="1"/>
  <c r="EA91"/>
  <c r="CT91"/>
  <c r="BT89"/>
  <c r="AX84"/>
  <c r="AX82"/>
  <c r="AX80"/>
  <c r="AX78"/>
  <c r="CB78" s="1"/>
  <c r="AX76"/>
  <c r="CB76" s="1"/>
  <c r="AX74"/>
  <c r="CB74" s="1"/>
  <c r="AX72"/>
  <c r="CB72" s="1"/>
  <c r="AY72"/>
  <c r="AZ72" s="1"/>
  <c r="DG72" s="1"/>
  <c r="EB90"/>
  <c r="EC90" s="1"/>
  <c r="CG90"/>
  <c r="CH90" s="1"/>
  <c r="BU71"/>
  <c r="EA71"/>
  <c r="CT71"/>
  <c r="EA82"/>
  <c r="AX71"/>
  <c r="CB71" s="1"/>
  <c r="AY71"/>
  <c r="AZ71" s="1"/>
  <c r="DG71" s="1"/>
  <c r="BU70"/>
  <c r="DW70" s="1"/>
  <c r="EA70"/>
  <c r="CT70"/>
  <c r="BU68"/>
  <c r="EA68"/>
  <c r="CT68"/>
  <c r="EA56"/>
  <c r="CT56"/>
  <c r="BU56"/>
  <c r="AX55"/>
  <c r="CB55" s="1"/>
  <c r="BU55"/>
  <c r="EA55"/>
  <c r="CT55"/>
  <c r="BR32"/>
  <c r="CB32" s="1"/>
  <c r="BE32"/>
  <c r="BF32" s="1"/>
  <c r="AA7"/>
  <c r="BX53"/>
  <c r="BV53"/>
  <c r="DI53"/>
  <c r="DL53" s="1"/>
  <c r="BY53"/>
  <c r="BZ53" s="1"/>
  <c r="EA53"/>
  <c r="CT53"/>
  <c r="BU53"/>
  <c r="DW53" s="1"/>
  <c r="EA44"/>
  <c r="CT44"/>
  <c r="BU44"/>
  <c r="BX42"/>
  <c r="BV42"/>
  <c r="DI42"/>
  <c r="DL42" s="1"/>
  <c r="BY42"/>
  <c r="BZ42" s="1"/>
  <c r="EA42"/>
  <c r="CT42"/>
  <c r="BU42"/>
  <c r="BU28"/>
  <c r="EA21"/>
  <c r="EB21" s="1"/>
  <c r="EC21" s="1"/>
  <c r="BU21"/>
  <c r="CT21"/>
  <c r="AY22"/>
  <c r="AZ22" s="1"/>
  <c r="DG22" s="1"/>
  <c r="AX22"/>
  <c r="AX21"/>
  <c r="CB21" s="1"/>
  <c r="AC7"/>
  <c r="CU14"/>
  <c r="CU7" s="1"/>
  <c r="CG26"/>
  <c r="CH26" s="1"/>
  <c r="AX23"/>
  <c r="CB23" s="1"/>
  <c r="BU11"/>
  <c r="EA11"/>
  <c r="EB11" s="1"/>
  <c r="CT11"/>
  <c r="EA23"/>
  <c r="CT23"/>
  <c r="BU23"/>
  <c r="DL106"/>
  <c r="DL101"/>
  <c r="DL99"/>
  <c r="AM106"/>
  <c r="BA106" s="1"/>
  <c r="AY106"/>
  <c r="AZ106" s="1"/>
  <c r="DG106" s="1"/>
  <c r="AY101"/>
  <c r="AZ101" s="1"/>
  <c r="DG101" s="1"/>
  <c r="AY99"/>
  <c r="AZ99" s="1"/>
  <c r="DG99" s="1"/>
  <c r="DL91"/>
  <c r="DL88"/>
  <c r="DM90"/>
  <c r="DX90" s="1"/>
  <c r="CC90"/>
  <c r="DL92"/>
  <c r="DW92"/>
  <c r="DW85"/>
  <c r="CB83"/>
  <c r="CB80"/>
  <c r="CB75"/>
  <c r="DL75"/>
  <c r="DL72"/>
  <c r="AY89"/>
  <c r="AZ89" s="1"/>
  <c r="DG89" s="1"/>
  <c r="DW89"/>
  <c r="CB84"/>
  <c r="CB82"/>
  <c r="CB81"/>
  <c r="CB79"/>
  <c r="DL61"/>
  <c r="DL57"/>
  <c r="AB7"/>
  <c r="AY61"/>
  <c r="AZ61" s="1"/>
  <c r="DG61" s="1"/>
  <c r="DL56"/>
  <c r="AE46"/>
  <c r="AE31"/>
  <c r="BE7"/>
  <c r="AE50"/>
  <c r="AE48"/>
  <c r="AE45"/>
  <c r="AE43"/>
  <c r="AE29"/>
  <c r="AE27"/>
  <c r="AK7"/>
  <c r="X7"/>
  <c r="CB53"/>
  <c r="CB51"/>
  <c r="CB49"/>
  <c r="CB47"/>
  <c r="CB44"/>
  <c r="CB42"/>
  <c r="DW42"/>
  <c r="CB40"/>
  <c r="CB38"/>
  <c r="CB36"/>
  <c r="CB34"/>
  <c r="CB28"/>
  <c r="DE7"/>
  <c r="BQ7"/>
  <c r="AE14"/>
  <c r="AW7"/>
  <c r="S7" i="15"/>
  <c r="BQ20"/>
  <c r="AW79"/>
  <c r="AW80"/>
  <c r="AW81"/>
  <c r="AW82"/>
  <c r="DE82"/>
  <c r="AW83"/>
  <c r="DE83"/>
  <c r="CU84"/>
  <c r="BQ84"/>
  <c r="DE84"/>
  <c r="AW85"/>
  <c r="DE85"/>
  <c r="AW86"/>
  <c r="CV87"/>
  <c r="BQ87"/>
  <c r="CV88"/>
  <c r="BQ88"/>
  <c r="AC89"/>
  <c r="AE89" s="1"/>
  <c r="BQ89"/>
  <c r="AW91"/>
  <c r="DE91"/>
  <c r="AW97"/>
  <c r="BQ98"/>
  <c r="AE99"/>
  <c r="CU99"/>
  <c r="DE99"/>
  <c r="BQ102"/>
  <c r="DE102"/>
  <c r="AW104"/>
  <c r="AW105"/>
  <c r="CY7"/>
  <c r="AW8"/>
  <c r="CR7"/>
  <c r="DO160"/>
  <c r="AW9"/>
  <c r="AW10"/>
  <c r="BO7"/>
  <c r="DE10"/>
  <c r="BQ11"/>
  <c r="BR11" s="1"/>
  <c r="DE11"/>
  <c r="CV12"/>
  <c r="BQ12"/>
  <c r="AW13"/>
  <c r="AX13" s="1"/>
  <c r="AW14"/>
  <c r="DE14"/>
  <c r="AW24"/>
  <c r="AX24" s="1"/>
  <c r="CV25"/>
  <c r="BQ25"/>
  <c r="AC26"/>
  <c r="CU26" s="1"/>
  <c r="BQ26"/>
  <c r="DE26"/>
  <c r="CU27"/>
  <c r="BQ27"/>
  <c r="DE27"/>
  <c r="CU28"/>
  <c r="BQ28"/>
  <c r="BQ29"/>
  <c r="BR29" s="1"/>
  <c r="AW66"/>
  <c r="AJ7"/>
  <c r="AO7"/>
  <c r="AU7"/>
  <c r="CU8"/>
  <c r="BQ8"/>
  <c r="DE8"/>
  <c r="CU9"/>
  <c r="BQ9"/>
  <c r="CA9" s="1"/>
  <c r="DE9"/>
  <c r="BQ10"/>
  <c r="BR10" s="1"/>
  <c r="AW11"/>
  <c r="AX11" s="1"/>
  <c r="AW12"/>
  <c r="DE12"/>
  <c r="CU13"/>
  <c r="BQ13"/>
  <c r="DE13"/>
  <c r="AL14"/>
  <c r="DF14" s="1"/>
  <c r="BQ14"/>
  <c r="BR14" s="1"/>
  <c r="W15"/>
  <c r="AE15" s="1"/>
  <c r="CU15"/>
  <c r="BQ15"/>
  <c r="DE15"/>
  <c r="CU16"/>
  <c r="BQ16"/>
  <c r="DE16"/>
  <c r="AW18"/>
  <c r="CU19"/>
  <c r="BQ19"/>
  <c r="DE19"/>
  <c r="AW20"/>
  <c r="DE20"/>
  <c r="BQ21"/>
  <c r="BR21" s="1"/>
  <c r="AW22"/>
  <c r="DE22"/>
  <c r="AW23"/>
  <c r="DE23"/>
  <c r="CU24"/>
  <c r="BQ24"/>
  <c r="BR24" s="1"/>
  <c r="AW25"/>
  <c r="DE25"/>
  <c r="CV26"/>
  <c r="AW27"/>
  <c r="AW28"/>
  <c r="AW29"/>
  <c r="CA29" s="1"/>
  <c r="EC29" s="1"/>
  <c r="AW30"/>
  <c r="AW31"/>
  <c r="CA31" s="1"/>
  <c r="AW32"/>
  <c r="DE32"/>
  <c r="CU33"/>
  <c r="BQ33"/>
  <c r="CA33" s="1"/>
  <c r="AW34"/>
  <c r="AW35"/>
  <c r="AW36"/>
  <c r="AW37"/>
  <c r="AL38"/>
  <c r="BQ38"/>
  <c r="AL39"/>
  <c r="DF39" s="1"/>
  <c r="BQ39"/>
  <c r="AW40"/>
  <c r="DE40"/>
  <c r="AL41"/>
  <c r="BQ41"/>
  <c r="AW42"/>
  <c r="DE42"/>
  <c r="BQ43"/>
  <c r="CA43" s="1"/>
  <c r="AW44"/>
  <c r="CA44" s="1"/>
  <c r="CU45"/>
  <c r="BQ45"/>
  <c r="CA45" s="1"/>
  <c r="DE45"/>
  <c r="AW46"/>
  <c r="CA46" s="1"/>
  <c r="AW47"/>
  <c r="AW48"/>
  <c r="BQ49"/>
  <c r="CA49" s="1"/>
  <c r="CU50"/>
  <c r="BQ50"/>
  <c r="CA50" s="1"/>
  <c r="DE50"/>
  <c r="AW51"/>
  <c r="AW52"/>
  <c r="AW53"/>
  <c r="AW54"/>
  <c r="AW55"/>
  <c r="AX55" s="1"/>
  <c r="AW56"/>
  <c r="AW57"/>
  <c r="AW58"/>
  <c r="AW59"/>
  <c r="CA59" s="1"/>
  <c r="AW60"/>
  <c r="DE60"/>
  <c r="CU61"/>
  <c r="BQ61"/>
  <c r="CA61" s="1"/>
  <c r="DE61"/>
  <c r="AW62"/>
  <c r="Y63"/>
  <c r="AE63" s="1"/>
  <c r="CU63"/>
  <c r="BQ63"/>
  <c r="CA63" s="1"/>
  <c r="DE63"/>
  <c r="CU64"/>
  <c r="BQ64"/>
  <c r="CA64" s="1"/>
  <c r="DE64"/>
  <c r="CU65"/>
  <c r="BQ65"/>
  <c r="CA65" s="1"/>
  <c r="DE65"/>
  <c r="CU66"/>
  <c r="BQ66"/>
  <c r="CA66" s="1"/>
  <c r="DE66"/>
  <c r="CU67"/>
  <c r="BQ67"/>
  <c r="CA67" s="1"/>
  <c r="DE67"/>
  <c r="CU68"/>
  <c r="BQ68"/>
  <c r="CA68" s="1"/>
  <c r="DE68"/>
  <c r="CU69"/>
  <c r="BQ69"/>
  <c r="CA69" s="1"/>
  <c r="DE69"/>
  <c r="CU70"/>
  <c r="BQ70"/>
  <c r="CA70" s="1"/>
  <c r="DE70"/>
  <c r="CU71"/>
  <c r="BQ71"/>
  <c r="CA71" s="1"/>
  <c r="DE71"/>
  <c r="CU72"/>
  <c r="BQ72"/>
  <c r="CA72" s="1"/>
  <c r="CV73"/>
  <c r="CV74"/>
  <c r="CU75"/>
  <c r="BQ75"/>
  <c r="DE75"/>
  <c r="CU76"/>
  <c r="BQ76"/>
  <c r="CA76" s="1"/>
  <c r="DE76"/>
  <c r="CU77"/>
  <c r="BQ77"/>
  <c r="CA77" s="1"/>
  <c r="DE77"/>
  <c r="CU78"/>
  <c r="BQ78"/>
  <c r="CA78" s="1"/>
  <c r="DE78"/>
  <c r="CU79"/>
  <c r="BQ79"/>
  <c r="CA79" s="1"/>
  <c r="DE79"/>
  <c r="CU80"/>
  <c r="BQ80"/>
  <c r="CA80" s="1"/>
  <c r="DE80"/>
  <c r="CU81"/>
  <c r="BQ81"/>
  <c r="CA81" s="1"/>
  <c r="DE81"/>
  <c r="BQ82"/>
  <c r="AL83"/>
  <c r="DF83" s="1"/>
  <c r="BQ83"/>
  <c r="AW84"/>
  <c r="AL85"/>
  <c r="DF85" s="1"/>
  <c r="BQ85"/>
  <c r="BQ86"/>
  <c r="AW87"/>
  <c r="DE87"/>
  <c r="AW88"/>
  <c r="AX88" s="1"/>
  <c r="DE88"/>
  <c r="AC90"/>
  <c r="CU90" s="1"/>
  <c r="AW90"/>
  <c r="AL91"/>
  <c r="DF91" s="1"/>
  <c r="BQ91"/>
  <c r="AL92"/>
  <c r="DF92" s="1"/>
  <c r="BQ92"/>
  <c r="AW93"/>
  <c r="AX93" s="1"/>
  <c r="W94"/>
  <c r="AE94" s="1"/>
  <c r="CU94"/>
  <c r="BQ94"/>
  <c r="CA94" s="1"/>
  <c r="AW95"/>
  <c r="AW96"/>
  <c r="CA96" s="1"/>
  <c r="W97"/>
  <c r="AE97" s="1"/>
  <c r="CU97"/>
  <c r="BQ97"/>
  <c r="BR97" s="1"/>
  <c r="AE98"/>
  <c r="CU98"/>
  <c r="CT98" s="1"/>
  <c r="DH98" s="1"/>
  <c r="DK98" s="1"/>
  <c r="DE98"/>
  <c r="AL99"/>
  <c r="DF99" s="1"/>
  <c r="BQ99"/>
  <c r="AC100"/>
  <c r="CU100" s="1"/>
  <c r="AL100"/>
  <c r="DF100" s="1"/>
  <c r="BQ100"/>
  <c r="AW101"/>
  <c r="CA101" s="1"/>
  <c r="AC102"/>
  <c r="CU102" s="1"/>
  <c r="AW102"/>
  <c r="AE103"/>
  <c r="AL103"/>
  <c r="DF103" s="1"/>
  <c r="AW103"/>
  <c r="BQ103"/>
  <c r="BR103" s="1"/>
  <c r="BQ104"/>
  <c r="BR104" s="1"/>
  <c r="CU105"/>
  <c r="BQ105"/>
  <c r="BR105" s="1"/>
  <c r="X106"/>
  <c r="BQ106"/>
  <c r="DE106"/>
  <c r="AL12"/>
  <c r="DF12" s="1"/>
  <c r="AL20"/>
  <c r="DF20" s="1"/>
  <c r="AL25"/>
  <c r="DF25" s="1"/>
  <c r="AL26"/>
  <c r="DF26" s="1"/>
  <c r="BF26"/>
  <c r="BS26" s="1"/>
  <c r="BT26" s="1"/>
  <c r="CA30"/>
  <c r="AL32"/>
  <c r="DF32" s="1"/>
  <c r="CA32"/>
  <c r="AL42"/>
  <c r="DF42" s="1"/>
  <c r="AL88"/>
  <c r="DF88" s="1"/>
  <c r="AL89"/>
  <c r="DF89" s="1"/>
  <c r="BF89"/>
  <c r="CA90"/>
  <c r="DZ90"/>
  <c r="CA95"/>
  <c r="AL98"/>
  <c r="CA102"/>
  <c r="AE106"/>
  <c r="CA8"/>
  <c r="CA10"/>
  <c r="AX12"/>
  <c r="CA14"/>
  <c r="BU15"/>
  <c r="EA15"/>
  <c r="CT15"/>
  <c r="DH15" s="1"/>
  <c r="DK15" s="1"/>
  <c r="CQ7"/>
  <c r="DE17"/>
  <c r="BR18"/>
  <c r="CA18"/>
  <c r="AX20"/>
  <c r="CA13"/>
  <c r="CA15"/>
  <c r="CA16"/>
  <c r="CA19"/>
  <c r="AX8"/>
  <c r="DZ8"/>
  <c r="CV8"/>
  <c r="AD7"/>
  <c r="AX9"/>
  <c r="DZ9"/>
  <c r="CV9"/>
  <c r="AX10"/>
  <c r="BR12"/>
  <c r="CA12"/>
  <c r="DZ13"/>
  <c r="CV13"/>
  <c r="AY14"/>
  <c r="AZ14" s="1"/>
  <c r="DG14" s="1"/>
  <c r="AX14"/>
  <c r="AX15"/>
  <c r="DZ15"/>
  <c r="CV15"/>
  <c r="AX16"/>
  <c r="DZ16"/>
  <c r="CV16"/>
  <c r="AX17"/>
  <c r="CV17"/>
  <c r="DZ17"/>
  <c r="BQ17"/>
  <c r="CA17" s="1"/>
  <c r="BJ7"/>
  <c r="AX18"/>
  <c r="DE18"/>
  <c r="AX19"/>
  <c r="DZ19"/>
  <c r="CV19"/>
  <c r="BR20"/>
  <c r="CB20" s="1"/>
  <c r="CA20"/>
  <c r="CV22"/>
  <c r="DZ22"/>
  <c r="AX22"/>
  <c r="AX23"/>
  <c r="CV24"/>
  <c r="DZ24"/>
  <c r="BR25"/>
  <c r="CA25"/>
  <c r="AX26"/>
  <c r="BY26"/>
  <c r="BZ26" s="1"/>
  <c r="BR26"/>
  <c r="CA26"/>
  <c r="DE28"/>
  <c r="DZ29"/>
  <c r="CV29"/>
  <c r="AX30"/>
  <c r="DZ30"/>
  <c r="CV30"/>
  <c r="DZ31"/>
  <c r="CV31"/>
  <c r="AY32"/>
  <c r="AZ32" s="1"/>
  <c r="DG32" s="1"/>
  <c r="AX32"/>
  <c r="DE33"/>
  <c r="AY38"/>
  <c r="AZ38" s="1"/>
  <c r="DG38" s="1"/>
  <c r="AX38"/>
  <c r="AY39"/>
  <c r="AZ39" s="1"/>
  <c r="DG39" s="1"/>
  <c r="AX39"/>
  <c r="BR40"/>
  <c r="CA40"/>
  <c r="AY41"/>
  <c r="AZ41" s="1"/>
  <c r="DG41" s="1"/>
  <c r="AX41"/>
  <c r="BR42"/>
  <c r="CA42"/>
  <c r="AX43"/>
  <c r="AX45"/>
  <c r="DZ45"/>
  <c r="CV45"/>
  <c r="BU46"/>
  <c r="EA46"/>
  <c r="CT46"/>
  <c r="DH46" s="1"/>
  <c r="DK46" s="1"/>
  <c r="AX49"/>
  <c r="AX50"/>
  <c r="DZ50"/>
  <c r="CV50"/>
  <c r="X8"/>
  <c r="AE8" s="1"/>
  <c r="AK8"/>
  <c r="AL8" s="1"/>
  <c r="BR8"/>
  <c r="X9"/>
  <c r="AE9" s="1"/>
  <c r="AK9"/>
  <c r="AL9" s="1"/>
  <c r="BR9"/>
  <c r="CB9" s="1"/>
  <c r="AC10"/>
  <c r="AE10" s="1"/>
  <c r="AG10"/>
  <c r="BE10"/>
  <c r="DZ10"/>
  <c r="AC11"/>
  <c r="CU11" s="1"/>
  <c r="BE11"/>
  <c r="CG11"/>
  <c r="CH11" s="1"/>
  <c r="DZ11"/>
  <c r="AC12"/>
  <c r="CU12" s="1"/>
  <c r="BE12"/>
  <c r="BF12" s="1"/>
  <c r="DZ12"/>
  <c r="X13"/>
  <c r="AE13" s="1"/>
  <c r="AH13"/>
  <c r="AK13"/>
  <c r="BR13"/>
  <c r="AC14"/>
  <c r="CU14" s="1"/>
  <c r="BE14"/>
  <c r="BF14" s="1"/>
  <c r="DZ14"/>
  <c r="AK15"/>
  <c r="BR15"/>
  <c r="CB15" s="1"/>
  <c r="DY15"/>
  <c r="X16"/>
  <c r="AE16" s="1"/>
  <c r="AK16"/>
  <c r="AL16" s="1"/>
  <c r="BR16"/>
  <c r="CB16" s="1"/>
  <c r="X17"/>
  <c r="AE17" s="1"/>
  <c r="AK17"/>
  <c r="BR17"/>
  <c r="CB17" s="1"/>
  <c r="AC18"/>
  <c r="CU18" s="1"/>
  <c r="BE18"/>
  <c r="DZ18"/>
  <c r="X19"/>
  <c r="AE19" s="1"/>
  <c r="AK19"/>
  <c r="BR19"/>
  <c r="CB19" s="1"/>
  <c r="AC20"/>
  <c r="CU20" s="1"/>
  <c r="BE20"/>
  <c r="BF20" s="1"/>
  <c r="X21"/>
  <c r="AE21" s="1"/>
  <c r="CU21"/>
  <c r="AW21"/>
  <c r="DE21"/>
  <c r="CV21"/>
  <c r="CA27"/>
  <c r="CA34"/>
  <c r="CA35"/>
  <c r="CA36"/>
  <c r="CA37"/>
  <c r="CA47"/>
  <c r="CA48"/>
  <c r="CA51"/>
  <c r="CA52"/>
  <c r="CA53"/>
  <c r="CA54"/>
  <c r="CG21"/>
  <c r="CH21" s="1"/>
  <c r="BR22"/>
  <c r="CB22" s="1"/>
  <c r="CA22"/>
  <c r="BR23"/>
  <c r="CB23" s="1"/>
  <c r="CA23"/>
  <c r="DE24"/>
  <c r="AY25"/>
  <c r="AZ25" s="1"/>
  <c r="DG25" s="1"/>
  <c r="AX25"/>
  <c r="I26"/>
  <c r="Q26" s="1"/>
  <c r="BX26" s="1"/>
  <c r="G26"/>
  <c r="AX27"/>
  <c r="DZ27"/>
  <c r="CV27"/>
  <c r="AX28"/>
  <c r="DZ28"/>
  <c r="CV28"/>
  <c r="AX33"/>
  <c r="DZ33"/>
  <c r="CV33"/>
  <c r="AX34"/>
  <c r="DZ34"/>
  <c r="CV34"/>
  <c r="AX35"/>
  <c r="DZ35"/>
  <c r="CV35"/>
  <c r="AX36"/>
  <c r="DZ36"/>
  <c r="CV36"/>
  <c r="AX37"/>
  <c r="DZ37"/>
  <c r="CV37"/>
  <c r="DF38"/>
  <c r="BR38"/>
  <c r="CB38" s="1"/>
  <c r="CA38"/>
  <c r="BR39"/>
  <c r="CB39" s="1"/>
  <c r="CA39"/>
  <c r="AX40"/>
  <c r="DF41"/>
  <c r="BR41"/>
  <c r="CB41" s="1"/>
  <c r="CA41"/>
  <c r="AY42"/>
  <c r="AZ42" s="1"/>
  <c r="DG42" s="1"/>
  <c r="AX42"/>
  <c r="BR43"/>
  <c r="CB43" s="1"/>
  <c r="AX44"/>
  <c r="DZ44"/>
  <c r="CV44"/>
  <c r="DZ46"/>
  <c r="CV46"/>
  <c r="AX47"/>
  <c r="DZ47"/>
  <c r="CV47"/>
  <c r="AX48"/>
  <c r="DZ48"/>
  <c r="CV48"/>
  <c r="BR49"/>
  <c r="CB49" s="1"/>
  <c r="AX51"/>
  <c r="DZ51"/>
  <c r="CV51"/>
  <c r="AX52"/>
  <c r="DZ52"/>
  <c r="CV52"/>
  <c r="AX53"/>
  <c r="DZ53"/>
  <c r="CV53"/>
  <c r="AX54"/>
  <c r="DZ54"/>
  <c r="CV54"/>
  <c r="BE8"/>
  <c r="BE9"/>
  <c r="BF9" s="1"/>
  <c r="BE13"/>
  <c r="BE15"/>
  <c r="BE16"/>
  <c r="BF16" s="1"/>
  <c r="BE17"/>
  <c r="BE19"/>
  <c r="CV20"/>
  <c r="BR60"/>
  <c r="CA60"/>
  <c r="AX61"/>
  <c r="DZ61"/>
  <c r="CV61"/>
  <c r="AX63"/>
  <c r="DZ63"/>
  <c r="CV63"/>
  <c r="AX64"/>
  <c r="DZ64"/>
  <c r="CV64"/>
  <c r="AX65"/>
  <c r="DZ65"/>
  <c r="CV65"/>
  <c r="AX66"/>
  <c r="DZ66"/>
  <c r="CV66"/>
  <c r="AX67"/>
  <c r="DZ67"/>
  <c r="CV67"/>
  <c r="AX68"/>
  <c r="DZ68"/>
  <c r="CV68"/>
  <c r="AX69"/>
  <c r="DZ69"/>
  <c r="CV69"/>
  <c r="AX70"/>
  <c r="DZ70"/>
  <c r="CV70"/>
  <c r="AX71"/>
  <c r="DZ71"/>
  <c r="CV71"/>
  <c r="AX72"/>
  <c r="CV72"/>
  <c r="DZ72"/>
  <c r="BE21"/>
  <c r="AC22"/>
  <c r="CU22" s="1"/>
  <c r="BE22"/>
  <c r="AC23"/>
  <c r="CU23" s="1"/>
  <c r="BE23"/>
  <c r="CV23"/>
  <c r="X24"/>
  <c r="AE24" s="1"/>
  <c r="AK24"/>
  <c r="AC25"/>
  <c r="CU25" s="1"/>
  <c r="BE25"/>
  <c r="BF25" s="1"/>
  <c r="DW25" s="1"/>
  <c r="DZ25"/>
  <c r="DZ26"/>
  <c r="X27"/>
  <c r="AE27" s="1"/>
  <c r="AK27"/>
  <c r="AL27" s="1"/>
  <c r="BR27"/>
  <c r="CB27" s="1"/>
  <c r="X28"/>
  <c r="AE28" s="1"/>
  <c r="AK28"/>
  <c r="X29"/>
  <c r="AE29" s="1"/>
  <c r="AK29"/>
  <c r="X30"/>
  <c r="AE30" s="1"/>
  <c r="AH30"/>
  <c r="AK30"/>
  <c r="BR30"/>
  <c r="CB30" s="1"/>
  <c r="AB31"/>
  <c r="AK31"/>
  <c r="AL31" s="1"/>
  <c r="DF31" s="1"/>
  <c r="BR31"/>
  <c r="AA32"/>
  <c r="AC32"/>
  <c r="CU32" s="1"/>
  <c r="DZ32"/>
  <c r="X33"/>
  <c r="AE33" s="1"/>
  <c r="AK33"/>
  <c r="BR33"/>
  <c r="AB34"/>
  <c r="AE34" s="1"/>
  <c r="AK34"/>
  <c r="AL34" s="1"/>
  <c r="BR34"/>
  <c r="CB34" s="1"/>
  <c r="AB35"/>
  <c r="AE35" s="1"/>
  <c r="AK35"/>
  <c r="AL35" s="1"/>
  <c r="BR35"/>
  <c r="CB35" s="1"/>
  <c r="X36"/>
  <c r="AE36" s="1"/>
  <c r="AK36"/>
  <c r="BR36"/>
  <c r="CB36" s="1"/>
  <c r="AB37"/>
  <c r="AE37" s="1"/>
  <c r="AK37"/>
  <c r="AL37" s="1"/>
  <c r="BR37"/>
  <c r="CB37" s="1"/>
  <c r="AC38"/>
  <c r="CU38" s="1"/>
  <c r="BE38"/>
  <c r="BF38" s="1"/>
  <c r="DZ38"/>
  <c r="AC39"/>
  <c r="CU39" s="1"/>
  <c r="BE39"/>
  <c r="BF39" s="1"/>
  <c r="DZ39"/>
  <c r="AC40"/>
  <c r="CU40" s="1"/>
  <c r="BE40"/>
  <c r="DZ40"/>
  <c r="AC41"/>
  <c r="CU41" s="1"/>
  <c r="BE41"/>
  <c r="BF41" s="1"/>
  <c r="DZ41"/>
  <c r="AC42"/>
  <c r="CU42" s="1"/>
  <c r="BE42"/>
  <c r="BF42" s="1"/>
  <c r="DZ42"/>
  <c r="AC43"/>
  <c r="CU43" s="1"/>
  <c r="BE43"/>
  <c r="DZ43"/>
  <c r="X44"/>
  <c r="AE44" s="1"/>
  <c r="AK44"/>
  <c r="BR44"/>
  <c r="X45"/>
  <c r="AE45" s="1"/>
  <c r="AK45"/>
  <c r="AL45" s="1"/>
  <c r="DF45" s="1"/>
  <c r="BR45"/>
  <c r="CB45" s="1"/>
  <c r="AK46"/>
  <c r="BR46"/>
  <c r="DY46"/>
  <c r="X47"/>
  <c r="AE47" s="1"/>
  <c r="AK47"/>
  <c r="AL47" s="1"/>
  <c r="BR47"/>
  <c r="X48"/>
  <c r="AE48" s="1"/>
  <c r="AK48"/>
  <c r="AL48" s="1"/>
  <c r="BR48"/>
  <c r="CB48" s="1"/>
  <c r="AC49"/>
  <c r="CU49" s="1"/>
  <c r="BE49"/>
  <c r="DZ49"/>
  <c r="Z50"/>
  <c r="AK50"/>
  <c r="BR50"/>
  <c r="CB50" s="1"/>
  <c r="X51"/>
  <c r="AE51" s="1"/>
  <c r="AK51"/>
  <c r="AL51" s="1"/>
  <c r="BR51"/>
  <c r="CB51" s="1"/>
  <c r="Z52"/>
  <c r="AE52" s="1"/>
  <c r="AK52"/>
  <c r="AL52" s="1"/>
  <c r="BR52"/>
  <c r="CB52" s="1"/>
  <c r="AB53"/>
  <c r="AE53" s="1"/>
  <c r="AK53"/>
  <c r="AL53" s="1"/>
  <c r="BR53"/>
  <c r="CB53" s="1"/>
  <c r="Z54"/>
  <c r="AE54" s="1"/>
  <c r="AK54"/>
  <c r="AL54" s="1"/>
  <c r="BR54"/>
  <c r="CB54" s="1"/>
  <c r="CA55"/>
  <c r="CA56"/>
  <c r="CA57"/>
  <c r="CA58"/>
  <c r="CA62"/>
  <c r="BE55"/>
  <c r="BR55"/>
  <c r="DZ55"/>
  <c r="CV55"/>
  <c r="AX56"/>
  <c r="DZ56"/>
  <c r="CV56"/>
  <c r="AX57"/>
  <c r="DZ57"/>
  <c r="CV57"/>
  <c r="AX58"/>
  <c r="DZ58"/>
  <c r="CV58"/>
  <c r="DZ59"/>
  <c r="CV59"/>
  <c r="AX60"/>
  <c r="AX62"/>
  <c r="DZ62"/>
  <c r="CV62"/>
  <c r="BE24"/>
  <c r="BE27"/>
  <c r="BF27" s="1"/>
  <c r="BE28"/>
  <c r="BE29"/>
  <c r="BE30"/>
  <c r="BE31"/>
  <c r="BF31" s="1"/>
  <c r="DE31"/>
  <c r="BE33"/>
  <c r="BE34"/>
  <c r="BF34" s="1"/>
  <c r="BE35"/>
  <c r="BF35" s="1"/>
  <c r="BE36"/>
  <c r="BE37"/>
  <c r="BF37" s="1"/>
  <c r="BE44"/>
  <c r="BE45"/>
  <c r="BF45" s="1"/>
  <c r="BE46"/>
  <c r="BE47"/>
  <c r="BF47" s="1"/>
  <c r="BE48"/>
  <c r="BF48" s="1"/>
  <c r="BE50"/>
  <c r="BE51"/>
  <c r="BF51" s="1"/>
  <c r="BE52"/>
  <c r="BF52" s="1"/>
  <c r="BE53"/>
  <c r="BF53" s="1"/>
  <c r="BE54"/>
  <c r="BF54" s="1"/>
  <c r="AW74"/>
  <c r="CA74" s="1"/>
  <c r="X74"/>
  <c r="AE74" s="1"/>
  <c r="AX76"/>
  <c r="DZ76"/>
  <c r="CV76"/>
  <c r="AX77"/>
  <c r="DZ77"/>
  <c r="CV77"/>
  <c r="AX78"/>
  <c r="DZ78"/>
  <c r="CV78"/>
  <c r="AX79"/>
  <c r="DZ79"/>
  <c r="CV79"/>
  <c r="AX80"/>
  <c r="DZ80"/>
  <c r="CV80"/>
  <c r="AX81"/>
  <c r="DZ81"/>
  <c r="CV81"/>
  <c r="AX82"/>
  <c r="AY83"/>
  <c r="AZ83" s="1"/>
  <c r="DG83" s="1"/>
  <c r="AX83"/>
  <c r="AY85"/>
  <c r="AZ85" s="1"/>
  <c r="DG85" s="1"/>
  <c r="AX85"/>
  <c r="AX86"/>
  <c r="DE86"/>
  <c r="AX87"/>
  <c r="AY88"/>
  <c r="AZ88" s="1"/>
  <c r="DG88" s="1"/>
  <c r="I89"/>
  <c r="Q89" s="1"/>
  <c r="BX89" s="1"/>
  <c r="G89"/>
  <c r="AX90"/>
  <c r="AB55"/>
  <c r="AE55" s="1"/>
  <c r="AH55"/>
  <c r="AK55"/>
  <c r="X56"/>
  <c r="AE56" s="1"/>
  <c r="AK56"/>
  <c r="AL56" s="1"/>
  <c r="BR56"/>
  <c r="CB56" s="1"/>
  <c r="X57"/>
  <c r="AE57" s="1"/>
  <c r="AK57"/>
  <c r="AL57" s="1"/>
  <c r="BR57"/>
  <c r="CB57" s="1"/>
  <c r="AB58"/>
  <c r="AE58" s="1"/>
  <c r="AK58"/>
  <c r="BR58"/>
  <c r="X59"/>
  <c r="AE59" s="1"/>
  <c r="AK59"/>
  <c r="AL59" s="1"/>
  <c r="BR59"/>
  <c r="AC60"/>
  <c r="CU60" s="1"/>
  <c r="BE60"/>
  <c r="DZ60"/>
  <c r="X61"/>
  <c r="AE61" s="1"/>
  <c r="AK61"/>
  <c r="BR61"/>
  <c r="CB61" s="1"/>
  <c r="AB62"/>
  <c r="AE62" s="1"/>
  <c r="AK62"/>
  <c r="AL62" s="1"/>
  <c r="BR62"/>
  <c r="CB62" s="1"/>
  <c r="AK63"/>
  <c r="AL63" s="1"/>
  <c r="BR63"/>
  <c r="CB63" s="1"/>
  <c r="AB64"/>
  <c r="AE64" s="1"/>
  <c r="AK64"/>
  <c r="BR64"/>
  <c r="CB64" s="1"/>
  <c r="AB65"/>
  <c r="AE65" s="1"/>
  <c r="AK65"/>
  <c r="AL65" s="1"/>
  <c r="BR65"/>
  <c r="CB65" s="1"/>
  <c r="AB66"/>
  <c r="AE66" s="1"/>
  <c r="AK66"/>
  <c r="BR66"/>
  <c r="CB66" s="1"/>
  <c r="X67"/>
  <c r="AE67" s="1"/>
  <c r="AK67"/>
  <c r="AL67" s="1"/>
  <c r="BR67"/>
  <c r="CB67" s="1"/>
  <c r="AB68"/>
  <c r="AE68" s="1"/>
  <c r="AK68"/>
  <c r="BR68"/>
  <c r="AB69"/>
  <c r="AE69" s="1"/>
  <c r="AK69"/>
  <c r="BR69"/>
  <c r="CB69" s="1"/>
  <c r="X70"/>
  <c r="AE70" s="1"/>
  <c r="AK70"/>
  <c r="AL70" s="1"/>
  <c r="DF70" s="1"/>
  <c r="BR70"/>
  <c r="X71"/>
  <c r="AE71" s="1"/>
  <c r="AK71"/>
  <c r="AL71" s="1"/>
  <c r="BR71"/>
  <c r="CB71" s="1"/>
  <c r="AB72"/>
  <c r="AE72" s="1"/>
  <c r="AK72"/>
  <c r="AL72" s="1"/>
  <c r="BR72"/>
  <c r="CB72" s="1"/>
  <c r="DE72"/>
  <c r="AC73"/>
  <c r="CU73" s="1"/>
  <c r="BE73"/>
  <c r="DZ73"/>
  <c r="DE74"/>
  <c r="AL75"/>
  <c r="AW73"/>
  <c r="AB73"/>
  <c r="BE75"/>
  <c r="BF75" s="1"/>
  <c r="BR75"/>
  <c r="AW75"/>
  <c r="AB75"/>
  <c r="AE75" s="1"/>
  <c r="DZ75"/>
  <c r="CV75"/>
  <c r="BR82"/>
  <c r="CB82" s="1"/>
  <c r="CA82"/>
  <c r="BR83"/>
  <c r="CB83" s="1"/>
  <c r="CA83"/>
  <c r="AX84"/>
  <c r="DZ84"/>
  <c r="CV84"/>
  <c r="BR85"/>
  <c r="CA85"/>
  <c r="BR86"/>
  <c r="CA86"/>
  <c r="BR87"/>
  <c r="CB87" s="1"/>
  <c r="CA87"/>
  <c r="BR88"/>
  <c r="CA88"/>
  <c r="AX89"/>
  <c r="AY89"/>
  <c r="AZ89" s="1"/>
  <c r="DG89" s="1"/>
  <c r="DI89"/>
  <c r="DL89" s="1"/>
  <c r="BV89"/>
  <c r="BY89"/>
  <c r="BZ89" s="1"/>
  <c r="BR89"/>
  <c r="CA89"/>
  <c r="I90"/>
  <c r="Q90" s="1"/>
  <c r="BX90" s="1"/>
  <c r="G90"/>
  <c r="BE56"/>
  <c r="BF56" s="1"/>
  <c r="BE57"/>
  <c r="BF57" s="1"/>
  <c r="BE58"/>
  <c r="BE59"/>
  <c r="BF59" s="1"/>
  <c r="BE61"/>
  <c r="BE62"/>
  <c r="BF62" s="1"/>
  <c r="BE63"/>
  <c r="BF63" s="1"/>
  <c r="BE64"/>
  <c r="BE65"/>
  <c r="BF65" s="1"/>
  <c r="BE66"/>
  <c r="BE67"/>
  <c r="BF67" s="1"/>
  <c r="BE68"/>
  <c r="BE69"/>
  <c r="BE70"/>
  <c r="BF70" s="1"/>
  <c r="BE71"/>
  <c r="BF71" s="1"/>
  <c r="BE72"/>
  <c r="BF72" s="1"/>
  <c r="BR73"/>
  <c r="DE73"/>
  <c r="BR74"/>
  <c r="BE74"/>
  <c r="CA75"/>
  <c r="BR91"/>
  <c r="CA91"/>
  <c r="BR92"/>
  <c r="CA92"/>
  <c r="DE93"/>
  <c r="AX94"/>
  <c r="DZ94"/>
  <c r="CV94"/>
  <c r="AX95"/>
  <c r="DZ95"/>
  <c r="CV95"/>
  <c r="AX96"/>
  <c r="DZ96"/>
  <c r="CV96"/>
  <c r="BU97"/>
  <c r="CT97"/>
  <c r="DH97" s="1"/>
  <c r="AB76"/>
  <c r="AE76" s="1"/>
  <c r="AK76"/>
  <c r="BR76"/>
  <c r="AB77"/>
  <c r="AE77" s="1"/>
  <c r="AK77"/>
  <c r="BR77"/>
  <c r="Z78"/>
  <c r="AE78" s="1"/>
  <c r="AK78"/>
  <c r="BR78"/>
  <c r="AB79"/>
  <c r="AE79" s="1"/>
  <c r="AK79"/>
  <c r="AL79" s="1"/>
  <c r="BR79"/>
  <c r="CB79" s="1"/>
  <c r="X80"/>
  <c r="AE80" s="1"/>
  <c r="AK80"/>
  <c r="BR80"/>
  <c r="X81"/>
  <c r="AE81" s="1"/>
  <c r="AK81"/>
  <c r="BR81"/>
  <c r="CB81" s="1"/>
  <c r="Y82"/>
  <c r="Y7" s="1"/>
  <c r="AC82"/>
  <c r="CU82" s="1"/>
  <c r="BE82"/>
  <c r="DZ82"/>
  <c r="AC83"/>
  <c r="CU83" s="1"/>
  <c r="BE83"/>
  <c r="BF83" s="1"/>
  <c r="DZ83"/>
  <c r="AB84"/>
  <c r="AE84" s="1"/>
  <c r="AK84"/>
  <c r="BR84"/>
  <c r="CB84" s="1"/>
  <c r="W85"/>
  <c r="AC85"/>
  <c r="CU85" s="1"/>
  <c r="BE85"/>
  <c r="BF85" s="1"/>
  <c r="BS85" s="1"/>
  <c r="DZ85"/>
  <c r="W86"/>
  <c r="AC86"/>
  <c r="CU86" s="1"/>
  <c r="BE86"/>
  <c r="DZ86"/>
  <c r="AC87"/>
  <c r="CU87" s="1"/>
  <c r="BE87"/>
  <c r="DZ87"/>
  <c r="W88"/>
  <c r="AC88"/>
  <c r="CU88" s="1"/>
  <c r="BE88"/>
  <c r="BF88" s="1"/>
  <c r="DZ88"/>
  <c r="CU89"/>
  <c r="DE89"/>
  <c r="CV89"/>
  <c r="AL90"/>
  <c r="DF90" s="1"/>
  <c r="BR90"/>
  <c r="CB90" s="1"/>
  <c r="BE90"/>
  <c r="BF90" s="1"/>
  <c r="BS90" s="1"/>
  <c r="AY91"/>
  <c r="AZ91" s="1"/>
  <c r="DG91" s="1"/>
  <c r="AX91"/>
  <c r="AY92"/>
  <c r="AZ92" s="1"/>
  <c r="DG92" s="1"/>
  <c r="AX92"/>
  <c r="BR93"/>
  <c r="BU94"/>
  <c r="EA94"/>
  <c r="CT94"/>
  <c r="DH94" s="1"/>
  <c r="DE94"/>
  <c r="DY94"/>
  <c r="BU95"/>
  <c r="EA95"/>
  <c r="CT95"/>
  <c r="DH95" s="1"/>
  <c r="DK95" s="1"/>
  <c r="AX97"/>
  <c r="DZ97"/>
  <c r="CV97"/>
  <c r="BE76"/>
  <c r="BE77"/>
  <c r="BE78"/>
  <c r="BE79"/>
  <c r="BF79" s="1"/>
  <c r="BE80"/>
  <c r="BE81"/>
  <c r="BE84"/>
  <c r="BU98"/>
  <c r="EA98"/>
  <c r="AX101"/>
  <c r="DZ101"/>
  <c r="CV101"/>
  <c r="AX102"/>
  <c r="EA103"/>
  <c r="BU103"/>
  <c r="AX103"/>
  <c r="DE105"/>
  <c r="AH106"/>
  <c r="AC91"/>
  <c r="CU91" s="1"/>
  <c r="BE91"/>
  <c r="BF91" s="1"/>
  <c r="DZ91"/>
  <c r="W92"/>
  <c r="AC92"/>
  <c r="CU92" s="1"/>
  <c r="BE92"/>
  <c r="BF92" s="1"/>
  <c r="BS92" s="1"/>
  <c r="DZ92"/>
  <c r="AC93"/>
  <c r="CU93" s="1"/>
  <c r="BE93"/>
  <c r="AK94"/>
  <c r="BR94"/>
  <c r="AK95"/>
  <c r="AL95" s="1"/>
  <c r="BR95"/>
  <c r="X96"/>
  <c r="AE96" s="1"/>
  <c r="AK96"/>
  <c r="AL96" s="1"/>
  <c r="BR96"/>
  <c r="CB96" s="1"/>
  <c r="AK97"/>
  <c r="AL97" s="1"/>
  <c r="DE97"/>
  <c r="DK97" s="1"/>
  <c r="CA100"/>
  <c r="CA103"/>
  <c r="CA104"/>
  <c r="CA105"/>
  <c r="CA106"/>
  <c r="DF98"/>
  <c r="BR98"/>
  <c r="BU99"/>
  <c r="EA99"/>
  <c r="CT99"/>
  <c r="DH99" s="1"/>
  <c r="DK99" s="1"/>
  <c r="AX100"/>
  <c r="AY100"/>
  <c r="AZ100" s="1"/>
  <c r="DG100" s="1"/>
  <c r="I102"/>
  <c r="Q102" s="1"/>
  <c r="BX102" s="1"/>
  <c r="G102"/>
  <c r="AX104"/>
  <c r="CV104"/>
  <c r="DZ104"/>
  <c r="AX105"/>
  <c r="DZ105"/>
  <c r="CV105"/>
  <c r="BU106"/>
  <c r="EA106"/>
  <c r="EB106" s="1"/>
  <c r="CT106"/>
  <c r="DH106" s="1"/>
  <c r="DK106" s="1"/>
  <c r="AX106"/>
  <c r="DZ106"/>
  <c r="CV106"/>
  <c r="CV93"/>
  <c r="BE94"/>
  <c r="BE95"/>
  <c r="BF95" s="1"/>
  <c r="BE96"/>
  <c r="BF96" s="1"/>
  <c r="BE97"/>
  <c r="BF97" s="1"/>
  <c r="AW98"/>
  <c r="CA98" s="1"/>
  <c r="CV98"/>
  <c r="AW99"/>
  <c r="CA99" s="1"/>
  <c r="BR99"/>
  <c r="CV99"/>
  <c r="BR100"/>
  <c r="CV100"/>
  <c r="AB101"/>
  <c r="AE101" s="1"/>
  <c r="AK101"/>
  <c r="AL101" s="1"/>
  <c r="DF101" s="1"/>
  <c r="BR101"/>
  <c r="AK102"/>
  <c r="AL102" s="1"/>
  <c r="BE102"/>
  <c r="BF102" s="1"/>
  <c r="BR102"/>
  <c r="CB102" s="1"/>
  <c r="CV102"/>
  <c r="BE103"/>
  <c r="BF103" s="1"/>
  <c r="DE103"/>
  <c r="DZ103"/>
  <c r="AL104"/>
  <c r="DF104" s="1"/>
  <c r="BE104"/>
  <c r="BF104" s="1"/>
  <c r="BS104" s="1"/>
  <c r="DE104"/>
  <c r="BE105"/>
  <c r="AK106"/>
  <c r="AL106" s="1"/>
  <c r="BR106"/>
  <c r="DN106"/>
  <c r="BE98"/>
  <c r="BF98" s="1"/>
  <c r="BE99"/>
  <c r="BF99" s="1"/>
  <c r="BE100"/>
  <c r="BF100" s="1"/>
  <c r="BE101"/>
  <c r="BF101" s="1"/>
  <c r="AB104"/>
  <c r="AE104" s="1"/>
  <c r="AB105"/>
  <c r="AE105" s="1"/>
  <c r="BE106"/>
  <c r="BF106" s="1"/>
  <c r="AS101" i="9"/>
  <c r="DN19" i="12"/>
  <c r="DN33"/>
  <c r="DN38"/>
  <c r="DN44"/>
  <c r="DN49"/>
  <c r="DN50"/>
  <c r="DN61"/>
  <c r="DN82"/>
  <c r="DN84"/>
  <c r="T8"/>
  <c r="CH108"/>
  <c r="BZ108"/>
  <c r="AL108"/>
  <c r="CH107"/>
  <c r="BZ107"/>
  <c r="AL107"/>
  <c r="AK107"/>
  <c r="DO106"/>
  <c r="CZ106"/>
  <c r="CY106"/>
  <c r="S106" s="1"/>
  <c r="CS106"/>
  <c r="CR106"/>
  <c r="CQ106"/>
  <c r="BX106"/>
  <c r="CG106" s="1"/>
  <c r="CH106" s="1"/>
  <c r="BP106"/>
  <c r="BO106"/>
  <c r="BJ106"/>
  <c r="BD106"/>
  <c r="AV106"/>
  <c r="AD106" s="1"/>
  <c r="AU106"/>
  <c r="AP106"/>
  <c r="AJ106"/>
  <c r="AC106"/>
  <c r="CU106" s="1"/>
  <c r="AB106"/>
  <c r="AA106"/>
  <c r="Z106"/>
  <c r="Y106"/>
  <c r="W106"/>
  <c r="I106"/>
  <c r="H106"/>
  <c r="G106"/>
  <c r="DO105"/>
  <c r="CZ105"/>
  <c r="CY105"/>
  <c r="CS105"/>
  <c r="CR105"/>
  <c r="CQ105"/>
  <c r="BN105"/>
  <c r="BP105"/>
  <c r="BO105"/>
  <c r="BD105"/>
  <c r="AV105"/>
  <c r="AU105"/>
  <c r="AT105"/>
  <c r="AJ105"/>
  <c r="AA105"/>
  <c r="Z105"/>
  <c r="Y105"/>
  <c r="X105"/>
  <c r="W105"/>
  <c r="S105"/>
  <c r="I105"/>
  <c r="H105"/>
  <c r="G105"/>
  <c r="DO104"/>
  <c r="CZ104"/>
  <c r="CY104"/>
  <c r="CS104"/>
  <c r="CR104"/>
  <c r="CQ104"/>
  <c r="BP104"/>
  <c r="BO104"/>
  <c r="BN104"/>
  <c r="BD104"/>
  <c r="AV104"/>
  <c r="AD104" s="1"/>
  <c r="AU104"/>
  <c r="AT104"/>
  <c r="AJ104"/>
  <c r="AC104"/>
  <c r="AA104"/>
  <c r="Z104"/>
  <c r="Y104"/>
  <c r="X104"/>
  <c r="W104"/>
  <c r="S104"/>
  <c r="I104"/>
  <c r="H104"/>
  <c r="G104"/>
  <c r="DO103"/>
  <c r="CZ103"/>
  <c r="CY103"/>
  <c r="S103" s="1"/>
  <c r="CS103"/>
  <c r="CR103"/>
  <c r="CQ103"/>
  <c r="BP103"/>
  <c r="BO103"/>
  <c r="BL103"/>
  <c r="BD103"/>
  <c r="AV103"/>
  <c r="AD103" s="1"/>
  <c r="AU103"/>
  <c r="AR103"/>
  <c r="AJ103"/>
  <c r="AC103"/>
  <c r="AB103"/>
  <c r="AA103"/>
  <c r="Y103"/>
  <c r="X103"/>
  <c r="W103"/>
  <c r="I103"/>
  <c r="H103"/>
  <c r="G103"/>
  <c r="DO102"/>
  <c r="CZ102"/>
  <c r="CY102"/>
  <c r="CS102"/>
  <c r="CR102"/>
  <c r="CQ102"/>
  <c r="BP102"/>
  <c r="BO102"/>
  <c r="BD102"/>
  <c r="AV102"/>
  <c r="AU102"/>
  <c r="AC102" s="1"/>
  <c r="AJ102"/>
  <c r="AK102" s="1"/>
  <c r="AD102"/>
  <c r="AB102"/>
  <c r="AA102"/>
  <c r="Z102"/>
  <c r="Y102"/>
  <c r="X102"/>
  <c r="W102"/>
  <c r="S102"/>
  <c r="H102"/>
  <c r="P102" s="1"/>
  <c r="DO101"/>
  <c r="CZ101"/>
  <c r="CY101"/>
  <c r="CS101"/>
  <c r="CR101"/>
  <c r="CQ101"/>
  <c r="BP101"/>
  <c r="BO101"/>
  <c r="BN101"/>
  <c r="BD101"/>
  <c r="AV101"/>
  <c r="AD101" s="1"/>
  <c r="AU101"/>
  <c r="AC101" s="1"/>
  <c r="AT101"/>
  <c r="AJ101"/>
  <c r="AA101"/>
  <c r="Z101"/>
  <c r="Y101"/>
  <c r="X101"/>
  <c r="W101"/>
  <c r="S101"/>
  <c r="I101"/>
  <c r="H101"/>
  <c r="G101"/>
  <c r="DO100"/>
  <c r="CZ100"/>
  <c r="CY100"/>
  <c r="CS100"/>
  <c r="CR100"/>
  <c r="CQ100"/>
  <c r="DE100" s="1"/>
  <c r="BP100"/>
  <c r="BO100"/>
  <c r="BN100"/>
  <c r="BD100"/>
  <c r="AV100"/>
  <c r="AU100"/>
  <c r="AW100" s="1"/>
  <c r="AT100"/>
  <c r="AK100"/>
  <c r="AJ100"/>
  <c r="AD100"/>
  <c r="CV100" s="1"/>
  <c r="AB100"/>
  <c r="AA100"/>
  <c r="Z100"/>
  <c r="Y100"/>
  <c r="X100"/>
  <c r="W100"/>
  <c r="S100"/>
  <c r="I100"/>
  <c r="H100"/>
  <c r="G100"/>
  <c r="DO99"/>
  <c r="CZ99"/>
  <c r="CY99"/>
  <c r="CS99"/>
  <c r="CR99"/>
  <c r="CQ99"/>
  <c r="BP99"/>
  <c r="BO99"/>
  <c r="BN99"/>
  <c r="BD99"/>
  <c r="AV99"/>
  <c r="AD99" s="1"/>
  <c r="AU99"/>
  <c r="AT99"/>
  <c r="AJ99"/>
  <c r="AK99" s="1"/>
  <c r="AB99"/>
  <c r="AA99"/>
  <c r="Z99"/>
  <c r="Y99"/>
  <c r="X99"/>
  <c r="W99"/>
  <c r="S99"/>
  <c r="I99"/>
  <c r="H99"/>
  <c r="G99"/>
  <c r="DO98"/>
  <c r="CZ98"/>
  <c r="CY98"/>
  <c r="CS98"/>
  <c r="CR98"/>
  <c r="CQ98"/>
  <c r="DE98" s="1"/>
  <c r="BP98"/>
  <c r="BO98"/>
  <c r="BN98"/>
  <c r="BD98"/>
  <c r="AV98"/>
  <c r="AU98"/>
  <c r="AC98" s="1"/>
  <c r="CU98" s="1"/>
  <c r="AT98"/>
  <c r="AK98"/>
  <c r="AJ98"/>
  <c r="AD98"/>
  <c r="AA98"/>
  <c r="Z98"/>
  <c r="Y98"/>
  <c r="X98"/>
  <c r="W98"/>
  <c r="S98"/>
  <c r="I98"/>
  <c r="H98"/>
  <c r="G98"/>
  <c r="DO97"/>
  <c r="CZ97"/>
  <c r="CY97"/>
  <c r="S97" s="1"/>
  <c r="CS97"/>
  <c r="CR97"/>
  <c r="CQ97"/>
  <c r="BP97"/>
  <c r="BO97"/>
  <c r="BI97"/>
  <c r="BD97"/>
  <c r="AV97"/>
  <c r="AD97" s="1"/>
  <c r="AU97"/>
  <c r="AO97"/>
  <c r="W97" s="1"/>
  <c r="AJ97"/>
  <c r="AK97" s="1"/>
  <c r="AC97"/>
  <c r="AB97"/>
  <c r="AA97"/>
  <c r="Z97"/>
  <c r="Y97"/>
  <c r="X97"/>
  <c r="I97"/>
  <c r="H97"/>
  <c r="G97"/>
  <c r="DO96"/>
  <c r="CZ96"/>
  <c r="CY96"/>
  <c r="S96" s="1"/>
  <c r="CS96"/>
  <c r="CR96"/>
  <c r="CQ96"/>
  <c r="BP96"/>
  <c r="BO96"/>
  <c r="BJ96"/>
  <c r="BD96"/>
  <c r="AV96"/>
  <c r="AD96" s="1"/>
  <c r="AU96"/>
  <c r="AC96" s="1"/>
  <c r="AP96"/>
  <c r="AJ96"/>
  <c r="AK96" s="1"/>
  <c r="AB96"/>
  <c r="AA96"/>
  <c r="Z96"/>
  <c r="Y96"/>
  <c r="W96"/>
  <c r="I96"/>
  <c r="H96"/>
  <c r="G96"/>
  <c r="DO95"/>
  <c r="CZ95"/>
  <c r="CY95"/>
  <c r="S95" s="1"/>
  <c r="CS95"/>
  <c r="CR95"/>
  <c r="CQ95"/>
  <c r="BP95"/>
  <c r="BO95"/>
  <c r="BI95"/>
  <c r="BD95"/>
  <c r="AV95"/>
  <c r="AD95" s="1"/>
  <c r="AU95"/>
  <c r="AC95" s="1"/>
  <c r="AO95"/>
  <c r="W95" s="1"/>
  <c r="AJ95"/>
  <c r="AK95" s="1"/>
  <c r="AB95"/>
  <c r="AA95"/>
  <c r="Z95"/>
  <c r="Y95"/>
  <c r="X95"/>
  <c r="I95"/>
  <c r="H95"/>
  <c r="G95"/>
  <c r="DO94"/>
  <c r="CZ94"/>
  <c r="CY94"/>
  <c r="S94" s="1"/>
  <c r="CS94"/>
  <c r="CR94"/>
  <c r="CQ94"/>
  <c r="BP94"/>
  <c r="BO94"/>
  <c r="BI94"/>
  <c r="BD94"/>
  <c r="AV94"/>
  <c r="AD94" s="1"/>
  <c r="AU94"/>
  <c r="AO94"/>
  <c r="W94" s="1"/>
  <c r="AJ94"/>
  <c r="AK94" s="1"/>
  <c r="AB94"/>
  <c r="AA94"/>
  <c r="Z94"/>
  <c r="Y94"/>
  <c r="X94"/>
  <c r="I94"/>
  <c r="H94"/>
  <c r="G94"/>
  <c r="CZ93"/>
  <c r="CY93"/>
  <c r="S93" s="1"/>
  <c r="CS93"/>
  <c r="CR93"/>
  <c r="CQ93"/>
  <c r="BP93"/>
  <c r="BO93"/>
  <c r="BI93"/>
  <c r="BD93"/>
  <c r="AV93"/>
  <c r="AD93" s="1"/>
  <c r="AU93"/>
  <c r="AO93"/>
  <c r="W93" s="1"/>
  <c r="AJ93"/>
  <c r="AC93"/>
  <c r="AB93"/>
  <c r="AA93"/>
  <c r="Z93"/>
  <c r="Y93"/>
  <c r="X93"/>
  <c r="I93"/>
  <c r="H93"/>
  <c r="G93"/>
  <c r="DO92"/>
  <c r="CZ92"/>
  <c r="CY92"/>
  <c r="S92" s="1"/>
  <c r="CS92"/>
  <c r="CR92"/>
  <c r="CQ92"/>
  <c r="BP92"/>
  <c r="BO92"/>
  <c r="BI92"/>
  <c r="BD92"/>
  <c r="AV92"/>
  <c r="AD92" s="1"/>
  <c r="AU92"/>
  <c r="AO92"/>
  <c r="AJ92"/>
  <c r="AK92" s="1"/>
  <c r="AB92"/>
  <c r="AA92"/>
  <c r="Z92"/>
  <c r="Y92"/>
  <c r="X92"/>
  <c r="I92"/>
  <c r="H92"/>
  <c r="G92"/>
  <c r="DO91"/>
  <c r="CZ91"/>
  <c r="CY91"/>
  <c r="CS91"/>
  <c r="CR91"/>
  <c r="CQ91"/>
  <c r="BP91"/>
  <c r="BO91"/>
  <c r="BN91"/>
  <c r="BD91"/>
  <c r="AV91"/>
  <c r="AU91"/>
  <c r="AW91" s="1"/>
  <c r="AT91"/>
  <c r="AK91"/>
  <c r="AJ91"/>
  <c r="AD91"/>
  <c r="CV91" s="1"/>
  <c r="AB91"/>
  <c r="AA91"/>
  <c r="Z91"/>
  <c r="Y91"/>
  <c r="X91"/>
  <c r="W91"/>
  <c r="S91"/>
  <c r="I91"/>
  <c r="H91"/>
  <c r="G91"/>
  <c r="DO90"/>
  <c r="CZ90"/>
  <c r="CY90"/>
  <c r="CS90"/>
  <c r="CR90"/>
  <c r="CQ90"/>
  <c r="DE90" s="1"/>
  <c r="BP90"/>
  <c r="BO90"/>
  <c r="BQ90" s="1"/>
  <c r="BD90"/>
  <c r="AV90"/>
  <c r="AU90"/>
  <c r="AJ90"/>
  <c r="AD90"/>
  <c r="CV90" s="1"/>
  <c r="AB90"/>
  <c r="AA90"/>
  <c r="Z90"/>
  <c r="Y90"/>
  <c r="X90"/>
  <c r="W90"/>
  <c r="S90"/>
  <c r="H90"/>
  <c r="P90" s="1"/>
  <c r="DO89"/>
  <c r="CZ89"/>
  <c r="CY89"/>
  <c r="CS89"/>
  <c r="CR89"/>
  <c r="CQ89"/>
  <c r="DE89" s="1"/>
  <c r="BP89"/>
  <c r="BO89"/>
  <c r="BQ89" s="1"/>
  <c r="BD89"/>
  <c r="AV89"/>
  <c r="AD89" s="1"/>
  <c r="AU89"/>
  <c r="AJ89"/>
  <c r="AK89" s="1"/>
  <c r="AB89"/>
  <c r="AA89"/>
  <c r="Z89"/>
  <c r="Y89"/>
  <c r="X89"/>
  <c r="W89"/>
  <c r="S89"/>
  <c r="H89"/>
  <c r="P89" s="1"/>
  <c r="I89" s="1"/>
  <c r="Q89" s="1"/>
  <c r="BX89" s="1"/>
  <c r="DO88"/>
  <c r="CZ88"/>
  <c r="CY88"/>
  <c r="S88" s="1"/>
  <c r="CS88"/>
  <c r="CR88"/>
  <c r="CQ88"/>
  <c r="BP88"/>
  <c r="BO88"/>
  <c r="BI88"/>
  <c r="BD88"/>
  <c r="AV88"/>
  <c r="AD88" s="1"/>
  <c r="AU88"/>
  <c r="AO88"/>
  <c r="AJ88"/>
  <c r="AC88"/>
  <c r="AB88"/>
  <c r="AA88"/>
  <c r="Z88"/>
  <c r="Y88"/>
  <c r="X88"/>
  <c r="I88"/>
  <c r="H88"/>
  <c r="G88"/>
  <c r="DO87"/>
  <c r="CZ87"/>
  <c r="CY87"/>
  <c r="CS87"/>
  <c r="CR87"/>
  <c r="CQ87"/>
  <c r="BP87"/>
  <c r="BO87"/>
  <c r="BN87"/>
  <c r="BD87"/>
  <c r="AV87"/>
  <c r="AD87" s="1"/>
  <c r="AU87"/>
  <c r="AT87"/>
  <c r="AJ87"/>
  <c r="AC87"/>
  <c r="AA87"/>
  <c r="Z87"/>
  <c r="Y87"/>
  <c r="X87"/>
  <c r="W87"/>
  <c r="S87"/>
  <c r="I87"/>
  <c r="H87"/>
  <c r="G87"/>
  <c r="DO86"/>
  <c r="CZ86"/>
  <c r="CY86"/>
  <c r="S86" s="1"/>
  <c r="CS86"/>
  <c r="CR86"/>
  <c r="CQ86"/>
  <c r="BP86"/>
  <c r="BO86"/>
  <c r="BI86"/>
  <c r="BD86"/>
  <c r="AV86"/>
  <c r="AD86" s="1"/>
  <c r="AU86"/>
  <c r="AO86"/>
  <c r="W86" s="1"/>
  <c r="AJ86"/>
  <c r="AC86"/>
  <c r="AB86"/>
  <c r="AA86"/>
  <c r="Z86"/>
  <c r="Y86"/>
  <c r="X86"/>
  <c r="I86"/>
  <c r="H86"/>
  <c r="G86"/>
  <c r="DO85"/>
  <c r="CZ85"/>
  <c r="CY85"/>
  <c r="CS85"/>
  <c r="CR85"/>
  <c r="CQ85"/>
  <c r="BP85"/>
  <c r="BO85"/>
  <c r="BI85"/>
  <c r="BD85"/>
  <c r="AV85"/>
  <c r="AD85" s="1"/>
  <c r="AU85"/>
  <c r="AO85"/>
  <c r="AJ85"/>
  <c r="AC85"/>
  <c r="AB85"/>
  <c r="AA85"/>
  <c r="Z85"/>
  <c r="Y85"/>
  <c r="X85"/>
  <c r="I85"/>
  <c r="H85"/>
  <c r="G85"/>
  <c r="DO84"/>
  <c r="CZ84"/>
  <c r="CY84"/>
  <c r="CS84"/>
  <c r="CR84"/>
  <c r="CQ84"/>
  <c r="BP84"/>
  <c r="BO84"/>
  <c r="BN84"/>
  <c r="BD84"/>
  <c r="AV84"/>
  <c r="AD84" s="1"/>
  <c r="AU84"/>
  <c r="AT84"/>
  <c r="AJ84"/>
  <c r="AK84" s="1"/>
  <c r="AB84"/>
  <c r="AA84"/>
  <c r="Z84"/>
  <c r="Y84"/>
  <c r="X84"/>
  <c r="W84"/>
  <c r="S84"/>
  <c r="I84"/>
  <c r="H84"/>
  <c r="G84"/>
  <c r="DO83"/>
  <c r="CZ83"/>
  <c r="CY83"/>
  <c r="CS83"/>
  <c r="CR83"/>
  <c r="CQ83"/>
  <c r="BP83"/>
  <c r="BO83"/>
  <c r="BJ83"/>
  <c r="BD83"/>
  <c r="AV83"/>
  <c r="AD83" s="1"/>
  <c r="AU83"/>
  <c r="AP83"/>
  <c r="AJ83"/>
  <c r="AK83" s="1"/>
  <c r="AB83"/>
  <c r="AA83"/>
  <c r="Z83"/>
  <c r="Y83"/>
  <c r="X83"/>
  <c r="W83"/>
  <c r="S83"/>
  <c r="I83"/>
  <c r="H83"/>
  <c r="G83"/>
  <c r="DO82"/>
  <c r="CZ82"/>
  <c r="CY82"/>
  <c r="S82" s="1"/>
  <c r="CS82"/>
  <c r="CR82"/>
  <c r="CQ82"/>
  <c r="BP82"/>
  <c r="BO82"/>
  <c r="BK82"/>
  <c r="BD82"/>
  <c r="AV82"/>
  <c r="AD82" s="1"/>
  <c r="AU82"/>
  <c r="AQ82"/>
  <c r="AJ82"/>
  <c r="AK82" s="1"/>
  <c r="AB82"/>
  <c r="AA82"/>
  <c r="Z82"/>
  <c r="X82"/>
  <c r="W82"/>
  <c r="I82"/>
  <c r="H82"/>
  <c r="G82"/>
  <c r="DO81"/>
  <c r="CZ81"/>
  <c r="CY81"/>
  <c r="CS81"/>
  <c r="CR81"/>
  <c r="CQ81"/>
  <c r="BP81"/>
  <c r="BO81"/>
  <c r="BJ81"/>
  <c r="BD81"/>
  <c r="AV81"/>
  <c r="AD81" s="1"/>
  <c r="AU81"/>
  <c r="AP81"/>
  <c r="AJ81"/>
  <c r="AK81" s="1"/>
  <c r="AB81"/>
  <c r="AA81"/>
  <c r="Z81"/>
  <c r="Y81"/>
  <c r="X81"/>
  <c r="W81"/>
  <c r="S81"/>
  <c r="I81"/>
  <c r="H81"/>
  <c r="G81"/>
  <c r="DO80"/>
  <c r="CZ80"/>
  <c r="CY80"/>
  <c r="S80" s="1"/>
  <c r="CS80"/>
  <c r="CR80"/>
  <c r="CQ80"/>
  <c r="BP80"/>
  <c r="BO80"/>
  <c r="BJ80"/>
  <c r="BD80"/>
  <c r="AV80"/>
  <c r="AD80" s="1"/>
  <c r="AU80"/>
  <c r="AP80"/>
  <c r="X80" s="1"/>
  <c r="AJ80"/>
  <c r="AK80" s="1"/>
  <c r="AB80"/>
  <c r="AA80"/>
  <c r="Z80"/>
  <c r="Y80"/>
  <c r="W80"/>
  <c r="I80"/>
  <c r="H80"/>
  <c r="G80"/>
  <c r="DO79"/>
  <c r="CZ79"/>
  <c r="CY79"/>
  <c r="S79" s="1"/>
  <c r="CS79"/>
  <c r="CR79"/>
  <c r="CQ79"/>
  <c r="BP79"/>
  <c r="BO79"/>
  <c r="BN79"/>
  <c r="BD79"/>
  <c r="AV79"/>
  <c r="AD79" s="1"/>
  <c r="AU79"/>
  <c r="AT79"/>
  <c r="AJ79"/>
  <c r="AC79"/>
  <c r="AA79"/>
  <c r="Z79"/>
  <c r="Y79"/>
  <c r="X79"/>
  <c r="W79"/>
  <c r="I79"/>
  <c r="H79"/>
  <c r="G79"/>
  <c r="DO78"/>
  <c r="CZ78"/>
  <c r="CY78"/>
  <c r="CS78"/>
  <c r="CR78"/>
  <c r="CQ78"/>
  <c r="BX78"/>
  <c r="CG78" s="1"/>
  <c r="CH78" s="1"/>
  <c r="BP78"/>
  <c r="BO78"/>
  <c r="BL78"/>
  <c r="BD78"/>
  <c r="AV78"/>
  <c r="AD78" s="1"/>
  <c r="AU78"/>
  <c r="AR78"/>
  <c r="AW78" s="1"/>
  <c r="AJ78"/>
  <c r="AC78"/>
  <c r="AB78"/>
  <c r="AA78"/>
  <c r="Y78"/>
  <c r="X78"/>
  <c r="W78"/>
  <c r="S78"/>
  <c r="I78"/>
  <c r="H78"/>
  <c r="G78"/>
  <c r="DO77"/>
  <c r="CZ77"/>
  <c r="CY77"/>
  <c r="CS77"/>
  <c r="CR77"/>
  <c r="CQ77"/>
  <c r="BP77"/>
  <c r="BO77"/>
  <c r="BN77"/>
  <c r="BD77"/>
  <c r="AV77"/>
  <c r="AD77" s="1"/>
  <c r="AU77"/>
  <c r="AT77"/>
  <c r="AJ77"/>
  <c r="AC77"/>
  <c r="AA77"/>
  <c r="Z77"/>
  <c r="Y77"/>
  <c r="X77"/>
  <c r="W77"/>
  <c r="S77"/>
  <c r="I77"/>
  <c r="H77"/>
  <c r="G77"/>
  <c r="DO76"/>
  <c r="CZ76"/>
  <c r="CY76"/>
  <c r="S76" s="1"/>
  <c r="CS76"/>
  <c r="CR76"/>
  <c r="CQ76"/>
  <c r="BP76"/>
  <c r="BO76"/>
  <c r="BN76"/>
  <c r="BD76"/>
  <c r="AV76"/>
  <c r="AD76" s="1"/>
  <c r="AU76"/>
  <c r="AT76"/>
  <c r="AW76" s="1"/>
  <c r="AJ76"/>
  <c r="AC76"/>
  <c r="AA76"/>
  <c r="Z76"/>
  <c r="Y76"/>
  <c r="X76"/>
  <c r="W76"/>
  <c r="I76"/>
  <c r="H76"/>
  <c r="G76"/>
  <c r="DO75"/>
  <c r="CZ75"/>
  <c r="CY75"/>
  <c r="S75" s="1"/>
  <c r="CS75"/>
  <c r="CR75"/>
  <c r="CQ75"/>
  <c r="BP75"/>
  <c r="BO75"/>
  <c r="BN75"/>
  <c r="BD75"/>
  <c r="AV75"/>
  <c r="AD75" s="1"/>
  <c r="AU75"/>
  <c r="AT75"/>
  <c r="AJ75"/>
  <c r="AC75"/>
  <c r="AA75"/>
  <c r="Z75"/>
  <c r="Y75"/>
  <c r="X75"/>
  <c r="W75"/>
  <c r="I75"/>
  <c r="H75"/>
  <c r="G75"/>
  <c r="DO74"/>
  <c r="CZ74"/>
  <c r="CY74"/>
  <c r="CS74"/>
  <c r="CR74"/>
  <c r="CQ74"/>
  <c r="BP74"/>
  <c r="BO74"/>
  <c r="BJ74"/>
  <c r="BD74"/>
  <c r="AV74"/>
  <c r="AD74" s="1"/>
  <c r="AU74"/>
  <c r="AP74"/>
  <c r="AJ74"/>
  <c r="AK74" s="1"/>
  <c r="AB74"/>
  <c r="AA74"/>
  <c r="Z74"/>
  <c r="Y74"/>
  <c r="W74"/>
  <c r="S74"/>
  <c r="I74"/>
  <c r="H74"/>
  <c r="G74"/>
  <c r="DO73"/>
  <c r="CZ73"/>
  <c r="CY73"/>
  <c r="S73" s="1"/>
  <c r="CS73"/>
  <c r="CR73"/>
  <c r="CQ73"/>
  <c r="BP73"/>
  <c r="BO73"/>
  <c r="BN73"/>
  <c r="BD73"/>
  <c r="AV73"/>
  <c r="AU73"/>
  <c r="AT73"/>
  <c r="AJ73"/>
  <c r="AK73" s="1"/>
  <c r="AC73"/>
  <c r="AA73"/>
  <c r="Z73"/>
  <c r="Y73"/>
  <c r="X73"/>
  <c r="W73"/>
  <c r="I73"/>
  <c r="H73"/>
  <c r="G73"/>
  <c r="DO72"/>
  <c r="CZ72"/>
  <c r="CY72"/>
  <c r="CS72"/>
  <c r="CR72"/>
  <c r="CQ72"/>
  <c r="BP72"/>
  <c r="BO72"/>
  <c r="BN72"/>
  <c r="BD72"/>
  <c r="AV72"/>
  <c r="AD72" s="1"/>
  <c r="AU72"/>
  <c r="AT72"/>
  <c r="AJ72"/>
  <c r="AK72" s="1"/>
  <c r="AA72"/>
  <c r="Z72"/>
  <c r="Y72"/>
  <c r="X72"/>
  <c r="W72"/>
  <c r="S72"/>
  <c r="I72"/>
  <c r="H72"/>
  <c r="G72"/>
  <c r="DO71"/>
  <c r="CZ71"/>
  <c r="CY71"/>
  <c r="S71" s="1"/>
  <c r="CS71"/>
  <c r="CR71"/>
  <c r="CQ71"/>
  <c r="BP71"/>
  <c r="BO71"/>
  <c r="BJ71"/>
  <c r="BD71"/>
  <c r="AV71"/>
  <c r="AD71" s="1"/>
  <c r="AU71"/>
  <c r="AP71"/>
  <c r="AJ71"/>
  <c r="AC71"/>
  <c r="AB71"/>
  <c r="AA71"/>
  <c r="Z71"/>
  <c r="Y71"/>
  <c r="W71"/>
  <c r="I71"/>
  <c r="H71"/>
  <c r="G71"/>
  <c r="DO70"/>
  <c r="CZ70"/>
  <c r="CY70"/>
  <c r="S70" s="1"/>
  <c r="CS70"/>
  <c r="CR70"/>
  <c r="CQ70"/>
  <c r="BP70"/>
  <c r="BO70"/>
  <c r="BJ70"/>
  <c r="BD70"/>
  <c r="AV70"/>
  <c r="AD70" s="1"/>
  <c r="AU70"/>
  <c r="AP70"/>
  <c r="AJ70"/>
  <c r="AC70"/>
  <c r="AB70"/>
  <c r="AA70"/>
  <c r="Z70"/>
  <c r="Y70"/>
  <c r="W70"/>
  <c r="I70"/>
  <c r="H70"/>
  <c r="G70"/>
  <c r="DO69"/>
  <c r="CZ69"/>
  <c r="CY69"/>
  <c r="S69" s="1"/>
  <c r="CS69"/>
  <c r="CR69"/>
  <c r="CQ69"/>
  <c r="BP69"/>
  <c r="BO69"/>
  <c r="BN69"/>
  <c r="BD69"/>
  <c r="AV69"/>
  <c r="AU69"/>
  <c r="AT69"/>
  <c r="AB69" s="1"/>
  <c r="AJ69"/>
  <c r="AK69" s="1"/>
  <c r="AD69"/>
  <c r="DZ69" s="1"/>
  <c r="AA69"/>
  <c r="Z69"/>
  <c r="Y69"/>
  <c r="X69"/>
  <c r="W69"/>
  <c r="I69"/>
  <c r="H69"/>
  <c r="G69"/>
  <c r="DO68"/>
  <c r="CZ68"/>
  <c r="CY68"/>
  <c r="CS68"/>
  <c r="CR68"/>
  <c r="CQ68"/>
  <c r="BP68"/>
  <c r="BO68"/>
  <c r="BN68"/>
  <c r="BD68"/>
  <c r="AV68"/>
  <c r="AD68" s="1"/>
  <c r="AU68"/>
  <c r="AT68"/>
  <c r="AJ68"/>
  <c r="AK68" s="1"/>
  <c r="AB68"/>
  <c r="AA68"/>
  <c r="Z68"/>
  <c r="Y68"/>
  <c r="X68"/>
  <c r="W68"/>
  <c r="S68"/>
  <c r="I68"/>
  <c r="H68"/>
  <c r="G68"/>
  <c r="DO67"/>
  <c r="CZ67"/>
  <c r="CY67"/>
  <c r="CS67"/>
  <c r="CR67"/>
  <c r="CQ67"/>
  <c r="BP67"/>
  <c r="BO67"/>
  <c r="BJ67"/>
  <c r="BD67"/>
  <c r="AV67"/>
  <c r="AD67" s="1"/>
  <c r="AU67"/>
  <c r="AP67"/>
  <c r="AJ67"/>
  <c r="AK67" s="1"/>
  <c r="AB67"/>
  <c r="AA67"/>
  <c r="Z67"/>
  <c r="Y67"/>
  <c r="X67"/>
  <c r="W67"/>
  <c r="S67"/>
  <c r="I67"/>
  <c r="H67"/>
  <c r="G67"/>
  <c r="DO66"/>
  <c r="CZ66"/>
  <c r="CY66"/>
  <c r="CS66"/>
  <c r="CR66"/>
  <c r="CQ66"/>
  <c r="BP66"/>
  <c r="BO66"/>
  <c r="BN66"/>
  <c r="BD66"/>
  <c r="AV66"/>
  <c r="AD66" s="1"/>
  <c r="AU66"/>
  <c r="AT66"/>
  <c r="AJ66"/>
  <c r="AK66" s="1"/>
  <c r="AB66"/>
  <c r="AA66"/>
  <c r="Z66"/>
  <c r="Y66"/>
  <c r="X66"/>
  <c r="W66"/>
  <c r="S66"/>
  <c r="I66"/>
  <c r="H66"/>
  <c r="G66"/>
  <c r="DO65"/>
  <c r="CZ65"/>
  <c r="CY65"/>
  <c r="CS65"/>
  <c r="CR65"/>
  <c r="CQ65"/>
  <c r="BP65"/>
  <c r="BO65"/>
  <c r="BN65"/>
  <c r="BD65"/>
  <c r="AV65"/>
  <c r="AD65" s="1"/>
  <c r="AU65"/>
  <c r="AT65"/>
  <c r="AJ65"/>
  <c r="AK65" s="1"/>
  <c r="AB65"/>
  <c r="AA65"/>
  <c r="Z65"/>
  <c r="Y65"/>
  <c r="X65"/>
  <c r="W65"/>
  <c r="S65"/>
  <c r="I65"/>
  <c r="H65"/>
  <c r="G65"/>
  <c r="DO64"/>
  <c r="CZ64"/>
  <c r="CY64"/>
  <c r="S64" s="1"/>
  <c r="CS64"/>
  <c r="CR64"/>
  <c r="CQ64"/>
  <c r="BP64"/>
  <c r="BO64"/>
  <c r="BN64"/>
  <c r="BD64"/>
  <c r="AV64"/>
  <c r="AD64" s="1"/>
  <c r="AU64"/>
  <c r="AT64"/>
  <c r="AJ64"/>
  <c r="AC64"/>
  <c r="AA64"/>
  <c r="Z64"/>
  <c r="Y64"/>
  <c r="X64"/>
  <c r="W64"/>
  <c r="I64"/>
  <c r="H64"/>
  <c r="G64"/>
  <c r="DO63"/>
  <c r="CZ63"/>
  <c r="CY63"/>
  <c r="S63" s="1"/>
  <c r="CS63"/>
  <c r="CR63"/>
  <c r="CQ63"/>
  <c r="BP63"/>
  <c r="BO63"/>
  <c r="BK63"/>
  <c r="BD63"/>
  <c r="AV63"/>
  <c r="AD63" s="1"/>
  <c r="AU63"/>
  <c r="AQ63"/>
  <c r="Y63" s="1"/>
  <c r="AJ63"/>
  <c r="AC63"/>
  <c r="AB63"/>
  <c r="AA63"/>
  <c r="Z63"/>
  <c r="X63"/>
  <c r="W63"/>
  <c r="I63"/>
  <c r="H63"/>
  <c r="G63"/>
  <c r="DO62"/>
  <c r="CZ62"/>
  <c r="CY62"/>
  <c r="S62" s="1"/>
  <c r="CS62"/>
  <c r="CR62"/>
  <c r="CQ62"/>
  <c r="BP62"/>
  <c r="BO62"/>
  <c r="BN62"/>
  <c r="BD62"/>
  <c r="AV62"/>
  <c r="AD62" s="1"/>
  <c r="AU62"/>
  <c r="AT62"/>
  <c r="AJ62"/>
  <c r="AC62"/>
  <c r="AA62"/>
  <c r="Z62"/>
  <c r="Y62"/>
  <c r="X62"/>
  <c r="W62"/>
  <c r="I62"/>
  <c r="H62"/>
  <c r="G62"/>
  <c r="DO61"/>
  <c r="CZ61"/>
  <c r="CY61"/>
  <c r="S61" s="1"/>
  <c r="CS61"/>
  <c r="CR61"/>
  <c r="CQ61"/>
  <c r="BP61"/>
  <c r="BO61"/>
  <c r="BD61"/>
  <c r="AV61"/>
  <c r="AD61" s="1"/>
  <c r="AU61"/>
  <c r="AJ61"/>
  <c r="AG61"/>
  <c r="AC61"/>
  <c r="AB61"/>
  <c r="AA61"/>
  <c r="Z61"/>
  <c r="Y61"/>
  <c r="W61"/>
  <c r="I61"/>
  <c r="H61"/>
  <c r="G61"/>
  <c r="DO60"/>
  <c r="CZ60"/>
  <c r="CY60"/>
  <c r="CS60"/>
  <c r="CR60"/>
  <c r="CQ60"/>
  <c r="BP60"/>
  <c r="BO60"/>
  <c r="BL60"/>
  <c r="BD60"/>
  <c r="AV60"/>
  <c r="AU60"/>
  <c r="AR60"/>
  <c r="AJ60"/>
  <c r="AD60"/>
  <c r="AC60"/>
  <c r="AB60"/>
  <c r="AA60"/>
  <c r="Z60"/>
  <c r="Y60"/>
  <c r="X60"/>
  <c r="W60"/>
  <c r="S60"/>
  <c r="I60"/>
  <c r="H60"/>
  <c r="G60"/>
  <c r="DO59"/>
  <c r="CZ59"/>
  <c r="CY59"/>
  <c r="S59" s="1"/>
  <c r="CS59"/>
  <c r="CR59"/>
  <c r="CQ59"/>
  <c r="BP59"/>
  <c r="BO59"/>
  <c r="BJ59"/>
  <c r="BD59"/>
  <c r="AV59"/>
  <c r="AD59" s="1"/>
  <c r="AU59"/>
  <c r="AC59" s="1"/>
  <c r="AP59"/>
  <c r="AJ59"/>
  <c r="AK59" s="1"/>
  <c r="AB59"/>
  <c r="AA59"/>
  <c r="Z59"/>
  <c r="Y59"/>
  <c r="W59"/>
  <c r="I59"/>
  <c r="H59"/>
  <c r="G59"/>
  <c r="DO58"/>
  <c r="CZ58"/>
  <c r="CY58"/>
  <c r="CS58"/>
  <c r="CR58"/>
  <c r="CQ58"/>
  <c r="BP58"/>
  <c r="BO58"/>
  <c r="BN58"/>
  <c r="BD58"/>
  <c r="AV58"/>
  <c r="AD58" s="1"/>
  <c r="AU58"/>
  <c r="AT58"/>
  <c r="AJ58"/>
  <c r="AA58"/>
  <c r="Z58"/>
  <c r="Y58"/>
  <c r="X58"/>
  <c r="W58"/>
  <c r="S58"/>
  <c r="I58"/>
  <c r="H58"/>
  <c r="G58"/>
  <c r="DO57"/>
  <c r="CZ57"/>
  <c r="CY57"/>
  <c r="S57" s="1"/>
  <c r="CS57"/>
  <c r="CR57"/>
  <c r="CQ57"/>
  <c r="BP57"/>
  <c r="BO57"/>
  <c r="BJ57"/>
  <c r="BD57"/>
  <c r="AV57"/>
  <c r="AD57" s="1"/>
  <c r="AU57"/>
  <c r="AC57" s="1"/>
  <c r="AP57"/>
  <c r="AJ57"/>
  <c r="AK57" s="1"/>
  <c r="AB57"/>
  <c r="AA57"/>
  <c r="Z57"/>
  <c r="Y57"/>
  <c r="W57"/>
  <c r="I57"/>
  <c r="H57"/>
  <c r="G57"/>
  <c r="DO56"/>
  <c r="CZ56"/>
  <c r="CY56"/>
  <c r="CS56"/>
  <c r="CR56"/>
  <c r="CQ56"/>
  <c r="BP56"/>
  <c r="BO56"/>
  <c r="BJ56"/>
  <c r="BD56"/>
  <c r="AV56"/>
  <c r="AD56" s="1"/>
  <c r="AU56"/>
  <c r="AP56"/>
  <c r="AJ56"/>
  <c r="AB56"/>
  <c r="AA56"/>
  <c r="Z56"/>
  <c r="Y56"/>
  <c r="W56"/>
  <c r="S56"/>
  <c r="I56"/>
  <c r="H56"/>
  <c r="G56"/>
  <c r="DO55"/>
  <c r="CZ55"/>
  <c r="CY55"/>
  <c r="S55" s="1"/>
  <c r="CS55"/>
  <c r="CR55"/>
  <c r="CQ55"/>
  <c r="BP55"/>
  <c r="BO55"/>
  <c r="BN55"/>
  <c r="BD55"/>
  <c r="AV55"/>
  <c r="AD55" s="1"/>
  <c r="AU55"/>
  <c r="AC55" s="1"/>
  <c r="AT55"/>
  <c r="AJ55"/>
  <c r="AK55" s="1"/>
  <c r="AA55"/>
  <c r="Z55"/>
  <c r="Y55"/>
  <c r="X55"/>
  <c r="W55"/>
  <c r="I55"/>
  <c r="H55"/>
  <c r="G55"/>
  <c r="DO54"/>
  <c r="CZ54"/>
  <c r="CY54"/>
  <c r="S54" s="1"/>
  <c r="CS54"/>
  <c r="CR54"/>
  <c r="CQ54"/>
  <c r="BP54"/>
  <c r="BO54"/>
  <c r="BL54"/>
  <c r="BD54"/>
  <c r="AV54"/>
  <c r="AD54" s="1"/>
  <c r="DZ54" s="1"/>
  <c r="AU54"/>
  <c r="AC54" s="1"/>
  <c r="AR54"/>
  <c r="AJ54"/>
  <c r="AK54" s="1"/>
  <c r="AB54"/>
  <c r="AA54"/>
  <c r="Z54"/>
  <c r="Y54"/>
  <c r="X54"/>
  <c r="W54"/>
  <c r="I54"/>
  <c r="H54"/>
  <c r="G54"/>
  <c r="DO53"/>
  <c r="CZ53"/>
  <c r="CY53"/>
  <c r="CS53"/>
  <c r="CR53"/>
  <c r="CQ53"/>
  <c r="BP53"/>
  <c r="BO53"/>
  <c r="BN53"/>
  <c r="BD53"/>
  <c r="AV53"/>
  <c r="AD53" s="1"/>
  <c r="DZ53" s="1"/>
  <c r="AU53"/>
  <c r="AC53" s="1"/>
  <c r="AT53"/>
  <c r="AJ53"/>
  <c r="AK53" s="1"/>
  <c r="AA53"/>
  <c r="Z53"/>
  <c r="Y53"/>
  <c r="X53"/>
  <c r="W53"/>
  <c r="S53"/>
  <c r="I53"/>
  <c r="H53"/>
  <c r="G53"/>
  <c r="DO52"/>
  <c r="CZ52"/>
  <c r="CY52"/>
  <c r="CS52"/>
  <c r="CR52"/>
  <c r="CQ52"/>
  <c r="BP52"/>
  <c r="BO52"/>
  <c r="BL52"/>
  <c r="BD52"/>
  <c r="AV52"/>
  <c r="AU52"/>
  <c r="AC52" s="1"/>
  <c r="AR52"/>
  <c r="Z52" s="1"/>
  <c r="AJ52"/>
  <c r="AD52"/>
  <c r="DZ52" s="1"/>
  <c r="AB52"/>
  <c r="AA52"/>
  <c r="Y52"/>
  <c r="X52"/>
  <c r="W52"/>
  <c r="S52"/>
  <c r="I52"/>
  <c r="H52"/>
  <c r="G52"/>
  <c r="DO51"/>
  <c r="CZ51"/>
  <c r="CY51"/>
  <c r="S51" s="1"/>
  <c r="CS51"/>
  <c r="CR51"/>
  <c r="CQ51"/>
  <c r="BP51"/>
  <c r="BO51"/>
  <c r="BJ51"/>
  <c r="BD51"/>
  <c r="AV51"/>
  <c r="AU51"/>
  <c r="AC51" s="1"/>
  <c r="AP51"/>
  <c r="AJ51"/>
  <c r="AK51" s="1"/>
  <c r="AD51"/>
  <c r="DZ51" s="1"/>
  <c r="AB51"/>
  <c r="AA51"/>
  <c r="Z51"/>
  <c r="Y51"/>
  <c r="W51"/>
  <c r="I51"/>
  <c r="H51"/>
  <c r="G51"/>
  <c r="DO50"/>
  <c r="CZ50"/>
  <c r="CY50"/>
  <c r="CS50"/>
  <c r="CR50"/>
  <c r="CQ50"/>
  <c r="BP50"/>
  <c r="BO50"/>
  <c r="BL50"/>
  <c r="BD50"/>
  <c r="AV50"/>
  <c r="AU50"/>
  <c r="AC50" s="1"/>
  <c r="CU50" s="1"/>
  <c r="AR50"/>
  <c r="AK50"/>
  <c r="AJ50"/>
  <c r="AD50"/>
  <c r="DZ50" s="1"/>
  <c r="AB50"/>
  <c r="AA50"/>
  <c r="Z50"/>
  <c r="Y50"/>
  <c r="X50"/>
  <c r="W50"/>
  <c r="AG50"/>
  <c r="AH50" s="1"/>
  <c r="S50"/>
  <c r="I50"/>
  <c r="H50"/>
  <c r="G50"/>
  <c r="DO49"/>
  <c r="CZ49"/>
  <c r="CY49"/>
  <c r="CS49"/>
  <c r="CR49"/>
  <c r="CQ49"/>
  <c r="BP49"/>
  <c r="BO49"/>
  <c r="BN49"/>
  <c r="BD49"/>
  <c r="AV49"/>
  <c r="AD49" s="1"/>
  <c r="AU49"/>
  <c r="AT49"/>
  <c r="AJ49"/>
  <c r="AK49" s="1"/>
  <c r="AG49"/>
  <c r="AA49"/>
  <c r="Z49"/>
  <c r="Y49"/>
  <c r="X49"/>
  <c r="W49"/>
  <c r="S49"/>
  <c r="I49"/>
  <c r="H49"/>
  <c r="G49"/>
  <c r="DO48"/>
  <c r="CZ48"/>
  <c r="CY48"/>
  <c r="S48" s="1"/>
  <c r="CS48"/>
  <c r="CR48"/>
  <c r="CQ48"/>
  <c r="BP48"/>
  <c r="BO48"/>
  <c r="BJ48"/>
  <c r="BD48"/>
  <c r="AV48"/>
  <c r="AD48" s="1"/>
  <c r="CV48" s="1"/>
  <c r="AU48"/>
  <c r="AP48"/>
  <c r="AJ48"/>
  <c r="AK48" s="1"/>
  <c r="AC48"/>
  <c r="AB48"/>
  <c r="AA48"/>
  <c r="Z48"/>
  <c r="Y48"/>
  <c r="W48"/>
  <c r="I48"/>
  <c r="H48"/>
  <c r="G48"/>
  <c r="DO47"/>
  <c r="CZ47"/>
  <c r="CY47"/>
  <c r="CS47"/>
  <c r="CR47"/>
  <c r="CQ47"/>
  <c r="BP47"/>
  <c r="BO47"/>
  <c r="BJ47"/>
  <c r="BD47"/>
  <c r="AV47"/>
  <c r="AD47" s="1"/>
  <c r="AU47"/>
  <c r="AP47"/>
  <c r="AJ47"/>
  <c r="AK47" s="1"/>
  <c r="AB47"/>
  <c r="AA47"/>
  <c r="Z47"/>
  <c r="Y47"/>
  <c r="W47"/>
  <c r="S47"/>
  <c r="I47"/>
  <c r="H47"/>
  <c r="G47"/>
  <c r="DO46"/>
  <c r="CZ46"/>
  <c r="CY46"/>
  <c r="CS46"/>
  <c r="CR46"/>
  <c r="CQ46"/>
  <c r="BP46"/>
  <c r="BO46"/>
  <c r="BM46"/>
  <c r="BD46"/>
  <c r="AV46"/>
  <c r="AD46" s="1"/>
  <c r="AU46"/>
  <c r="AS46"/>
  <c r="AJ46"/>
  <c r="AK46" s="1"/>
  <c r="AB46"/>
  <c r="Z46"/>
  <c r="Y46"/>
  <c r="X46"/>
  <c r="W46"/>
  <c r="S46"/>
  <c r="I46"/>
  <c r="H46"/>
  <c r="G46"/>
  <c r="DO45"/>
  <c r="CZ45"/>
  <c r="CY45"/>
  <c r="S45" s="1"/>
  <c r="CS45"/>
  <c r="CR45"/>
  <c r="CQ45"/>
  <c r="BP45"/>
  <c r="BO45"/>
  <c r="BJ45"/>
  <c r="BD45"/>
  <c r="AV45"/>
  <c r="AD45" s="1"/>
  <c r="AU45"/>
  <c r="AP45"/>
  <c r="AJ45"/>
  <c r="AK45" s="1"/>
  <c r="AC45"/>
  <c r="AB45"/>
  <c r="AA45"/>
  <c r="Z45"/>
  <c r="Y45"/>
  <c r="W45"/>
  <c r="I45"/>
  <c r="H45"/>
  <c r="G45"/>
  <c r="DO44"/>
  <c r="CZ44"/>
  <c r="CY44"/>
  <c r="S44" s="1"/>
  <c r="CS44"/>
  <c r="CR44"/>
  <c r="CQ44"/>
  <c r="BP44"/>
  <c r="BO44"/>
  <c r="BJ44"/>
  <c r="BD44"/>
  <c r="AV44"/>
  <c r="AD44" s="1"/>
  <c r="AU44"/>
  <c r="AP44"/>
  <c r="AJ44"/>
  <c r="AK44" s="1"/>
  <c r="AG44"/>
  <c r="AC44"/>
  <c r="AB44"/>
  <c r="AA44"/>
  <c r="Z44"/>
  <c r="Y44"/>
  <c r="W44"/>
  <c r="I44"/>
  <c r="H44"/>
  <c r="G44"/>
  <c r="DO43"/>
  <c r="CZ43"/>
  <c r="CY43"/>
  <c r="CS43"/>
  <c r="CR43"/>
  <c r="CQ43"/>
  <c r="BP43"/>
  <c r="BO43"/>
  <c r="BJ43"/>
  <c r="BD43"/>
  <c r="AV43"/>
  <c r="AD43" s="1"/>
  <c r="DZ43" s="1"/>
  <c r="AU43"/>
  <c r="AC43" s="1"/>
  <c r="AP43"/>
  <c r="AJ43"/>
  <c r="AK43" s="1"/>
  <c r="AB43"/>
  <c r="AA43"/>
  <c r="Z43"/>
  <c r="Y43"/>
  <c r="W43"/>
  <c r="S43"/>
  <c r="I43"/>
  <c r="H43"/>
  <c r="G43"/>
  <c r="DO42"/>
  <c r="CZ42"/>
  <c r="CY42"/>
  <c r="S42" s="1"/>
  <c r="CS42"/>
  <c r="CR42"/>
  <c r="CQ42"/>
  <c r="BP42"/>
  <c r="BO42"/>
  <c r="BN42"/>
  <c r="BD42"/>
  <c r="AV42"/>
  <c r="AD42" s="1"/>
  <c r="DZ42" s="1"/>
  <c r="AU42"/>
  <c r="AC42" s="1"/>
  <c r="AT42"/>
  <c r="AJ42"/>
  <c r="AK42" s="1"/>
  <c r="AB42"/>
  <c r="AA42"/>
  <c r="Z42"/>
  <c r="Y42"/>
  <c r="X42"/>
  <c r="W42"/>
  <c r="I42"/>
  <c r="H42"/>
  <c r="G42"/>
  <c r="DO41"/>
  <c r="CZ41"/>
  <c r="CY41"/>
  <c r="CS41"/>
  <c r="CR41"/>
  <c r="CQ41"/>
  <c r="BP41"/>
  <c r="BO41"/>
  <c r="BN41"/>
  <c r="BD41"/>
  <c r="AV41"/>
  <c r="AD41" s="1"/>
  <c r="DZ41" s="1"/>
  <c r="AU41"/>
  <c r="AC41" s="1"/>
  <c r="AT41"/>
  <c r="AJ41"/>
  <c r="AK41" s="1"/>
  <c r="AA41"/>
  <c r="Z41"/>
  <c r="Y41"/>
  <c r="X41"/>
  <c r="W41"/>
  <c r="S41"/>
  <c r="I41"/>
  <c r="H41"/>
  <c r="G41"/>
  <c r="DO40"/>
  <c r="CZ40"/>
  <c r="CY40"/>
  <c r="S40" s="1"/>
  <c r="CS40"/>
  <c r="CR40"/>
  <c r="CQ40"/>
  <c r="BP40"/>
  <c r="BO40"/>
  <c r="BN40"/>
  <c r="BD40"/>
  <c r="AV40"/>
  <c r="AD40" s="1"/>
  <c r="AU40"/>
  <c r="AC40" s="1"/>
  <c r="AT40"/>
  <c r="AJ40"/>
  <c r="AK40" s="1"/>
  <c r="AB40"/>
  <c r="AA40"/>
  <c r="Z40"/>
  <c r="Y40"/>
  <c r="X40"/>
  <c r="W40"/>
  <c r="I40"/>
  <c r="H40"/>
  <c r="G40"/>
  <c r="DO39"/>
  <c r="CZ39"/>
  <c r="CY39"/>
  <c r="S39" s="1"/>
  <c r="CS39"/>
  <c r="CR39"/>
  <c r="CQ39"/>
  <c r="BP39"/>
  <c r="BO39"/>
  <c r="BN39"/>
  <c r="BD39"/>
  <c r="AV39"/>
  <c r="AU39"/>
  <c r="AC39" s="1"/>
  <c r="AT39"/>
  <c r="AJ39"/>
  <c r="AK39" s="1"/>
  <c r="AD39"/>
  <c r="DZ39" s="1"/>
  <c r="AA39"/>
  <c r="Z39"/>
  <c r="Y39"/>
  <c r="X39"/>
  <c r="W39"/>
  <c r="I39"/>
  <c r="H39"/>
  <c r="G39"/>
  <c r="DO38"/>
  <c r="CZ38"/>
  <c r="CY38"/>
  <c r="S38" s="1"/>
  <c r="CS38"/>
  <c r="CR38"/>
  <c r="CQ38"/>
  <c r="BP38"/>
  <c r="BO38"/>
  <c r="BJ38"/>
  <c r="BD38"/>
  <c r="AV38"/>
  <c r="AD38" s="1"/>
  <c r="DZ38" s="1"/>
  <c r="AU38"/>
  <c r="AC38" s="1"/>
  <c r="AP38"/>
  <c r="AJ38"/>
  <c r="AK38" s="1"/>
  <c r="AB38"/>
  <c r="AA38"/>
  <c r="Z38"/>
  <c r="Y38"/>
  <c r="X38"/>
  <c r="W38"/>
  <c r="AG38"/>
  <c r="AH38" s="1"/>
  <c r="I38"/>
  <c r="H38"/>
  <c r="G38"/>
  <c r="DO37"/>
  <c r="CZ37"/>
  <c r="CY37"/>
  <c r="S37" s="1"/>
  <c r="CS37"/>
  <c r="CR37"/>
  <c r="CQ37"/>
  <c r="BP37"/>
  <c r="BO37"/>
  <c r="BN37"/>
  <c r="BD37"/>
  <c r="AV37"/>
  <c r="AU37"/>
  <c r="AC37" s="1"/>
  <c r="AT37"/>
  <c r="AB37" s="1"/>
  <c r="AJ37"/>
  <c r="AK37" s="1"/>
  <c r="AA37"/>
  <c r="Z37"/>
  <c r="Y37"/>
  <c r="X37"/>
  <c r="W37"/>
  <c r="I37"/>
  <c r="H37"/>
  <c r="G37"/>
  <c r="DO36"/>
  <c r="CZ36"/>
  <c r="CY36"/>
  <c r="S36" s="1"/>
  <c r="CS36"/>
  <c r="CR36"/>
  <c r="CQ36"/>
  <c r="BP36"/>
  <c r="BO36"/>
  <c r="BJ36"/>
  <c r="BD36"/>
  <c r="AV36"/>
  <c r="AD36" s="1"/>
  <c r="DZ36" s="1"/>
  <c r="AU36"/>
  <c r="AP36"/>
  <c r="AJ36"/>
  <c r="AK36" s="1"/>
  <c r="AC36"/>
  <c r="AB36"/>
  <c r="AA36"/>
  <c r="Z36"/>
  <c r="Y36"/>
  <c r="W36"/>
  <c r="I36"/>
  <c r="H36"/>
  <c r="G36"/>
  <c r="DO35"/>
  <c r="CZ35"/>
  <c r="CY35"/>
  <c r="CS35"/>
  <c r="CR35"/>
  <c r="CQ35"/>
  <c r="BP35"/>
  <c r="BO35"/>
  <c r="BN35"/>
  <c r="BD35"/>
  <c r="AV35"/>
  <c r="AD35" s="1"/>
  <c r="AU35"/>
  <c r="AT35"/>
  <c r="AJ35"/>
  <c r="AK35" s="1"/>
  <c r="AA35"/>
  <c r="Z35"/>
  <c r="Y35"/>
  <c r="X35"/>
  <c r="W35"/>
  <c r="S35"/>
  <c r="I35"/>
  <c r="H35"/>
  <c r="G35"/>
  <c r="DO34"/>
  <c r="CZ34"/>
  <c r="CY34"/>
  <c r="CS34"/>
  <c r="CR34"/>
  <c r="CQ34"/>
  <c r="BP34"/>
  <c r="BO34"/>
  <c r="BN34"/>
  <c r="BD34"/>
  <c r="AV34"/>
  <c r="AD34" s="1"/>
  <c r="AU34"/>
  <c r="AT34"/>
  <c r="AJ34"/>
  <c r="AK34" s="1"/>
  <c r="AA34"/>
  <c r="BE34" s="1"/>
  <c r="Z34"/>
  <c r="Y34"/>
  <c r="X34"/>
  <c r="W34"/>
  <c r="S34"/>
  <c r="I34"/>
  <c r="H34"/>
  <c r="G34"/>
  <c r="DO33"/>
  <c r="CZ33"/>
  <c r="CY33"/>
  <c r="CS33"/>
  <c r="CR33"/>
  <c r="CQ33"/>
  <c r="BP33"/>
  <c r="BO33"/>
  <c r="BJ33"/>
  <c r="BD33"/>
  <c r="AV33"/>
  <c r="AD33" s="1"/>
  <c r="AU33"/>
  <c r="AP33"/>
  <c r="AJ33"/>
  <c r="AK33" s="1"/>
  <c r="AG33"/>
  <c r="AB33"/>
  <c r="AA33"/>
  <c r="Z33"/>
  <c r="Y33"/>
  <c r="W33"/>
  <c r="S33"/>
  <c r="I33"/>
  <c r="H33"/>
  <c r="G33"/>
  <c r="DO32"/>
  <c r="CZ32"/>
  <c r="CY32"/>
  <c r="CS32"/>
  <c r="CR32"/>
  <c r="CQ32"/>
  <c r="BP32"/>
  <c r="BO32"/>
  <c r="BM32"/>
  <c r="BD32"/>
  <c r="AV32"/>
  <c r="AU32"/>
  <c r="AC32" s="1"/>
  <c r="CU32" s="1"/>
  <c r="AS32"/>
  <c r="AL32"/>
  <c r="DF32" s="1"/>
  <c r="AJ32"/>
  <c r="AK32" s="1"/>
  <c r="AB32"/>
  <c r="Z32"/>
  <c r="Y32"/>
  <c r="X32"/>
  <c r="W32"/>
  <c r="S32"/>
  <c r="I32"/>
  <c r="H32"/>
  <c r="G32"/>
  <c r="CZ31"/>
  <c r="CY31"/>
  <c r="CS31"/>
  <c r="CR31"/>
  <c r="CQ31"/>
  <c r="BP31"/>
  <c r="BO31"/>
  <c r="BN31"/>
  <c r="BD31"/>
  <c r="AV31"/>
  <c r="AU31"/>
  <c r="AC31" s="1"/>
  <c r="AT31"/>
  <c r="AK31"/>
  <c r="AJ31"/>
  <c r="AB31"/>
  <c r="AA31"/>
  <c r="Z31"/>
  <c r="Y31"/>
  <c r="X31"/>
  <c r="W31"/>
  <c r="S31"/>
  <c r="I31"/>
  <c r="H31"/>
  <c r="G31"/>
  <c r="DO30"/>
  <c r="CZ30"/>
  <c r="CY30"/>
  <c r="S30" s="1"/>
  <c r="CS30"/>
  <c r="CR30"/>
  <c r="CQ30"/>
  <c r="BP30"/>
  <c r="BO30"/>
  <c r="BJ30"/>
  <c r="BD30"/>
  <c r="AV30"/>
  <c r="AD30" s="1"/>
  <c r="DZ30" s="1"/>
  <c r="AU30"/>
  <c r="AP30"/>
  <c r="AJ30"/>
  <c r="AK30" s="1"/>
  <c r="AC30"/>
  <c r="AB30"/>
  <c r="AA30"/>
  <c r="Z30"/>
  <c r="Y30"/>
  <c r="W30"/>
  <c r="I30"/>
  <c r="H30"/>
  <c r="G30"/>
  <c r="DO29"/>
  <c r="CZ29"/>
  <c r="CY29"/>
  <c r="S29" s="1"/>
  <c r="CS29"/>
  <c r="CR29"/>
  <c r="CQ29"/>
  <c r="BX29"/>
  <c r="CG29" s="1"/>
  <c r="CH29" s="1"/>
  <c r="BP29"/>
  <c r="BO29"/>
  <c r="BJ29"/>
  <c r="BD29"/>
  <c r="AV29"/>
  <c r="AD29" s="1"/>
  <c r="AU29"/>
  <c r="AP29"/>
  <c r="AJ29"/>
  <c r="AK29" s="1"/>
  <c r="AC29"/>
  <c r="CU29" s="1"/>
  <c r="AB29"/>
  <c r="AA29"/>
  <c r="Z29"/>
  <c r="Y29"/>
  <c r="W29"/>
  <c r="I29"/>
  <c r="H29"/>
  <c r="G29"/>
  <c r="DO28"/>
  <c r="CZ28"/>
  <c r="CY28"/>
  <c r="CS28"/>
  <c r="CR28"/>
  <c r="CQ28"/>
  <c r="BP28"/>
  <c r="BO28"/>
  <c r="BJ28"/>
  <c r="BD28"/>
  <c r="AV28"/>
  <c r="AD28" s="1"/>
  <c r="CV28" s="1"/>
  <c r="AU28"/>
  <c r="AP28"/>
  <c r="AJ28"/>
  <c r="AK28" s="1"/>
  <c r="AB28"/>
  <c r="AA28"/>
  <c r="Z28"/>
  <c r="Y28"/>
  <c r="W28"/>
  <c r="S28"/>
  <c r="I28"/>
  <c r="H28"/>
  <c r="G28"/>
  <c r="DO27"/>
  <c r="CZ27"/>
  <c r="CY27"/>
  <c r="S27" s="1"/>
  <c r="CS27"/>
  <c r="CR27"/>
  <c r="CQ27"/>
  <c r="BP27"/>
  <c r="BO27"/>
  <c r="BJ27"/>
  <c r="BD27"/>
  <c r="AV27"/>
  <c r="AD27" s="1"/>
  <c r="CV27" s="1"/>
  <c r="AU27"/>
  <c r="AP27"/>
  <c r="AJ27"/>
  <c r="AK27" s="1"/>
  <c r="AC27"/>
  <c r="AB27"/>
  <c r="AA27"/>
  <c r="Z27"/>
  <c r="Y27"/>
  <c r="W27"/>
  <c r="I27"/>
  <c r="H27"/>
  <c r="G27"/>
  <c r="DO26"/>
  <c r="CZ26"/>
  <c r="CY26"/>
  <c r="S26" s="1"/>
  <c r="CS26"/>
  <c r="CR26"/>
  <c r="CQ26"/>
  <c r="BP26"/>
  <c r="BO26"/>
  <c r="BD26"/>
  <c r="AV26"/>
  <c r="AU26"/>
  <c r="AC26" s="1"/>
  <c r="CU26" s="1"/>
  <c r="AJ26"/>
  <c r="AK26" s="1"/>
  <c r="AB26"/>
  <c r="AA26"/>
  <c r="Z26"/>
  <c r="Y26"/>
  <c r="X26"/>
  <c r="W26"/>
  <c r="H26"/>
  <c r="P26" s="1"/>
  <c r="I26" s="1"/>
  <c r="Q26" s="1"/>
  <c r="BX26" s="1"/>
  <c r="DO25"/>
  <c r="CZ25"/>
  <c r="CY25"/>
  <c r="CS25"/>
  <c r="CR25"/>
  <c r="CQ25"/>
  <c r="BP25"/>
  <c r="BO25"/>
  <c r="BJ25"/>
  <c r="BD25"/>
  <c r="AV25"/>
  <c r="AD25" s="1"/>
  <c r="DZ25" s="1"/>
  <c r="AU25"/>
  <c r="AC25" s="1"/>
  <c r="AP25"/>
  <c r="AJ25"/>
  <c r="AK25" s="1"/>
  <c r="AB25"/>
  <c r="AA25"/>
  <c r="Z25"/>
  <c r="Y25"/>
  <c r="W25"/>
  <c r="S25"/>
  <c r="I25"/>
  <c r="H25"/>
  <c r="G25"/>
  <c r="DO24"/>
  <c r="CZ24"/>
  <c r="CY24"/>
  <c r="CS24"/>
  <c r="CR24"/>
  <c r="CQ24"/>
  <c r="BP24"/>
  <c r="BO24"/>
  <c r="BJ24"/>
  <c r="BD24"/>
  <c r="AV24"/>
  <c r="AD24" s="1"/>
  <c r="DZ24" s="1"/>
  <c r="AU24"/>
  <c r="AP24"/>
  <c r="AJ24"/>
  <c r="AK24" s="1"/>
  <c r="AB24"/>
  <c r="AA24"/>
  <c r="Z24"/>
  <c r="Y24"/>
  <c r="W24"/>
  <c r="S24"/>
  <c r="I24"/>
  <c r="H24"/>
  <c r="G24"/>
  <c r="DO23"/>
  <c r="CZ23"/>
  <c r="CY23"/>
  <c r="S23" s="1"/>
  <c r="CS23"/>
  <c r="CR23"/>
  <c r="CQ23"/>
  <c r="BP23"/>
  <c r="BO23"/>
  <c r="BJ23"/>
  <c r="BD23"/>
  <c r="AV23"/>
  <c r="AD23" s="1"/>
  <c r="AU23"/>
  <c r="AP23"/>
  <c r="AJ23"/>
  <c r="AK23" s="1"/>
  <c r="AC23"/>
  <c r="AB23"/>
  <c r="AA23"/>
  <c r="Z23"/>
  <c r="Y23"/>
  <c r="W23"/>
  <c r="I23"/>
  <c r="H23"/>
  <c r="G23"/>
  <c r="DO22"/>
  <c r="CZ22"/>
  <c r="CY22"/>
  <c r="S22" s="1"/>
  <c r="CS22"/>
  <c r="CR22"/>
  <c r="CQ22"/>
  <c r="BP22"/>
  <c r="BO22"/>
  <c r="BJ22"/>
  <c r="BD22"/>
  <c r="AV22"/>
  <c r="AD22" s="1"/>
  <c r="AU22"/>
  <c r="AP22"/>
  <c r="AJ22"/>
  <c r="AK22" s="1"/>
  <c r="AC22"/>
  <c r="AB22"/>
  <c r="AA22"/>
  <c r="Z22"/>
  <c r="Y22"/>
  <c r="W22"/>
  <c r="I22"/>
  <c r="H22"/>
  <c r="G22"/>
  <c r="DO21"/>
  <c r="CZ21"/>
  <c r="CY21"/>
  <c r="CS21"/>
  <c r="CR21"/>
  <c r="CQ21"/>
  <c r="BX21"/>
  <c r="CG21" s="1"/>
  <c r="CH21" s="1"/>
  <c r="BP21"/>
  <c r="BO21"/>
  <c r="BJ21"/>
  <c r="BD21"/>
  <c r="AV21"/>
  <c r="AD21" s="1"/>
  <c r="CV21" s="1"/>
  <c r="AU21"/>
  <c r="AC21" s="1"/>
  <c r="CU21" s="1"/>
  <c r="AP21"/>
  <c r="AJ21"/>
  <c r="AK21" s="1"/>
  <c r="AB21"/>
  <c r="AA21"/>
  <c r="Z21"/>
  <c r="Y21"/>
  <c r="X21"/>
  <c r="W21"/>
  <c r="S21"/>
  <c r="I21"/>
  <c r="H21"/>
  <c r="G21"/>
  <c r="DO20"/>
  <c r="CZ20"/>
  <c r="CY20"/>
  <c r="CS20"/>
  <c r="CR20"/>
  <c r="CQ20"/>
  <c r="BP20"/>
  <c r="BO20"/>
  <c r="BN20"/>
  <c r="BD20"/>
  <c r="AV20"/>
  <c r="AD20" s="1"/>
  <c r="DZ20" s="1"/>
  <c r="AU20"/>
  <c r="AC20" s="1"/>
  <c r="AT20"/>
  <c r="AJ20"/>
  <c r="AK20" s="1"/>
  <c r="AA20"/>
  <c r="Z20"/>
  <c r="Y20"/>
  <c r="X20"/>
  <c r="W20"/>
  <c r="S20"/>
  <c r="I20"/>
  <c r="H20"/>
  <c r="G20"/>
  <c r="DO19"/>
  <c r="CZ19"/>
  <c r="CY19"/>
  <c r="S19" s="1"/>
  <c r="CS19"/>
  <c r="CR19"/>
  <c r="CQ19"/>
  <c r="BP19"/>
  <c r="BO19"/>
  <c r="BJ19"/>
  <c r="BD19"/>
  <c r="AV19"/>
  <c r="AD19" s="1"/>
  <c r="AU19"/>
  <c r="AC19" s="1"/>
  <c r="AP19"/>
  <c r="AJ19"/>
  <c r="AK19" s="1"/>
  <c r="AB19"/>
  <c r="AA19"/>
  <c r="Z19"/>
  <c r="Y19"/>
  <c r="X19"/>
  <c r="W19"/>
  <c r="AG19"/>
  <c r="I19"/>
  <c r="H19"/>
  <c r="G19"/>
  <c r="DO18"/>
  <c r="CZ18"/>
  <c r="CY18"/>
  <c r="S18" s="1"/>
  <c r="CS18"/>
  <c r="CR18"/>
  <c r="CN7"/>
  <c r="CQ18"/>
  <c r="BP18"/>
  <c r="BO18"/>
  <c r="BJ18"/>
  <c r="BD18"/>
  <c r="AV18"/>
  <c r="AD18" s="1"/>
  <c r="DZ18" s="1"/>
  <c r="AU18"/>
  <c r="AC18" s="1"/>
  <c r="CU18" s="1"/>
  <c r="AP18"/>
  <c r="X18" s="1"/>
  <c r="AJ18"/>
  <c r="AK18" s="1"/>
  <c r="AB18"/>
  <c r="AA18"/>
  <c r="Z18"/>
  <c r="Y18"/>
  <c r="W18"/>
  <c r="I18"/>
  <c r="H18"/>
  <c r="G18"/>
  <c r="DO17"/>
  <c r="CZ17"/>
  <c r="CY17"/>
  <c r="CS17"/>
  <c r="CR17"/>
  <c r="CJ7"/>
  <c r="BP17"/>
  <c r="BO17"/>
  <c r="BJ17"/>
  <c r="BD17"/>
  <c r="AV17"/>
  <c r="AD17" s="1"/>
  <c r="AU17"/>
  <c r="AP17"/>
  <c r="AJ17"/>
  <c r="AK17" s="1"/>
  <c r="AC17"/>
  <c r="CU17" s="1"/>
  <c r="AB17"/>
  <c r="AA17"/>
  <c r="Z17"/>
  <c r="Y17"/>
  <c r="W17"/>
  <c r="S17"/>
  <c r="I17"/>
  <c r="H17"/>
  <c r="G17"/>
  <c r="DO16"/>
  <c r="CZ16"/>
  <c r="CY16"/>
  <c r="S16" s="1"/>
  <c r="CS16"/>
  <c r="CR16"/>
  <c r="CQ16"/>
  <c r="BP16"/>
  <c r="BO16"/>
  <c r="BJ16"/>
  <c r="BD16"/>
  <c r="AV16"/>
  <c r="AD16" s="1"/>
  <c r="AU16"/>
  <c r="AP16"/>
  <c r="AW16" s="1"/>
  <c r="AJ16"/>
  <c r="AK16" s="1"/>
  <c r="AL16" s="1"/>
  <c r="AC16"/>
  <c r="AB16"/>
  <c r="AA16"/>
  <c r="Z16"/>
  <c r="Y16"/>
  <c r="W16"/>
  <c r="I16"/>
  <c r="H16"/>
  <c r="G16"/>
  <c r="DO15"/>
  <c r="CZ15"/>
  <c r="CY15"/>
  <c r="S15" s="1"/>
  <c r="CS15"/>
  <c r="CR15"/>
  <c r="CQ15"/>
  <c r="BP15"/>
  <c r="BO15"/>
  <c r="BI15"/>
  <c r="BD15"/>
  <c r="AV15"/>
  <c r="AD15" s="1"/>
  <c r="AU15"/>
  <c r="AO15"/>
  <c r="W15" s="1"/>
  <c r="AJ15"/>
  <c r="AK15" s="1"/>
  <c r="AC15"/>
  <c r="AB15"/>
  <c r="AA15"/>
  <c r="Z15"/>
  <c r="Y15"/>
  <c r="X15"/>
  <c r="I15"/>
  <c r="H15"/>
  <c r="G15"/>
  <c r="DO14"/>
  <c r="CZ14"/>
  <c r="CY14"/>
  <c r="S14" s="1"/>
  <c r="CS14"/>
  <c r="CR14"/>
  <c r="CQ14"/>
  <c r="BP14"/>
  <c r="BO14"/>
  <c r="BN14"/>
  <c r="BD14"/>
  <c r="AV14"/>
  <c r="AD14" s="1"/>
  <c r="AU14"/>
  <c r="AT14"/>
  <c r="AJ14"/>
  <c r="AK14" s="1"/>
  <c r="AL14" s="1"/>
  <c r="DF14" s="1"/>
  <c r="AC14"/>
  <c r="AA14"/>
  <c r="Z14"/>
  <c r="Y14"/>
  <c r="X14"/>
  <c r="W14"/>
  <c r="I14"/>
  <c r="H14"/>
  <c r="G14"/>
  <c r="DO13"/>
  <c r="CZ13"/>
  <c r="CY13"/>
  <c r="S13" s="1"/>
  <c r="CS13"/>
  <c r="CR13"/>
  <c r="CQ13"/>
  <c r="BP13"/>
  <c r="BO13"/>
  <c r="BJ13"/>
  <c r="BD13"/>
  <c r="AV13"/>
  <c r="AD13" s="1"/>
  <c r="DZ13" s="1"/>
  <c r="AU13"/>
  <c r="AC13" s="1"/>
  <c r="AP13"/>
  <c r="AJ13"/>
  <c r="AK13" s="1"/>
  <c r="AB13"/>
  <c r="AA13"/>
  <c r="Z13"/>
  <c r="Y13"/>
  <c r="X13"/>
  <c r="W13"/>
  <c r="I13"/>
  <c r="H13"/>
  <c r="G13"/>
  <c r="DO12"/>
  <c r="CZ12"/>
  <c r="CY12"/>
  <c r="S12" s="1"/>
  <c r="CS12"/>
  <c r="CR12"/>
  <c r="CQ12"/>
  <c r="BP12"/>
  <c r="BO12"/>
  <c r="BJ12"/>
  <c r="BD12"/>
  <c r="AV12"/>
  <c r="AD12" s="1"/>
  <c r="AU12"/>
  <c r="AP12"/>
  <c r="AJ12"/>
  <c r="AK12" s="1"/>
  <c r="AL12" s="1"/>
  <c r="DF12" s="1"/>
  <c r="AC12"/>
  <c r="AB12"/>
  <c r="AA12"/>
  <c r="Z12"/>
  <c r="Y12"/>
  <c r="W12"/>
  <c r="I12"/>
  <c r="H12"/>
  <c r="G12"/>
  <c r="DO11"/>
  <c r="CZ11"/>
  <c r="CY11"/>
  <c r="CS11"/>
  <c r="CR11"/>
  <c r="CQ11"/>
  <c r="BX11"/>
  <c r="CG11" s="1"/>
  <c r="CH11" s="1"/>
  <c r="BP11"/>
  <c r="BO11"/>
  <c r="BJ11"/>
  <c r="BD11"/>
  <c r="AV11"/>
  <c r="AD11" s="1"/>
  <c r="AU11"/>
  <c r="AP11"/>
  <c r="AJ11"/>
  <c r="AK11" s="1"/>
  <c r="AC11"/>
  <c r="AB11"/>
  <c r="AA11"/>
  <c r="Z11"/>
  <c r="Y11"/>
  <c r="W11"/>
  <c r="S11"/>
  <c r="I11"/>
  <c r="H11"/>
  <c r="G11"/>
  <c r="DO10"/>
  <c r="CZ10"/>
  <c r="CY10"/>
  <c r="S10" s="1"/>
  <c r="CS10"/>
  <c r="CR10"/>
  <c r="CQ10"/>
  <c r="BP10"/>
  <c r="BO10"/>
  <c r="BJ10"/>
  <c r="BD10"/>
  <c r="AV10"/>
  <c r="AD10" s="1"/>
  <c r="AU10"/>
  <c r="AP10"/>
  <c r="AJ10"/>
  <c r="AK10" s="1"/>
  <c r="AC10"/>
  <c r="AB10"/>
  <c r="AA10"/>
  <c r="Z10"/>
  <c r="Y10"/>
  <c r="W10"/>
  <c r="I10"/>
  <c r="H10"/>
  <c r="G10"/>
  <c r="DO9"/>
  <c r="CZ9"/>
  <c r="CY9"/>
  <c r="S9" s="1"/>
  <c r="CS9"/>
  <c r="CR9"/>
  <c r="CQ9"/>
  <c r="BP9"/>
  <c r="BO9"/>
  <c r="BJ9"/>
  <c r="BD9"/>
  <c r="AV9"/>
  <c r="AD9" s="1"/>
  <c r="DZ9" s="1"/>
  <c r="AU9"/>
  <c r="AC9" s="1"/>
  <c r="AP9"/>
  <c r="AJ9"/>
  <c r="AB9"/>
  <c r="AA9"/>
  <c r="Z9"/>
  <c r="Y9"/>
  <c r="X9"/>
  <c r="W9"/>
  <c r="I9"/>
  <c r="H9"/>
  <c r="G9"/>
  <c r="DO8"/>
  <c r="DN8"/>
  <c r="CZ8"/>
  <c r="CY8"/>
  <c r="S8" s="1"/>
  <c r="CS8"/>
  <c r="CR8"/>
  <c r="CR7" s="1"/>
  <c r="CQ8"/>
  <c r="BP8"/>
  <c r="BP7" s="1"/>
  <c r="BO8"/>
  <c r="BJ8"/>
  <c r="BQ8" s="1"/>
  <c r="BD8"/>
  <c r="AV8"/>
  <c r="AD8" s="1"/>
  <c r="DZ8" s="1"/>
  <c r="AU8"/>
  <c r="AC8" s="1"/>
  <c r="AP8"/>
  <c r="X8" s="1"/>
  <c r="AJ8"/>
  <c r="AG8"/>
  <c r="AH8" s="1"/>
  <c r="AB8"/>
  <c r="AA8"/>
  <c r="Z8"/>
  <c r="Y8"/>
  <c r="W8"/>
  <c r="I8"/>
  <c r="H8"/>
  <c r="G8"/>
  <c r="DD7"/>
  <c r="DC7"/>
  <c r="DB7"/>
  <c r="DA7"/>
  <c r="CX7"/>
  <c r="CW7"/>
  <c r="CP7"/>
  <c r="CO7"/>
  <c r="CM7"/>
  <c r="CL7"/>
  <c r="CK7"/>
  <c r="CI7"/>
  <c r="CF7"/>
  <c r="CE7"/>
  <c r="BM7"/>
  <c r="BL7"/>
  <c r="BK7"/>
  <c r="BI7"/>
  <c r="BH7"/>
  <c r="BC7"/>
  <c r="AS7"/>
  <c r="AR7"/>
  <c r="AQ7"/>
  <c r="AO7"/>
  <c r="AN7"/>
  <c r="AI7"/>
  <c r="U7"/>
  <c r="CT4"/>
  <c r="CQ4"/>
  <c r="CJ101" i="9"/>
  <c r="CN86"/>
  <c r="CJ86"/>
  <c r="CJ18"/>
  <c r="CN105"/>
  <c r="CN94"/>
  <c r="CJ94"/>
  <c r="CN93"/>
  <c r="CJ93"/>
  <c r="CN17"/>
  <c r="CJ17"/>
  <c r="CN28"/>
  <c r="CJ28"/>
  <c r="CJ24"/>
  <c r="CN18"/>
  <c r="DN101"/>
  <c r="DN93"/>
  <c r="DN80"/>
  <c r="DN44"/>
  <c r="DN37"/>
  <c r="DN31"/>
  <c r="DN18"/>
  <c r="AG106"/>
  <c r="CH108"/>
  <c r="BZ108"/>
  <c r="AL108"/>
  <c r="CH107"/>
  <c r="BZ107"/>
  <c r="AL107"/>
  <c r="AK107"/>
  <c r="DO106"/>
  <c r="CZ106"/>
  <c r="CY106"/>
  <c r="S106" s="1"/>
  <c r="CS106"/>
  <c r="CR106"/>
  <c r="CQ106"/>
  <c r="BX106"/>
  <c r="BP106"/>
  <c r="BO106"/>
  <c r="BJ106"/>
  <c r="BD106"/>
  <c r="AV106"/>
  <c r="AU106"/>
  <c r="AC106" s="1"/>
  <c r="CU106" s="1"/>
  <c r="AP106"/>
  <c r="AK106"/>
  <c r="AJ106"/>
  <c r="AD106"/>
  <c r="DZ106" s="1"/>
  <c r="AB106"/>
  <c r="AA106"/>
  <c r="Z106"/>
  <c r="Y106"/>
  <c r="X106"/>
  <c r="W106"/>
  <c r="AE106" s="1"/>
  <c r="I106"/>
  <c r="H106"/>
  <c r="G106"/>
  <c r="DO105"/>
  <c r="CZ105"/>
  <c r="CY105"/>
  <c r="S105" s="1"/>
  <c r="CS105"/>
  <c r="CR105"/>
  <c r="CQ105"/>
  <c r="BP105"/>
  <c r="BO105"/>
  <c r="BN105"/>
  <c r="BD105"/>
  <c r="AV105"/>
  <c r="AD105" s="1"/>
  <c r="DZ105" s="1"/>
  <c r="AU105"/>
  <c r="AC105" s="1"/>
  <c r="AT105"/>
  <c r="AJ105"/>
  <c r="AK105" s="1"/>
  <c r="AB105"/>
  <c r="AA105"/>
  <c r="Z105"/>
  <c r="Y105"/>
  <c r="X105"/>
  <c r="W105"/>
  <c r="I105"/>
  <c r="H105"/>
  <c r="G105"/>
  <c r="DO104"/>
  <c r="CZ104"/>
  <c r="CY104"/>
  <c r="CS104"/>
  <c r="CR104"/>
  <c r="CQ104"/>
  <c r="BP104"/>
  <c r="BO104"/>
  <c r="BN104"/>
  <c r="BD104"/>
  <c r="AV104"/>
  <c r="AD104" s="1"/>
  <c r="DZ104" s="1"/>
  <c r="AU104"/>
  <c r="AC104" s="1"/>
  <c r="AT104"/>
  <c r="AJ104"/>
  <c r="AK104" s="1"/>
  <c r="AB104"/>
  <c r="AA104"/>
  <c r="Z104"/>
  <c r="Y104"/>
  <c r="X104"/>
  <c r="W104"/>
  <c r="S104"/>
  <c r="I104"/>
  <c r="H104"/>
  <c r="G104"/>
  <c r="DO103"/>
  <c r="CZ103"/>
  <c r="CY103"/>
  <c r="CS103"/>
  <c r="CR103"/>
  <c r="CQ103"/>
  <c r="BP103"/>
  <c r="BO103"/>
  <c r="BL103"/>
  <c r="BD103"/>
  <c r="AV103"/>
  <c r="AD103" s="1"/>
  <c r="DZ103" s="1"/>
  <c r="AU103"/>
  <c r="AC103" s="1"/>
  <c r="AR103"/>
  <c r="AJ103"/>
  <c r="AK103" s="1"/>
  <c r="AB103"/>
  <c r="AA103"/>
  <c r="Z103"/>
  <c r="Y103"/>
  <c r="X103"/>
  <c r="W103"/>
  <c r="S103"/>
  <c r="I103"/>
  <c r="H103"/>
  <c r="G103"/>
  <c r="DO102"/>
  <c r="CZ102"/>
  <c r="CY102"/>
  <c r="CS102"/>
  <c r="CR102"/>
  <c r="CQ102"/>
  <c r="BP102"/>
  <c r="BO102"/>
  <c r="BD102"/>
  <c r="AV102"/>
  <c r="AU102"/>
  <c r="AJ102"/>
  <c r="AK102" s="1"/>
  <c r="AB102"/>
  <c r="AA102"/>
  <c r="Z102"/>
  <c r="Y102"/>
  <c r="X102"/>
  <c r="W102"/>
  <c r="S102"/>
  <c r="H102"/>
  <c r="P102" s="1"/>
  <c r="DO101"/>
  <c r="CZ101"/>
  <c r="CY101"/>
  <c r="S101" s="1"/>
  <c r="CS101"/>
  <c r="CR101"/>
  <c r="CQ101"/>
  <c r="BP101"/>
  <c r="BO101"/>
  <c r="BN101"/>
  <c r="BD101"/>
  <c r="AV101"/>
  <c r="AD101" s="1"/>
  <c r="AU101"/>
  <c r="AJ101"/>
  <c r="AK101" s="1"/>
  <c r="AG101"/>
  <c r="AC101"/>
  <c r="AA101"/>
  <c r="Z101"/>
  <c r="Y101"/>
  <c r="X101"/>
  <c r="W101"/>
  <c r="I101"/>
  <c r="H101"/>
  <c r="G101"/>
  <c r="DO100"/>
  <c r="CZ100"/>
  <c r="CY100"/>
  <c r="CS100"/>
  <c r="CR100"/>
  <c r="CQ100"/>
  <c r="BP100"/>
  <c r="BO100"/>
  <c r="BN100"/>
  <c r="BD100"/>
  <c r="AV100"/>
  <c r="AD100" s="1"/>
  <c r="AU100"/>
  <c r="AC100" s="1"/>
  <c r="AT100"/>
  <c r="AJ100"/>
  <c r="AK100" s="1"/>
  <c r="AA100"/>
  <c r="Z100"/>
  <c r="Y100"/>
  <c r="X100"/>
  <c r="W100"/>
  <c r="S100"/>
  <c r="I100"/>
  <c r="H100"/>
  <c r="G100"/>
  <c r="DO99"/>
  <c r="CZ99"/>
  <c r="CY99"/>
  <c r="S99" s="1"/>
  <c r="CS99"/>
  <c r="CR99"/>
  <c r="CQ99"/>
  <c r="BP99"/>
  <c r="BO99"/>
  <c r="BN99"/>
  <c r="BD99"/>
  <c r="AV99"/>
  <c r="AD99" s="1"/>
  <c r="DZ99" s="1"/>
  <c r="AU99"/>
  <c r="AC99" s="1"/>
  <c r="AT99"/>
  <c r="AJ99"/>
  <c r="AK99" s="1"/>
  <c r="AB99"/>
  <c r="AA99"/>
  <c r="Z99"/>
  <c r="Y99"/>
  <c r="X99"/>
  <c r="W99"/>
  <c r="I99"/>
  <c r="H99"/>
  <c r="G99"/>
  <c r="DO98"/>
  <c r="CZ98"/>
  <c r="CY98"/>
  <c r="CS98"/>
  <c r="CR98"/>
  <c r="CQ98"/>
  <c r="BP98"/>
  <c r="BO98"/>
  <c r="BN98"/>
  <c r="BD98"/>
  <c r="AV98"/>
  <c r="AD98" s="1"/>
  <c r="AU98"/>
  <c r="AC98" s="1"/>
  <c r="AT98"/>
  <c r="AJ98"/>
  <c r="AK98" s="1"/>
  <c r="AB98"/>
  <c r="AA98"/>
  <c r="Z98"/>
  <c r="Y98"/>
  <c r="X98"/>
  <c r="W98"/>
  <c r="S98"/>
  <c r="I98"/>
  <c r="H98"/>
  <c r="G98"/>
  <c r="DO97"/>
  <c r="CZ97"/>
  <c r="CY97"/>
  <c r="CS97"/>
  <c r="CR97"/>
  <c r="CQ97"/>
  <c r="BP97"/>
  <c r="BO97"/>
  <c r="BI97"/>
  <c r="BD97"/>
  <c r="AV97"/>
  <c r="AD97" s="1"/>
  <c r="DZ97" s="1"/>
  <c r="AU97"/>
  <c r="AO97"/>
  <c r="AJ97"/>
  <c r="AK97" s="1"/>
  <c r="AB97"/>
  <c r="AA97"/>
  <c r="Z97"/>
  <c r="Y97"/>
  <c r="X97"/>
  <c r="S97"/>
  <c r="I97"/>
  <c r="H97"/>
  <c r="G97"/>
  <c r="DO96"/>
  <c r="CZ96"/>
  <c r="CY96"/>
  <c r="S96" s="1"/>
  <c r="CS96"/>
  <c r="CR96"/>
  <c r="CQ96"/>
  <c r="BP96"/>
  <c r="BO96"/>
  <c r="BJ96"/>
  <c r="BD96"/>
  <c r="AV96"/>
  <c r="AD96" s="1"/>
  <c r="AU96"/>
  <c r="AP96"/>
  <c r="AJ96"/>
  <c r="AK96" s="1"/>
  <c r="AB96"/>
  <c r="AA96"/>
  <c r="Z96"/>
  <c r="Y96"/>
  <c r="X96"/>
  <c r="W96"/>
  <c r="I96"/>
  <c r="H96"/>
  <c r="G96"/>
  <c r="DO95"/>
  <c r="CZ95"/>
  <c r="CY95"/>
  <c r="CS95"/>
  <c r="CR95"/>
  <c r="CQ95"/>
  <c r="BP95"/>
  <c r="BO95"/>
  <c r="BI95"/>
  <c r="BD95"/>
  <c r="AV95"/>
  <c r="AD95" s="1"/>
  <c r="AU95"/>
  <c r="AO95"/>
  <c r="AJ95"/>
  <c r="AK95" s="1"/>
  <c r="AB95"/>
  <c r="AA95"/>
  <c r="Z95"/>
  <c r="Y95"/>
  <c r="X95"/>
  <c r="S95"/>
  <c r="I95"/>
  <c r="H95"/>
  <c r="G95"/>
  <c r="DO94"/>
  <c r="CZ94"/>
  <c r="CY94"/>
  <c r="CS94"/>
  <c r="CR94"/>
  <c r="CQ94"/>
  <c r="BP94"/>
  <c r="BO94"/>
  <c r="BI94"/>
  <c r="BD94"/>
  <c r="AV94"/>
  <c r="AD94" s="1"/>
  <c r="AU94"/>
  <c r="AO94"/>
  <c r="AJ94"/>
  <c r="AK94" s="1"/>
  <c r="AB94"/>
  <c r="AA94"/>
  <c r="Z94"/>
  <c r="Y94"/>
  <c r="X94"/>
  <c r="S94"/>
  <c r="I94"/>
  <c r="H94"/>
  <c r="G94"/>
  <c r="CZ93"/>
  <c r="CY93"/>
  <c r="S93" s="1"/>
  <c r="CS93"/>
  <c r="CR93"/>
  <c r="CQ93"/>
  <c r="BP93"/>
  <c r="BO93"/>
  <c r="BI93"/>
  <c r="BD93"/>
  <c r="AV93"/>
  <c r="AD93" s="1"/>
  <c r="AU93"/>
  <c r="AC93" s="1"/>
  <c r="AO93"/>
  <c r="AJ93"/>
  <c r="AK93" s="1"/>
  <c r="AB93"/>
  <c r="AA93"/>
  <c r="Z93"/>
  <c r="Y93"/>
  <c r="X93"/>
  <c r="I93"/>
  <c r="H93"/>
  <c r="G93"/>
  <c r="DO92"/>
  <c r="CZ92"/>
  <c r="CY92"/>
  <c r="CS92"/>
  <c r="CR92"/>
  <c r="CQ92"/>
  <c r="BP92"/>
  <c r="BO92"/>
  <c r="BI92"/>
  <c r="BD92"/>
  <c r="AV92"/>
  <c r="AD92" s="1"/>
  <c r="DZ92" s="1"/>
  <c r="AU92"/>
  <c r="AC92" s="1"/>
  <c r="AO92"/>
  <c r="AJ92"/>
  <c r="AK92" s="1"/>
  <c r="AB92"/>
  <c r="AA92"/>
  <c r="Z92"/>
  <c r="Y92"/>
  <c r="X92"/>
  <c r="S92"/>
  <c r="I92"/>
  <c r="H92"/>
  <c r="G92"/>
  <c r="DO91"/>
  <c r="CZ91"/>
  <c r="CY91"/>
  <c r="CS91"/>
  <c r="CR91"/>
  <c r="CQ91"/>
  <c r="BP91"/>
  <c r="BO91"/>
  <c r="BN91"/>
  <c r="BD91"/>
  <c r="AV91"/>
  <c r="AD91" s="1"/>
  <c r="DZ91" s="1"/>
  <c r="AU91"/>
  <c r="AC91" s="1"/>
  <c r="AT91"/>
  <c r="AJ91"/>
  <c r="AK91" s="1"/>
  <c r="AA91"/>
  <c r="Z91"/>
  <c r="Y91"/>
  <c r="X91"/>
  <c r="W91"/>
  <c r="S91"/>
  <c r="I91"/>
  <c r="H91"/>
  <c r="G91"/>
  <c r="DO90"/>
  <c r="CZ90"/>
  <c r="CY90"/>
  <c r="S90" s="1"/>
  <c r="CS90"/>
  <c r="CR90"/>
  <c r="CQ90"/>
  <c r="BP90"/>
  <c r="BO90"/>
  <c r="BD90"/>
  <c r="AV90"/>
  <c r="AU90"/>
  <c r="AJ90"/>
  <c r="AK90" s="1"/>
  <c r="AB90"/>
  <c r="AA90"/>
  <c r="Z90"/>
  <c r="Y90"/>
  <c r="X90"/>
  <c r="W90"/>
  <c r="H90"/>
  <c r="P90" s="1"/>
  <c r="DO89"/>
  <c r="CZ89"/>
  <c r="CY89"/>
  <c r="CS89"/>
  <c r="CR89"/>
  <c r="CQ89"/>
  <c r="DE89" s="1"/>
  <c r="BP89"/>
  <c r="BO89"/>
  <c r="BQ89" s="1"/>
  <c r="BD89"/>
  <c r="AV89"/>
  <c r="AD89" s="1"/>
  <c r="DZ89" s="1"/>
  <c r="AU89"/>
  <c r="AJ89"/>
  <c r="AK89" s="1"/>
  <c r="AB89"/>
  <c r="AA89"/>
  <c r="Z89"/>
  <c r="Y89"/>
  <c r="X89"/>
  <c r="W89"/>
  <c r="S89"/>
  <c r="H89"/>
  <c r="P89" s="1"/>
  <c r="DO88"/>
  <c r="CZ88"/>
  <c r="CY88"/>
  <c r="CS88"/>
  <c r="CR88"/>
  <c r="CQ88"/>
  <c r="BP88"/>
  <c r="BO88"/>
  <c r="BI88"/>
  <c r="BD88"/>
  <c r="AV88"/>
  <c r="AD88" s="1"/>
  <c r="AU88"/>
  <c r="AO88"/>
  <c r="AJ88"/>
  <c r="AK88" s="1"/>
  <c r="AB88"/>
  <c r="AA88"/>
  <c r="Z88"/>
  <c r="Y88"/>
  <c r="X88"/>
  <c r="S88"/>
  <c r="I88"/>
  <c r="H88"/>
  <c r="G88"/>
  <c r="DO87"/>
  <c r="CZ87"/>
  <c r="CY87"/>
  <c r="S87" s="1"/>
  <c r="CS87"/>
  <c r="CR87"/>
  <c r="CQ87"/>
  <c r="BP87"/>
  <c r="BO87"/>
  <c r="BN87"/>
  <c r="BD87"/>
  <c r="AV87"/>
  <c r="AD87" s="1"/>
  <c r="AU87"/>
  <c r="AT87"/>
  <c r="AJ87"/>
  <c r="AK87" s="1"/>
  <c r="AB87"/>
  <c r="AA87"/>
  <c r="Z87"/>
  <c r="Y87"/>
  <c r="X87"/>
  <c r="W87"/>
  <c r="I87"/>
  <c r="H87"/>
  <c r="G87"/>
  <c r="DO86"/>
  <c r="CZ86"/>
  <c r="CY86"/>
  <c r="CS86"/>
  <c r="CR86"/>
  <c r="BI86"/>
  <c r="CQ86"/>
  <c r="BP86"/>
  <c r="BO86"/>
  <c r="BD86"/>
  <c r="AV86"/>
  <c r="AU86"/>
  <c r="AO86"/>
  <c r="AJ86"/>
  <c r="AB86"/>
  <c r="AA86"/>
  <c r="Z86"/>
  <c r="Y86"/>
  <c r="X86"/>
  <c r="S86"/>
  <c r="I86"/>
  <c r="H86"/>
  <c r="G86"/>
  <c r="DO85"/>
  <c r="CZ85"/>
  <c r="CY85"/>
  <c r="CS85"/>
  <c r="CR85"/>
  <c r="CQ85"/>
  <c r="BP85"/>
  <c r="BO85"/>
  <c r="BI85"/>
  <c r="BD85"/>
  <c r="AV85"/>
  <c r="AD85" s="1"/>
  <c r="AU85"/>
  <c r="AO85"/>
  <c r="AJ85"/>
  <c r="AK85" s="1"/>
  <c r="AB85"/>
  <c r="AA85"/>
  <c r="Z85"/>
  <c r="Y85"/>
  <c r="X85"/>
  <c r="I85"/>
  <c r="H85"/>
  <c r="G85"/>
  <c r="DO84"/>
  <c r="CZ84"/>
  <c r="CY84"/>
  <c r="S84" s="1"/>
  <c r="CS84"/>
  <c r="CR84"/>
  <c r="CQ84"/>
  <c r="BP84"/>
  <c r="BO84"/>
  <c r="BN84"/>
  <c r="BD84"/>
  <c r="AV84"/>
  <c r="AD84" s="1"/>
  <c r="AU84"/>
  <c r="AT84"/>
  <c r="AJ84"/>
  <c r="AC84"/>
  <c r="AA84"/>
  <c r="Z84"/>
  <c r="Y84"/>
  <c r="X84"/>
  <c r="W84"/>
  <c r="I84"/>
  <c r="H84"/>
  <c r="G84"/>
  <c r="DO83"/>
  <c r="CZ83"/>
  <c r="CY83"/>
  <c r="S83" s="1"/>
  <c r="CS83"/>
  <c r="CR83"/>
  <c r="CQ83"/>
  <c r="BP83"/>
  <c r="BO83"/>
  <c r="BJ83"/>
  <c r="BD83"/>
  <c r="AV83"/>
  <c r="AD83" s="1"/>
  <c r="AU83"/>
  <c r="AP83"/>
  <c r="AJ83"/>
  <c r="AC83"/>
  <c r="AB83"/>
  <c r="AA83"/>
  <c r="Z83"/>
  <c r="Y83"/>
  <c r="W83"/>
  <c r="I83"/>
  <c r="H83"/>
  <c r="G83"/>
  <c r="DO82"/>
  <c r="CZ82"/>
  <c r="CY82"/>
  <c r="S82" s="1"/>
  <c r="CS82"/>
  <c r="CR82"/>
  <c r="CQ82"/>
  <c r="BP82"/>
  <c r="BO82"/>
  <c r="BK82"/>
  <c r="BD82"/>
  <c r="AV82"/>
  <c r="AD82" s="1"/>
  <c r="AU82"/>
  <c r="AQ82"/>
  <c r="Y82" s="1"/>
  <c r="AJ82"/>
  <c r="AC82"/>
  <c r="AB82"/>
  <c r="AA82"/>
  <c r="Z82"/>
  <c r="X82"/>
  <c r="W82"/>
  <c r="I82"/>
  <c r="H82"/>
  <c r="G82"/>
  <c r="DO81"/>
  <c r="CZ81"/>
  <c r="CY81"/>
  <c r="CS81"/>
  <c r="CR81"/>
  <c r="CQ81"/>
  <c r="BP81"/>
  <c r="BO81"/>
  <c r="BJ81"/>
  <c r="BD81"/>
  <c r="AV81"/>
  <c r="AD81" s="1"/>
  <c r="AU81"/>
  <c r="AP81"/>
  <c r="AJ81"/>
  <c r="AK81" s="1"/>
  <c r="AB81"/>
  <c r="AA81"/>
  <c r="Z81"/>
  <c r="Y81"/>
  <c r="X81"/>
  <c r="W81"/>
  <c r="S81"/>
  <c r="I81"/>
  <c r="H81"/>
  <c r="G81"/>
  <c r="DO80"/>
  <c r="CZ80"/>
  <c r="CY80"/>
  <c r="S80" s="1"/>
  <c r="CS80"/>
  <c r="CR80"/>
  <c r="CQ80"/>
  <c r="BP80"/>
  <c r="BO80"/>
  <c r="BJ80"/>
  <c r="BD80"/>
  <c r="AV80"/>
  <c r="AD80" s="1"/>
  <c r="AU80"/>
  <c r="AP80"/>
  <c r="AJ80"/>
  <c r="AK80" s="1"/>
  <c r="AB80"/>
  <c r="AA80"/>
  <c r="Z80"/>
  <c r="Y80"/>
  <c r="X80"/>
  <c r="W80"/>
  <c r="I80"/>
  <c r="H80"/>
  <c r="G80"/>
  <c r="DO79"/>
  <c r="CZ79"/>
  <c r="CY79"/>
  <c r="S79" s="1"/>
  <c r="CS79"/>
  <c r="CR79"/>
  <c r="CQ79"/>
  <c r="BP79"/>
  <c r="BO79"/>
  <c r="BN79"/>
  <c r="BD79"/>
  <c r="AV79"/>
  <c r="AD79" s="1"/>
  <c r="AU79"/>
  <c r="AT79"/>
  <c r="AJ79"/>
  <c r="AK79" s="1"/>
  <c r="AB79"/>
  <c r="AA79"/>
  <c r="Z79"/>
  <c r="Y79"/>
  <c r="X79"/>
  <c r="W79"/>
  <c r="I79"/>
  <c r="H79"/>
  <c r="G79"/>
  <c r="DO78"/>
  <c r="CZ78"/>
  <c r="CY78"/>
  <c r="S78" s="1"/>
  <c r="CS78"/>
  <c r="CR78"/>
  <c r="CQ78"/>
  <c r="BX78"/>
  <c r="BP78"/>
  <c r="BO78"/>
  <c r="BL78"/>
  <c r="BD78"/>
  <c r="AV78"/>
  <c r="AD78" s="1"/>
  <c r="CV78" s="1"/>
  <c r="AU78"/>
  <c r="AR78"/>
  <c r="Z78" s="1"/>
  <c r="AJ78"/>
  <c r="AK78" s="1"/>
  <c r="AB78"/>
  <c r="AA78"/>
  <c r="Y78"/>
  <c r="X78"/>
  <c r="W78"/>
  <c r="I78"/>
  <c r="H78"/>
  <c r="G78"/>
  <c r="DO77"/>
  <c r="CZ77"/>
  <c r="CY77"/>
  <c r="S77" s="1"/>
  <c r="CS77"/>
  <c r="CR77"/>
  <c r="CQ77"/>
  <c r="BP77"/>
  <c r="BO77"/>
  <c r="BN77"/>
  <c r="BD77"/>
  <c r="AV77"/>
  <c r="AD77" s="1"/>
  <c r="AU77"/>
  <c r="AT77"/>
  <c r="AJ77"/>
  <c r="AC77"/>
  <c r="AA77"/>
  <c r="Z77"/>
  <c r="Y77"/>
  <c r="X77"/>
  <c r="W77"/>
  <c r="I77"/>
  <c r="H77"/>
  <c r="G77"/>
  <c r="DO76"/>
  <c r="CZ76"/>
  <c r="CY76"/>
  <c r="CS76"/>
  <c r="CR76"/>
  <c r="CQ76"/>
  <c r="BP76"/>
  <c r="BO76"/>
  <c r="BN76"/>
  <c r="BD76"/>
  <c r="AV76"/>
  <c r="AD76" s="1"/>
  <c r="AU76"/>
  <c r="AC76" s="1"/>
  <c r="CU76" s="1"/>
  <c r="AT76"/>
  <c r="AJ76"/>
  <c r="AK76" s="1"/>
  <c r="AB76"/>
  <c r="AA76"/>
  <c r="Z76"/>
  <c r="Y76"/>
  <c r="X76"/>
  <c r="W76"/>
  <c r="S76"/>
  <c r="I76"/>
  <c r="H76"/>
  <c r="G76"/>
  <c r="DO75"/>
  <c r="CZ75"/>
  <c r="CY75"/>
  <c r="S75" s="1"/>
  <c r="CS75"/>
  <c r="CR75"/>
  <c r="CQ75"/>
  <c r="BP75"/>
  <c r="BO75"/>
  <c r="BN75"/>
  <c r="BQ75" s="1"/>
  <c r="BD75"/>
  <c r="AV75"/>
  <c r="AD75" s="1"/>
  <c r="DZ75" s="1"/>
  <c r="AU75"/>
  <c r="AC75" s="1"/>
  <c r="AT75"/>
  <c r="AJ75"/>
  <c r="AK75" s="1"/>
  <c r="AA75"/>
  <c r="Z75"/>
  <c r="Y75"/>
  <c r="X75"/>
  <c r="W75"/>
  <c r="I75"/>
  <c r="H75"/>
  <c r="G75"/>
  <c r="DO74"/>
  <c r="CZ74"/>
  <c r="CY74"/>
  <c r="S74" s="1"/>
  <c r="CS74"/>
  <c r="CR74"/>
  <c r="CQ74"/>
  <c r="BP74"/>
  <c r="BO74"/>
  <c r="BJ74"/>
  <c r="BD74"/>
  <c r="AV74"/>
  <c r="AD74" s="1"/>
  <c r="DZ74" s="1"/>
  <c r="AU74"/>
  <c r="AC74" s="1"/>
  <c r="AP74"/>
  <c r="AJ74"/>
  <c r="AK74" s="1"/>
  <c r="AB74"/>
  <c r="AA74"/>
  <c r="Z74"/>
  <c r="Y74"/>
  <c r="X74"/>
  <c r="W74"/>
  <c r="I74"/>
  <c r="H74"/>
  <c r="G74"/>
  <c r="DO73"/>
  <c r="CZ73"/>
  <c r="CY73"/>
  <c r="CS73"/>
  <c r="CR73"/>
  <c r="CQ73"/>
  <c r="BP73"/>
  <c r="BO73"/>
  <c r="BN73"/>
  <c r="BD73"/>
  <c r="AV73"/>
  <c r="AD73" s="1"/>
  <c r="DZ73" s="1"/>
  <c r="AU73"/>
  <c r="AT73"/>
  <c r="AJ73"/>
  <c r="AK73" s="1"/>
  <c r="AB73"/>
  <c r="AA73"/>
  <c r="Z73"/>
  <c r="Y73"/>
  <c r="X73"/>
  <c r="W73"/>
  <c r="S73"/>
  <c r="I73"/>
  <c r="H73"/>
  <c r="G73"/>
  <c r="DO72"/>
  <c r="CZ72"/>
  <c r="CY72"/>
  <c r="CS72"/>
  <c r="CR72"/>
  <c r="CQ72"/>
  <c r="BP72"/>
  <c r="BO72"/>
  <c r="BN72"/>
  <c r="BD72"/>
  <c r="AV72"/>
  <c r="AD72" s="1"/>
  <c r="AU72"/>
  <c r="AT72"/>
  <c r="AJ72"/>
  <c r="AK72" s="1"/>
  <c r="AB72"/>
  <c r="AA72"/>
  <c r="Z72"/>
  <c r="Y72"/>
  <c r="X72"/>
  <c r="W72"/>
  <c r="S72"/>
  <c r="I72"/>
  <c r="H72"/>
  <c r="G72"/>
  <c r="DO71"/>
  <c r="CZ71"/>
  <c r="CY71"/>
  <c r="CS71"/>
  <c r="CR71"/>
  <c r="CQ71"/>
  <c r="BP71"/>
  <c r="BO71"/>
  <c r="BJ71"/>
  <c r="BD71"/>
  <c r="AV71"/>
  <c r="AD71" s="1"/>
  <c r="AU71"/>
  <c r="AP71"/>
  <c r="AJ71"/>
  <c r="AK71" s="1"/>
  <c r="AB71"/>
  <c r="AA71"/>
  <c r="Z71"/>
  <c r="Y71"/>
  <c r="X71"/>
  <c r="W71"/>
  <c r="S71"/>
  <c r="I71"/>
  <c r="H71"/>
  <c r="G71"/>
  <c r="DO70"/>
  <c r="CZ70"/>
  <c r="CY70"/>
  <c r="S70" s="1"/>
  <c r="CS70"/>
  <c r="CR70"/>
  <c r="CQ70"/>
  <c r="BP70"/>
  <c r="BO70"/>
  <c r="BJ70"/>
  <c r="BD70"/>
  <c r="AV70"/>
  <c r="AD70" s="1"/>
  <c r="CV70" s="1"/>
  <c r="AU70"/>
  <c r="AP70"/>
  <c r="AJ70"/>
  <c r="AK70" s="1"/>
  <c r="AB70"/>
  <c r="AA70"/>
  <c r="Z70"/>
  <c r="Y70"/>
  <c r="X70"/>
  <c r="W70"/>
  <c r="I70"/>
  <c r="H70"/>
  <c r="G70"/>
  <c r="DO69"/>
  <c r="CZ69"/>
  <c r="CY69"/>
  <c r="CS69"/>
  <c r="CR69"/>
  <c r="CQ69"/>
  <c r="BP69"/>
  <c r="BO69"/>
  <c r="BN69"/>
  <c r="BD69"/>
  <c r="AV69"/>
  <c r="AU69"/>
  <c r="AT69"/>
  <c r="AJ69"/>
  <c r="AK69" s="1"/>
  <c r="AD69"/>
  <c r="AB69"/>
  <c r="AA69"/>
  <c r="Z69"/>
  <c r="Y69"/>
  <c r="X69"/>
  <c r="W69"/>
  <c r="S69"/>
  <c r="I69"/>
  <c r="H69"/>
  <c r="G69"/>
  <c r="DO68"/>
  <c r="CZ68"/>
  <c r="CY68"/>
  <c r="S68" s="1"/>
  <c r="CS68"/>
  <c r="CR68"/>
  <c r="CQ68"/>
  <c r="BP68"/>
  <c r="BO68"/>
  <c r="BN68"/>
  <c r="BD68"/>
  <c r="AV68"/>
  <c r="AD68" s="1"/>
  <c r="AU68"/>
  <c r="AT68"/>
  <c r="AJ68"/>
  <c r="AC68"/>
  <c r="AA68"/>
  <c r="Z68"/>
  <c r="Y68"/>
  <c r="X68"/>
  <c r="W68"/>
  <c r="I68"/>
  <c r="H68"/>
  <c r="G68"/>
  <c r="DO67"/>
  <c r="CZ67"/>
  <c r="CY67"/>
  <c r="CS67"/>
  <c r="CR67"/>
  <c r="CQ67"/>
  <c r="BP67"/>
  <c r="BO67"/>
  <c r="BJ67"/>
  <c r="BD67"/>
  <c r="AV67"/>
  <c r="AD67" s="1"/>
  <c r="AU67"/>
  <c r="AP67"/>
  <c r="AJ67"/>
  <c r="AC67"/>
  <c r="AB67"/>
  <c r="AA67"/>
  <c r="Z67"/>
  <c r="Y67"/>
  <c r="W67"/>
  <c r="S67"/>
  <c r="I67"/>
  <c r="H67"/>
  <c r="G67"/>
  <c r="DO66"/>
  <c r="CZ66"/>
  <c r="CY66"/>
  <c r="CS66"/>
  <c r="CR66"/>
  <c r="CQ66"/>
  <c r="BP66"/>
  <c r="BO66"/>
  <c r="BN66"/>
  <c r="BD66"/>
  <c r="AV66"/>
  <c r="AD66" s="1"/>
  <c r="AU66"/>
  <c r="AT66"/>
  <c r="AJ66"/>
  <c r="AC66"/>
  <c r="AA66"/>
  <c r="Z66"/>
  <c r="Y66"/>
  <c r="X66"/>
  <c r="W66"/>
  <c r="S66"/>
  <c r="I66"/>
  <c r="H66"/>
  <c r="G66"/>
  <c r="DO65"/>
  <c r="CZ65"/>
  <c r="CY65"/>
  <c r="S65" s="1"/>
  <c r="CS65"/>
  <c r="CR65"/>
  <c r="CQ65"/>
  <c r="BP65"/>
  <c r="BO65"/>
  <c r="BN65"/>
  <c r="BD65"/>
  <c r="AV65"/>
  <c r="AD65" s="1"/>
  <c r="AU65"/>
  <c r="AT65"/>
  <c r="AJ65"/>
  <c r="AC65"/>
  <c r="AA65"/>
  <c r="Z65"/>
  <c r="Y65"/>
  <c r="X65"/>
  <c r="W65"/>
  <c r="I65"/>
  <c r="H65"/>
  <c r="G65"/>
  <c r="DO64"/>
  <c r="CZ64"/>
  <c r="CY64"/>
  <c r="S64" s="1"/>
  <c r="CS64"/>
  <c r="CR64"/>
  <c r="CQ64"/>
  <c r="BP64"/>
  <c r="BO64"/>
  <c r="BN64"/>
  <c r="BD64"/>
  <c r="AV64"/>
  <c r="AD64" s="1"/>
  <c r="AU64"/>
  <c r="AT64"/>
  <c r="AJ64"/>
  <c r="AC64"/>
  <c r="AA64"/>
  <c r="Z64"/>
  <c r="Y64"/>
  <c r="X64"/>
  <c r="W64"/>
  <c r="I64"/>
  <c r="H64"/>
  <c r="G64"/>
  <c r="DO63"/>
  <c r="CZ63"/>
  <c r="CY63"/>
  <c r="S63" s="1"/>
  <c r="CS63"/>
  <c r="CR63"/>
  <c r="CQ63"/>
  <c r="BP63"/>
  <c r="BO63"/>
  <c r="BK63"/>
  <c r="BD63"/>
  <c r="AV63"/>
  <c r="AD63" s="1"/>
  <c r="AU63"/>
  <c r="AQ63"/>
  <c r="Y63" s="1"/>
  <c r="AJ63"/>
  <c r="AC63"/>
  <c r="AB63"/>
  <c r="AA63"/>
  <c r="Z63"/>
  <c r="X63"/>
  <c r="W63"/>
  <c r="I63"/>
  <c r="H63"/>
  <c r="G63"/>
  <c r="DO62"/>
  <c r="CZ62"/>
  <c r="CY62"/>
  <c r="CS62"/>
  <c r="CR62"/>
  <c r="CQ62"/>
  <c r="BP62"/>
  <c r="BO62"/>
  <c r="BN62"/>
  <c r="BD62"/>
  <c r="AV62"/>
  <c r="AD62" s="1"/>
  <c r="AU62"/>
  <c r="AT62"/>
  <c r="AJ62"/>
  <c r="AC62"/>
  <c r="AA62"/>
  <c r="Z62"/>
  <c r="Y62"/>
  <c r="X62"/>
  <c r="W62"/>
  <c r="S62"/>
  <c r="I62"/>
  <c r="H62"/>
  <c r="G62"/>
  <c r="DO61"/>
  <c r="CZ61"/>
  <c r="CY61"/>
  <c r="S61" s="1"/>
  <c r="CS61"/>
  <c r="CR61"/>
  <c r="CQ61"/>
  <c r="BP61"/>
  <c r="BO61"/>
  <c r="BJ61"/>
  <c r="BD61"/>
  <c r="AV61"/>
  <c r="AD61" s="1"/>
  <c r="AU61"/>
  <c r="AP61"/>
  <c r="AJ61"/>
  <c r="AC61"/>
  <c r="AB61"/>
  <c r="AA61"/>
  <c r="Z61"/>
  <c r="Y61"/>
  <c r="W61"/>
  <c r="I61"/>
  <c r="H61"/>
  <c r="G61"/>
  <c r="DO60"/>
  <c r="CZ60"/>
  <c r="CY60"/>
  <c r="S60" s="1"/>
  <c r="CS60"/>
  <c r="CR60"/>
  <c r="CQ60"/>
  <c r="BP60"/>
  <c r="BO60"/>
  <c r="BL60"/>
  <c r="BD60"/>
  <c r="AV60"/>
  <c r="AD60" s="1"/>
  <c r="AU60"/>
  <c r="AR60"/>
  <c r="AJ60"/>
  <c r="AC60"/>
  <c r="AB60"/>
  <c r="AA60"/>
  <c r="Y60"/>
  <c r="X60"/>
  <c r="W60"/>
  <c r="I60"/>
  <c r="H60"/>
  <c r="G60"/>
  <c r="DO59"/>
  <c r="CZ59"/>
  <c r="CY59"/>
  <c r="S59" s="1"/>
  <c r="CS59"/>
  <c r="CR59"/>
  <c r="CQ59"/>
  <c r="BP59"/>
  <c r="BO59"/>
  <c r="BJ59"/>
  <c r="BD59"/>
  <c r="AV59"/>
  <c r="AD59" s="1"/>
  <c r="AU59"/>
  <c r="AP59"/>
  <c r="AJ59"/>
  <c r="AK59" s="1"/>
  <c r="AB59"/>
  <c r="AA59"/>
  <c r="Z59"/>
  <c r="Y59"/>
  <c r="X59"/>
  <c r="W59"/>
  <c r="I59"/>
  <c r="H59"/>
  <c r="G59"/>
  <c r="DO58"/>
  <c r="CZ58"/>
  <c r="CY58"/>
  <c r="CS58"/>
  <c r="CR58"/>
  <c r="CQ58"/>
  <c r="BP58"/>
  <c r="BO58"/>
  <c r="BN58"/>
  <c r="BD58"/>
  <c r="AV58"/>
  <c r="AU58"/>
  <c r="AT58"/>
  <c r="AJ58"/>
  <c r="AK58" s="1"/>
  <c r="AD58"/>
  <c r="AB58"/>
  <c r="AA58"/>
  <c r="Z58"/>
  <c r="Y58"/>
  <c r="X58"/>
  <c r="W58"/>
  <c r="S58"/>
  <c r="I58"/>
  <c r="H58"/>
  <c r="G58"/>
  <c r="DO57"/>
  <c r="CZ57"/>
  <c r="CY57"/>
  <c r="CS57"/>
  <c r="CR57"/>
  <c r="CQ57"/>
  <c r="BP57"/>
  <c r="BO57"/>
  <c r="BJ57"/>
  <c r="BD57"/>
  <c r="AV57"/>
  <c r="AD57" s="1"/>
  <c r="AU57"/>
  <c r="AP57"/>
  <c r="AJ57"/>
  <c r="AK57" s="1"/>
  <c r="AB57"/>
  <c r="AA57"/>
  <c r="Z57"/>
  <c r="Y57"/>
  <c r="X57"/>
  <c r="W57"/>
  <c r="S57"/>
  <c r="I57"/>
  <c r="H57"/>
  <c r="G57"/>
  <c r="DO56"/>
  <c r="CZ56"/>
  <c r="CY56"/>
  <c r="S56" s="1"/>
  <c r="CS56"/>
  <c r="CR56"/>
  <c r="CQ56"/>
  <c r="BP56"/>
  <c r="BO56"/>
  <c r="BJ56"/>
  <c r="BD56"/>
  <c r="AV56"/>
  <c r="AU56"/>
  <c r="AC56" s="1"/>
  <c r="AP56"/>
  <c r="AJ56"/>
  <c r="AK56" s="1"/>
  <c r="AD56"/>
  <c r="DZ56" s="1"/>
  <c r="AB56"/>
  <c r="AA56"/>
  <c r="Z56"/>
  <c r="Y56"/>
  <c r="W56"/>
  <c r="I56"/>
  <c r="H56"/>
  <c r="G56"/>
  <c r="DO55"/>
  <c r="CZ55"/>
  <c r="CY55"/>
  <c r="CS55"/>
  <c r="CR55"/>
  <c r="CQ55"/>
  <c r="BP55"/>
  <c r="BO55"/>
  <c r="BN55"/>
  <c r="BD55"/>
  <c r="AV55"/>
  <c r="AD55" s="1"/>
  <c r="DZ55" s="1"/>
  <c r="AU55"/>
  <c r="AC55" s="1"/>
  <c r="AT55"/>
  <c r="AJ55"/>
  <c r="AK55" s="1"/>
  <c r="AB55"/>
  <c r="AA55"/>
  <c r="Z55"/>
  <c r="Y55"/>
  <c r="X55"/>
  <c r="W55"/>
  <c r="S55"/>
  <c r="I55"/>
  <c r="H55"/>
  <c r="G55"/>
  <c r="DO54"/>
  <c r="CZ54"/>
  <c r="CY54"/>
  <c r="S54" s="1"/>
  <c r="CS54"/>
  <c r="CR54"/>
  <c r="CQ54"/>
  <c r="BP54"/>
  <c r="BO54"/>
  <c r="BL54"/>
  <c r="BD54"/>
  <c r="AV54"/>
  <c r="AU54"/>
  <c r="AC54" s="1"/>
  <c r="AR54"/>
  <c r="Z54" s="1"/>
  <c r="AJ54"/>
  <c r="AK54" s="1"/>
  <c r="AB54"/>
  <c r="AA54"/>
  <c r="Y54"/>
  <c r="X54"/>
  <c r="W54"/>
  <c r="I54"/>
  <c r="H54"/>
  <c r="G54"/>
  <c r="DO53"/>
  <c r="CZ53"/>
  <c r="CY53"/>
  <c r="S53" s="1"/>
  <c r="CS53"/>
  <c r="CR53"/>
  <c r="CQ53"/>
  <c r="BP53"/>
  <c r="BO53"/>
  <c r="BQ53" s="1"/>
  <c r="BN53"/>
  <c r="BD53"/>
  <c r="AV53"/>
  <c r="AD53" s="1"/>
  <c r="AU53"/>
  <c r="AT53"/>
  <c r="AJ53"/>
  <c r="AC53"/>
  <c r="CU53" s="1"/>
  <c r="AA53"/>
  <c r="Z53"/>
  <c r="Y53"/>
  <c r="X53"/>
  <c r="W53"/>
  <c r="I53"/>
  <c r="H53"/>
  <c r="G53"/>
  <c r="DO52"/>
  <c r="CZ52"/>
  <c r="CY52"/>
  <c r="CS52"/>
  <c r="CR52"/>
  <c r="CQ52"/>
  <c r="DE52" s="1"/>
  <c r="BP52"/>
  <c r="BO52"/>
  <c r="BL52"/>
  <c r="BD52"/>
  <c r="AV52"/>
  <c r="AU52"/>
  <c r="AW52" s="1"/>
  <c r="AR52"/>
  <c r="AK52"/>
  <c r="AJ52"/>
  <c r="AD52"/>
  <c r="CV52" s="1"/>
  <c r="AB52"/>
  <c r="AA52"/>
  <c r="Z52"/>
  <c r="Y52"/>
  <c r="X52"/>
  <c r="W52"/>
  <c r="S52"/>
  <c r="I52"/>
  <c r="H52"/>
  <c r="G52"/>
  <c r="DO51"/>
  <c r="CZ51"/>
  <c r="CY51"/>
  <c r="S51" s="1"/>
  <c r="CS51"/>
  <c r="CR51"/>
  <c r="CQ51"/>
  <c r="BP51"/>
  <c r="BO51"/>
  <c r="BJ51"/>
  <c r="BQ51" s="1"/>
  <c r="BD51"/>
  <c r="AV51"/>
  <c r="AD51" s="1"/>
  <c r="CV51" s="1"/>
  <c r="AU51"/>
  <c r="AP51"/>
  <c r="AJ51"/>
  <c r="AK51" s="1"/>
  <c r="AB51"/>
  <c r="AA51"/>
  <c r="Z51"/>
  <c r="Y51"/>
  <c r="X51"/>
  <c r="W51"/>
  <c r="I51"/>
  <c r="H51"/>
  <c r="G51"/>
  <c r="DO50"/>
  <c r="CZ50"/>
  <c r="CY50"/>
  <c r="CS50"/>
  <c r="CR50"/>
  <c r="CQ50"/>
  <c r="BP50"/>
  <c r="BO50"/>
  <c r="BL50"/>
  <c r="BD50"/>
  <c r="AV50"/>
  <c r="AD50" s="1"/>
  <c r="CV50" s="1"/>
  <c r="AU50"/>
  <c r="AR50"/>
  <c r="AJ50"/>
  <c r="AK50" s="1"/>
  <c r="AB50"/>
  <c r="AA50"/>
  <c r="Z50"/>
  <c r="Y50"/>
  <c r="X50"/>
  <c r="W50"/>
  <c r="S50"/>
  <c r="I50"/>
  <c r="H50"/>
  <c r="G50"/>
  <c r="DO49"/>
  <c r="CZ49"/>
  <c r="CY49"/>
  <c r="S49" s="1"/>
  <c r="CS49"/>
  <c r="CR49"/>
  <c r="CQ49"/>
  <c r="BP49"/>
  <c r="BO49"/>
  <c r="BN49"/>
  <c r="BQ49" s="1"/>
  <c r="BD49"/>
  <c r="AV49"/>
  <c r="AD49" s="1"/>
  <c r="CV49" s="1"/>
  <c r="AU49"/>
  <c r="AT49"/>
  <c r="AJ49"/>
  <c r="AK49" s="1"/>
  <c r="AB49"/>
  <c r="AA49"/>
  <c r="Z49"/>
  <c r="Y49"/>
  <c r="X49"/>
  <c r="W49"/>
  <c r="I49"/>
  <c r="H49"/>
  <c r="G49"/>
  <c r="DO48"/>
  <c r="CZ48"/>
  <c r="CY48"/>
  <c r="CS48"/>
  <c r="CR48"/>
  <c r="CQ48"/>
  <c r="BP48"/>
  <c r="BO48"/>
  <c r="BJ48"/>
  <c r="BD48"/>
  <c r="AV48"/>
  <c r="AD48" s="1"/>
  <c r="AU48"/>
  <c r="AP48"/>
  <c r="AJ48"/>
  <c r="AK48" s="1"/>
  <c r="AB48"/>
  <c r="AA48"/>
  <c r="Z48"/>
  <c r="Y48"/>
  <c r="X48"/>
  <c r="W48"/>
  <c r="S48"/>
  <c r="I48"/>
  <c r="H48"/>
  <c r="G48"/>
  <c r="DO47"/>
  <c r="CZ47"/>
  <c r="CY47"/>
  <c r="CS47"/>
  <c r="CR47"/>
  <c r="CQ47"/>
  <c r="BP47"/>
  <c r="BO47"/>
  <c r="BJ47"/>
  <c r="BD47"/>
  <c r="AV47"/>
  <c r="AD47" s="1"/>
  <c r="AU47"/>
  <c r="AP47"/>
  <c r="AJ47"/>
  <c r="AC47"/>
  <c r="AB47"/>
  <c r="AA47"/>
  <c r="Z47"/>
  <c r="Y47"/>
  <c r="W47"/>
  <c r="S47"/>
  <c r="I47"/>
  <c r="H47"/>
  <c r="G47"/>
  <c r="DO46"/>
  <c r="CZ46"/>
  <c r="CY46"/>
  <c r="S46" s="1"/>
  <c r="CS46"/>
  <c r="CR46"/>
  <c r="CQ46"/>
  <c r="BP46"/>
  <c r="BO46"/>
  <c r="BM46"/>
  <c r="BD46"/>
  <c r="AV46"/>
  <c r="AD46" s="1"/>
  <c r="AU46"/>
  <c r="AS46"/>
  <c r="AA46" s="1"/>
  <c r="AJ46"/>
  <c r="AC46"/>
  <c r="AB46"/>
  <c r="Z46"/>
  <c r="Y46"/>
  <c r="X46"/>
  <c r="W46"/>
  <c r="I46"/>
  <c r="H46"/>
  <c r="G46"/>
  <c r="DO45"/>
  <c r="CZ45"/>
  <c r="CY45"/>
  <c r="S45" s="1"/>
  <c r="CS45"/>
  <c r="CR45"/>
  <c r="CQ45"/>
  <c r="BP45"/>
  <c r="BO45"/>
  <c r="BJ45"/>
  <c r="BD45"/>
  <c r="AV45"/>
  <c r="AD45" s="1"/>
  <c r="AU45"/>
  <c r="AP45"/>
  <c r="AJ45"/>
  <c r="AK45" s="1"/>
  <c r="AB45"/>
  <c r="AA45"/>
  <c r="Z45"/>
  <c r="Y45"/>
  <c r="X45"/>
  <c r="W45"/>
  <c r="I45"/>
  <c r="H45"/>
  <c r="G45"/>
  <c r="DO44"/>
  <c r="CZ44"/>
  <c r="CY44"/>
  <c r="CS44"/>
  <c r="CR44"/>
  <c r="CQ44"/>
  <c r="BP44"/>
  <c r="BO44"/>
  <c r="BJ44"/>
  <c r="BD44"/>
  <c r="AV44"/>
  <c r="AD44" s="1"/>
  <c r="AU44"/>
  <c r="AP44"/>
  <c r="AJ44"/>
  <c r="AK44" s="1"/>
  <c r="AG44"/>
  <c r="AH44" s="1"/>
  <c r="AB44"/>
  <c r="AA44"/>
  <c r="Z44"/>
  <c r="Y44"/>
  <c r="X44"/>
  <c r="W44"/>
  <c r="S44"/>
  <c r="I44"/>
  <c r="H44"/>
  <c r="G44"/>
  <c r="DO43"/>
  <c r="CZ43"/>
  <c r="CY43"/>
  <c r="S43" s="1"/>
  <c r="CS43"/>
  <c r="CR43"/>
  <c r="CQ43"/>
  <c r="BP43"/>
  <c r="BO43"/>
  <c r="BJ43"/>
  <c r="BD43"/>
  <c r="AV43"/>
  <c r="AD43" s="1"/>
  <c r="AU43"/>
  <c r="AP43"/>
  <c r="AJ43"/>
  <c r="AC43"/>
  <c r="AB43"/>
  <c r="AA43"/>
  <c r="Z43"/>
  <c r="Y43"/>
  <c r="W43"/>
  <c r="I43"/>
  <c r="H43"/>
  <c r="G43"/>
  <c r="DO42"/>
  <c r="CZ42"/>
  <c r="CY42"/>
  <c r="CS42"/>
  <c r="CR42"/>
  <c r="CQ42"/>
  <c r="BP42"/>
  <c r="BO42"/>
  <c r="BN42"/>
  <c r="BD42"/>
  <c r="AV42"/>
  <c r="AD42" s="1"/>
  <c r="AU42"/>
  <c r="AT42"/>
  <c r="AJ42"/>
  <c r="AC42"/>
  <c r="AA42"/>
  <c r="Z42"/>
  <c r="Y42"/>
  <c r="X42"/>
  <c r="W42"/>
  <c r="S42"/>
  <c r="I42"/>
  <c r="H42"/>
  <c r="G42"/>
  <c r="DO41"/>
  <c r="CZ41"/>
  <c r="CY41"/>
  <c r="S41" s="1"/>
  <c r="CS41"/>
  <c r="CR41"/>
  <c r="CQ41"/>
  <c r="BP41"/>
  <c r="BO41"/>
  <c r="BN41"/>
  <c r="BD41"/>
  <c r="AV41"/>
  <c r="AD41" s="1"/>
  <c r="AU41"/>
  <c r="AT41"/>
  <c r="AJ41"/>
  <c r="AC41"/>
  <c r="AA41"/>
  <c r="Z41"/>
  <c r="Y41"/>
  <c r="X41"/>
  <c r="W41"/>
  <c r="I41"/>
  <c r="H41"/>
  <c r="G41"/>
  <c r="DO40"/>
  <c r="CZ40"/>
  <c r="CY40"/>
  <c r="S40" s="1"/>
  <c r="CS40"/>
  <c r="CR40"/>
  <c r="CQ40"/>
  <c r="BP40"/>
  <c r="BO40"/>
  <c r="BN40"/>
  <c r="BD40"/>
  <c r="AV40"/>
  <c r="AD40" s="1"/>
  <c r="AU40"/>
  <c r="AT40"/>
  <c r="AJ40"/>
  <c r="AC40"/>
  <c r="AA40"/>
  <c r="Z40"/>
  <c r="Y40"/>
  <c r="X40"/>
  <c r="W40"/>
  <c r="I40"/>
  <c r="H40"/>
  <c r="G40"/>
  <c r="DO39"/>
  <c r="CZ39"/>
  <c r="CY39"/>
  <c r="CS39"/>
  <c r="CR39"/>
  <c r="CQ39"/>
  <c r="BP39"/>
  <c r="BO39"/>
  <c r="BN39"/>
  <c r="BD39"/>
  <c r="AV39"/>
  <c r="AD39" s="1"/>
  <c r="AU39"/>
  <c r="AT39"/>
  <c r="AJ39"/>
  <c r="AK39" s="1"/>
  <c r="AB39"/>
  <c r="AA39"/>
  <c r="Z39"/>
  <c r="Y39"/>
  <c r="X39"/>
  <c r="W39"/>
  <c r="S39"/>
  <c r="I39"/>
  <c r="H39"/>
  <c r="G39"/>
  <c r="DO38"/>
  <c r="CZ38"/>
  <c r="CY38"/>
  <c r="S38" s="1"/>
  <c r="CS38"/>
  <c r="CR38"/>
  <c r="CQ38"/>
  <c r="BP38"/>
  <c r="BO38"/>
  <c r="BJ38"/>
  <c r="BD38"/>
  <c r="AV38"/>
  <c r="AD38" s="1"/>
  <c r="AU38"/>
  <c r="AP38"/>
  <c r="AJ38"/>
  <c r="AK38" s="1"/>
  <c r="AB38"/>
  <c r="AA38"/>
  <c r="Z38"/>
  <c r="Y38"/>
  <c r="X38"/>
  <c r="W38"/>
  <c r="I38"/>
  <c r="H38"/>
  <c r="G38"/>
  <c r="DO37"/>
  <c r="CZ37"/>
  <c r="CY37"/>
  <c r="CS37"/>
  <c r="CR37"/>
  <c r="CQ37"/>
  <c r="BP37"/>
  <c r="BO37"/>
  <c r="BN37"/>
  <c r="BD37"/>
  <c r="AV37"/>
  <c r="AD37" s="1"/>
  <c r="CV37" s="1"/>
  <c r="AU37"/>
  <c r="AT37"/>
  <c r="AJ37"/>
  <c r="AK37" s="1"/>
  <c r="AB37"/>
  <c r="AA37"/>
  <c r="Z37"/>
  <c r="Y37"/>
  <c r="X37"/>
  <c r="W37"/>
  <c r="S37"/>
  <c r="I37"/>
  <c r="H37"/>
  <c r="G37"/>
  <c r="DO36"/>
  <c r="CZ36"/>
  <c r="CY36"/>
  <c r="CS36"/>
  <c r="CR36"/>
  <c r="CQ36"/>
  <c r="BP36"/>
  <c r="BO36"/>
  <c r="BJ36"/>
  <c r="BD36"/>
  <c r="AV36"/>
  <c r="AU36"/>
  <c r="AP36"/>
  <c r="X36" s="1"/>
  <c r="AJ36"/>
  <c r="AK36" s="1"/>
  <c r="AD36"/>
  <c r="AB36"/>
  <c r="AA36"/>
  <c r="Z36"/>
  <c r="Y36"/>
  <c r="W36"/>
  <c r="S36"/>
  <c r="I36"/>
  <c r="H36"/>
  <c r="G36"/>
  <c r="DO35"/>
  <c r="CZ35"/>
  <c r="CY35"/>
  <c r="S35" s="1"/>
  <c r="CS35"/>
  <c r="CR35"/>
  <c r="CQ35"/>
  <c r="BP35"/>
  <c r="BO35"/>
  <c r="BN35"/>
  <c r="BD35"/>
  <c r="AV35"/>
  <c r="AD35" s="1"/>
  <c r="AU35"/>
  <c r="AT35"/>
  <c r="AJ35"/>
  <c r="AK35" s="1"/>
  <c r="AB35"/>
  <c r="AA35"/>
  <c r="Z35"/>
  <c r="Y35"/>
  <c r="X35"/>
  <c r="W35"/>
  <c r="I35"/>
  <c r="H35"/>
  <c r="G35"/>
  <c r="DO34"/>
  <c r="CZ34"/>
  <c r="CY34"/>
  <c r="S34" s="1"/>
  <c r="CS34"/>
  <c r="CR34"/>
  <c r="CQ34"/>
  <c r="BP34"/>
  <c r="BO34"/>
  <c r="BN34"/>
  <c r="BD34"/>
  <c r="AV34"/>
  <c r="AD34" s="1"/>
  <c r="CV34" s="1"/>
  <c r="AU34"/>
  <c r="AT34"/>
  <c r="AJ34"/>
  <c r="AK34" s="1"/>
  <c r="AB34"/>
  <c r="AA34"/>
  <c r="Z34"/>
  <c r="Y34"/>
  <c r="X34"/>
  <c r="W34"/>
  <c r="I34"/>
  <c r="H34"/>
  <c r="G34"/>
  <c r="DO33"/>
  <c r="CZ33"/>
  <c r="CY33"/>
  <c r="S33" s="1"/>
  <c r="CS33"/>
  <c r="CR33"/>
  <c r="CQ33"/>
  <c r="BP33"/>
  <c r="BO33"/>
  <c r="BJ33"/>
  <c r="BD33"/>
  <c r="AV33"/>
  <c r="AD33" s="1"/>
  <c r="AU33"/>
  <c r="AP33"/>
  <c r="AJ33"/>
  <c r="AB33"/>
  <c r="AA33"/>
  <c r="Z33"/>
  <c r="Y33"/>
  <c r="X33"/>
  <c r="W33"/>
  <c r="I33"/>
  <c r="H33"/>
  <c r="G33"/>
  <c r="DO32"/>
  <c r="CZ32"/>
  <c r="CY32"/>
  <c r="S32" s="1"/>
  <c r="CS32"/>
  <c r="CR32"/>
  <c r="CQ32"/>
  <c r="BP32"/>
  <c r="BO32"/>
  <c r="BM32"/>
  <c r="BD32"/>
  <c r="AV32"/>
  <c r="AD32" s="1"/>
  <c r="AU32"/>
  <c r="AS32"/>
  <c r="AJ32"/>
  <c r="AC32"/>
  <c r="AB32"/>
  <c r="Z32"/>
  <c r="Y32"/>
  <c r="X32"/>
  <c r="W32"/>
  <c r="I32"/>
  <c r="H32"/>
  <c r="G32"/>
  <c r="CZ31"/>
  <c r="CY31"/>
  <c r="CS31"/>
  <c r="CR31"/>
  <c r="CQ31"/>
  <c r="BP31"/>
  <c r="BO31"/>
  <c r="BN31"/>
  <c r="BD31"/>
  <c r="AV31"/>
  <c r="AD31" s="1"/>
  <c r="CV31" s="1"/>
  <c r="AU31"/>
  <c r="AT31"/>
  <c r="AJ31"/>
  <c r="AK31" s="1"/>
  <c r="AB31"/>
  <c r="AA31"/>
  <c r="Z31"/>
  <c r="Y31"/>
  <c r="X31"/>
  <c r="W31"/>
  <c r="S31"/>
  <c r="I31"/>
  <c r="H31"/>
  <c r="G31"/>
  <c r="DO30"/>
  <c r="CZ30"/>
  <c r="CY30"/>
  <c r="S30" s="1"/>
  <c r="CS30"/>
  <c r="CR30"/>
  <c r="CQ30"/>
  <c r="BP30"/>
  <c r="BP7" s="1"/>
  <c r="BO30"/>
  <c r="BJ30"/>
  <c r="BD30"/>
  <c r="AV30"/>
  <c r="AD30" s="1"/>
  <c r="AU30"/>
  <c r="AP30"/>
  <c r="AJ30"/>
  <c r="AK30" s="1"/>
  <c r="AB30"/>
  <c r="AA30"/>
  <c r="Z30"/>
  <c r="Y30"/>
  <c r="X30"/>
  <c r="W30"/>
  <c r="I30"/>
  <c r="H30"/>
  <c r="G30"/>
  <c r="DO29"/>
  <c r="CZ29"/>
  <c r="CY29"/>
  <c r="S29" s="1"/>
  <c r="CS29"/>
  <c r="CR29"/>
  <c r="CQ29"/>
  <c r="BX29"/>
  <c r="BP29"/>
  <c r="BO29"/>
  <c r="BJ29"/>
  <c r="BD29"/>
  <c r="AV29"/>
  <c r="AD29" s="1"/>
  <c r="CV29" s="1"/>
  <c r="AU29"/>
  <c r="AP29"/>
  <c r="AJ29"/>
  <c r="AK29" s="1"/>
  <c r="AB29"/>
  <c r="AA29"/>
  <c r="Z29"/>
  <c r="Y29"/>
  <c r="X29"/>
  <c r="W29"/>
  <c r="I29"/>
  <c r="H29"/>
  <c r="G29"/>
  <c r="DO28"/>
  <c r="CZ28"/>
  <c r="CY28"/>
  <c r="S28" s="1"/>
  <c r="CS28"/>
  <c r="CR28"/>
  <c r="CQ28"/>
  <c r="BP28"/>
  <c r="BO28"/>
  <c r="BJ28"/>
  <c r="BD28"/>
  <c r="AV28"/>
  <c r="AU28"/>
  <c r="AP28"/>
  <c r="X28" s="1"/>
  <c r="AJ28"/>
  <c r="AK28" s="1"/>
  <c r="AD28"/>
  <c r="CV28" s="1"/>
  <c r="AB28"/>
  <c r="AA28"/>
  <c r="Z28"/>
  <c r="Y28"/>
  <c r="W28"/>
  <c r="I28"/>
  <c r="H28"/>
  <c r="G28"/>
  <c r="DO27"/>
  <c r="CZ27"/>
  <c r="CY27"/>
  <c r="CS27"/>
  <c r="CR27"/>
  <c r="CQ27"/>
  <c r="DE27" s="1"/>
  <c r="BP27"/>
  <c r="BO27"/>
  <c r="BQ27" s="1"/>
  <c r="BJ27"/>
  <c r="BD27"/>
  <c r="AV27"/>
  <c r="AD27" s="1"/>
  <c r="AU27"/>
  <c r="AP27"/>
  <c r="AJ27"/>
  <c r="AC27"/>
  <c r="CU27" s="1"/>
  <c r="AB27"/>
  <c r="AA27"/>
  <c r="Z27"/>
  <c r="Y27"/>
  <c r="W27"/>
  <c r="S27"/>
  <c r="I27"/>
  <c r="H27"/>
  <c r="G27"/>
  <c r="DO26"/>
  <c r="CZ26"/>
  <c r="CY26"/>
  <c r="CS26"/>
  <c r="CR26"/>
  <c r="CQ26"/>
  <c r="DE26" s="1"/>
  <c r="BP26"/>
  <c r="BO26"/>
  <c r="BQ26" s="1"/>
  <c r="BD26"/>
  <c r="AV26"/>
  <c r="AD26" s="1"/>
  <c r="CV26" s="1"/>
  <c r="AU26"/>
  <c r="AJ26"/>
  <c r="AB26"/>
  <c r="AA26"/>
  <c r="Z26"/>
  <c r="Y26"/>
  <c r="X26"/>
  <c r="W26"/>
  <c r="S26"/>
  <c r="H26"/>
  <c r="P26" s="1"/>
  <c r="DO25"/>
  <c r="CZ25"/>
  <c r="CY25"/>
  <c r="S25" s="1"/>
  <c r="CS25"/>
  <c r="CR25"/>
  <c r="CQ25"/>
  <c r="BP25"/>
  <c r="BO25"/>
  <c r="BJ25"/>
  <c r="BD25"/>
  <c r="AV25"/>
  <c r="AD25" s="1"/>
  <c r="AU25"/>
  <c r="AP25"/>
  <c r="AJ25"/>
  <c r="AB25"/>
  <c r="AA25"/>
  <c r="Z25"/>
  <c r="Y25"/>
  <c r="X25"/>
  <c r="W25"/>
  <c r="I25"/>
  <c r="H25"/>
  <c r="G25"/>
  <c r="DO24"/>
  <c r="CZ24"/>
  <c r="CY24"/>
  <c r="CS24"/>
  <c r="CR24"/>
  <c r="CQ24"/>
  <c r="BP24"/>
  <c r="BO24"/>
  <c r="BJ24"/>
  <c r="BD24"/>
  <c r="AV24"/>
  <c r="AD24" s="1"/>
  <c r="AU24"/>
  <c r="AP24"/>
  <c r="AJ24"/>
  <c r="AK24" s="1"/>
  <c r="AB24"/>
  <c r="AA24"/>
  <c r="Z24"/>
  <c r="Y24"/>
  <c r="X24"/>
  <c r="W24"/>
  <c r="S24"/>
  <c r="I24"/>
  <c r="H24"/>
  <c r="G24"/>
  <c r="DO23"/>
  <c r="CZ23"/>
  <c r="CY23"/>
  <c r="S23" s="1"/>
  <c r="CS23"/>
  <c r="CR23"/>
  <c r="CQ23"/>
  <c r="BP23"/>
  <c r="BO23"/>
  <c r="BJ23"/>
  <c r="BD23"/>
  <c r="AV23"/>
  <c r="AD23" s="1"/>
  <c r="AU23"/>
  <c r="AC23" s="1"/>
  <c r="AP23"/>
  <c r="AJ23"/>
  <c r="AK23" s="1"/>
  <c r="AB23"/>
  <c r="AA23"/>
  <c r="Z23"/>
  <c r="Y23"/>
  <c r="W23"/>
  <c r="I23"/>
  <c r="H23"/>
  <c r="G23"/>
  <c r="DO22"/>
  <c r="CZ22"/>
  <c r="CY22"/>
  <c r="S22" s="1"/>
  <c r="CS22"/>
  <c r="CR22"/>
  <c r="CQ22"/>
  <c r="BP22"/>
  <c r="BO22"/>
  <c r="BJ22"/>
  <c r="BD22"/>
  <c r="AV22"/>
  <c r="AD22" s="1"/>
  <c r="AU22"/>
  <c r="AC22" s="1"/>
  <c r="AP22"/>
  <c r="AJ22"/>
  <c r="AB22"/>
  <c r="AA22"/>
  <c r="Z22"/>
  <c r="Y22"/>
  <c r="X22"/>
  <c r="W22"/>
  <c r="I22"/>
  <c r="H22"/>
  <c r="G22"/>
  <c r="DO21"/>
  <c r="CZ21"/>
  <c r="CY21"/>
  <c r="CS21"/>
  <c r="CR21"/>
  <c r="CQ21"/>
  <c r="BX21"/>
  <c r="BP21"/>
  <c r="BO21"/>
  <c r="BJ21"/>
  <c r="BD21"/>
  <c r="AV21"/>
  <c r="AU21"/>
  <c r="AC21" s="1"/>
  <c r="AP21"/>
  <c r="AJ21"/>
  <c r="AK21" s="1"/>
  <c r="AD21"/>
  <c r="DZ21" s="1"/>
  <c r="AB21"/>
  <c r="AA21"/>
  <c r="Z21"/>
  <c r="Y21"/>
  <c r="W21"/>
  <c r="S21"/>
  <c r="I21"/>
  <c r="H21"/>
  <c r="G21"/>
  <c r="DO20"/>
  <c r="CZ20"/>
  <c r="CY20"/>
  <c r="CS20"/>
  <c r="CR20"/>
  <c r="CQ20"/>
  <c r="BP20"/>
  <c r="BO20"/>
  <c r="BN20"/>
  <c r="BD20"/>
  <c r="AV20"/>
  <c r="AU20"/>
  <c r="AW20" s="1"/>
  <c r="AT20"/>
  <c r="AK20"/>
  <c r="AJ20"/>
  <c r="AD20"/>
  <c r="DZ20" s="1"/>
  <c r="AB20"/>
  <c r="AA20"/>
  <c r="Z20"/>
  <c r="Y20"/>
  <c r="X20"/>
  <c r="W20"/>
  <c r="S20"/>
  <c r="I20"/>
  <c r="H20"/>
  <c r="G20"/>
  <c r="DO19"/>
  <c r="CZ19"/>
  <c r="CY19"/>
  <c r="CS19"/>
  <c r="CR19"/>
  <c r="CQ19"/>
  <c r="BP19"/>
  <c r="BO19"/>
  <c r="BJ19"/>
  <c r="BD19"/>
  <c r="AV19"/>
  <c r="AD19" s="1"/>
  <c r="AU19"/>
  <c r="AP19"/>
  <c r="AJ19"/>
  <c r="AC19"/>
  <c r="AB19"/>
  <c r="AA19"/>
  <c r="Z19"/>
  <c r="Y19"/>
  <c r="W19"/>
  <c r="S19"/>
  <c r="I19"/>
  <c r="H19"/>
  <c r="G19"/>
  <c r="DO18"/>
  <c r="CZ18"/>
  <c r="CY18"/>
  <c r="S18" s="1"/>
  <c r="CS18"/>
  <c r="CR18"/>
  <c r="CQ18"/>
  <c r="BP18"/>
  <c r="BO18"/>
  <c r="BJ18"/>
  <c r="BD18"/>
  <c r="AV18"/>
  <c r="AD18" s="1"/>
  <c r="AU18"/>
  <c r="AP18"/>
  <c r="AW18" s="1"/>
  <c r="AJ18"/>
  <c r="AG18"/>
  <c r="AC18"/>
  <c r="AB18"/>
  <c r="AA18"/>
  <c r="Z18"/>
  <c r="Y18"/>
  <c r="W18"/>
  <c r="I18"/>
  <c r="H18"/>
  <c r="G18"/>
  <c r="DO17"/>
  <c r="CZ17"/>
  <c r="CY17"/>
  <c r="S17" s="1"/>
  <c r="CS17"/>
  <c r="CR17"/>
  <c r="CQ17"/>
  <c r="BP17"/>
  <c r="BO17"/>
  <c r="BJ17"/>
  <c r="BD17"/>
  <c r="AV17"/>
  <c r="AD17" s="1"/>
  <c r="AU17"/>
  <c r="AP17"/>
  <c r="AJ17"/>
  <c r="AC17"/>
  <c r="AB17"/>
  <c r="AA17"/>
  <c r="Z17"/>
  <c r="Y17"/>
  <c r="W17"/>
  <c r="I17"/>
  <c r="H17"/>
  <c r="G17"/>
  <c r="DO16"/>
  <c r="CZ16"/>
  <c r="CY16"/>
  <c r="CS16"/>
  <c r="CR16"/>
  <c r="CQ16"/>
  <c r="BP16"/>
  <c r="BO16"/>
  <c r="BJ16"/>
  <c r="BD16"/>
  <c r="AV16"/>
  <c r="AD16" s="1"/>
  <c r="AU16"/>
  <c r="AP16"/>
  <c r="AJ16"/>
  <c r="AC16"/>
  <c r="AB16"/>
  <c r="AA16"/>
  <c r="Z16"/>
  <c r="Y16"/>
  <c r="W16"/>
  <c r="S16"/>
  <c r="I16"/>
  <c r="H16"/>
  <c r="G16"/>
  <c r="DO15"/>
  <c r="CZ15"/>
  <c r="CY15"/>
  <c r="S15" s="1"/>
  <c r="CS15"/>
  <c r="CR15"/>
  <c r="CQ15"/>
  <c r="BP15"/>
  <c r="BO15"/>
  <c r="BI15"/>
  <c r="BD15"/>
  <c r="AV15"/>
  <c r="AD15" s="1"/>
  <c r="AU15"/>
  <c r="AO15"/>
  <c r="W15" s="1"/>
  <c r="AJ15"/>
  <c r="AG15"/>
  <c r="AC15"/>
  <c r="AB15"/>
  <c r="AA15"/>
  <c r="Z15"/>
  <c r="Y15"/>
  <c r="X15"/>
  <c r="DN15"/>
  <c r="I15"/>
  <c r="H15"/>
  <c r="G15"/>
  <c r="DO14"/>
  <c r="CZ14"/>
  <c r="CY14"/>
  <c r="S14" s="1"/>
  <c r="CS14"/>
  <c r="CR14"/>
  <c r="CQ14"/>
  <c r="BP14"/>
  <c r="BO14"/>
  <c r="BN14"/>
  <c r="BD14"/>
  <c r="AV14"/>
  <c r="AD14" s="1"/>
  <c r="AU14"/>
  <c r="AT14"/>
  <c r="AJ14"/>
  <c r="AK14" s="1"/>
  <c r="AB14"/>
  <c r="AA14"/>
  <c r="Z14"/>
  <c r="Y14"/>
  <c r="X14"/>
  <c r="W14"/>
  <c r="I14"/>
  <c r="H14"/>
  <c r="G14"/>
  <c r="DO13"/>
  <c r="CZ13"/>
  <c r="CY13"/>
  <c r="CS13"/>
  <c r="CR13"/>
  <c r="CQ13"/>
  <c r="BP13"/>
  <c r="BO13"/>
  <c r="BJ13"/>
  <c r="BD13"/>
  <c r="AV13"/>
  <c r="AD13" s="1"/>
  <c r="AU13"/>
  <c r="AP13"/>
  <c r="AJ13"/>
  <c r="AC13"/>
  <c r="AB13"/>
  <c r="AA13"/>
  <c r="Z13"/>
  <c r="Y13"/>
  <c r="W13"/>
  <c r="S13"/>
  <c r="I13"/>
  <c r="H13"/>
  <c r="G13"/>
  <c r="DO12"/>
  <c r="CZ12"/>
  <c r="CY12"/>
  <c r="S12" s="1"/>
  <c r="CS12"/>
  <c r="CR12"/>
  <c r="CQ12"/>
  <c r="BP12"/>
  <c r="BO12"/>
  <c r="BJ12"/>
  <c r="BD12"/>
  <c r="AV12"/>
  <c r="AD12" s="1"/>
  <c r="AU12"/>
  <c r="AP12"/>
  <c r="AJ12"/>
  <c r="AK12" s="1"/>
  <c r="AB12"/>
  <c r="AA12"/>
  <c r="Z12"/>
  <c r="Y12"/>
  <c r="X12"/>
  <c r="W12"/>
  <c r="I12"/>
  <c r="H12"/>
  <c r="G12"/>
  <c r="DO11"/>
  <c r="CZ11"/>
  <c r="CY11"/>
  <c r="CS11"/>
  <c r="CR11"/>
  <c r="CQ11"/>
  <c r="BX11"/>
  <c r="BP11"/>
  <c r="BO11"/>
  <c r="BJ11"/>
  <c r="BD11"/>
  <c r="AV11"/>
  <c r="AD11" s="1"/>
  <c r="CV11" s="1"/>
  <c r="AU11"/>
  <c r="AP11"/>
  <c r="AJ11"/>
  <c r="AK11" s="1"/>
  <c r="AB11"/>
  <c r="AA11"/>
  <c r="Z11"/>
  <c r="Y11"/>
  <c r="X11"/>
  <c r="W11"/>
  <c r="S11"/>
  <c r="I11"/>
  <c r="H11"/>
  <c r="G11"/>
  <c r="DO10"/>
  <c r="CZ10"/>
  <c r="CY10"/>
  <c r="CS10"/>
  <c r="CR10"/>
  <c r="CQ10"/>
  <c r="BP10"/>
  <c r="BO10"/>
  <c r="BJ10"/>
  <c r="BD10"/>
  <c r="AV10"/>
  <c r="AU10"/>
  <c r="AP10"/>
  <c r="AJ10"/>
  <c r="AK10" s="1"/>
  <c r="AD10"/>
  <c r="AB10"/>
  <c r="AA10"/>
  <c r="Z10"/>
  <c r="Y10"/>
  <c r="X10"/>
  <c r="W10"/>
  <c r="S10"/>
  <c r="I10"/>
  <c r="H10"/>
  <c r="G10"/>
  <c r="DO9"/>
  <c r="CZ9"/>
  <c r="CY9"/>
  <c r="CS9"/>
  <c r="CR9"/>
  <c r="CQ9"/>
  <c r="BP9"/>
  <c r="BO9"/>
  <c r="BJ9"/>
  <c r="BD9"/>
  <c r="AV9"/>
  <c r="AD9" s="1"/>
  <c r="AU9"/>
  <c r="AP9"/>
  <c r="AJ9"/>
  <c r="AC9"/>
  <c r="CU9" s="1"/>
  <c r="AB9"/>
  <c r="AA9"/>
  <c r="Z9"/>
  <c r="Y9"/>
  <c r="W9"/>
  <c r="S9"/>
  <c r="I9"/>
  <c r="H9"/>
  <c r="G9"/>
  <c r="DO8"/>
  <c r="DO160" s="1"/>
  <c r="CZ8"/>
  <c r="CZ7" s="1"/>
  <c r="CY8"/>
  <c r="CS8"/>
  <c r="CS7" s="1"/>
  <c r="CR8"/>
  <c r="CQ8"/>
  <c r="BP8"/>
  <c r="BO8"/>
  <c r="BJ8"/>
  <c r="BD8"/>
  <c r="BD7" s="1"/>
  <c r="AV8"/>
  <c r="AD8" s="1"/>
  <c r="AU8"/>
  <c r="AP8"/>
  <c r="AJ8"/>
  <c r="AG8"/>
  <c r="AC8"/>
  <c r="CU8" s="1"/>
  <c r="AB8"/>
  <c r="AA8"/>
  <c r="Z8"/>
  <c r="Y8"/>
  <c r="W8"/>
  <c r="DN8"/>
  <c r="S8"/>
  <c r="I8"/>
  <c r="H8"/>
  <c r="G8"/>
  <c r="DD7"/>
  <c r="DC7"/>
  <c r="DB7"/>
  <c r="DA7"/>
  <c r="CY7"/>
  <c r="CX7"/>
  <c r="CW7"/>
  <c r="CR7"/>
  <c r="CP7"/>
  <c r="CO7"/>
  <c r="CN7"/>
  <c r="CM7"/>
  <c r="CL7"/>
  <c r="CK7"/>
  <c r="CJ7"/>
  <c r="CI7"/>
  <c r="CF7"/>
  <c r="CE7"/>
  <c r="BO7"/>
  <c r="BM7"/>
  <c r="BL7"/>
  <c r="BK7"/>
  <c r="BJ7"/>
  <c r="BI7"/>
  <c r="BH7"/>
  <c r="BC7"/>
  <c r="AV7"/>
  <c r="AU7"/>
  <c r="AT7"/>
  <c r="AS7"/>
  <c r="AR7"/>
  <c r="AQ7"/>
  <c r="AP7"/>
  <c r="AO7"/>
  <c r="AN7"/>
  <c r="AJ7"/>
  <c r="AI7"/>
  <c r="U7"/>
  <c r="CT4"/>
  <c r="CQ4"/>
  <c r="BN105" i="5"/>
  <c r="AT105"/>
  <c r="CJ32"/>
  <c r="BM32"/>
  <c r="AS32"/>
  <c r="G74"/>
  <c r="H74"/>
  <c r="I74"/>
  <c r="W74"/>
  <c r="Y74"/>
  <c r="Z74"/>
  <c r="AA74"/>
  <c r="AJ74"/>
  <c r="AK74" s="1"/>
  <c r="AP74"/>
  <c r="AW74" s="1"/>
  <c r="AX74" s="1"/>
  <c r="AU74"/>
  <c r="AV74"/>
  <c r="BD74"/>
  <c r="BE74" s="1"/>
  <c r="BJ74"/>
  <c r="AB74"/>
  <c r="BO74"/>
  <c r="BP74"/>
  <c r="BQ74" s="1"/>
  <c r="BR74" s="1"/>
  <c r="CN105"/>
  <c r="CJ105"/>
  <c r="CN93"/>
  <c r="CI86"/>
  <c r="CN86"/>
  <c r="CJ86"/>
  <c r="CN28"/>
  <c r="CJ28"/>
  <c r="CN24"/>
  <c r="CJ24"/>
  <c r="CN18"/>
  <c r="CJ18"/>
  <c r="CN17"/>
  <c r="CJ17"/>
  <c r="J1" i="23" l="1"/>
  <c r="AY103" i="15"/>
  <c r="AZ103" s="1"/>
  <c r="DG103" s="1"/>
  <c r="EA28" i="19"/>
  <c r="BU82"/>
  <c r="DH26" i="21"/>
  <c r="DK26" s="1"/>
  <c r="DX26" s="1"/>
  <c r="DY26"/>
  <c r="BT32" i="22"/>
  <c r="CC32"/>
  <c r="DJ99"/>
  <c r="CD99"/>
  <c r="BW99"/>
  <c r="DJ95"/>
  <c r="CD95"/>
  <c r="BW95"/>
  <c r="DJ93"/>
  <c r="CD93"/>
  <c r="BW93"/>
  <c r="BW86"/>
  <c r="DJ86"/>
  <c r="CD86"/>
  <c r="DM97"/>
  <c r="EF97"/>
  <c r="DJ77"/>
  <c r="CD77"/>
  <c r="BW77"/>
  <c r="BW63"/>
  <c r="DJ63"/>
  <c r="CD63"/>
  <c r="DM83"/>
  <c r="EF83"/>
  <c r="DJ56"/>
  <c r="CD56"/>
  <c r="BW56"/>
  <c r="BW50"/>
  <c r="DJ50"/>
  <c r="CD50"/>
  <c r="BW47"/>
  <c r="DJ47"/>
  <c r="CD47"/>
  <c r="BW28"/>
  <c r="DJ28"/>
  <c r="CD28"/>
  <c r="DJ23"/>
  <c r="CD23"/>
  <c r="BW23"/>
  <c r="DJ22"/>
  <c r="CD22"/>
  <c r="BW22"/>
  <c r="BW10"/>
  <c r="DJ10"/>
  <c r="CD10"/>
  <c r="DJ13"/>
  <c r="DM13" s="1"/>
  <c r="CD13"/>
  <c r="BW13"/>
  <c r="BW100"/>
  <c r="DJ100"/>
  <c r="CD100"/>
  <c r="BW90"/>
  <c r="DJ90"/>
  <c r="DM90" s="1"/>
  <c r="DX90" s="1"/>
  <c r="CD90"/>
  <c r="BW66"/>
  <c r="DJ66"/>
  <c r="CD66"/>
  <c r="DJ69"/>
  <c r="CD69"/>
  <c r="BW69"/>
  <c r="DJ53"/>
  <c r="CD53"/>
  <c r="BW53"/>
  <c r="DJ35"/>
  <c r="CD35"/>
  <c r="BW35"/>
  <c r="DJ33"/>
  <c r="CD33"/>
  <c r="BW33"/>
  <c r="DJ30"/>
  <c r="CD30"/>
  <c r="BW30"/>
  <c r="DJ25"/>
  <c r="CD25"/>
  <c r="BW25"/>
  <c r="DJ16"/>
  <c r="CD16"/>
  <c r="BW16"/>
  <c r="DJ15"/>
  <c r="CD15"/>
  <c r="BW15"/>
  <c r="DH103"/>
  <c r="DK103" s="1"/>
  <c r="DY103"/>
  <c r="DH99"/>
  <c r="DK99" s="1"/>
  <c r="DY99"/>
  <c r="DH95"/>
  <c r="DK95" s="1"/>
  <c r="DY95"/>
  <c r="DH93"/>
  <c r="DK93" s="1"/>
  <c r="DY93"/>
  <c r="DH96"/>
  <c r="DK96" s="1"/>
  <c r="DY96"/>
  <c r="DH84"/>
  <c r="DK84" s="1"/>
  <c r="DY84"/>
  <c r="DH79"/>
  <c r="DK79" s="1"/>
  <c r="DY79"/>
  <c r="DH74"/>
  <c r="DK74" s="1"/>
  <c r="DY74"/>
  <c r="DH75"/>
  <c r="DK75" s="1"/>
  <c r="DY75"/>
  <c r="DH56"/>
  <c r="DK56" s="1"/>
  <c r="DY56"/>
  <c r="DH68"/>
  <c r="DK68" s="1"/>
  <c r="DY68"/>
  <c r="DH59"/>
  <c r="DK59" s="1"/>
  <c r="DY59"/>
  <c r="DH40"/>
  <c r="DK40" s="1"/>
  <c r="DY40"/>
  <c r="DH36"/>
  <c r="DK36" s="1"/>
  <c r="DY36"/>
  <c r="DH31"/>
  <c r="DK31" s="1"/>
  <c r="DY31"/>
  <c r="DH35"/>
  <c r="DK35" s="1"/>
  <c r="DY35"/>
  <c r="DH32"/>
  <c r="DK32" s="1"/>
  <c r="DY32"/>
  <c r="BW20"/>
  <c r="CD20"/>
  <c r="DJ20"/>
  <c r="BT8"/>
  <c r="CC8"/>
  <c r="CC7" s="1"/>
  <c r="BS7"/>
  <c r="DI7"/>
  <c r="DL8"/>
  <c r="DL7" s="1"/>
  <c r="DH16"/>
  <c r="DK16" s="1"/>
  <c r="DY16"/>
  <c r="BW101"/>
  <c r="DJ101"/>
  <c r="CD101"/>
  <c r="DJ96"/>
  <c r="CD96"/>
  <c r="BW96"/>
  <c r="DJ74"/>
  <c r="CD74"/>
  <c r="BW74"/>
  <c r="BW61"/>
  <c r="DJ61"/>
  <c r="CD61"/>
  <c r="BW49"/>
  <c r="DJ49"/>
  <c r="CD49"/>
  <c r="BW45"/>
  <c r="DJ45"/>
  <c r="CD45"/>
  <c r="BW24"/>
  <c r="DJ24"/>
  <c r="CD24"/>
  <c r="DJ104"/>
  <c r="CD104"/>
  <c r="BW104"/>
  <c r="DJ82"/>
  <c r="CD82"/>
  <c r="BW82"/>
  <c r="DJ68"/>
  <c r="CD68"/>
  <c r="BW68"/>
  <c r="BW52"/>
  <c r="DJ52"/>
  <c r="CD52"/>
  <c r="BW46"/>
  <c r="DJ46"/>
  <c r="CD46"/>
  <c r="BW27"/>
  <c r="DJ27"/>
  <c r="CD27"/>
  <c r="DJ39"/>
  <c r="CD39"/>
  <c r="BW39"/>
  <c r="DJ37"/>
  <c r="CD37"/>
  <c r="BW37"/>
  <c r="DJ36"/>
  <c r="CD36"/>
  <c r="BW36"/>
  <c r="DJ21"/>
  <c r="CD21"/>
  <c r="BW21"/>
  <c r="DH15"/>
  <c r="DK15" s="1"/>
  <c r="DY15"/>
  <c r="DG7"/>
  <c r="DH104"/>
  <c r="DK104" s="1"/>
  <c r="DY104"/>
  <c r="DH94"/>
  <c r="DK94" s="1"/>
  <c r="DY94"/>
  <c r="DH92"/>
  <c r="DK92" s="1"/>
  <c r="DY92"/>
  <c r="DH82"/>
  <c r="DK82" s="1"/>
  <c r="DY82"/>
  <c r="BW73"/>
  <c r="CD73"/>
  <c r="DJ73"/>
  <c r="DH67"/>
  <c r="DK67" s="1"/>
  <c r="DY67"/>
  <c r="DH55"/>
  <c r="DK55" s="1"/>
  <c r="DY55"/>
  <c r="BW51"/>
  <c r="CD51"/>
  <c r="DJ51"/>
  <c r="DH38"/>
  <c r="DK38" s="1"/>
  <c r="DY38"/>
  <c r="DH34"/>
  <c r="DK34" s="1"/>
  <c r="DY34"/>
  <c r="DH22"/>
  <c r="DK22" s="1"/>
  <c r="DY22"/>
  <c r="DH41"/>
  <c r="DK41" s="1"/>
  <c r="DY41"/>
  <c r="DH33"/>
  <c r="DK33" s="1"/>
  <c r="DY33"/>
  <c r="DH30"/>
  <c r="DK30" s="1"/>
  <c r="DY30"/>
  <c r="DH23"/>
  <c r="DK23" s="1"/>
  <c r="DY23"/>
  <c r="DJ84"/>
  <c r="CD84"/>
  <c r="BW84"/>
  <c r="DJ71"/>
  <c r="CD71"/>
  <c r="BW71"/>
  <c r="DJ72"/>
  <c r="CD72"/>
  <c r="BW72"/>
  <c r="DH10"/>
  <c r="DK10" s="1"/>
  <c r="DY10"/>
  <c r="DW32"/>
  <c r="BV7"/>
  <c r="DX19"/>
  <c r="BW106"/>
  <c r="DJ106"/>
  <c r="CD106"/>
  <c r="DJ55"/>
  <c r="CD55"/>
  <c r="BW55"/>
  <c r="DJ29"/>
  <c r="CD29"/>
  <c r="BW29"/>
  <c r="DJ9"/>
  <c r="DM9" s="1"/>
  <c r="CD9"/>
  <c r="BW9"/>
  <c r="DJ105"/>
  <c r="CD105"/>
  <c r="BW105"/>
  <c r="DJ103"/>
  <c r="CD103"/>
  <c r="BW103"/>
  <c r="DJ94"/>
  <c r="CD94"/>
  <c r="BW94"/>
  <c r="DJ92"/>
  <c r="CD92"/>
  <c r="BW92"/>
  <c r="DJ80"/>
  <c r="CD80"/>
  <c r="BW80"/>
  <c r="BW62"/>
  <c r="DJ62"/>
  <c r="CD62"/>
  <c r="BW48"/>
  <c r="DJ48"/>
  <c r="CD48"/>
  <c r="BW44"/>
  <c r="DJ44"/>
  <c r="CD44"/>
  <c r="EF57"/>
  <c r="DM57"/>
  <c r="DX57" s="1"/>
  <c r="DJ43"/>
  <c r="CD43"/>
  <c r="BW43"/>
  <c r="DJ42"/>
  <c r="CD42"/>
  <c r="BW42"/>
  <c r="DJ40"/>
  <c r="CD40"/>
  <c r="BW40"/>
  <c r="DJ38"/>
  <c r="CD38"/>
  <c r="BW38"/>
  <c r="BW17"/>
  <c r="DJ17"/>
  <c r="CD17"/>
  <c r="EB32"/>
  <c r="EC32" s="1"/>
  <c r="CG32"/>
  <c r="CH32" s="1"/>
  <c r="BZ8"/>
  <c r="BZ7" s="1"/>
  <c r="BY7"/>
  <c r="EC8"/>
  <c r="BX7"/>
  <c r="EB8"/>
  <c r="CG8"/>
  <c r="BW102"/>
  <c r="DJ102"/>
  <c r="DM102" s="1"/>
  <c r="CD102"/>
  <c r="DH91"/>
  <c r="DK91" s="1"/>
  <c r="DY91"/>
  <c r="BW87"/>
  <c r="CD87"/>
  <c r="DJ87"/>
  <c r="DH77"/>
  <c r="DK77" s="1"/>
  <c r="DY77"/>
  <c r="DH54"/>
  <c r="DK54" s="1"/>
  <c r="DY54"/>
  <c r="DH39"/>
  <c r="DK39" s="1"/>
  <c r="DY39"/>
  <c r="DH13"/>
  <c r="DK13" s="1"/>
  <c r="DX13" s="1"/>
  <c r="DY13"/>
  <c r="DJ91"/>
  <c r="CD91"/>
  <c r="BW91"/>
  <c r="BW81"/>
  <c r="DJ81"/>
  <c r="CD81"/>
  <c r="DJ75"/>
  <c r="CD75"/>
  <c r="BW75"/>
  <c r="DM78"/>
  <c r="EF78"/>
  <c r="BW65"/>
  <c r="DJ65"/>
  <c r="CD65"/>
  <c r="DJ59"/>
  <c r="DM59" s="1"/>
  <c r="CD59"/>
  <c r="BW59"/>
  <c r="DJ58"/>
  <c r="CD58"/>
  <c r="BW58"/>
  <c r="DJ54"/>
  <c r="CD54"/>
  <c r="BW54"/>
  <c r="BW12"/>
  <c r="DJ12"/>
  <c r="DM12" s="1"/>
  <c r="DX12" s="1"/>
  <c r="CD12"/>
  <c r="BW85"/>
  <c r="DJ85"/>
  <c r="CD85"/>
  <c r="DJ79"/>
  <c r="CD79"/>
  <c r="BW79"/>
  <c r="BW64"/>
  <c r="DJ64"/>
  <c r="CD64"/>
  <c r="BW60"/>
  <c r="DJ60"/>
  <c r="CD60"/>
  <c r="DJ67"/>
  <c r="CD67"/>
  <c r="BW67"/>
  <c r="DJ41"/>
  <c r="CD41"/>
  <c r="BW41"/>
  <c r="DJ34"/>
  <c r="CD34"/>
  <c r="BW34"/>
  <c r="DJ31"/>
  <c r="CD31"/>
  <c r="BW31"/>
  <c r="BW14"/>
  <c r="DJ14"/>
  <c r="DM14" s="1"/>
  <c r="CD14"/>
  <c r="BW11"/>
  <c r="DJ11"/>
  <c r="CD11"/>
  <c r="DJ76"/>
  <c r="CD76"/>
  <c r="BW76"/>
  <c r="DH69"/>
  <c r="DK69" s="1"/>
  <c r="DY69"/>
  <c r="DH8"/>
  <c r="CT7"/>
  <c r="CQ6" s="1"/>
  <c r="DY8"/>
  <c r="DH9"/>
  <c r="DK9" s="1"/>
  <c r="DX9" s="1"/>
  <c r="DY9"/>
  <c r="BW88"/>
  <c r="CD88"/>
  <c r="DJ88"/>
  <c r="DH80"/>
  <c r="DK80" s="1"/>
  <c r="DY80"/>
  <c r="DH58"/>
  <c r="DK58" s="1"/>
  <c r="DY58"/>
  <c r="DH42"/>
  <c r="DK42" s="1"/>
  <c r="DY42"/>
  <c r="DH43"/>
  <c r="DK43" s="1"/>
  <c r="DY43"/>
  <c r="DH37"/>
  <c r="DK37" s="1"/>
  <c r="DY37"/>
  <c r="BW18"/>
  <c r="CD18"/>
  <c r="DJ18"/>
  <c r="DX14"/>
  <c r="DX98"/>
  <c r="DX97"/>
  <c r="DX78"/>
  <c r="DX83"/>
  <c r="DX102"/>
  <c r="BU7"/>
  <c r="DH102" i="21"/>
  <c r="DK102" s="1"/>
  <c r="DY102"/>
  <c r="DH99"/>
  <c r="DK99" s="1"/>
  <c r="DY99"/>
  <c r="DH90"/>
  <c r="DK90" s="1"/>
  <c r="DY90"/>
  <c r="DY99" i="15"/>
  <c r="CA84"/>
  <c r="DY106"/>
  <c r="AE73"/>
  <c r="BW106" i="21"/>
  <c r="DJ106"/>
  <c r="CD106"/>
  <c r="BW99"/>
  <c r="DJ99"/>
  <c r="CD99"/>
  <c r="DJ90"/>
  <c r="DM90" s="1"/>
  <c r="DX90" s="1"/>
  <c r="CD90"/>
  <c r="BW90"/>
  <c r="BW72"/>
  <c r="DJ72"/>
  <c r="CD72"/>
  <c r="BW42"/>
  <c r="DJ42"/>
  <c r="CD42"/>
  <c r="BW31"/>
  <c r="DJ31"/>
  <c r="CD31"/>
  <c r="DJ51"/>
  <c r="CD51"/>
  <c r="BW51"/>
  <c r="DI29"/>
  <c r="BS29"/>
  <c r="DJ105"/>
  <c r="CD105"/>
  <c r="BW105"/>
  <c r="BW85"/>
  <c r="DJ85"/>
  <c r="CD85"/>
  <c r="BW67"/>
  <c r="DJ67"/>
  <c r="CD67"/>
  <c r="DJ59"/>
  <c r="DM59" s="1"/>
  <c r="CD59"/>
  <c r="BW59"/>
  <c r="BW35"/>
  <c r="DJ35"/>
  <c r="CD35"/>
  <c r="BW20"/>
  <c r="DJ20"/>
  <c r="CD20"/>
  <c r="DH10"/>
  <c r="DK10" s="1"/>
  <c r="DY10"/>
  <c r="DJ103"/>
  <c r="CD103"/>
  <c r="BW103"/>
  <c r="DJ88"/>
  <c r="CD88"/>
  <c r="BW88"/>
  <c r="DI86"/>
  <c r="BS86"/>
  <c r="BW70"/>
  <c r="DJ70"/>
  <c r="CD70"/>
  <c r="DJ46"/>
  <c r="BW38"/>
  <c r="DJ38"/>
  <c r="CD38"/>
  <c r="DJ54"/>
  <c r="CD54"/>
  <c r="BW54"/>
  <c r="DJ52"/>
  <c r="CD52"/>
  <c r="BW52"/>
  <c r="BW14"/>
  <c r="DJ14"/>
  <c r="DM14" s="1"/>
  <c r="DX14" s="1"/>
  <c r="CD14"/>
  <c r="DJ78"/>
  <c r="BW65"/>
  <c r="DJ65"/>
  <c r="CD65"/>
  <c r="BW63"/>
  <c r="DJ63"/>
  <c r="CD63"/>
  <c r="DI71"/>
  <c r="DL71" s="1"/>
  <c r="BY71"/>
  <c r="BZ71" s="1"/>
  <c r="BX71"/>
  <c r="BV71"/>
  <c r="DW71" s="1"/>
  <c r="BS71"/>
  <c r="BW41"/>
  <c r="DJ41"/>
  <c r="CD41"/>
  <c r="BW37"/>
  <c r="DJ37"/>
  <c r="CD37"/>
  <c r="EB32"/>
  <c r="EC32" s="1"/>
  <c r="CG32"/>
  <c r="CH32" s="1"/>
  <c r="DH61"/>
  <c r="DK61" s="1"/>
  <c r="DY61"/>
  <c r="DH87"/>
  <c r="DK87" s="1"/>
  <c r="DY87"/>
  <c r="DH81"/>
  <c r="DK81" s="1"/>
  <c r="DY81"/>
  <c r="DH52"/>
  <c r="DK52" s="1"/>
  <c r="DY52"/>
  <c r="DH54"/>
  <c r="DK54" s="1"/>
  <c r="DY54"/>
  <c r="DH25"/>
  <c r="DK25" s="1"/>
  <c r="DY25"/>
  <c r="DX59"/>
  <c r="DW61"/>
  <c r="CC61"/>
  <c r="BT61"/>
  <c r="DJ104"/>
  <c r="CD104"/>
  <c r="BW104"/>
  <c r="DI100"/>
  <c r="DL100" s="1"/>
  <c r="BY100"/>
  <c r="BZ100" s="1"/>
  <c r="BX100"/>
  <c r="BV100"/>
  <c r="DW100" s="1"/>
  <c r="BS100"/>
  <c r="BW96"/>
  <c r="DJ96"/>
  <c r="CD96"/>
  <c r="BW92"/>
  <c r="DJ92"/>
  <c r="CD92"/>
  <c r="DJ79"/>
  <c r="CD79"/>
  <c r="BW79"/>
  <c r="BW48"/>
  <c r="DJ48"/>
  <c r="CD48"/>
  <c r="BW102"/>
  <c r="DJ102"/>
  <c r="DM102" s="1"/>
  <c r="DX102" s="1"/>
  <c r="CD102"/>
  <c r="BW91"/>
  <c r="DJ91"/>
  <c r="CD91"/>
  <c r="DJ83"/>
  <c r="CD83"/>
  <c r="BW83"/>
  <c r="BW45"/>
  <c r="DJ45"/>
  <c r="CD45"/>
  <c r="BW39"/>
  <c r="DJ39"/>
  <c r="CD39"/>
  <c r="DJ53"/>
  <c r="CD53"/>
  <c r="BW53"/>
  <c r="DJ25"/>
  <c r="CD25"/>
  <c r="BW25"/>
  <c r="DJ19"/>
  <c r="DM19" s="1"/>
  <c r="CD19"/>
  <c r="BW19"/>
  <c r="DJ89"/>
  <c r="DM89" s="1"/>
  <c r="DX89" s="1"/>
  <c r="CD89"/>
  <c r="BW89"/>
  <c r="EB61"/>
  <c r="CG61"/>
  <c r="CH61" s="1"/>
  <c r="EC61"/>
  <c r="DH77"/>
  <c r="DK77" s="1"/>
  <c r="DY77"/>
  <c r="DH75"/>
  <c r="DK75" s="1"/>
  <c r="DY75"/>
  <c r="DH73"/>
  <c r="DK73" s="1"/>
  <c r="DY73"/>
  <c r="DH50"/>
  <c r="DK50" s="1"/>
  <c r="DY50"/>
  <c r="DH32"/>
  <c r="DK32" s="1"/>
  <c r="DY32"/>
  <c r="DH19"/>
  <c r="DK19" s="1"/>
  <c r="DY19"/>
  <c r="DH80"/>
  <c r="DK80" s="1"/>
  <c r="DY80"/>
  <c r="DH53"/>
  <c r="DK53" s="1"/>
  <c r="DY53"/>
  <c r="DH13"/>
  <c r="DK13" s="1"/>
  <c r="DY13"/>
  <c r="BT32"/>
  <c r="CC32"/>
  <c r="BW101"/>
  <c r="DJ101"/>
  <c r="CD101"/>
  <c r="BW94"/>
  <c r="DJ94"/>
  <c r="CD94"/>
  <c r="DJ75"/>
  <c r="CD75"/>
  <c r="BW75"/>
  <c r="DJ57"/>
  <c r="CD57"/>
  <c r="BW57"/>
  <c r="DJ56"/>
  <c r="CD56"/>
  <c r="BW56"/>
  <c r="BW34"/>
  <c r="DJ34"/>
  <c r="CD34"/>
  <c r="BW27"/>
  <c r="DJ27"/>
  <c r="CD27"/>
  <c r="DJ16"/>
  <c r="CD16"/>
  <c r="BW16"/>
  <c r="BW98"/>
  <c r="DJ98"/>
  <c r="CD98"/>
  <c r="BW95"/>
  <c r="DJ95"/>
  <c r="CD95"/>
  <c r="BW62"/>
  <c r="DJ62"/>
  <c r="CD62"/>
  <c r="BW47"/>
  <c r="DJ47"/>
  <c r="CD47"/>
  <c r="BW12"/>
  <c r="DJ12"/>
  <c r="DM12" s="1"/>
  <c r="DX12" s="1"/>
  <c r="CD12"/>
  <c r="DH15"/>
  <c r="DK15" s="1"/>
  <c r="DY15"/>
  <c r="BW97"/>
  <c r="DJ97"/>
  <c r="CD97"/>
  <c r="DH79"/>
  <c r="DK79" s="1"/>
  <c r="DY79"/>
  <c r="DH78"/>
  <c r="DK78" s="1"/>
  <c r="DY78"/>
  <c r="DH76"/>
  <c r="DK76" s="1"/>
  <c r="DY76"/>
  <c r="DH74"/>
  <c r="DK74" s="1"/>
  <c r="DY74"/>
  <c r="DH51"/>
  <c r="DK51" s="1"/>
  <c r="DY51"/>
  <c r="DH17"/>
  <c r="DK17" s="1"/>
  <c r="DY17"/>
  <c r="DH16"/>
  <c r="DK16" s="1"/>
  <c r="DY16"/>
  <c r="DH8"/>
  <c r="CT7"/>
  <c r="CQ6" s="1"/>
  <c r="DY8"/>
  <c r="BU7"/>
  <c r="CA7" i="19"/>
  <c r="DL12"/>
  <c r="DY63"/>
  <c r="BU26"/>
  <c r="DW26" s="1"/>
  <c r="CT26"/>
  <c r="EA26"/>
  <c r="EB26" s="1"/>
  <c r="EC26" s="1"/>
  <c r="DY86"/>
  <c r="CT82"/>
  <c r="CT28"/>
  <c r="DY28" s="1"/>
  <c r="DW12"/>
  <c r="CC89"/>
  <c r="DL25"/>
  <c r="DL65"/>
  <c r="CB77" i="15"/>
  <c r="CB86"/>
  <c r="CB80"/>
  <c r="CB78"/>
  <c r="CB76"/>
  <c r="CB68"/>
  <c r="CB58"/>
  <c r="AX46"/>
  <c r="CB46" s="1"/>
  <c r="CB44"/>
  <c r="CB33"/>
  <c r="AX29"/>
  <c r="CB29" s="1"/>
  <c r="CA28"/>
  <c r="CA21"/>
  <c r="CB13"/>
  <c r="CA11"/>
  <c r="EC11" s="1"/>
  <c r="CB93"/>
  <c r="CA93"/>
  <c r="DK94"/>
  <c r="CB94"/>
  <c r="BR28"/>
  <c r="CB28" s="1"/>
  <c r="CB24"/>
  <c r="CA24"/>
  <c r="DY95"/>
  <c r="AY12"/>
  <c r="AZ12" s="1"/>
  <c r="DG12" s="1"/>
  <c r="CB26"/>
  <c r="BV26"/>
  <c r="AX31"/>
  <c r="CB31" s="1"/>
  <c r="CB47"/>
  <c r="AX59"/>
  <c r="CB59" s="1"/>
  <c r="CB70"/>
  <c r="CB85"/>
  <c r="BS89"/>
  <c r="BT89" s="1"/>
  <c r="CB88"/>
  <c r="CB101"/>
  <c r="CT103"/>
  <c r="CA97"/>
  <c r="EA97"/>
  <c r="DY98"/>
  <c r="CB106"/>
  <c r="EA63"/>
  <c r="BU63"/>
  <c r="CT63"/>
  <c r="DI26"/>
  <c r="AE90"/>
  <c r="AX7" i="19"/>
  <c r="EA14"/>
  <c r="CT14"/>
  <c r="BU14"/>
  <c r="DW14" s="1"/>
  <c r="EA29"/>
  <c r="EB29" s="1"/>
  <c r="CT29"/>
  <c r="BU29"/>
  <c r="EA45"/>
  <c r="EB45" s="1"/>
  <c r="EC45" s="1"/>
  <c r="CT45"/>
  <c r="BU45"/>
  <c r="DW45" s="1"/>
  <c r="EA50"/>
  <c r="CT50"/>
  <c r="BU50"/>
  <c r="EA31"/>
  <c r="EB31" s="1"/>
  <c r="EC31" s="1"/>
  <c r="BU31"/>
  <c r="DW31" s="1"/>
  <c r="CT31"/>
  <c r="BB106"/>
  <c r="BG106"/>
  <c r="DH11"/>
  <c r="DK11" s="1"/>
  <c r="DY11"/>
  <c r="DH21"/>
  <c r="DK21" s="1"/>
  <c r="DY21"/>
  <c r="EC42"/>
  <c r="EB42"/>
  <c r="CG42"/>
  <c r="CH42" s="1"/>
  <c r="EB53"/>
  <c r="EC53" s="1"/>
  <c r="CG53"/>
  <c r="CH53" s="1"/>
  <c r="BX32"/>
  <c r="BV32"/>
  <c r="DW32" s="1"/>
  <c r="DI32"/>
  <c r="DL32" s="1"/>
  <c r="BY32"/>
  <c r="BZ32" s="1"/>
  <c r="DH68"/>
  <c r="DK68" s="1"/>
  <c r="DY68"/>
  <c r="DY70"/>
  <c r="DH70"/>
  <c r="DK70" s="1"/>
  <c r="DH82"/>
  <c r="DK82" s="1"/>
  <c r="DY82"/>
  <c r="DH71"/>
  <c r="DK71" s="1"/>
  <c r="DY71"/>
  <c r="DJ89"/>
  <c r="CD89"/>
  <c r="BW89"/>
  <c r="DH91"/>
  <c r="DK91" s="1"/>
  <c r="DY91"/>
  <c r="EA88"/>
  <c r="EB88" s="1"/>
  <c r="EC88" s="1"/>
  <c r="CT88"/>
  <c r="BU88"/>
  <c r="DW88" s="1"/>
  <c r="EC96"/>
  <c r="EB96"/>
  <c r="CG96"/>
  <c r="CH96" s="1"/>
  <c r="EA20"/>
  <c r="CT20"/>
  <c r="BU20"/>
  <c r="DW20" s="1"/>
  <c r="EA33"/>
  <c r="CT33"/>
  <c r="BU33"/>
  <c r="EA37"/>
  <c r="CT37"/>
  <c r="BU37"/>
  <c r="DW37" s="1"/>
  <c r="EA41"/>
  <c r="CT41"/>
  <c r="BU41"/>
  <c r="EA54"/>
  <c r="EB54" s="1"/>
  <c r="EC54" s="1"/>
  <c r="CT54"/>
  <c r="BU54"/>
  <c r="EA36"/>
  <c r="CT36"/>
  <c r="BU36"/>
  <c r="EA40"/>
  <c r="CT40"/>
  <c r="BU40"/>
  <c r="EA49"/>
  <c r="CT49"/>
  <c r="BU49"/>
  <c r="EA57"/>
  <c r="CT57"/>
  <c r="BU57"/>
  <c r="EA58"/>
  <c r="CT58"/>
  <c r="BU58"/>
  <c r="EA94"/>
  <c r="CT94"/>
  <c r="BU94"/>
  <c r="EA104"/>
  <c r="CT104"/>
  <c r="BU104"/>
  <c r="DW104" s="1"/>
  <c r="EA103"/>
  <c r="CT103"/>
  <c r="BU103"/>
  <c r="DW103" s="1"/>
  <c r="DH72"/>
  <c r="DK72" s="1"/>
  <c r="DY72"/>
  <c r="DH22"/>
  <c r="DK22" s="1"/>
  <c r="DY22"/>
  <c r="CC9"/>
  <c r="BT9"/>
  <c r="EB9"/>
  <c r="CG9"/>
  <c r="CH9" s="1"/>
  <c r="EC9"/>
  <c r="CC26"/>
  <c r="BT26"/>
  <c r="BT27"/>
  <c r="CC27"/>
  <c r="CG27"/>
  <c r="CH27" s="1"/>
  <c r="EC56"/>
  <c r="EB56"/>
  <c r="CG56"/>
  <c r="CH56" s="1"/>
  <c r="CC70"/>
  <c r="BT70"/>
  <c r="BT95"/>
  <c r="CC95"/>
  <c r="CG95"/>
  <c r="CH95" s="1"/>
  <c r="DH101"/>
  <c r="DK101" s="1"/>
  <c r="DY101"/>
  <c r="CC106"/>
  <c r="BT106"/>
  <c r="DH8"/>
  <c r="DY8"/>
  <c r="DH10"/>
  <c r="DK10" s="1"/>
  <c r="DY10"/>
  <c r="DH12"/>
  <c r="DK12" s="1"/>
  <c r="DY12"/>
  <c r="BT14"/>
  <c r="CC14"/>
  <c r="EC14"/>
  <c r="EB14"/>
  <c r="CG14"/>
  <c r="CH14" s="1"/>
  <c r="CC20"/>
  <c r="BT20"/>
  <c r="BT19"/>
  <c r="DJ42"/>
  <c r="CD42"/>
  <c r="BW42"/>
  <c r="BT35"/>
  <c r="CC35"/>
  <c r="EC35"/>
  <c r="CG35"/>
  <c r="CH35" s="1"/>
  <c r="BT37"/>
  <c r="CC37"/>
  <c r="EB37"/>
  <c r="EC37" s="1"/>
  <c r="CG37"/>
  <c r="CH37" s="1"/>
  <c r="BT39"/>
  <c r="CC39"/>
  <c r="CG39"/>
  <c r="CH39" s="1"/>
  <c r="BT41"/>
  <c r="CC41"/>
  <c r="EC41"/>
  <c r="EB41"/>
  <c r="CG41"/>
  <c r="CH41" s="1"/>
  <c r="BT47"/>
  <c r="CC47"/>
  <c r="CG47"/>
  <c r="CH47" s="1"/>
  <c r="BT51"/>
  <c r="CC51"/>
  <c r="CC25"/>
  <c r="BT25"/>
  <c r="EB25"/>
  <c r="CG25"/>
  <c r="CH25" s="1"/>
  <c r="EC25"/>
  <c r="BT59"/>
  <c r="CC59"/>
  <c r="CG59"/>
  <c r="CH59" s="1"/>
  <c r="DH62"/>
  <c r="DK62" s="1"/>
  <c r="DY62"/>
  <c r="DH64"/>
  <c r="DK64" s="1"/>
  <c r="DY64"/>
  <c r="DH65"/>
  <c r="DK65" s="1"/>
  <c r="DY65"/>
  <c r="DH66"/>
  <c r="DK66" s="1"/>
  <c r="DY66"/>
  <c r="DH67"/>
  <c r="DK67" s="1"/>
  <c r="DY67"/>
  <c r="DH69"/>
  <c r="DK69" s="1"/>
  <c r="DY69"/>
  <c r="CC63"/>
  <c r="BT63"/>
  <c r="EB63"/>
  <c r="CG63"/>
  <c r="CH63" s="1"/>
  <c r="EC63"/>
  <c r="CC67"/>
  <c r="BT67"/>
  <c r="EB67"/>
  <c r="CG67"/>
  <c r="CH67" s="1"/>
  <c r="EC67"/>
  <c r="CC79"/>
  <c r="BT79"/>
  <c r="EB79"/>
  <c r="CG79"/>
  <c r="CH79" s="1"/>
  <c r="EC79"/>
  <c r="BT94"/>
  <c r="BT98"/>
  <c r="CC98"/>
  <c r="EB98"/>
  <c r="EC98" s="1"/>
  <c r="CG98"/>
  <c r="CH98" s="1"/>
  <c r="EB92"/>
  <c r="EC92" s="1"/>
  <c r="CG92"/>
  <c r="CH92" s="1"/>
  <c r="BT103"/>
  <c r="CC103"/>
  <c r="EB103"/>
  <c r="EC103" s="1"/>
  <c r="CG103"/>
  <c r="CH103" s="1"/>
  <c r="BT105"/>
  <c r="DH106"/>
  <c r="DK106" s="1"/>
  <c r="DY106"/>
  <c r="CC101"/>
  <c r="BT101"/>
  <c r="EB101"/>
  <c r="EC101" s="1"/>
  <c r="CG101"/>
  <c r="CH101" s="1"/>
  <c r="CB22"/>
  <c r="DM89"/>
  <c r="DX89" s="1"/>
  <c r="BS32"/>
  <c r="CB87"/>
  <c r="BR7"/>
  <c r="AE7"/>
  <c r="DL9"/>
  <c r="DL16"/>
  <c r="DL31"/>
  <c r="DW106"/>
  <c r="EA27"/>
  <c r="EB27" s="1"/>
  <c r="EC27" s="1"/>
  <c r="CT27"/>
  <c r="BU27"/>
  <c r="DW27" s="1"/>
  <c r="EA43"/>
  <c r="CT43"/>
  <c r="BU43"/>
  <c r="EA48"/>
  <c r="CT48"/>
  <c r="BU48"/>
  <c r="DW48" s="1"/>
  <c r="EA46"/>
  <c r="CT46"/>
  <c r="BU46"/>
  <c r="DH23"/>
  <c r="DK23" s="1"/>
  <c r="DY23"/>
  <c r="DH28"/>
  <c r="DK28" s="1"/>
  <c r="DH42"/>
  <c r="DK42" s="1"/>
  <c r="DY42"/>
  <c r="DH44"/>
  <c r="DK44" s="1"/>
  <c r="DY44"/>
  <c r="DH53"/>
  <c r="DK53" s="1"/>
  <c r="DY53"/>
  <c r="DH55"/>
  <c r="DK55" s="1"/>
  <c r="DY55"/>
  <c r="DH56"/>
  <c r="DK56" s="1"/>
  <c r="DY56"/>
  <c r="DH98"/>
  <c r="DK98" s="1"/>
  <c r="DY98"/>
  <c r="DH96"/>
  <c r="DK96" s="1"/>
  <c r="DY96"/>
  <c r="DH97"/>
  <c r="DK97" s="1"/>
  <c r="DY97"/>
  <c r="EA35"/>
  <c r="EB35" s="1"/>
  <c r="CT35"/>
  <c r="BU35"/>
  <c r="DW35" s="1"/>
  <c r="EA39"/>
  <c r="EB39" s="1"/>
  <c r="EC39" s="1"/>
  <c r="CT39"/>
  <c r="BU39"/>
  <c r="DW39" s="1"/>
  <c r="EA52"/>
  <c r="EB52" s="1"/>
  <c r="EC52" s="1"/>
  <c r="CT52"/>
  <c r="BU52"/>
  <c r="EA34"/>
  <c r="CT34"/>
  <c r="BU34"/>
  <c r="DW34" s="1"/>
  <c r="EA38"/>
  <c r="EB38" s="1"/>
  <c r="EC38" s="1"/>
  <c r="CT38"/>
  <c r="BU38"/>
  <c r="DW38" s="1"/>
  <c r="EA47"/>
  <c r="EB47" s="1"/>
  <c r="EC47" s="1"/>
  <c r="CT47"/>
  <c r="BU47"/>
  <c r="DW47" s="1"/>
  <c r="EA51"/>
  <c r="EB51" s="1"/>
  <c r="EC51" s="1"/>
  <c r="CT51"/>
  <c r="BU51"/>
  <c r="EA59"/>
  <c r="EB59" s="1"/>
  <c r="EC59" s="1"/>
  <c r="CT59"/>
  <c r="BU59"/>
  <c r="DW59" s="1"/>
  <c r="BU60"/>
  <c r="EA60"/>
  <c r="CT60"/>
  <c r="EA95"/>
  <c r="EB95" s="1"/>
  <c r="EC95" s="1"/>
  <c r="CT95"/>
  <c r="BU95"/>
  <c r="DW95" s="1"/>
  <c r="EA105"/>
  <c r="CT105"/>
  <c r="BU105"/>
  <c r="CC16"/>
  <c r="BT16"/>
  <c r="EB16"/>
  <c r="EC16" s="1"/>
  <c r="CG16"/>
  <c r="CH16" s="1"/>
  <c r="DJ53"/>
  <c r="CD53"/>
  <c r="BW53"/>
  <c r="DH24"/>
  <c r="DK24" s="1"/>
  <c r="DY24"/>
  <c r="DH25"/>
  <c r="DK25" s="1"/>
  <c r="DY25"/>
  <c r="BT56"/>
  <c r="CC56"/>
  <c r="CC62"/>
  <c r="BT62"/>
  <c r="EB62"/>
  <c r="CG62"/>
  <c r="CH62" s="1"/>
  <c r="EC62"/>
  <c r="EB70"/>
  <c r="CG70"/>
  <c r="CH70" s="1"/>
  <c r="EC70"/>
  <c r="DH87"/>
  <c r="DK87" s="1"/>
  <c r="DY87"/>
  <c r="BT85"/>
  <c r="CC85"/>
  <c r="EC85"/>
  <c r="EB85"/>
  <c r="CG85"/>
  <c r="CH85" s="1"/>
  <c r="CC75"/>
  <c r="BT75"/>
  <c r="EB75"/>
  <c r="CG75"/>
  <c r="CH75" s="1"/>
  <c r="EC75"/>
  <c r="CC83"/>
  <c r="BT83"/>
  <c r="EB83"/>
  <c r="EC83" s="1"/>
  <c r="CG83"/>
  <c r="CH83" s="1"/>
  <c r="DJ96"/>
  <c r="CD96"/>
  <c r="BW96"/>
  <c r="CC91"/>
  <c r="BT91"/>
  <c r="EB91"/>
  <c r="EC91" s="1"/>
  <c r="CG91"/>
  <c r="CH91" s="1"/>
  <c r="DH99"/>
  <c r="DK99" s="1"/>
  <c r="DY99"/>
  <c r="DH100"/>
  <c r="DK100" s="1"/>
  <c r="DY100"/>
  <c r="CC102"/>
  <c r="BT102"/>
  <c r="DH9"/>
  <c r="DK9" s="1"/>
  <c r="DY9"/>
  <c r="DH13"/>
  <c r="DK13" s="1"/>
  <c r="DY13"/>
  <c r="DH16"/>
  <c r="DK16" s="1"/>
  <c r="DY16"/>
  <c r="DH17"/>
  <c r="DK17" s="1"/>
  <c r="DY17"/>
  <c r="DH18"/>
  <c r="DK18" s="1"/>
  <c r="DY18"/>
  <c r="DH19"/>
  <c r="DK19" s="1"/>
  <c r="DY19"/>
  <c r="EB20"/>
  <c r="EC20" s="1"/>
  <c r="CG20"/>
  <c r="CH20" s="1"/>
  <c r="CC12"/>
  <c r="BT12"/>
  <c r="EB12"/>
  <c r="CG12"/>
  <c r="CH12" s="1"/>
  <c r="EC12"/>
  <c r="DH30"/>
  <c r="DK30" s="1"/>
  <c r="DY30"/>
  <c r="DH32"/>
  <c r="DK32" s="1"/>
  <c r="DY32"/>
  <c r="BT34"/>
  <c r="CC34"/>
  <c r="EC34"/>
  <c r="EB34"/>
  <c r="CG34"/>
  <c r="CH34" s="1"/>
  <c r="BT36"/>
  <c r="BT38"/>
  <c r="CC38"/>
  <c r="CG38"/>
  <c r="CH38" s="1"/>
  <c r="BT45"/>
  <c r="CC45"/>
  <c r="CG45"/>
  <c r="CH45" s="1"/>
  <c r="BT48"/>
  <c r="CC48"/>
  <c r="EB48"/>
  <c r="EC48" s="1"/>
  <c r="CG48"/>
  <c r="CH48" s="1"/>
  <c r="CG51"/>
  <c r="CH51" s="1"/>
  <c r="BT52"/>
  <c r="CC52"/>
  <c r="CG52"/>
  <c r="CH52" s="1"/>
  <c r="BT54"/>
  <c r="CC54"/>
  <c r="CG54"/>
  <c r="CH54" s="1"/>
  <c r="CC31"/>
  <c r="BT31"/>
  <c r="CG31"/>
  <c r="CH31" s="1"/>
  <c r="BT57"/>
  <c r="CC57"/>
  <c r="EB57"/>
  <c r="EC57" s="1"/>
  <c r="CG57"/>
  <c r="CH57" s="1"/>
  <c r="CC61"/>
  <c r="BT61"/>
  <c r="EB61"/>
  <c r="CG61"/>
  <c r="CH61" s="1"/>
  <c r="EC61"/>
  <c r="CC65"/>
  <c r="BT65"/>
  <c r="EB65"/>
  <c r="CG65"/>
  <c r="CH65" s="1"/>
  <c r="EC65"/>
  <c r="CC72"/>
  <c r="BT72"/>
  <c r="EB72"/>
  <c r="EC72" s="1"/>
  <c r="CG72"/>
  <c r="CH72" s="1"/>
  <c r="BT88"/>
  <c r="CC88"/>
  <c r="CG88"/>
  <c r="CH88" s="1"/>
  <c r="BT97"/>
  <c r="CC97"/>
  <c r="EB97"/>
  <c r="EC97" s="1"/>
  <c r="CG97"/>
  <c r="CH97" s="1"/>
  <c r="CC92"/>
  <c r="BT92"/>
  <c r="BT104"/>
  <c r="CC104"/>
  <c r="EB104"/>
  <c r="EC104" s="1"/>
  <c r="CG104"/>
  <c r="CH104" s="1"/>
  <c r="CC99"/>
  <c r="BT99"/>
  <c r="EB99"/>
  <c r="EC99" s="1"/>
  <c r="CG99"/>
  <c r="CH99" s="1"/>
  <c r="CB7"/>
  <c r="DW9"/>
  <c r="DL26"/>
  <c r="DL62"/>
  <c r="DL70"/>
  <c r="DL102"/>
  <c r="BU89" i="15"/>
  <c r="EA89"/>
  <c r="CB103"/>
  <c r="AE100"/>
  <c r="CB97"/>
  <c r="CT89"/>
  <c r="AL61"/>
  <c r="CB105"/>
  <c r="AE26"/>
  <c r="DL26"/>
  <c r="AY26"/>
  <c r="AZ26" s="1"/>
  <c r="DG26" s="1"/>
  <c r="AY20"/>
  <c r="AZ20" s="1"/>
  <c r="DG20" s="1"/>
  <c r="BS99"/>
  <c r="BS98"/>
  <c r="BT98" s="1"/>
  <c r="DW98"/>
  <c r="DF59"/>
  <c r="AY59"/>
  <c r="AZ59" s="1"/>
  <c r="DG59" s="1"/>
  <c r="AE25"/>
  <c r="BQ7"/>
  <c r="CB104"/>
  <c r="AE92"/>
  <c r="AE86"/>
  <c r="AL55"/>
  <c r="AY55" s="1"/>
  <c r="AZ55" s="1"/>
  <c r="DG55" s="1"/>
  <c r="CB55"/>
  <c r="AL30"/>
  <c r="AL13"/>
  <c r="DF13" s="1"/>
  <c r="AE102"/>
  <c r="DI102"/>
  <c r="BY102"/>
  <c r="BZ102" s="1"/>
  <c r="BV102"/>
  <c r="BS102"/>
  <c r="BU101"/>
  <c r="EA101"/>
  <c r="CT101"/>
  <c r="BT99"/>
  <c r="DF97"/>
  <c r="AY97"/>
  <c r="AZ97" s="1"/>
  <c r="DG97" s="1"/>
  <c r="DF95"/>
  <c r="AY95"/>
  <c r="AZ95" s="1"/>
  <c r="DG95" s="1"/>
  <c r="BX91"/>
  <c r="BV91"/>
  <c r="DI91"/>
  <c r="DL91" s="1"/>
  <c r="BY91"/>
  <c r="BZ91" s="1"/>
  <c r="BS91"/>
  <c r="DI79"/>
  <c r="BY79"/>
  <c r="BZ79" s="1"/>
  <c r="BX79"/>
  <c r="BV79"/>
  <c r="BS79"/>
  <c r="DH89"/>
  <c r="DY89"/>
  <c r="BX88"/>
  <c r="BV88"/>
  <c r="DI88"/>
  <c r="DL88" s="1"/>
  <c r="BY88"/>
  <c r="BZ88" s="1"/>
  <c r="BS88"/>
  <c r="BY72"/>
  <c r="BZ72" s="1"/>
  <c r="DI72"/>
  <c r="BX72"/>
  <c r="BV72"/>
  <c r="BS72"/>
  <c r="DI70"/>
  <c r="BY70"/>
  <c r="BZ70" s="1"/>
  <c r="BX70"/>
  <c r="BV70"/>
  <c r="BS70"/>
  <c r="DI62"/>
  <c r="BY62"/>
  <c r="BZ62" s="1"/>
  <c r="BX62"/>
  <c r="BV62"/>
  <c r="BS62"/>
  <c r="DI59"/>
  <c r="BY59"/>
  <c r="BZ59" s="1"/>
  <c r="BX59"/>
  <c r="BV59"/>
  <c r="BS59"/>
  <c r="DI57"/>
  <c r="BY57"/>
  <c r="BZ57" s="1"/>
  <c r="BX57"/>
  <c r="BV57"/>
  <c r="BS57"/>
  <c r="BU75"/>
  <c r="EA75"/>
  <c r="CT75"/>
  <c r="DW72"/>
  <c r="DF72"/>
  <c r="AY72"/>
  <c r="AZ72" s="1"/>
  <c r="DG72" s="1"/>
  <c r="EA72"/>
  <c r="CT72"/>
  <c r="BU72"/>
  <c r="DF71"/>
  <c r="AY71"/>
  <c r="AZ71" s="1"/>
  <c r="DG71" s="1"/>
  <c r="BU71"/>
  <c r="EA71"/>
  <c r="CT71"/>
  <c r="BU69"/>
  <c r="EA69"/>
  <c r="CT69"/>
  <c r="DW67"/>
  <c r="DF67"/>
  <c r="AY67"/>
  <c r="AZ67" s="1"/>
  <c r="DG67" s="1"/>
  <c r="BU67"/>
  <c r="EA67"/>
  <c r="CT67"/>
  <c r="BU66"/>
  <c r="EA66"/>
  <c r="CT66"/>
  <c r="DW65"/>
  <c r="DF65"/>
  <c r="AY65"/>
  <c r="AZ65" s="1"/>
  <c r="DG65" s="1"/>
  <c r="BU65"/>
  <c r="EA65"/>
  <c r="CT65"/>
  <c r="BU64"/>
  <c r="EA64"/>
  <c r="CT64"/>
  <c r="DW62"/>
  <c r="DF62"/>
  <c r="AY62"/>
  <c r="AZ62" s="1"/>
  <c r="DG62" s="1"/>
  <c r="BU62"/>
  <c r="EA62"/>
  <c r="CT62"/>
  <c r="BU59"/>
  <c r="EA59"/>
  <c r="CT59"/>
  <c r="BU58"/>
  <c r="EA58"/>
  <c r="CT58"/>
  <c r="DW57"/>
  <c r="DF57"/>
  <c r="AY57"/>
  <c r="AZ57" s="1"/>
  <c r="DG57" s="1"/>
  <c r="DW56"/>
  <c r="DF56"/>
  <c r="AY56"/>
  <c r="AZ56" s="1"/>
  <c r="DG56" s="1"/>
  <c r="BU56"/>
  <c r="EA56"/>
  <c r="CT56"/>
  <c r="DF55"/>
  <c r="AM55"/>
  <c r="BA55" s="1"/>
  <c r="DI54"/>
  <c r="BY54"/>
  <c r="BZ54" s="1"/>
  <c r="BX54"/>
  <c r="BV54"/>
  <c r="BS54"/>
  <c r="DI52"/>
  <c r="BY52"/>
  <c r="BZ52" s="1"/>
  <c r="BX52"/>
  <c r="BV52"/>
  <c r="BS52"/>
  <c r="DI47"/>
  <c r="BY47"/>
  <c r="BZ47" s="1"/>
  <c r="BX47"/>
  <c r="BV47"/>
  <c r="BS47"/>
  <c r="DI45"/>
  <c r="BY45"/>
  <c r="BZ45" s="1"/>
  <c r="BX45"/>
  <c r="BV45"/>
  <c r="BS45"/>
  <c r="DI37"/>
  <c r="BY37"/>
  <c r="BZ37" s="1"/>
  <c r="BX37"/>
  <c r="BV37"/>
  <c r="BS37"/>
  <c r="DI35"/>
  <c r="BY35"/>
  <c r="BZ35" s="1"/>
  <c r="BX35"/>
  <c r="BV35"/>
  <c r="BS35"/>
  <c r="DI31"/>
  <c r="BY31"/>
  <c r="BZ31" s="1"/>
  <c r="BX31"/>
  <c r="BV31"/>
  <c r="BS31"/>
  <c r="DI27"/>
  <c r="BY27"/>
  <c r="BZ27" s="1"/>
  <c r="BX27"/>
  <c r="BV27"/>
  <c r="BS27"/>
  <c r="DF48"/>
  <c r="AY48"/>
  <c r="AZ48" s="1"/>
  <c r="DG48" s="1"/>
  <c r="DF47"/>
  <c r="AY47"/>
  <c r="AZ47" s="1"/>
  <c r="DG47" s="1"/>
  <c r="BU47"/>
  <c r="EA47"/>
  <c r="CT47"/>
  <c r="BU45"/>
  <c r="EA45"/>
  <c r="CT45"/>
  <c r="BU44"/>
  <c r="EA44"/>
  <c r="CT44"/>
  <c r="BX42"/>
  <c r="BV42"/>
  <c r="DI42"/>
  <c r="BY42"/>
  <c r="BZ42" s="1"/>
  <c r="DW42"/>
  <c r="BS42"/>
  <c r="BX41"/>
  <c r="BV41"/>
  <c r="DI41"/>
  <c r="BY41"/>
  <c r="BZ41" s="1"/>
  <c r="BS41"/>
  <c r="DW41"/>
  <c r="BX39"/>
  <c r="BV39"/>
  <c r="DI39"/>
  <c r="DL39" s="1"/>
  <c r="BY39"/>
  <c r="BZ39" s="1"/>
  <c r="BS39"/>
  <c r="BX38"/>
  <c r="BV38"/>
  <c r="DI38"/>
  <c r="BY38"/>
  <c r="BZ38" s="1"/>
  <c r="BS38"/>
  <c r="DF30"/>
  <c r="AM30"/>
  <c r="BA30" s="1"/>
  <c r="AY30"/>
  <c r="AZ30" s="1"/>
  <c r="DG30" s="1"/>
  <c r="DI9"/>
  <c r="BY9"/>
  <c r="BZ9" s="1"/>
  <c r="BX9"/>
  <c r="BV9"/>
  <c r="BS9"/>
  <c r="AY13"/>
  <c r="AZ13" s="1"/>
  <c r="DG13" s="1"/>
  <c r="EA10"/>
  <c r="BU10"/>
  <c r="DF9"/>
  <c r="AY9"/>
  <c r="AZ9" s="1"/>
  <c r="DG9" s="1"/>
  <c r="BU9"/>
  <c r="EA9"/>
  <c r="CT9"/>
  <c r="DW8"/>
  <c r="DF8"/>
  <c r="AY8"/>
  <c r="BU8"/>
  <c r="EA8"/>
  <c r="CT8"/>
  <c r="DI106"/>
  <c r="BY106"/>
  <c r="BZ106" s="1"/>
  <c r="BV106"/>
  <c r="BS106"/>
  <c r="EA105"/>
  <c r="CT105"/>
  <c r="BU105"/>
  <c r="DI101"/>
  <c r="BY101"/>
  <c r="BZ101" s="1"/>
  <c r="BX101"/>
  <c r="BV101"/>
  <c r="BS101"/>
  <c r="DF106"/>
  <c r="AM106"/>
  <c r="BA106" s="1"/>
  <c r="AY106"/>
  <c r="AZ106" s="1"/>
  <c r="DG106" s="1"/>
  <c r="BX103"/>
  <c r="BV103"/>
  <c r="DI103"/>
  <c r="DL103" s="1"/>
  <c r="BY103"/>
  <c r="BZ103" s="1"/>
  <c r="BS103"/>
  <c r="DF102"/>
  <c r="DL102" s="1"/>
  <c r="AY102"/>
  <c r="AZ102" s="1"/>
  <c r="DG102" s="1"/>
  <c r="DI97"/>
  <c r="BY97"/>
  <c r="BZ97" s="1"/>
  <c r="BX97"/>
  <c r="BV97"/>
  <c r="BS97"/>
  <c r="BT104"/>
  <c r="DF96"/>
  <c r="AY96"/>
  <c r="AZ96" s="1"/>
  <c r="DG96" s="1"/>
  <c r="BT92"/>
  <c r="CC92"/>
  <c r="BT90"/>
  <c r="BU84"/>
  <c r="EA84"/>
  <c r="CT84"/>
  <c r="BX83"/>
  <c r="BV83"/>
  <c r="DI83"/>
  <c r="DL83" s="1"/>
  <c r="BY83"/>
  <c r="BZ83" s="1"/>
  <c r="BS83"/>
  <c r="BU81"/>
  <c r="EA81"/>
  <c r="CT81"/>
  <c r="DF79"/>
  <c r="DL79" s="1"/>
  <c r="AY79"/>
  <c r="AZ79" s="1"/>
  <c r="DG79" s="1"/>
  <c r="BU79"/>
  <c r="DW79" s="1"/>
  <c r="EA79"/>
  <c r="CT79"/>
  <c r="BU78"/>
  <c r="EA78"/>
  <c r="EB78" s="1"/>
  <c r="EC78" s="1"/>
  <c r="CT78"/>
  <c r="BU77"/>
  <c r="EA77"/>
  <c r="CT77"/>
  <c r="BU76"/>
  <c r="EA76"/>
  <c r="CT76"/>
  <c r="DI71"/>
  <c r="BY71"/>
  <c r="BZ71" s="1"/>
  <c r="BX71"/>
  <c r="BV71"/>
  <c r="BS71"/>
  <c r="DI67"/>
  <c r="BY67"/>
  <c r="BZ67" s="1"/>
  <c r="BX67"/>
  <c r="BV67"/>
  <c r="BS67"/>
  <c r="DI65"/>
  <c r="BY65"/>
  <c r="BZ65" s="1"/>
  <c r="BX65"/>
  <c r="BV65"/>
  <c r="BS65"/>
  <c r="DI63"/>
  <c r="BY63"/>
  <c r="BZ63" s="1"/>
  <c r="BX63"/>
  <c r="BV63"/>
  <c r="BS63"/>
  <c r="DI56"/>
  <c r="BY56"/>
  <c r="BZ56" s="1"/>
  <c r="BX56"/>
  <c r="BV56"/>
  <c r="BS56"/>
  <c r="EA73"/>
  <c r="CT73"/>
  <c r="BU73"/>
  <c r="BT85"/>
  <c r="CC85"/>
  <c r="DW63"/>
  <c r="DF63"/>
  <c r="DL63" s="1"/>
  <c r="AY63"/>
  <c r="AZ63" s="1"/>
  <c r="DG63" s="1"/>
  <c r="DF61"/>
  <c r="AY61"/>
  <c r="AZ61" s="1"/>
  <c r="DG61" s="1"/>
  <c r="BU55"/>
  <c r="EA55"/>
  <c r="CT55"/>
  <c r="EA74"/>
  <c r="CT74"/>
  <c r="BU74"/>
  <c r="DI53"/>
  <c r="BY53"/>
  <c r="BZ53" s="1"/>
  <c r="BX53"/>
  <c r="BV53"/>
  <c r="BS53"/>
  <c r="DI51"/>
  <c r="BY51"/>
  <c r="BZ51" s="1"/>
  <c r="BX51"/>
  <c r="BV51"/>
  <c r="BS51"/>
  <c r="DI48"/>
  <c r="BY48"/>
  <c r="BZ48" s="1"/>
  <c r="BX48"/>
  <c r="BV48"/>
  <c r="BS48"/>
  <c r="DI34"/>
  <c r="BY34"/>
  <c r="BZ34" s="1"/>
  <c r="BX34"/>
  <c r="BV34"/>
  <c r="BS34"/>
  <c r="DW54"/>
  <c r="DF54"/>
  <c r="DL54" s="1"/>
  <c r="AY54"/>
  <c r="AZ54" s="1"/>
  <c r="DG54" s="1"/>
  <c r="BU54"/>
  <c r="EA54"/>
  <c r="CT54"/>
  <c r="DF53"/>
  <c r="AY53"/>
  <c r="AZ53" s="1"/>
  <c r="DG53" s="1"/>
  <c r="BU53"/>
  <c r="EA53"/>
  <c r="CT53"/>
  <c r="DW52"/>
  <c r="DF52"/>
  <c r="DL52" s="1"/>
  <c r="AY52"/>
  <c r="AZ52" s="1"/>
  <c r="DG52" s="1"/>
  <c r="BU52"/>
  <c r="EA52"/>
  <c r="CT52"/>
  <c r="DW51"/>
  <c r="DF51"/>
  <c r="AY51"/>
  <c r="AZ51" s="1"/>
  <c r="DG51" s="1"/>
  <c r="BU51"/>
  <c r="EA51"/>
  <c r="CT51"/>
  <c r="DF37"/>
  <c r="DL37" s="1"/>
  <c r="AY37"/>
  <c r="AZ37" s="1"/>
  <c r="DG37" s="1"/>
  <c r="BU37"/>
  <c r="DW37" s="1"/>
  <c r="EA37"/>
  <c r="CT37"/>
  <c r="DF35"/>
  <c r="DL35" s="1"/>
  <c r="AY35"/>
  <c r="AZ35" s="1"/>
  <c r="DG35" s="1"/>
  <c r="BU35"/>
  <c r="DW35" s="1"/>
  <c r="EA35"/>
  <c r="CT35"/>
  <c r="DF34"/>
  <c r="AY34"/>
  <c r="AZ34" s="1"/>
  <c r="DG34" s="1"/>
  <c r="BU30"/>
  <c r="EA30"/>
  <c r="CT30"/>
  <c r="BU29"/>
  <c r="EA29"/>
  <c r="EB29" s="1"/>
  <c r="CT29"/>
  <c r="BU28"/>
  <c r="EA28"/>
  <c r="CT28"/>
  <c r="DF27"/>
  <c r="DL27" s="1"/>
  <c r="AY27"/>
  <c r="AZ27" s="1"/>
  <c r="DG27" s="1"/>
  <c r="BU27"/>
  <c r="DW27" s="1"/>
  <c r="EA27"/>
  <c r="CT27"/>
  <c r="EA24"/>
  <c r="CT24"/>
  <c r="BU24"/>
  <c r="DI16"/>
  <c r="BY16"/>
  <c r="BZ16" s="1"/>
  <c r="BX16"/>
  <c r="BV16"/>
  <c r="BS16"/>
  <c r="BX20"/>
  <c r="BV20"/>
  <c r="DI20"/>
  <c r="DL20" s="1"/>
  <c r="BY20"/>
  <c r="BZ20" s="1"/>
  <c r="BS20"/>
  <c r="BU19"/>
  <c r="EA19"/>
  <c r="CT19"/>
  <c r="EA17"/>
  <c r="CT17"/>
  <c r="BU17"/>
  <c r="DW16"/>
  <c r="DF16"/>
  <c r="AY16"/>
  <c r="AZ16" s="1"/>
  <c r="DG16" s="1"/>
  <c r="BX14"/>
  <c r="BV14"/>
  <c r="DI14"/>
  <c r="DL14" s="1"/>
  <c r="BY14"/>
  <c r="BZ14" s="1"/>
  <c r="BS14"/>
  <c r="BU13"/>
  <c r="EA13"/>
  <c r="CT13"/>
  <c r="BX12"/>
  <c r="BV12"/>
  <c r="DI12"/>
  <c r="DL12" s="1"/>
  <c r="BY12"/>
  <c r="BZ12" s="1"/>
  <c r="BS12"/>
  <c r="AX98"/>
  <c r="AY98"/>
  <c r="AZ98" s="1"/>
  <c r="DG98" s="1"/>
  <c r="DI75"/>
  <c r="BY75"/>
  <c r="BZ75" s="1"/>
  <c r="BX75"/>
  <c r="BV75"/>
  <c r="CG90"/>
  <c r="CH90" s="1"/>
  <c r="AY75"/>
  <c r="AZ75" s="1"/>
  <c r="DG75" s="1"/>
  <c r="AX75"/>
  <c r="AX73"/>
  <c r="CB73" s="1"/>
  <c r="BR32"/>
  <c r="CB32" s="1"/>
  <c r="BE32"/>
  <c r="BF32" s="1"/>
  <c r="AA7"/>
  <c r="CG26"/>
  <c r="CH26" s="1"/>
  <c r="AX21"/>
  <c r="CB21" s="1"/>
  <c r="AH10"/>
  <c r="AL10" s="1"/>
  <c r="AM10" s="1"/>
  <c r="BA10" s="1"/>
  <c r="CB8"/>
  <c r="DJ26"/>
  <c r="DM26" s="1"/>
  <c r="CD26"/>
  <c r="BW26"/>
  <c r="CB100"/>
  <c r="CB98"/>
  <c r="CB95"/>
  <c r="DW103"/>
  <c r="AY101"/>
  <c r="AZ101" s="1"/>
  <c r="DG101" s="1"/>
  <c r="DY97"/>
  <c r="AE91"/>
  <c r="AE93"/>
  <c r="DK89"/>
  <c r="AE88"/>
  <c r="AE82"/>
  <c r="CB89"/>
  <c r="CC89"/>
  <c r="DW89"/>
  <c r="BS75"/>
  <c r="AE83"/>
  <c r="AY90"/>
  <c r="AZ90" s="1"/>
  <c r="DG90" s="1"/>
  <c r="AE60"/>
  <c r="CA73"/>
  <c r="AB7"/>
  <c r="AY70"/>
  <c r="AZ70" s="1"/>
  <c r="DG70" s="1"/>
  <c r="AE42"/>
  <c r="AE32"/>
  <c r="BS25"/>
  <c r="DL38"/>
  <c r="AE41"/>
  <c r="AE39"/>
  <c r="AE38"/>
  <c r="AE31"/>
  <c r="AY45"/>
  <c r="AZ45" s="1"/>
  <c r="DG45" s="1"/>
  <c r="DL42"/>
  <c r="AY31"/>
  <c r="AZ31" s="1"/>
  <c r="DG31" s="1"/>
  <c r="CB25"/>
  <c r="AE14"/>
  <c r="CB12"/>
  <c r="CB11"/>
  <c r="CV7"/>
  <c r="AE20"/>
  <c r="AE12"/>
  <c r="CB14"/>
  <c r="CB10"/>
  <c r="CA7"/>
  <c r="AX99"/>
  <c r="CB99" s="1"/>
  <c r="AY99"/>
  <c r="AZ99" s="1"/>
  <c r="DG99" s="1"/>
  <c r="DI100"/>
  <c r="DL100" s="1"/>
  <c r="BY100"/>
  <c r="BZ100" s="1"/>
  <c r="BX100"/>
  <c r="BV100"/>
  <c r="DI99"/>
  <c r="DL99" s="1"/>
  <c r="BY99"/>
  <c r="BZ99" s="1"/>
  <c r="BX99"/>
  <c r="BV99"/>
  <c r="DW99" s="1"/>
  <c r="CG102"/>
  <c r="CH102" s="1"/>
  <c r="BX104"/>
  <c r="BV104"/>
  <c r="DI104"/>
  <c r="BY104"/>
  <c r="BZ104" s="1"/>
  <c r="EA104"/>
  <c r="CT104"/>
  <c r="BU104"/>
  <c r="DI98"/>
  <c r="DL98" s="1"/>
  <c r="BY98"/>
  <c r="BZ98" s="1"/>
  <c r="BX98"/>
  <c r="BV98"/>
  <c r="EA92"/>
  <c r="CT92"/>
  <c r="BU92"/>
  <c r="DI96"/>
  <c r="BY96"/>
  <c r="BZ96" s="1"/>
  <c r="BX96"/>
  <c r="BV96"/>
  <c r="DI95"/>
  <c r="BY95"/>
  <c r="BZ95" s="1"/>
  <c r="BX95"/>
  <c r="BV95"/>
  <c r="DW95" s="1"/>
  <c r="BX92"/>
  <c r="BV92"/>
  <c r="DI92"/>
  <c r="DL92" s="1"/>
  <c r="BY92"/>
  <c r="BZ92" s="1"/>
  <c r="DI90"/>
  <c r="BY90"/>
  <c r="BZ90" s="1"/>
  <c r="BV90"/>
  <c r="BU96"/>
  <c r="DW96" s="1"/>
  <c r="EA96"/>
  <c r="CT96"/>
  <c r="EA86"/>
  <c r="CT86"/>
  <c r="BU86"/>
  <c r="AE85"/>
  <c r="W7"/>
  <c r="DJ89"/>
  <c r="DM89" s="1"/>
  <c r="CD89"/>
  <c r="BW89"/>
  <c r="BX85"/>
  <c r="BV85"/>
  <c r="DI85"/>
  <c r="DL85" s="1"/>
  <c r="BY85"/>
  <c r="BZ85" s="1"/>
  <c r="BU80"/>
  <c r="EA80"/>
  <c r="CT80"/>
  <c r="DW75"/>
  <c r="DF75"/>
  <c r="DL75" s="1"/>
  <c r="EB89"/>
  <c r="EC89" s="1"/>
  <c r="CG89"/>
  <c r="CH89" s="1"/>
  <c r="AX74"/>
  <c r="AX7" s="1"/>
  <c r="BU57"/>
  <c r="EA57"/>
  <c r="CT57"/>
  <c r="BU70"/>
  <c r="DW70" s="1"/>
  <c r="EA70"/>
  <c r="CT70"/>
  <c r="BU68"/>
  <c r="EA68"/>
  <c r="CT68"/>
  <c r="BU61"/>
  <c r="EA61"/>
  <c r="CT61"/>
  <c r="BU48"/>
  <c r="DW48" s="1"/>
  <c r="EA48"/>
  <c r="CT48"/>
  <c r="BU36"/>
  <c r="EA36"/>
  <c r="CT36"/>
  <c r="BU34"/>
  <c r="EA34"/>
  <c r="CT34"/>
  <c r="BU33"/>
  <c r="EA33"/>
  <c r="CT33"/>
  <c r="BX25"/>
  <c r="BV25"/>
  <c r="DI25"/>
  <c r="DL25" s="1"/>
  <c r="BY25"/>
  <c r="BZ25" s="1"/>
  <c r="EA25"/>
  <c r="CT25"/>
  <c r="BU25"/>
  <c r="BU21"/>
  <c r="EA21"/>
  <c r="EB21" s="1"/>
  <c r="EC21" s="1"/>
  <c r="CT21"/>
  <c r="AC7"/>
  <c r="CU10"/>
  <c r="CU7" s="1"/>
  <c r="BU16"/>
  <c r="EA16"/>
  <c r="CT16"/>
  <c r="DL104"/>
  <c r="DL101"/>
  <c r="DW106"/>
  <c r="AY104"/>
  <c r="AZ104" s="1"/>
  <c r="DG104" s="1"/>
  <c r="EC106"/>
  <c r="BS100"/>
  <c r="BS96"/>
  <c r="BS95"/>
  <c r="DL90"/>
  <c r="DW97"/>
  <c r="CB92"/>
  <c r="CB91"/>
  <c r="CB75"/>
  <c r="AE87"/>
  <c r="DL70"/>
  <c r="DL59"/>
  <c r="Z7"/>
  <c r="CB60"/>
  <c r="DL45"/>
  <c r="AE40"/>
  <c r="DL31"/>
  <c r="DL41"/>
  <c r="AE50"/>
  <c r="AE49"/>
  <c r="AE43"/>
  <c r="AE23"/>
  <c r="AE22"/>
  <c r="AK7"/>
  <c r="X7"/>
  <c r="CB42"/>
  <c r="CB40"/>
  <c r="CC26"/>
  <c r="AE18"/>
  <c r="AW7"/>
  <c r="AE11"/>
  <c r="BF8"/>
  <c r="CB18"/>
  <c r="DE7"/>
  <c r="AW12" i="12"/>
  <c r="AW22"/>
  <c r="DE24"/>
  <c r="AL57"/>
  <c r="CU57"/>
  <c r="BQ57"/>
  <c r="AW60"/>
  <c r="BQ12"/>
  <c r="BO7"/>
  <c r="CU52"/>
  <c r="CV66"/>
  <c r="CV67"/>
  <c r="CV68"/>
  <c r="BE102"/>
  <c r="CV55"/>
  <c r="AW70"/>
  <c r="AE86"/>
  <c r="AE93"/>
  <c r="CU95"/>
  <c r="CS7"/>
  <c r="AE15"/>
  <c r="G26"/>
  <c r="DE52"/>
  <c r="AW62"/>
  <c r="BQ72"/>
  <c r="BQ34"/>
  <c r="CU38"/>
  <c r="CV83"/>
  <c r="CV92"/>
  <c r="CU96"/>
  <c r="AU7"/>
  <c r="BQ9"/>
  <c r="AW11"/>
  <c r="AW14"/>
  <c r="CU15"/>
  <c r="BQ15"/>
  <c r="BR15" s="1"/>
  <c r="CU20"/>
  <c r="BE26"/>
  <c r="AD26"/>
  <c r="CV34"/>
  <c r="BQ39"/>
  <c r="CU40"/>
  <c r="DE40"/>
  <c r="BQ43"/>
  <c r="CV44"/>
  <c r="CU45"/>
  <c r="BQ46"/>
  <c r="CU55"/>
  <c r="AE97"/>
  <c r="S7"/>
  <c r="CU64"/>
  <c r="BQ64"/>
  <c r="AW66"/>
  <c r="DE66"/>
  <c r="DE68"/>
  <c r="AW79"/>
  <c r="CV80"/>
  <c r="BQ80"/>
  <c r="CV81"/>
  <c r="BQ81"/>
  <c r="AW83"/>
  <c r="DE83"/>
  <c r="CU86"/>
  <c r="BQ86"/>
  <c r="AC89"/>
  <c r="CU89" s="1"/>
  <c r="AW92"/>
  <c r="DE92"/>
  <c r="CU93"/>
  <c r="AE95"/>
  <c r="CV95"/>
  <c r="BQ95"/>
  <c r="BR95" s="1"/>
  <c r="AW96"/>
  <c r="AW101"/>
  <c r="CV102"/>
  <c r="DE106"/>
  <c r="BQ93"/>
  <c r="AE18"/>
  <c r="DE91"/>
  <c r="CV94"/>
  <c r="BQ94"/>
  <c r="CU97"/>
  <c r="BQ97"/>
  <c r="BR97" s="1"/>
  <c r="CV99"/>
  <c r="BQ99"/>
  <c r="AE102"/>
  <c r="AW103"/>
  <c r="BQ106"/>
  <c r="CY7"/>
  <c r="BD7"/>
  <c r="CZ7"/>
  <c r="AW10"/>
  <c r="AX10" s="1"/>
  <c r="CU12"/>
  <c r="BQ13"/>
  <c r="AW17"/>
  <c r="BQ17"/>
  <c r="CA17" s="1"/>
  <c r="CV19"/>
  <c r="BQ19"/>
  <c r="BR19" s="1"/>
  <c r="BQ20"/>
  <c r="AE21"/>
  <c r="CV23"/>
  <c r="BQ24"/>
  <c r="AE26"/>
  <c r="BU26" s="1"/>
  <c r="CU27"/>
  <c r="BQ29"/>
  <c r="CU30"/>
  <c r="BQ30"/>
  <c r="AA32"/>
  <c r="AE32" s="1"/>
  <c r="CV33"/>
  <c r="BQ33"/>
  <c r="AC34"/>
  <c r="CU34" s="1"/>
  <c r="CU36"/>
  <c r="BQ36"/>
  <c r="BQ40"/>
  <c r="BR40" s="1"/>
  <c r="CU42"/>
  <c r="CU44"/>
  <c r="CV45"/>
  <c r="AW46"/>
  <c r="AX46" s="1"/>
  <c r="CV46"/>
  <c r="CU48"/>
  <c r="BQ48"/>
  <c r="BQ51"/>
  <c r="BR51" s="1"/>
  <c r="BQ52"/>
  <c r="BR52" s="1"/>
  <c r="CU54"/>
  <c r="BQ55"/>
  <c r="CV57"/>
  <c r="AL59"/>
  <c r="DF59" s="1"/>
  <c r="CU59"/>
  <c r="BQ59"/>
  <c r="AW61"/>
  <c r="AX61" s="1"/>
  <c r="AE63"/>
  <c r="CU63"/>
  <c r="BQ63"/>
  <c r="DE63"/>
  <c r="CV65"/>
  <c r="BQ65"/>
  <c r="BQ67"/>
  <c r="BQ69"/>
  <c r="BR69" s="1"/>
  <c r="CU70"/>
  <c r="AW71"/>
  <c r="CU73"/>
  <c r="BE73"/>
  <c r="AW75"/>
  <c r="AW77"/>
  <c r="CV82"/>
  <c r="BQ82"/>
  <c r="CV84"/>
  <c r="BQ84"/>
  <c r="AW85"/>
  <c r="AX85" s="1"/>
  <c r="CU87"/>
  <c r="BQ87"/>
  <c r="DE87"/>
  <c r="AW88"/>
  <c r="AW89"/>
  <c r="BE89"/>
  <c r="BF89" s="1"/>
  <c r="AW104"/>
  <c r="AW105"/>
  <c r="AX105" s="1"/>
  <c r="AD105"/>
  <c r="AC105"/>
  <c r="CU105" s="1"/>
  <c r="DZ40"/>
  <c r="CV40"/>
  <c r="AW20"/>
  <c r="AX20" s="1"/>
  <c r="DZ34"/>
  <c r="AC35"/>
  <c r="CU35" s="1"/>
  <c r="CV38"/>
  <c r="CV42"/>
  <c r="CA46"/>
  <c r="DZ46"/>
  <c r="AC47"/>
  <c r="CU47" s="1"/>
  <c r="CV50"/>
  <c r="CV54"/>
  <c r="AC56"/>
  <c r="CU56" s="1"/>
  <c r="DZ57"/>
  <c r="AC58"/>
  <c r="CU58" s="1"/>
  <c r="CV59"/>
  <c r="DZ59"/>
  <c r="CU60"/>
  <c r="BQ60"/>
  <c r="CA60" s="1"/>
  <c r="DE60"/>
  <c r="CU61"/>
  <c r="BQ61"/>
  <c r="DE61"/>
  <c r="CU62"/>
  <c r="BQ62"/>
  <c r="DE62"/>
  <c r="AW63"/>
  <c r="AW64"/>
  <c r="AX64" s="1"/>
  <c r="AW65"/>
  <c r="DE65"/>
  <c r="BQ66"/>
  <c r="AW67"/>
  <c r="AX67" s="1"/>
  <c r="DE67"/>
  <c r="BQ68"/>
  <c r="AW69"/>
  <c r="BQ70"/>
  <c r="BR70" s="1"/>
  <c r="DE70"/>
  <c r="CU71"/>
  <c r="BQ71"/>
  <c r="DE71"/>
  <c r="CV72"/>
  <c r="AD73"/>
  <c r="BQ73"/>
  <c r="BQ74"/>
  <c r="CU75"/>
  <c r="BQ75"/>
  <c r="CA75" s="1"/>
  <c r="DE75"/>
  <c r="CU76"/>
  <c r="BQ76"/>
  <c r="CA76" s="1"/>
  <c r="DE76"/>
  <c r="CU77"/>
  <c r="BQ77"/>
  <c r="DE77"/>
  <c r="CU78"/>
  <c r="BQ78"/>
  <c r="CA78" s="1"/>
  <c r="DE78"/>
  <c r="CU79"/>
  <c r="BQ79"/>
  <c r="CA79" s="1"/>
  <c r="DE79"/>
  <c r="AW80"/>
  <c r="AX80" s="1"/>
  <c r="DE80"/>
  <c r="AW81"/>
  <c r="DE81"/>
  <c r="AW82"/>
  <c r="AX82" s="1"/>
  <c r="DE82"/>
  <c r="AL83"/>
  <c r="DF83" s="1"/>
  <c r="BQ83"/>
  <c r="AW84"/>
  <c r="DE84"/>
  <c r="W85"/>
  <c r="AE85" s="1"/>
  <c r="BU85" s="1"/>
  <c r="CU85"/>
  <c r="BQ85"/>
  <c r="CA85" s="1"/>
  <c r="DE85"/>
  <c r="AW86"/>
  <c r="AX86" s="1"/>
  <c r="AW87"/>
  <c r="W88"/>
  <c r="AE88" s="1"/>
  <c r="EA88" s="1"/>
  <c r="CU88"/>
  <c r="BQ88"/>
  <c r="CA88" s="1"/>
  <c r="DE88"/>
  <c r="AC90"/>
  <c r="CU90" s="1"/>
  <c r="AW90"/>
  <c r="AL91"/>
  <c r="DF91" s="1"/>
  <c r="BQ91"/>
  <c r="AL92"/>
  <c r="DF92" s="1"/>
  <c r="BQ92"/>
  <c r="AW93"/>
  <c r="CA93" s="1"/>
  <c r="BR94"/>
  <c r="AW94"/>
  <c r="AX94" s="1"/>
  <c r="AW95"/>
  <c r="X96"/>
  <c r="BQ96"/>
  <c r="AW97"/>
  <c r="AX97" s="1"/>
  <c r="BQ98"/>
  <c r="BR98" s="1"/>
  <c r="AW99"/>
  <c r="DE99"/>
  <c r="AL100"/>
  <c r="DF100" s="1"/>
  <c r="BQ100"/>
  <c r="CU101"/>
  <c r="BQ101"/>
  <c r="CU102"/>
  <c r="CT102" s="1"/>
  <c r="AL102"/>
  <c r="DF102" s="1"/>
  <c r="AW102"/>
  <c r="BF102"/>
  <c r="BQ102"/>
  <c r="BR102" s="1"/>
  <c r="DE102"/>
  <c r="CU103"/>
  <c r="BQ103"/>
  <c r="DE103"/>
  <c r="CU104"/>
  <c r="BQ104"/>
  <c r="CA104" s="1"/>
  <c r="DE104"/>
  <c r="DE105"/>
  <c r="AW106"/>
  <c r="AE8"/>
  <c r="AK8"/>
  <c r="AL8" s="1"/>
  <c r="DE8"/>
  <c r="AE9"/>
  <c r="AK9"/>
  <c r="AL9" s="1"/>
  <c r="CU9"/>
  <c r="DE9"/>
  <c r="CU10"/>
  <c r="BQ10"/>
  <c r="BR10" s="1"/>
  <c r="CU11"/>
  <c r="BQ11"/>
  <c r="BR11" s="1"/>
  <c r="BR12"/>
  <c r="AE13"/>
  <c r="EA13" s="1"/>
  <c r="CU13"/>
  <c r="DE13"/>
  <c r="CU14"/>
  <c r="BQ14"/>
  <c r="BR14" s="1"/>
  <c r="AW15"/>
  <c r="CA15" s="1"/>
  <c r="CU16"/>
  <c r="BQ16"/>
  <c r="BR16" s="1"/>
  <c r="BR17"/>
  <c r="BQ18"/>
  <c r="AE19"/>
  <c r="CU19"/>
  <c r="AB20"/>
  <c r="AE20" s="1"/>
  <c r="AL20"/>
  <c r="DF20" s="1"/>
  <c r="DE20"/>
  <c r="BQ21"/>
  <c r="BR21" s="1"/>
  <c r="CU22"/>
  <c r="BQ22"/>
  <c r="CA22" s="1"/>
  <c r="CU23"/>
  <c r="BQ23"/>
  <c r="BR23" s="1"/>
  <c r="DZ23"/>
  <c r="AC24"/>
  <c r="CU24" s="1"/>
  <c r="BQ25"/>
  <c r="AL26"/>
  <c r="DF26" s="1"/>
  <c r="BF26"/>
  <c r="AL27"/>
  <c r="DF27" s="1"/>
  <c r="BQ27"/>
  <c r="DZ27"/>
  <c r="AC28"/>
  <c r="CU28" s="1"/>
  <c r="CV30"/>
  <c r="BQ31"/>
  <c r="AD31"/>
  <c r="DZ31" s="1"/>
  <c r="AW32"/>
  <c r="AX32" s="1"/>
  <c r="AD32"/>
  <c r="BQ32"/>
  <c r="CA32" s="1"/>
  <c r="AC33"/>
  <c r="CU33" s="1"/>
  <c r="AL34"/>
  <c r="DF34" s="1"/>
  <c r="CV35"/>
  <c r="CV36"/>
  <c r="BQ37"/>
  <c r="AD37"/>
  <c r="CV37" s="1"/>
  <c r="AL38"/>
  <c r="DF38" s="1"/>
  <c r="BQ38"/>
  <c r="BR38" s="1"/>
  <c r="DE38"/>
  <c r="BQ41"/>
  <c r="BR41" s="1"/>
  <c r="AL42"/>
  <c r="BQ42"/>
  <c r="BR42" s="1"/>
  <c r="DE42"/>
  <c r="BQ44"/>
  <c r="AL45"/>
  <c r="DF45" s="1"/>
  <c r="BQ45"/>
  <c r="DZ45"/>
  <c r="AA46"/>
  <c r="AC46"/>
  <c r="CU46" s="1"/>
  <c r="CV47"/>
  <c r="AL48"/>
  <c r="DF48" s="1"/>
  <c r="DZ48"/>
  <c r="AC49"/>
  <c r="CU49" s="1"/>
  <c r="BQ50"/>
  <c r="BR50" s="1"/>
  <c r="DE50"/>
  <c r="AK52"/>
  <c r="AL52" s="1"/>
  <c r="CV52"/>
  <c r="BQ53"/>
  <c r="AL54"/>
  <c r="DF54" s="1"/>
  <c r="BQ54"/>
  <c r="BR54" s="1"/>
  <c r="DE54"/>
  <c r="CA63"/>
  <c r="CA64"/>
  <c r="AL65"/>
  <c r="AW68"/>
  <c r="AX68" s="1"/>
  <c r="CA90"/>
  <c r="DZ90"/>
  <c r="AL95"/>
  <c r="DF95" s="1"/>
  <c r="CA95"/>
  <c r="AE96"/>
  <c r="EA96" s="1"/>
  <c r="BR96"/>
  <c r="CA97"/>
  <c r="AL99"/>
  <c r="DF99" s="1"/>
  <c r="BQ105"/>
  <c r="CA105" s="1"/>
  <c r="CA106"/>
  <c r="CU8"/>
  <c r="BU9"/>
  <c r="CT9"/>
  <c r="DH9" s="1"/>
  <c r="DK9" s="1"/>
  <c r="EA9"/>
  <c r="BU13"/>
  <c r="AX15"/>
  <c r="CV15"/>
  <c r="DZ15"/>
  <c r="DF16"/>
  <c r="BU18"/>
  <c r="CT18"/>
  <c r="DH18" s="1"/>
  <c r="EA18"/>
  <c r="DE18"/>
  <c r="AH19"/>
  <c r="AL19" s="1"/>
  <c r="CA20"/>
  <c r="BR20"/>
  <c r="CB20" s="1"/>
  <c r="AX22"/>
  <c r="DZ22"/>
  <c r="CV22"/>
  <c r="DZ26"/>
  <c r="CV26"/>
  <c r="CV31"/>
  <c r="DZ37"/>
  <c r="CA12"/>
  <c r="CA14"/>
  <c r="CA16"/>
  <c r="BR8"/>
  <c r="BR9"/>
  <c r="CV10"/>
  <c r="DZ10"/>
  <c r="AX11"/>
  <c r="CV11"/>
  <c r="DZ11"/>
  <c r="AY12"/>
  <c r="AZ12" s="1"/>
  <c r="DG12" s="1"/>
  <c r="AX12"/>
  <c r="CB12" s="1"/>
  <c r="CV12"/>
  <c r="DZ12"/>
  <c r="BR13"/>
  <c r="AY14"/>
  <c r="AZ14" s="1"/>
  <c r="DG14" s="1"/>
  <c r="AX14"/>
  <c r="CV14"/>
  <c r="DZ14"/>
  <c r="EA15"/>
  <c r="CT15"/>
  <c r="DH15" s="1"/>
  <c r="BU15"/>
  <c r="AY16"/>
  <c r="AZ16" s="1"/>
  <c r="DG16" s="1"/>
  <c r="AX16"/>
  <c r="CV16"/>
  <c r="DZ16"/>
  <c r="AX17"/>
  <c r="CV17"/>
  <c r="DZ17"/>
  <c r="BR18"/>
  <c r="EA19"/>
  <c r="BU19"/>
  <c r="CG26"/>
  <c r="CH26" s="1"/>
  <c r="DE28"/>
  <c r="AW24"/>
  <c r="CA24" s="1"/>
  <c r="X24"/>
  <c r="DI26"/>
  <c r="DL26" s="1"/>
  <c r="AW28"/>
  <c r="X28"/>
  <c r="AE28" s="1"/>
  <c r="AH44"/>
  <c r="AL44" s="1"/>
  <c r="AM44" s="1"/>
  <c r="BA44" s="1"/>
  <c r="BB44" s="1"/>
  <c r="AW47"/>
  <c r="X47"/>
  <c r="AE47" s="1"/>
  <c r="AW49"/>
  <c r="AB49"/>
  <c r="AE49" s="1"/>
  <c r="DZ49"/>
  <c r="CV49"/>
  <c r="AK56"/>
  <c r="AL56" s="1"/>
  <c r="DF57"/>
  <c r="AK58"/>
  <c r="AX60"/>
  <c r="DZ61"/>
  <c r="CV61"/>
  <c r="AX62"/>
  <c r="DZ62"/>
  <c r="CV62"/>
  <c r="BU63"/>
  <c r="EA63"/>
  <c r="DF65"/>
  <c r="BR65"/>
  <c r="AX66"/>
  <c r="BR67"/>
  <c r="CA69"/>
  <c r="AX70"/>
  <c r="DZ70"/>
  <c r="CV70"/>
  <c r="AX71"/>
  <c r="CV71"/>
  <c r="DZ71"/>
  <c r="AW9"/>
  <c r="BE10"/>
  <c r="DE10"/>
  <c r="BE11"/>
  <c r="DE12"/>
  <c r="BE15"/>
  <c r="DE15"/>
  <c r="BE16"/>
  <c r="BF16" s="1"/>
  <c r="DE16"/>
  <c r="CQ17"/>
  <c r="DZ19"/>
  <c r="DZ21"/>
  <c r="BR27"/>
  <c r="BE27"/>
  <c r="BQ28"/>
  <c r="BR28" s="1"/>
  <c r="BE29"/>
  <c r="DE29"/>
  <c r="BR30"/>
  <c r="BE32"/>
  <c r="DE33"/>
  <c r="BQ35"/>
  <c r="BR35" s="1"/>
  <c r="DE35"/>
  <c r="BR36"/>
  <c r="AW40"/>
  <c r="AW42"/>
  <c r="BR44"/>
  <c r="BE44"/>
  <c r="BR45"/>
  <c r="BE45"/>
  <c r="BF45" s="1"/>
  <c r="BS45" s="1"/>
  <c r="BR46"/>
  <c r="BE46"/>
  <c r="BQ47"/>
  <c r="CA47" s="1"/>
  <c r="DE47"/>
  <c r="BR48"/>
  <c r="BE48"/>
  <c r="BF48" s="1"/>
  <c r="BQ49"/>
  <c r="CA49" s="1"/>
  <c r="DE49"/>
  <c r="AL50"/>
  <c r="AM50" s="1"/>
  <c r="BA50" s="1"/>
  <c r="AW50"/>
  <c r="AW52"/>
  <c r="AW54"/>
  <c r="DZ55"/>
  <c r="BQ56"/>
  <c r="BQ58"/>
  <c r="BR58" s="1"/>
  <c r="AW33"/>
  <c r="X33"/>
  <c r="AE33" s="1"/>
  <c r="AW35"/>
  <c r="AB35"/>
  <c r="AE35" s="1"/>
  <c r="AW23"/>
  <c r="X23"/>
  <c r="AE23" s="1"/>
  <c r="AW27"/>
  <c r="X27"/>
  <c r="AE27" s="1"/>
  <c r="AW29"/>
  <c r="X29"/>
  <c r="AE29" s="1"/>
  <c r="AW30"/>
  <c r="X30"/>
  <c r="AE30" s="1"/>
  <c r="AH33"/>
  <c r="AL33" s="1"/>
  <c r="DF33" s="1"/>
  <c r="AW34"/>
  <c r="AB34"/>
  <c r="AE34" s="1"/>
  <c r="AW36"/>
  <c r="X36"/>
  <c r="AE36" s="1"/>
  <c r="AW44"/>
  <c r="X44"/>
  <c r="AE44" s="1"/>
  <c r="AF44" s="1"/>
  <c r="AF44" i="15" s="1"/>
  <c r="AF44" i="19" s="1"/>
  <c r="AW45" i="12"/>
  <c r="X45"/>
  <c r="AE45" s="1"/>
  <c r="AW48"/>
  <c r="X48"/>
  <c r="AE48" s="1"/>
  <c r="AH49"/>
  <c r="AW56"/>
  <c r="X56"/>
  <c r="AE56" s="1"/>
  <c r="CV56"/>
  <c r="DZ56"/>
  <c r="BR57"/>
  <c r="BE58"/>
  <c r="AW58"/>
  <c r="AB58"/>
  <c r="AE58" s="1"/>
  <c r="CV58"/>
  <c r="DZ58"/>
  <c r="BR59"/>
  <c r="DZ60"/>
  <c r="CV60"/>
  <c r="AW8"/>
  <c r="CA8" s="1"/>
  <c r="CV8"/>
  <c r="CV9"/>
  <c r="DY9" s="1"/>
  <c r="DE11"/>
  <c r="BE12"/>
  <c r="BF12" s="1"/>
  <c r="AW13"/>
  <c r="CA13" s="1"/>
  <c r="CV13"/>
  <c r="BE14"/>
  <c r="BF14" s="1"/>
  <c r="DE14"/>
  <c r="BE17"/>
  <c r="AW18"/>
  <c r="CV18"/>
  <c r="AW19"/>
  <c r="AY20"/>
  <c r="AZ20" s="1"/>
  <c r="DG20" s="1"/>
  <c r="CV20"/>
  <c r="AW21"/>
  <c r="BE22"/>
  <c r="BF22" s="1"/>
  <c r="DE22"/>
  <c r="BE23"/>
  <c r="CV24"/>
  <c r="CT26"/>
  <c r="DH26" s="1"/>
  <c r="EA26"/>
  <c r="EB26" s="1"/>
  <c r="EC26" s="1"/>
  <c r="BR29"/>
  <c r="BE30"/>
  <c r="BE36"/>
  <c r="AM38"/>
  <c r="BA38" s="1"/>
  <c r="BB38" s="1"/>
  <c r="AW38"/>
  <c r="AJ7"/>
  <c r="AP7"/>
  <c r="AT7"/>
  <c r="AV7"/>
  <c r="BJ7"/>
  <c r="BN7"/>
  <c r="BE8"/>
  <c r="DO160"/>
  <c r="BE9"/>
  <c r="BF9" s="1"/>
  <c r="X10"/>
  <c r="X11"/>
  <c r="AE11" s="1"/>
  <c r="X12"/>
  <c r="AE12" s="1"/>
  <c r="BE13"/>
  <c r="AB14"/>
  <c r="X16"/>
  <c r="AE16" s="1"/>
  <c r="X17"/>
  <c r="AE17" s="1"/>
  <c r="BE18"/>
  <c r="BE19"/>
  <c r="DE19"/>
  <c r="BE20"/>
  <c r="BF20" s="1"/>
  <c r="BE21"/>
  <c r="DE21"/>
  <c r="X22"/>
  <c r="AE22" s="1"/>
  <c r="DE23"/>
  <c r="BR24"/>
  <c r="BE24"/>
  <c r="X25"/>
  <c r="AE25" s="1"/>
  <c r="AL25"/>
  <c r="CU25"/>
  <c r="AW25"/>
  <c r="CA25" s="1"/>
  <c r="BR25"/>
  <c r="DE25"/>
  <c r="CV25"/>
  <c r="AW26"/>
  <c r="BQ26"/>
  <c r="BV26"/>
  <c r="DW26" s="1"/>
  <c r="DE26"/>
  <c r="BF27"/>
  <c r="BS27" s="1"/>
  <c r="DE27"/>
  <c r="BE28"/>
  <c r="DZ28"/>
  <c r="CV29"/>
  <c r="DZ29"/>
  <c r="DE30"/>
  <c r="AE31"/>
  <c r="AL31"/>
  <c r="CU31"/>
  <c r="AW31"/>
  <c r="BR31"/>
  <c r="BF32"/>
  <c r="DE32"/>
  <c r="BR33"/>
  <c r="BE33"/>
  <c r="DZ33"/>
  <c r="BR34"/>
  <c r="BF34"/>
  <c r="DE34"/>
  <c r="AL35"/>
  <c r="DF35" s="1"/>
  <c r="BE35"/>
  <c r="BF35" s="1"/>
  <c r="DZ35"/>
  <c r="DE36"/>
  <c r="AE37"/>
  <c r="AL37"/>
  <c r="CU37"/>
  <c r="AW37"/>
  <c r="CA37" s="1"/>
  <c r="BR37"/>
  <c r="DE37"/>
  <c r="AE38"/>
  <c r="AB39"/>
  <c r="AE39" s="1"/>
  <c r="AL39"/>
  <c r="DF39" s="1"/>
  <c r="CU39"/>
  <c r="AW39"/>
  <c r="CA39" s="1"/>
  <c r="BR39"/>
  <c r="DE39"/>
  <c r="CV39"/>
  <c r="AE40"/>
  <c r="CA40"/>
  <c r="AB41"/>
  <c r="AE41" s="1"/>
  <c r="AL41"/>
  <c r="CU41"/>
  <c r="AW41"/>
  <c r="DE41"/>
  <c r="CV41"/>
  <c r="AE42"/>
  <c r="DF42"/>
  <c r="X43"/>
  <c r="AE43" s="1"/>
  <c r="CU43"/>
  <c r="AW43"/>
  <c r="BR43"/>
  <c r="DE43"/>
  <c r="CV43"/>
  <c r="DE44"/>
  <c r="DZ44"/>
  <c r="DE45"/>
  <c r="DE46"/>
  <c r="BR47"/>
  <c r="AL47"/>
  <c r="DF47" s="1"/>
  <c r="BE47"/>
  <c r="BF47" s="1"/>
  <c r="DZ47"/>
  <c r="DE48"/>
  <c r="AL49"/>
  <c r="DF49" s="1"/>
  <c r="BE49"/>
  <c r="AE50"/>
  <c r="CA50"/>
  <c r="X51"/>
  <c r="AE51" s="1"/>
  <c r="AL51"/>
  <c r="CU51"/>
  <c r="AW51"/>
  <c r="DE51"/>
  <c r="CV51"/>
  <c r="AE52"/>
  <c r="CA52"/>
  <c r="AB53"/>
  <c r="AE53" s="1"/>
  <c r="AL53"/>
  <c r="DF53" s="1"/>
  <c r="CU53"/>
  <c r="AW53"/>
  <c r="BR53"/>
  <c r="DE53"/>
  <c r="CV53"/>
  <c r="AE54"/>
  <c r="CA54"/>
  <c r="AB55"/>
  <c r="AE55" s="1"/>
  <c r="AW55"/>
  <c r="DE56"/>
  <c r="BE57"/>
  <c r="BF57" s="1"/>
  <c r="DE58"/>
  <c r="BE59"/>
  <c r="AW57"/>
  <c r="CA57" s="1"/>
  <c r="X57"/>
  <c r="AE57" s="1"/>
  <c r="AW59"/>
  <c r="X59"/>
  <c r="AE59" s="1"/>
  <c r="AX63"/>
  <c r="DZ63"/>
  <c r="CV63"/>
  <c r="DZ64"/>
  <c r="CV64"/>
  <c r="AY65"/>
  <c r="AZ65" s="1"/>
  <c r="DG65" s="1"/>
  <c r="AX65"/>
  <c r="BR66"/>
  <c r="CA66"/>
  <c r="BR68"/>
  <c r="AX69"/>
  <c r="BE25"/>
  <c r="BF25" s="1"/>
  <c r="BE31"/>
  <c r="BF31" s="1"/>
  <c r="DE31"/>
  <c r="BE37"/>
  <c r="BF37" s="1"/>
  <c r="BE38"/>
  <c r="BF38" s="1"/>
  <c r="BE39"/>
  <c r="BF39" s="1"/>
  <c r="BE40"/>
  <c r="BE41"/>
  <c r="BF41" s="1"/>
  <c r="BE42"/>
  <c r="BF42" s="1"/>
  <c r="BE43"/>
  <c r="BE50"/>
  <c r="BE51"/>
  <c r="BF51" s="1"/>
  <c r="BE52"/>
  <c r="BF52" s="1"/>
  <c r="BE53"/>
  <c r="BF53" s="1"/>
  <c r="BE54"/>
  <c r="BF54" s="1"/>
  <c r="BR55"/>
  <c r="BE55"/>
  <c r="DE55"/>
  <c r="BR56"/>
  <c r="BE56"/>
  <c r="BF56" s="1"/>
  <c r="BS56" s="1"/>
  <c r="DE57"/>
  <c r="BF59"/>
  <c r="DE59"/>
  <c r="AE60"/>
  <c r="CA61"/>
  <c r="CA62"/>
  <c r="CA70"/>
  <c r="CA71"/>
  <c r="AW73"/>
  <c r="CA73" s="1"/>
  <c r="AB73"/>
  <c r="AE73" s="1"/>
  <c r="AX75"/>
  <c r="DZ75"/>
  <c r="CV75"/>
  <c r="AX76"/>
  <c r="DZ76"/>
  <c r="CV76"/>
  <c r="AX77"/>
  <c r="DZ77"/>
  <c r="CV77"/>
  <c r="AX78"/>
  <c r="DZ78"/>
  <c r="CV78"/>
  <c r="AX79"/>
  <c r="DZ79"/>
  <c r="CV79"/>
  <c r="BR80"/>
  <c r="CA80"/>
  <c r="BR81"/>
  <c r="CA81"/>
  <c r="BR82"/>
  <c r="CA82"/>
  <c r="AX83"/>
  <c r="BR84"/>
  <c r="DZ85"/>
  <c r="CV85"/>
  <c r="BU86"/>
  <c r="EA86"/>
  <c r="CT86"/>
  <c r="DH86" s="1"/>
  <c r="DE86"/>
  <c r="DK86" s="1"/>
  <c r="AX87"/>
  <c r="DZ87"/>
  <c r="CV87"/>
  <c r="BU88"/>
  <c r="CT88"/>
  <c r="DH88" s="1"/>
  <c r="DK88" s="1"/>
  <c r="CG89"/>
  <c r="CH89" s="1"/>
  <c r="AK60"/>
  <c r="BR60"/>
  <c r="CB60" s="1"/>
  <c r="X61"/>
  <c r="AE61" s="1"/>
  <c r="AH61"/>
  <c r="AK61"/>
  <c r="BR61"/>
  <c r="AB62"/>
  <c r="AE62" s="1"/>
  <c r="AK62"/>
  <c r="AL62" s="1"/>
  <c r="BR62"/>
  <c r="CB62" s="1"/>
  <c r="AK63"/>
  <c r="AL63" s="1"/>
  <c r="BR63"/>
  <c r="AB64"/>
  <c r="AE64" s="1"/>
  <c r="AK64"/>
  <c r="BR64"/>
  <c r="AC65"/>
  <c r="CU65" s="1"/>
  <c r="BE65"/>
  <c r="BF65" s="1"/>
  <c r="DW65" s="1"/>
  <c r="DZ65"/>
  <c r="AC66"/>
  <c r="CU66" s="1"/>
  <c r="BE66"/>
  <c r="DZ66"/>
  <c r="AC67"/>
  <c r="CU67" s="1"/>
  <c r="BE67"/>
  <c r="BF67" s="1"/>
  <c r="DZ67"/>
  <c r="AC68"/>
  <c r="CU68" s="1"/>
  <c r="BE68"/>
  <c r="DZ68"/>
  <c r="AC69"/>
  <c r="CU69" s="1"/>
  <c r="BE69"/>
  <c r="DE69"/>
  <c r="X70"/>
  <c r="AE70" s="1"/>
  <c r="AK70"/>
  <c r="AL70" s="1"/>
  <c r="X71"/>
  <c r="AE71" s="1"/>
  <c r="AK71"/>
  <c r="AL71" s="1"/>
  <c r="BR71"/>
  <c r="CB71" s="1"/>
  <c r="AC72"/>
  <c r="CU72" s="1"/>
  <c r="AL72"/>
  <c r="BE72"/>
  <c r="BF72" s="1"/>
  <c r="BS72" s="1"/>
  <c r="DZ72"/>
  <c r="BR73"/>
  <c r="DE73"/>
  <c r="BR74"/>
  <c r="AC74"/>
  <c r="CU74" s="1"/>
  <c r="BE74"/>
  <c r="CA86"/>
  <c r="AW72"/>
  <c r="AB72"/>
  <c r="AW74"/>
  <c r="X74"/>
  <c r="DZ74"/>
  <c r="CV74"/>
  <c r="DE74"/>
  <c r="AX81"/>
  <c r="BR83"/>
  <c r="CB83" s="1"/>
  <c r="CA83"/>
  <c r="AX84"/>
  <c r="EA85"/>
  <c r="DZ86"/>
  <c r="CV86"/>
  <c r="AX88"/>
  <c r="DZ88"/>
  <c r="CV88"/>
  <c r="BE60"/>
  <c r="BE61"/>
  <c r="BE62"/>
  <c r="BF62" s="1"/>
  <c r="BE63"/>
  <c r="BF63" s="1"/>
  <c r="BE64"/>
  <c r="DE64"/>
  <c r="CV69"/>
  <c r="BE70"/>
  <c r="BF70" s="1"/>
  <c r="BE71"/>
  <c r="BF71" s="1"/>
  <c r="BR72"/>
  <c r="DE72"/>
  <c r="AX90"/>
  <c r="BR91"/>
  <c r="CA91"/>
  <c r="BR92"/>
  <c r="CA92"/>
  <c r="AX93"/>
  <c r="DZ93"/>
  <c r="CV93"/>
  <c r="AX95"/>
  <c r="DZ97"/>
  <c r="CV97"/>
  <c r="AB75"/>
  <c r="AE75" s="1"/>
  <c r="AK75"/>
  <c r="AL75" s="1"/>
  <c r="AB76"/>
  <c r="AE76" s="1"/>
  <c r="AK76"/>
  <c r="BR76"/>
  <c r="CB76" s="1"/>
  <c r="AB77"/>
  <c r="AE77" s="1"/>
  <c r="AK77"/>
  <c r="Z78"/>
  <c r="AK78"/>
  <c r="BR78"/>
  <c r="CB78" s="1"/>
  <c r="AB79"/>
  <c r="AE79" s="1"/>
  <c r="AK79"/>
  <c r="AL79" s="1"/>
  <c r="DF79" s="1"/>
  <c r="AC80"/>
  <c r="CU80" s="1"/>
  <c r="BE80"/>
  <c r="DZ80"/>
  <c r="AC81"/>
  <c r="CU81" s="1"/>
  <c r="BE81"/>
  <c r="DZ81"/>
  <c r="Y82"/>
  <c r="Y7" s="1"/>
  <c r="AC82"/>
  <c r="CU82" s="1"/>
  <c r="AG82"/>
  <c r="BE82"/>
  <c r="DZ82"/>
  <c r="AC83"/>
  <c r="CU83" s="1"/>
  <c r="BE83"/>
  <c r="BF83" s="1"/>
  <c r="DZ83"/>
  <c r="AC84"/>
  <c r="CU84" s="1"/>
  <c r="AG84"/>
  <c r="BE84"/>
  <c r="DZ84"/>
  <c r="AK85"/>
  <c r="AL85" s="1"/>
  <c r="BR85"/>
  <c r="AK86"/>
  <c r="BR86"/>
  <c r="AB87"/>
  <c r="AE87" s="1"/>
  <c r="AK87"/>
  <c r="BR87"/>
  <c r="CB87" s="1"/>
  <c r="AK88"/>
  <c r="AL88" s="1"/>
  <c r="G89"/>
  <c r="AE89"/>
  <c r="AL89"/>
  <c r="DF89" s="1"/>
  <c r="CA94"/>
  <c r="CA96"/>
  <c r="CV89"/>
  <c r="DZ89"/>
  <c r="BR89"/>
  <c r="CA89"/>
  <c r="I90"/>
  <c r="Q90" s="1"/>
  <c r="BX90" s="1"/>
  <c r="G90"/>
  <c r="AX91"/>
  <c r="AX92"/>
  <c r="EA93"/>
  <c r="BU93"/>
  <c r="CT93"/>
  <c r="DH93" s="1"/>
  <c r="DE93"/>
  <c r="DE94"/>
  <c r="EA95"/>
  <c r="CT95"/>
  <c r="DH95" s="1"/>
  <c r="BU95"/>
  <c r="CT96"/>
  <c r="DH96" s="1"/>
  <c r="BU96"/>
  <c r="AX96"/>
  <c r="CB96" s="1"/>
  <c r="CV96"/>
  <c r="DZ96"/>
  <c r="CT97"/>
  <c r="DH97" s="1"/>
  <c r="EA97"/>
  <c r="BU97"/>
  <c r="BE75"/>
  <c r="BF75" s="1"/>
  <c r="BE76"/>
  <c r="BE77"/>
  <c r="BE78"/>
  <c r="BE79"/>
  <c r="BF79" s="1"/>
  <c r="BE85"/>
  <c r="BF85" s="1"/>
  <c r="BE86"/>
  <c r="BE87"/>
  <c r="BE88"/>
  <c r="BF88" s="1"/>
  <c r="DY88"/>
  <c r="AX89"/>
  <c r="AX99"/>
  <c r="BR100"/>
  <c r="CA100"/>
  <c r="DE101"/>
  <c r="EA102"/>
  <c r="BU102"/>
  <c r="AX102"/>
  <c r="BV102"/>
  <c r="DI102"/>
  <c r="DL102" s="1"/>
  <c r="BY102"/>
  <c r="BZ102" s="1"/>
  <c r="CA102"/>
  <c r="AX106"/>
  <c r="DZ106"/>
  <c r="CV106"/>
  <c r="AK90"/>
  <c r="AL90" s="1"/>
  <c r="BE90"/>
  <c r="BF90" s="1"/>
  <c r="BR90"/>
  <c r="CB90" s="1"/>
  <c r="AC91"/>
  <c r="CU91" s="1"/>
  <c r="BE91"/>
  <c r="BF91" s="1"/>
  <c r="BS91" s="1"/>
  <c r="DZ91"/>
  <c r="W92"/>
  <c r="AC92"/>
  <c r="CU92" s="1"/>
  <c r="BE92"/>
  <c r="BF92" s="1"/>
  <c r="DZ92"/>
  <c r="AK93"/>
  <c r="BR93"/>
  <c r="AC94"/>
  <c r="CU94" s="1"/>
  <c r="BE94"/>
  <c r="DZ94"/>
  <c r="BE95"/>
  <c r="BF95" s="1"/>
  <c r="DE95"/>
  <c r="DZ95"/>
  <c r="AL96"/>
  <c r="DF96" s="1"/>
  <c r="BE96"/>
  <c r="BF96" s="1"/>
  <c r="DE96"/>
  <c r="AL97"/>
  <c r="DF97" s="1"/>
  <c r="BE97"/>
  <c r="BF97" s="1"/>
  <c r="DE97"/>
  <c r="DK97" s="1"/>
  <c r="AB98"/>
  <c r="AL98"/>
  <c r="AW98"/>
  <c r="CA101"/>
  <c r="CA103"/>
  <c r="CV98"/>
  <c r="DZ98"/>
  <c r="BR99"/>
  <c r="CB99" s="1"/>
  <c r="AY100"/>
  <c r="AZ100" s="1"/>
  <c r="DG100" s="1"/>
  <c r="AX100"/>
  <c r="AX101"/>
  <c r="CV101"/>
  <c r="DZ101"/>
  <c r="I102"/>
  <c r="Q102" s="1"/>
  <c r="BX102" s="1"/>
  <c r="G102"/>
  <c r="AX103"/>
  <c r="DZ103"/>
  <c r="CV103"/>
  <c r="AX104"/>
  <c r="DZ104"/>
  <c r="CV104"/>
  <c r="CV105"/>
  <c r="DZ105"/>
  <c r="BE93"/>
  <c r="AE98"/>
  <c r="CA98"/>
  <c r="BE98"/>
  <c r="BF98" s="1"/>
  <c r="AC99"/>
  <c r="CU99" s="1"/>
  <c r="BE99"/>
  <c r="BF99" s="1"/>
  <c r="DZ99"/>
  <c r="AC100"/>
  <c r="CU100" s="1"/>
  <c r="BE100"/>
  <c r="BF100" s="1"/>
  <c r="BS100" s="1"/>
  <c r="DZ100"/>
  <c r="AB101"/>
  <c r="AE101" s="1"/>
  <c r="AK101"/>
  <c r="AL101" s="1"/>
  <c r="BR101"/>
  <c r="DZ102"/>
  <c r="Z103"/>
  <c r="AE103" s="1"/>
  <c r="AK103"/>
  <c r="AL103" s="1"/>
  <c r="BR103"/>
  <c r="AB104"/>
  <c r="AE104" s="1"/>
  <c r="AK104"/>
  <c r="AL104" s="1"/>
  <c r="DF104" s="1"/>
  <c r="AB105"/>
  <c r="AE105" s="1"/>
  <c r="AK105"/>
  <c r="X106"/>
  <c r="AE106" s="1"/>
  <c r="AK106"/>
  <c r="AL106" s="1"/>
  <c r="BR106"/>
  <c r="CB106" s="1"/>
  <c r="BE101"/>
  <c r="BF101" s="1"/>
  <c r="BE103"/>
  <c r="BF103" s="1"/>
  <c r="BE104"/>
  <c r="BF104" s="1"/>
  <c r="BE105"/>
  <c r="BE106"/>
  <c r="BF106" s="1"/>
  <c r="AW31" i="9"/>
  <c r="AW32"/>
  <c r="CV33"/>
  <c r="BQ33"/>
  <c r="AW43"/>
  <c r="CV44"/>
  <c r="BQ44"/>
  <c r="CV45"/>
  <c r="BQ45"/>
  <c r="AE46"/>
  <c r="CU46"/>
  <c r="DE46"/>
  <c r="CU66"/>
  <c r="CV58"/>
  <c r="CV59"/>
  <c r="BQ59"/>
  <c r="CV12"/>
  <c r="AE15"/>
  <c r="BQ23"/>
  <c r="BR23" s="1"/>
  <c r="CV24"/>
  <c r="DE31"/>
  <c r="AW34"/>
  <c r="DE34"/>
  <c r="AW37"/>
  <c r="DE37"/>
  <c r="CV38"/>
  <c r="BQ38"/>
  <c r="CV39"/>
  <c r="CU55"/>
  <c r="AW58"/>
  <c r="DE58"/>
  <c r="AW61"/>
  <c r="CU64"/>
  <c r="DE64"/>
  <c r="CV85"/>
  <c r="AW86"/>
  <c r="AD86"/>
  <c r="AC86"/>
  <c r="CU86" s="1"/>
  <c r="CV96"/>
  <c r="BQ98"/>
  <c r="AE99"/>
  <c r="CU99"/>
  <c r="DE99"/>
  <c r="CU101"/>
  <c r="BN7"/>
  <c r="BQ64"/>
  <c r="BQ46"/>
  <c r="CV10"/>
  <c r="BQ10"/>
  <c r="AW11"/>
  <c r="AW12"/>
  <c r="DE12"/>
  <c r="CU13"/>
  <c r="BQ13"/>
  <c r="DE13"/>
  <c r="CV14"/>
  <c r="BQ14"/>
  <c r="CU15"/>
  <c r="BQ15"/>
  <c r="DE15"/>
  <c r="CU16"/>
  <c r="AW17"/>
  <c r="AW19"/>
  <c r="CU22"/>
  <c r="DE22"/>
  <c r="AW24"/>
  <c r="CV25"/>
  <c r="BQ25"/>
  <c r="AC26"/>
  <c r="CU26" s="1"/>
  <c r="CV30"/>
  <c r="BQ30"/>
  <c r="CV35"/>
  <c r="BQ35"/>
  <c r="CV36"/>
  <c r="BQ36"/>
  <c r="AW39"/>
  <c r="DE39"/>
  <c r="CU40"/>
  <c r="BQ40"/>
  <c r="DE40"/>
  <c r="AW41"/>
  <c r="AW42"/>
  <c r="AW47"/>
  <c r="CV48"/>
  <c r="BQ48"/>
  <c r="AW50"/>
  <c r="DE50"/>
  <c r="BQ56"/>
  <c r="CV57"/>
  <c r="BQ57"/>
  <c r="AW60"/>
  <c r="AW62"/>
  <c r="AE63"/>
  <c r="CU63"/>
  <c r="BQ63"/>
  <c r="DE63"/>
  <c r="CU65"/>
  <c r="BQ65"/>
  <c r="CV69"/>
  <c r="AW70"/>
  <c r="DE70"/>
  <c r="CV72"/>
  <c r="BQ76"/>
  <c r="AW77"/>
  <c r="CV80"/>
  <c r="Y7"/>
  <c r="CV87"/>
  <c r="BQ87"/>
  <c r="CV88"/>
  <c r="BQ88"/>
  <c r="AC89"/>
  <c r="CU89" s="1"/>
  <c r="CV94"/>
  <c r="BQ94"/>
  <c r="CV95"/>
  <c r="AD102"/>
  <c r="CV102" s="1"/>
  <c r="BQ102"/>
  <c r="BQ103"/>
  <c r="S7"/>
  <c r="BQ16"/>
  <c r="DE16"/>
  <c r="CU17"/>
  <c r="CU18"/>
  <c r="BQ22"/>
  <c r="BR22" s="1"/>
  <c r="AW26"/>
  <c r="AW28"/>
  <c r="AW29"/>
  <c r="CU32"/>
  <c r="DE35"/>
  <c r="AW69"/>
  <c r="AX69" s="1"/>
  <c r="DE69"/>
  <c r="CV71"/>
  <c r="BQ71"/>
  <c r="AW72"/>
  <c r="DE72"/>
  <c r="BQ73"/>
  <c r="CU74"/>
  <c r="DE76"/>
  <c r="CU93"/>
  <c r="BQ95"/>
  <c r="AW96"/>
  <c r="DE96"/>
  <c r="AW97"/>
  <c r="AW100"/>
  <c r="BQ8"/>
  <c r="DE8"/>
  <c r="BQ9"/>
  <c r="DE9"/>
  <c r="AL35"/>
  <c r="DF35" s="1"/>
  <c r="BR56"/>
  <c r="DE65"/>
  <c r="BQ66"/>
  <c r="CA66" s="1"/>
  <c r="DE66"/>
  <c r="CU67"/>
  <c r="BQ67"/>
  <c r="DE67"/>
  <c r="CU68"/>
  <c r="BQ68"/>
  <c r="DE68"/>
  <c r="BR75"/>
  <c r="BR76"/>
  <c r="AW78"/>
  <c r="CV79"/>
  <c r="BQ79"/>
  <c r="AW80"/>
  <c r="DE80"/>
  <c r="CV81"/>
  <c r="BQ81"/>
  <c r="AE82"/>
  <c r="CU82"/>
  <c r="BQ82"/>
  <c r="DE82"/>
  <c r="AW83"/>
  <c r="AW84"/>
  <c r="AW85"/>
  <c r="DE85"/>
  <c r="AW89"/>
  <c r="BE89"/>
  <c r="AL90"/>
  <c r="DF90" s="1"/>
  <c r="AD90"/>
  <c r="BQ90"/>
  <c r="BQ101"/>
  <c r="AE104"/>
  <c r="CU104"/>
  <c r="DE104"/>
  <c r="BQ105"/>
  <c r="BR105" s="1"/>
  <c r="DZ22"/>
  <c r="CV22"/>
  <c r="DZ76"/>
  <c r="CV76"/>
  <c r="CV90"/>
  <c r="DZ90"/>
  <c r="AW8"/>
  <c r="AW9"/>
  <c r="AW10"/>
  <c r="DE10"/>
  <c r="BQ11"/>
  <c r="DE11"/>
  <c r="AL12"/>
  <c r="DF12" s="1"/>
  <c r="BQ12"/>
  <c r="AW13"/>
  <c r="AW14"/>
  <c r="DE14"/>
  <c r="AW15"/>
  <c r="CA15" s="1"/>
  <c r="AW16"/>
  <c r="AW30"/>
  <c r="CA30" s="1"/>
  <c r="DE30"/>
  <c r="BQ31"/>
  <c r="AW36"/>
  <c r="DE36"/>
  <c r="BQ37"/>
  <c r="AW38"/>
  <c r="DE38"/>
  <c r="AL39"/>
  <c r="DF39" s="1"/>
  <c r="BQ39"/>
  <c r="AW40"/>
  <c r="AX40" s="1"/>
  <c r="CU41"/>
  <c r="BQ41"/>
  <c r="DE41"/>
  <c r="CU42"/>
  <c r="BQ42"/>
  <c r="DE42"/>
  <c r="CU43"/>
  <c r="BQ43"/>
  <c r="DE43"/>
  <c r="AW44"/>
  <c r="DE44"/>
  <c r="AW45"/>
  <c r="DE45"/>
  <c r="AW46"/>
  <c r="CA46" s="1"/>
  <c r="CU47"/>
  <c r="BQ47"/>
  <c r="DE47"/>
  <c r="AW48"/>
  <c r="DE48"/>
  <c r="AW49"/>
  <c r="DE49"/>
  <c r="BQ50"/>
  <c r="AW51"/>
  <c r="DE51"/>
  <c r="AL52"/>
  <c r="DF52" s="1"/>
  <c r="BQ52"/>
  <c r="AW53"/>
  <c r="BQ54"/>
  <c r="BR54" s="1"/>
  <c r="AD54"/>
  <c r="BQ55"/>
  <c r="BR55" s="1"/>
  <c r="DE55"/>
  <c r="AW57"/>
  <c r="DE57"/>
  <c r="BQ58"/>
  <c r="AW59"/>
  <c r="DE59"/>
  <c r="CU60"/>
  <c r="BQ60"/>
  <c r="DE60"/>
  <c r="CU61"/>
  <c r="BQ61"/>
  <c r="DE61"/>
  <c r="CU62"/>
  <c r="BQ62"/>
  <c r="DE62"/>
  <c r="AW63"/>
  <c r="AW64"/>
  <c r="CA64" s="1"/>
  <c r="AW65"/>
  <c r="AW66"/>
  <c r="AW67"/>
  <c r="AW68"/>
  <c r="BQ69"/>
  <c r="AL70"/>
  <c r="DF70" s="1"/>
  <c r="BQ70"/>
  <c r="AW71"/>
  <c r="DE71"/>
  <c r="AL72"/>
  <c r="BQ72"/>
  <c r="AW73"/>
  <c r="BQ74"/>
  <c r="BR74" s="1"/>
  <c r="DE74"/>
  <c r="CU77"/>
  <c r="BQ77"/>
  <c r="DE77"/>
  <c r="BQ78"/>
  <c r="BR78" s="1"/>
  <c r="DE78"/>
  <c r="AW79"/>
  <c r="DE79"/>
  <c r="BQ80"/>
  <c r="AW81"/>
  <c r="DE81"/>
  <c r="AW82"/>
  <c r="AX82" s="1"/>
  <c r="CU83"/>
  <c r="BQ83"/>
  <c r="DE83"/>
  <c r="CU84"/>
  <c r="BQ84"/>
  <c r="DE84"/>
  <c r="AL85"/>
  <c r="DF85" s="1"/>
  <c r="BQ85"/>
  <c r="AW87"/>
  <c r="DE87"/>
  <c r="AW88"/>
  <c r="DE88"/>
  <c r="AW90"/>
  <c r="BQ91"/>
  <c r="BR91" s="1"/>
  <c r="AW94"/>
  <c r="AW95"/>
  <c r="DE95"/>
  <c r="AL96"/>
  <c r="DF96" s="1"/>
  <c r="BQ96"/>
  <c r="AL97"/>
  <c r="DF97" s="1"/>
  <c r="BQ97"/>
  <c r="CU98"/>
  <c r="DE98"/>
  <c r="AL99"/>
  <c r="DF99" s="1"/>
  <c r="BQ99"/>
  <c r="CU100"/>
  <c r="BQ100"/>
  <c r="CA100" s="1"/>
  <c r="BR101"/>
  <c r="AW101"/>
  <c r="BR102"/>
  <c r="AC102"/>
  <c r="CU102" s="1"/>
  <c r="AW102"/>
  <c r="AE103"/>
  <c r="CU103"/>
  <c r="DE103"/>
  <c r="AL104"/>
  <c r="DF104" s="1"/>
  <c r="BQ104"/>
  <c r="AE105"/>
  <c r="CU105"/>
  <c r="AL106"/>
  <c r="DF106" s="1"/>
  <c r="BQ106"/>
  <c r="DE106"/>
  <c r="CA9"/>
  <c r="CA10"/>
  <c r="BR11"/>
  <c r="BR12"/>
  <c r="CA13"/>
  <c r="AL14"/>
  <c r="DF14" s="1"/>
  <c r="CA16"/>
  <c r="BQ17"/>
  <c r="CA17" s="1"/>
  <c r="BQ18"/>
  <c r="CA18" s="1"/>
  <c r="CU19"/>
  <c r="BQ19"/>
  <c r="CA19" s="1"/>
  <c r="DE19"/>
  <c r="AL20"/>
  <c r="DF20" s="1"/>
  <c r="BQ20"/>
  <c r="BR20" s="1"/>
  <c r="DE20"/>
  <c r="BQ21"/>
  <c r="BR21" s="1"/>
  <c r="AK22"/>
  <c r="CU23"/>
  <c r="DE23"/>
  <c r="BQ24"/>
  <c r="CA24" s="1"/>
  <c r="AK25"/>
  <c r="AL25" s="1"/>
  <c r="AW25"/>
  <c r="DE25"/>
  <c r="AK26"/>
  <c r="AL26" s="1"/>
  <c r="BE26"/>
  <c r="BF26" s="1"/>
  <c r="AW27"/>
  <c r="CA27" s="1"/>
  <c r="BQ28"/>
  <c r="BQ29"/>
  <c r="DE29"/>
  <c r="AA32"/>
  <c r="AA7" s="1"/>
  <c r="BQ32"/>
  <c r="CA32" s="1"/>
  <c r="AK33"/>
  <c r="AL33" s="1"/>
  <c r="AW33"/>
  <c r="DE33"/>
  <c r="AL34"/>
  <c r="DF34" s="1"/>
  <c r="BQ34"/>
  <c r="AW35"/>
  <c r="AL38"/>
  <c r="DF38" s="1"/>
  <c r="CA40"/>
  <c r="AL44"/>
  <c r="DF44" s="1"/>
  <c r="AL45"/>
  <c r="DF45" s="1"/>
  <c r="AL48"/>
  <c r="AL51"/>
  <c r="AY51" s="1"/>
  <c r="AZ51" s="1"/>
  <c r="DG51" s="1"/>
  <c r="CA53"/>
  <c r="CV55"/>
  <c r="AL57"/>
  <c r="AL59"/>
  <c r="DF59" s="1"/>
  <c r="CA63"/>
  <c r="CA65"/>
  <c r="CA67"/>
  <c r="AL71"/>
  <c r="DF71" s="1"/>
  <c r="CV74"/>
  <c r="AL79"/>
  <c r="DF79" s="1"/>
  <c r="AL88"/>
  <c r="DF88" s="1"/>
  <c r="AL89"/>
  <c r="DF89" s="1"/>
  <c r="BF89"/>
  <c r="BS89" s="1"/>
  <c r="BT89" s="1"/>
  <c r="AL95"/>
  <c r="DF95" s="1"/>
  <c r="AL98"/>
  <c r="AL103"/>
  <c r="DF103" s="1"/>
  <c r="BR14"/>
  <c r="CA14"/>
  <c r="DE17"/>
  <c r="CQ7"/>
  <c r="DZ18"/>
  <c r="CV18"/>
  <c r="AX8"/>
  <c r="DZ8"/>
  <c r="CV8"/>
  <c r="AD7"/>
  <c r="AX9"/>
  <c r="DZ9"/>
  <c r="CV9"/>
  <c r="AX10"/>
  <c r="AX13"/>
  <c r="DZ13"/>
  <c r="CV13"/>
  <c r="AY14"/>
  <c r="AZ14" s="1"/>
  <c r="DG14" s="1"/>
  <c r="AX14"/>
  <c r="AX15"/>
  <c r="DZ15"/>
  <c r="CV15"/>
  <c r="AX16"/>
  <c r="DZ16"/>
  <c r="CV16"/>
  <c r="AX17"/>
  <c r="DZ17"/>
  <c r="CV17"/>
  <c r="DE18"/>
  <c r="AX19"/>
  <c r="DZ19"/>
  <c r="CV19"/>
  <c r="AX20"/>
  <c r="CB20" s="1"/>
  <c r="BR10"/>
  <c r="CB10" s="1"/>
  <c r="CA11"/>
  <c r="CA12"/>
  <c r="CA8"/>
  <c r="AX11"/>
  <c r="CB11" s="1"/>
  <c r="AY12"/>
  <c r="AZ12" s="1"/>
  <c r="DG12" s="1"/>
  <c r="AX12"/>
  <c r="CB12" s="1"/>
  <c r="BU15"/>
  <c r="EA15"/>
  <c r="CT15"/>
  <c r="DH15" s="1"/>
  <c r="DK15" s="1"/>
  <c r="AX18"/>
  <c r="EC11"/>
  <c r="AX24"/>
  <c r="DE24"/>
  <c r="AX25"/>
  <c r="I26"/>
  <c r="Q26" s="1"/>
  <c r="BX26" s="1"/>
  <c r="G26"/>
  <c r="AX27"/>
  <c r="DZ27"/>
  <c r="CV27"/>
  <c r="BR28"/>
  <c r="AX29"/>
  <c r="AX30"/>
  <c r="BR31"/>
  <c r="CA31"/>
  <c r="AX32"/>
  <c r="CV32"/>
  <c r="DZ32"/>
  <c r="BR33"/>
  <c r="CA33"/>
  <c r="AY34"/>
  <c r="AZ34" s="1"/>
  <c r="DG34" s="1"/>
  <c r="AX34"/>
  <c r="BR35"/>
  <c r="CA35"/>
  <c r="AX36"/>
  <c r="BR37"/>
  <c r="CA37"/>
  <c r="AX38"/>
  <c r="BR39"/>
  <c r="CA39"/>
  <c r="DZ40"/>
  <c r="CV40"/>
  <c r="AX44"/>
  <c r="AY45"/>
  <c r="AZ45" s="1"/>
  <c r="DG45" s="1"/>
  <c r="AX45"/>
  <c r="DZ46"/>
  <c r="CV46"/>
  <c r="AY48"/>
  <c r="AZ48" s="1"/>
  <c r="DG48" s="1"/>
  <c r="AX48"/>
  <c r="AX49"/>
  <c r="BR50"/>
  <c r="CA50"/>
  <c r="AX51"/>
  <c r="BR52"/>
  <c r="CA52"/>
  <c r="AX53"/>
  <c r="DZ53"/>
  <c r="CV53"/>
  <c r="DZ54"/>
  <c r="CV54"/>
  <c r="X8"/>
  <c r="AH8"/>
  <c r="AK8"/>
  <c r="BR8"/>
  <c r="X9"/>
  <c r="AE9" s="1"/>
  <c r="AK9"/>
  <c r="AL9" s="1"/>
  <c r="BR9"/>
  <c r="CB9" s="1"/>
  <c r="AC10"/>
  <c r="BE10"/>
  <c r="DZ10"/>
  <c r="AC11"/>
  <c r="CU11" s="1"/>
  <c r="BE11"/>
  <c r="CG11"/>
  <c r="CH11" s="1"/>
  <c r="DZ11"/>
  <c r="AC12"/>
  <c r="CU12" s="1"/>
  <c r="BE12"/>
  <c r="BF12" s="1"/>
  <c r="DZ12"/>
  <c r="X13"/>
  <c r="AE13" s="1"/>
  <c r="AK13"/>
  <c r="BR13"/>
  <c r="CB13" s="1"/>
  <c r="AC14"/>
  <c r="CU14" s="1"/>
  <c r="BE14"/>
  <c r="BF14" s="1"/>
  <c r="DZ14"/>
  <c r="AH15"/>
  <c r="AK15"/>
  <c r="BR15"/>
  <c r="DY15"/>
  <c r="X16"/>
  <c r="AE16" s="1"/>
  <c r="AK16"/>
  <c r="AL16" s="1"/>
  <c r="AY16" s="1"/>
  <c r="AZ16" s="1"/>
  <c r="DG16" s="1"/>
  <c r="BR16"/>
  <c r="CB16" s="1"/>
  <c r="X17"/>
  <c r="AE17" s="1"/>
  <c r="AK17"/>
  <c r="BR17"/>
  <c r="CB17" s="1"/>
  <c r="X18"/>
  <c r="AE18" s="1"/>
  <c r="AH18"/>
  <c r="AK18"/>
  <c r="X19"/>
  <c r="AE19" s="1"/>
  <c r="AK19"/>
  <c r="BR19"/>
  <c r="AC20"/>
  <c r="CU20" s="1"/>
  <c r="BE20"/>
  <c r="BF20" s="1"/>
  <c r="CA20"/>
  <c r="X21"/>
  <c r="CU21"/>
  <c r="AW21"/>
  <c r="DE21"/>
  <c r="CV21"/>
  <c r="AE22"/>
  <c r="X23"/>
  <c r="AW23"/>
  <c r="CA23" s="1"/>
  <c r="CA41"/>
  <c r="CA42"/>
  <c r="CA43"/>
  <c r="CA47"/>
  <c r="CG21"/>
  <c r="CH21" s="1"/>
  <c r="CV23"/>
  <c r="DZ23"/>
  <c r="BR24"/>
  <c r="CB24" s="1"/>
  <c r="BR25"/>
  <c r="CB25" s="1"/>
  <c r="CA25"/>
  <c r="AX26"/>
  <c r="BR26"/>
  <c r="CA26"/>
  <c r="DE28"/>
  <c r="BR29"/>
  <c r="CB29" s="1"/>
  <c r="CA29"/>
  <c r="EC29" s="1"/>
  <c r="BR30"/>
  <c r="CB30" s="1"/>
  <c r="AX31"/>
  <c r="DE32"/>
  <c r="AX33"/>
  <c r="BR34"/>
  <c r="CB34" s="1"/>
  <c r="CA34"/>
  <c r="AY35"/>
  <c r="AZ35" s="1"/>
  <c r="DG35" s="1"/>
  <c r="AX35"/>
  <c r="BR36"/>
  <c r="CB36" s="1"/>
  <c r="CA36"/>
  <c r="AX37"/>
  <c r="BR38"/>
  <c r="CB38" s="1"/>
  <c r="CA38"/>
  <c r="AX39"/>
  <c r="AX41"/>
  <c r="DZ41"/>
  <c r="CV41"/>
  <c r="AX42"/>
  <c r="DZ42"/>
  <c r="CV42"/>
  <c r="AX43"/>
  <c r="DZ43"/>
  <c r="CV43"/>
  <c r="AM44"/>
  <c r="BA44" s="1"/>
  <c r="BB44" s="1"/>
  <c r="BR44"/>
  <c r="CB44" s="1"/>
  <c r="CA44"/>
  <c r="BR45"/>
  <c r="CB45" s="1"/>
  <c r="CA45"/>
  <c r="BU46"/>
  <c r="EA46"/>
  <c r="CT46"/>
  <c r="DH46" s="1"/>
  <c r="DK46" s="1"/>
  <c r="AX47"/>
  <c r="DZ47"/>
  <c r="CV47"/>
  <c r="DF48"/>
  <c r="BR48"/>
  <c r="CB48" s="1"/>
  <c r="CA48"/>
  <c r="BR49"/>
  <c r="CB49" s="1"/>
  <c r="CA49"/>
  <c r="AX50"/>
  <c r="BR51"/>
  <c r="CB51" s="1"/>
  <c r="CA51"/>
  <c r="AX52"/>
  <c r="BE8"/>
  <c r="BE9"/>
  <c r="BF9" s="1"/>
  <c r="BE13"/>
  <c r="BE15"/>
  <c r="BE16"/>
  <c r="BF16" s="1"/>
  <c r="BE17"/>
  <c r="BE18"/>
  <c r="BE19"/>
  <c r="CV20"/>
  <c r="AE21"/>
  <c r="AW22"/>
  <c r="AE23"/>
  <c r="AY57"/>
  <c r="AZ57" s="1"/>
  <c r="DG57" s="1"/>
  <c r="AX57"/>
  <c r="BR58"/>
  <c r="CA58"/>
  <c r="AX59"/>
  <c r="AX63"/>
  <c r="DZ63"/>
  <c r="CV63"/>
  <c r="AX64"/>
  <c r="DZ64"/>
  <c r="CV64"/>
  <c r="AX65"/>
  <c r="DZ65"/>
  <c r="CV65"/>
  <c r="AX66"/>
  <c r="DZ66"/>
  <c r="CV66"/>
  <c r="AX67"/>
  <c r="DZ67"/>
  <c r="CV67"/>
  <c r="AX68"/>
  <c r="DZ68"/>
  <c r="CV68"/>
  <c r="BR69"/>
  <c r="CA69"/>
  <c r="BR70"/>
  <c r="CA70"/>
  <c r="AY71"/>
  <c r="AZ71" s="1"/>
  <c r="DG71" s="1"/>
  <c r="AX71"/>
  <c r="DF72"/>
  <c r="BR72"/>
  <c r="CA72"/>
  <c r="AX73"/>
  <c r="BE21"/>
  <c r="BE22"/>
  <c r="BE23"/>
  <c r="AC24"/>
  <c r="CU24" s="1"/>
  <c r="BE24"/>
  <c r="DZ24"/>
  <c r="AC25"/>
  <c r="CU25" s="1"/>
  <c r="BE25"/>
  <c r="BF25" s="1"/>
  <c r="DZ25"/>
  <c r="DZ26"/>
  <c r="X27"/>
  <c r="AE27" s="1"/>
  <c r="AK27"/>
  <c r="AL27" s="1"/>
  <c r="BR27"/>
  <c r="CB27" s="1"/>
  <c r="AC28"/>
  <c r="CU28" s="1"/>
  <c r="BE28"/>
  <c r="DZ28"/>
  <c r="AC29"/>
  <c r="CU29" s="1"/>
  <c r="BE29"/>
  <c r="CG29"/>
  <c r="CH29" s="1"/>
  <c r="DZ29"/>
  <c r="AC30"/>
  <c r="CU30" s="1"/>
  <c r="BE30"/>
  <c r="DZ30"/>
  <c r="AC31"/>
  <c r="CU31" s="1"/>
  <c r="AG31"/>
  <c r="BE31"/>
  <c r="BF31" s="1"/>
  <c r="DZ31"/>
  <c r="AK32"/>
  <c r="AL32" s="1"/>
  <c r="BR32"/>
  <c r="CB32" s="1"/>
  <c r="AC33"/>
  <c r="CU33" s="1"/>
  <c r="BE33"/>
  <c r="BF33" s="1"/>
  <c r="DZ33"/>
  <c r="AC34"/>
  <c r="CU34" s="1"/>
  <c r="BE34"/>
  <c r="BF34" s="1"/>
  <c r="DZ34"/>
  <c r="AC35"/>
  <c r="CU35" s="1"/>
  <c r="BE35"/>
  <c r="BF35" s="1"/>
  <c r="DZ35"/>
  <c r="AC36"/>
  <c r="CU36" s="1"/>
  <c r="BE36"/>
  <c r="DZ36"/>
  <c r="AC37"/>
  <c r="CU37" s="1"/>
  <c r="AG37"/>
  <c r="BE37"/>
  <c r="BF37" s="1"/>
  <c r="DZ37"/>
  <c r="AC38"/>
  <c r="CU38" s="1"/>
  <c r="BE38"/>
  <c r="BF38" s="1"/>
  <c r="DZ38"/>
  <c r="AC39"/>
  <c r="CU39" s="1"/>
  <c r="BE39"/>
  <c r="BF39" s="1"/>
  <c r="DZ39"/>
  <c r="AB40"/>
  <c r="AK40"/>
  <c r="BR40"/>
  <c r="AB41"/>
  <c r="AE41" s="1"/>
  <c r="AK41"/>
  <c r="AL41" s="1"/>
  <c r="BR41"/>
  <c r="CB41" s="1"/>
  <c r="AB42"/>
  <c r="AE42" s="1"/>
  <c r="AK42"/>
  <c r="AL42" s="1"/>
  <c r="BR42"/>
  <c r="CB42" s="1"/>
  <c r="X43"/>
  <c r="AE43" s="1"/>
  <c r="AK43"/>
  <c r="BR43"/>
  <c r="CB43" s="1"/>
  <c r="AC44"/>
  <c r="CU44" s="1"/>
  <c r="BE44"/>
  <c r="DZ44"/>
  <c r="AC45"/>
  <c r="CU45" s="1"/>
  <c r="BE45"/>
  <c r="BF45" s="1"/>
  <c r="DZ45"/>
  <c r="AK46"/>
  <c r="BR46"/>
  <c r="DY46"/>
  <c r="X47"/>
  <c r="AE47" s="1"/>
  <c r="AK47"/>
  <c r="AL47" s="1"/>
  <c r="BR47"/>
  <c r="CB47" s="1"/>
  <c r="AC48"/>
  <c r="CU48" s="1"/>
  <c r="BE48"/>
  <c r="BF48" s="1"/>
  <c r="DZ48"/>
  <c r="AC49"/>
  <c r="CU49" s="1"/>
  <c r="BE49"/>
  <c r="DZ49"/>
  <c r="AC50"/>
  <c r="CU50" s="1"/>
  <c r="BE50"/>
  <c r="DZ50"/>
  <c r="AC51"/>
  <c r="CU51" s="1"/>
  <c r="BE51"/>
  <c r="BF51" s="1"/>
  <c r="DZ51"/>
  <c r="AC52"/>
  <c r="CU52" s="1"/>
  <c r="BE52"/>
  <c r="BF52" s="1"/>
  <c r="DZ52"/>
  <c r="AB53"/>
  <c r="AE53" s="1"/>
  <c r="AK53"/>
  <c r="AL53" s="1"/>
  <c r="DF53" s="1"/>
  <c r="BR53"/>
  <c r="CB53" s="1"/>
  <c r="AE54"/>
  <c r="AL54"/>
  <c r="CU54"/>
  <c r="AW54"/>
  <c r="DE54"/>
  <c r="AE55"/>
  <c r="X56"/>
  <c r="AL56"/>
  <c r="CU56"/>
  <c r="AW56"/>
  <c r="CA56" s="1"/>
  <c r="DE56"/>
  <c r="CV56"/>
  <c r="CA60"/>
  <c r="CA61"/>
  <c r="CA62"/>
  <c r="DF57"/>
  <c r="BR57"/>
  <c r="CB57" s="1"/>
  <c r="CA57"/>
  <c r="AX58"/>
  <c r="BR59"/>
  <c r="CB59" s="1"/>
  <c r="CA59"/>
  <c r="AX60"/>
  <c r="DZ60"/>
  <c r="CV60"/>
  <c r="AX61"/>
  <c r="DZ61"/>
  <c r="CV61"/>
  <c r="AX62"/>
  <c r="DZ62"/>
  <c r="CV62"/>
  <c r="BU63"/>
  <c r="EA63"/>
  <c r="CT63"/>
  <c r="DH63" s="1"/>
  <c r="DK63" s="1"/>
  <c r="AY70"/>
  <c r="AZ70" s="1"/>
  <c r="DG70" s="1"/>
  <c r="AX70"/>
  <c r="BR71"/>
  <c r="CB71" s="1"/>
  <c r="CA71"/>
  <c r="AY72"/>
  <c r="AZ72" s="1"/>
  <c r="DG72" s="1"/>
  <c r="AX72"/>
  <c r="BR73"/>
  <c r="CA73"/>
  <c r="BE27"/>
  <c r="BF27" s="1"/>
  <c r="BE32"/>
  <c r="BF32" s="1"/>
  <c r="BE40"/>
  <c r="BE41"/>
  <c r="BF41" s="1"/>
  <c r="BE42"/>
  <c r="BF42" s="1"/>
  <c r="BE43"/>
  <c r="BE46"/>
  <c r="BE47"/>
  <c r="BF47" s="1"/>
  <c r="BE53"/>
  <c r="BF53" s="1"/>
  <c r="DE53"/>
  <c r="CA54"/>
  <c r="AW55"/>
  <c r="AE56"/>
  <c r="CA78"/>
  <c r="AY79"/>
  <c r="AZ79" s="1"/>
  <c r="DG79" s="1"/>
  <c r="AX79"/>
  <c r="BR80"/>
  <c r="CA80"/>
  <c r="AX81"/>
  <c r="DZ82"/>
  <c r="CV82"/>
  <c r="BR85"/>
  <c r="CA85"/>
  <c r="DE86"/>
  <c r="BR87"/>
  <c r="CA87"/>
  <c r="BR88"/>
  <c r="CA88"/>
  <c r="AX89"/>
  <c r="AY89"/>
  <c r="AZ89" s="1"/>
  <c r="DG89" s="1"/>
  <c r="DI89"/>
  <c r="BV89"/>
  <c r="BR89"/>
  <c r="CA89"/>
  <c r="BE54"/>
  <c r="BF54" s="1"/>
  <c r="BE55"/>
  <c r="BE56"/>
  <c r="BF56" s="1"/>
  <c r="AC57"/>
  <c r="CU57" s="1"/>
  <c r="BE57"/>
  <c r="BF57" s="1"/>
  <c r="DZ57"/>
  <c r="AC58"/>
  <c r="CU58" s="1"/>
  <c r="BE58"/>
  <c r="DZ58"/>
  <c r="AC59"/>
  <c r="CU59" s="1"/>
  <c r="BE59"/>
  <c r="BF59" s="1"/>
  <c r="DZ59"/>
  <c r="Z60"/>
  <c r="Z7" s="1"/>
  <c r="AK60"/>
  <c r="BR60"/>
  <c r="X61"/>
  <c r="AE61" s="1"/>
  <c r="AK61"/>
  <c r="AL61" s="1"/>
  <c r="BR61"/>
  <c r="AB62"/>
  <c r="AE62" s="1"/>
  <c r="AK62"/>
  <c r="AL62" s="1"/>
  <c r="BR62"/>
  <c r="AK63"/>
  <c r="AL63" s="1"/>
  <c r="BR63"/>
  <c r="CB63" s="1"/>
  <c r="AB64"/>
  <c r="AE64" s="1"/>
  <c r="AK64"/>
  <c r="BR64"/>
  <c r="CB64" s="1"/>
  <c r="AB65"/>
  <c r="AE65" s="1"/>
  <c r="AK65"/>
  <c r="BR65"/>
  <c r="CB65" s="1"/>
  <c r="AB66"/>
  <c r="AE66" s="1"/>
  <c r="AK66"/>
  <c r="BR66"/>
  <c r="CB66" s="1"/>
  <c r="X67"/>
  <c r="AE67" s="1"/>
  <c r="AK67"/>
  <c r="AL67" s="1"/>
  <c r="BR67"/>
  <c r="CB67" s="1"/>
  <c r="AB68"/>
  <c r="AE68" s="1"/>
  <c r="AK68"/>
  <c r="AC69"/>
  <c r="CU69" s="1"/>
  <c r="BE69"/>
  <c r="DZ69"/>
  <c r="AC70"/>
  <c r="CU70" s="1"/>
  <c r="BE70"/>
  <c r="BF70" s="1"/>
  <c r="DZ70"/>
  <c r="AC71"/>
  <c r="CU71" s="1"/>
  <c r="BE71"/>
  <c r="BF71" s="1"/>
  <c r="DZ71"/>
  <c r="AC72"/>
  <c r="CU72" s="1"/>
  <c r="BE72"/>
  <c r="BF72" s="1"/>
  <c r="DZ72"/>
  <c r="AC73"/>
  <c r="CU73" s="1"/>
  <c r="BE73"/>
  <c r="DE73"/>
  <c r="AE74"/>
  <c r="AB75"/>
  <c r="AL75"/>
  <c r="CU75"/>
  <c r="AW75"/>
  <c r="DE75"/>
  <c r="CV75"/>
  <c r="AE76"/>
  <c r="CA77"/>
  <c r="CA83"/>
  <c r="CA84"/>
  <c r="CA90"/>
  <c r="BE77"/>
  <c r="BR77"/>
  <c r="AX77"/>
  <c r="DZ77"/>
  <c r="CV77"/>
  <c r="AX78"/>
  <c r="BR79"/>
  <c r="CB79" s="1"/>
  <c r="CA79"/>
  <c r="AX80"/>
  <c r="BR81"/>
  <c r="CB81" s="1"/>
  <c r="BU82"/>
  <c r="EA82"/>
  <c r="CT82"/>
  <c r="DH82" s="1"/>
  <c r="DK82" s="1"/>
  <c r="AX83"/>
  <c r="DZ83"/>
  <c r="CV83"/>
  <c r="AX84"/>
  <c r="DZ84"/>
  <c r="CV84"/>
  <c r="AX85"/>
  <c r="AX86"/>
  <c r="CV86"/>
  <c r="DZ86"/>
  <c r="BQ86"/>
  <c r="CA86" s="1"/>
  <c r="W86"/>
  <c r="AE86" s="1"/>
  <c r="AX87"/>
  <c r="AY88"/>
  <c r="AZ88" s="1"/>
  <c r="DG88" s="1"/>
  <c r="AX88"/>
  <c r="I89"/>
  <c r="Q89" s="1"/>
  <c r="BX89" s="1"/>
  <c r="G89"/>
  <c r="AX90"/>
  <c r="AY90"/>
  <c r="AZ90" s="1"/>
  <c r="DG90" s="1"/>
  <c r="BE60"/>
  <c r="BE61"/>
  <c r="BF61" s="1"/>
  <c r="BE62"/>
  <c r="BF62" s="1"/>
  <c r="BE63"/>
  <c r="BF63" s="1"/>
  <c r="BE64"/>
  <c r="BE65"/>
  <c r="BE66"/>
  <c r="BE67"/>
  <c r="BF67" s="1"/>
  <c r="BE68"/>
  <c r="CV73"/>
  <c r="AW74"/>
  <c r="AE75"/>
  <c r="CA75"/>
  <c r="AW76"/>
  <c r="CA76" s="1"/>
  <c r="BR90"/>
  <c r="BE90"/>
  <c r="BF90" s="1"/>
  <c r="AG93"/>
  <c r="DZ93"/>
  <c r="CV93"/>
  <c r="BQ93"/>
  <c r="W93"/>
  <c r="AE93" s="1"/>
  <c r="DE93"/>
  <c r="AX94"/>
  <c r="DE94"/>
  <c r="BR95"/>
  <c r="CA95"/>
  <c r="AY96"/>
  <c r="AZ96" s="1"/>
  <c r="DG96" s="1"/>
  <c r="AX96"/>
  <c r="AY97"/>
  <c r="AZ97" s="1"/>
  <c r="DG97" s="1"/>
  <c r="AX97"/>
  <c r="BE74"/>
  <c r="BE75"/>
  <c r="BF75" s="1"/>
  <c r="BE76"/>
  <c r="AB77"/>
  <c r="AE77" s="1"/>
  <c r="AK77"/>
  <c r="AC78"/>
  <c r="CU78" s="1"/>
  <c r="BE78"/>
  <c r="CG78"/>
  <c r="CH78" s="1"/>
  <c r="DZ78"/>
  <c r="AC79"/>
  <c r="CU79" s="1"/>
  <c r="BE79"/>
  <c r="BF79" s="1"/>
  <c r="DZ79"/>
  <c r="AC80"/>
  <c r="CU80" s="1"/>
  <c r="AG80"/>
  <c r="BE80"/>
  <c r="DZ80"/>
  <c r="AC81"/>
  <c r="CU81" s="1"/>
  <c r="BE81"/>
  <c r="DZ81"/>
  <c r="AK82"/>
  <c r="BR82"/>
  <c r="X83"/>
  <c r="AE83" s="1"/>
  <c r="AK83"/>
  <c r="AL83" s="1"/>
  <c r="BR83"/>
  <c r="CB83" s="1"/>
  <c r="AB84"/>
  <c r="AE84" s="1"/>
  <c r="AK84"/>
  <c r="BR84"/>
  <c r="W85"/>
  <c r="AC85"/>
  <c r="CU85" s="1"/>
  <c r="BE85"/>
  <c r="BF85" s="1"/>
  <c r="DZ85"/>
  <c r="AK86"/>
  <c r="AC87"/>
  <c r="CU87" s="1"/>
  <c r="BE87"/>
  <c r="DZ87"/>
  <c r="W88"/>
  <c r="AC88"/>
  <c r="CU88" s="1"/>
  <c r="BE88"/>
  <c r="BF88" s="1"/>
  <c r="DZ88"/>
  <c r="AC90"/>
  <c r="CU90" s="1"/>
  <c r="AB91"/>
  <c r="AE91" s="1"/>
  <c r="AL91"/>
  <c r="DF91" s="1"/>
  <c r="CU91"/>
  <c r="AW91"/>
  <c r="DE91"/>
  <c r="CV91"/>
  <c r="AL92"/>
  <c r="DF92" s="1"/>
  <c r="CU92"/>
  <c r="AW92"/>
  <c r="DE92"/>
  <c r="CV92"/>
  <c r="I90"/>
  <c r="Q90" s="1"/>
  <c r="BX90" s="1"/>
  <c r="G90"/>
  <c r="BQ92"/>
  <c r="W92"/>
  <c r="AE92" s="1"/>
  <c r="BR94"/>
  <c r="CA94"/>
  <c r="AY95"/>
  <c r="AZ95" s="1"/>
  <c r="DG95" s="1"/>
  <c r="AX95"/>
  <c r="BR96"/>
  <c r="CB96" s="1"/>
  <c r="CA96"/>
  <c r="BR97"/>
  <c r="CB97" s="1"/>
  <c r="CA97"/>
  <c r="BE82"/>
  <c r="BE83"/>
  <c r="BF83" s="1"/>
  <c r="BE84"/>
  <c r="BE86"/>
  <c r="CV89"/>
  <c r="DE90"/>
  <c r="CA91"/>
  <c r="AW93"/>
  <c r="DZ98"/>
  <c r="CV98"/>
  <c r="BR98"/>
  <c r="BU99"/>
  <c r="EA99"/>
  <c r="CT99"/>
  <c r="DH99" s="1"/>
  <c r="DK99" s="1"/>
  <c r="AX100"/>
  <c r="CV100"/>
  <c r="DZ100"/>
  <c r="I102"/>
  <c r="Q102" s="1"/>
  <c r="BX102" s="1"/>
  <c r="G102"/>
  <c r="BR103"/>
  <c r="BU104"/>
  <c r="EA104"/>
  <c r="CT104"/>
  <c r="DH104" s="1"/>
  <c r="AM106"/>
  <c r="BA106" s="1"/>
  <c r="BB106" s="1"/>
  <c r="AH106"/>
  <c r="BE91"/>
  <c r="BF91" s="1"/>
  <c r="BE92"/>
  <c r="BF92" s="1"/>
  <c r="BE93"/>
  <c r="W94"/>
  <c r="AC94"/>
  <c r="CU94" s="1"/>
  <c r="BE94"/>
  <c r="DZ94"/>
  <c r="W95"/>
  <c r="AC95"/>
  <c r="CU95" s="1"/>
  <c r="BE95"/>
  <c r="BF95" s="1"/>
  <c r="DZ95"/>
  <c r="AC96"/>
  <c r="CU96" s="1"/>
  <c r="BE96"/>
  <c r="BF96" s="1"/>
  <c r="DZ96"/>
  <c r="W97"/>
  <c r="AC97"/>
  <c r="CU97" s="1"/>
  <c r="BE97"/>
  <c r="BF97" s="1"/>
  <c r="BS97" s="1"/>
  <c r="DE97"/>
  <c r="AE98"/>
  <c r="BR100"/>
  <c r="CA101"/>
  <c r="CA102"/>
  <c r="DK104"/>
  <c r="DF98"/>
  <c r="BR99"/>
  <c r="AX101"/>
  <c r="CB101" s="1"/>
  <c r="CV101"/>
  <c r="DZ101"/>
  <c r="AX102"/>
  <c r="CB102" s="1"/>
  <c r="BU103"/>
  <c r="EA103"/>
  <c r="CT103"/>
  <c r="DH103" s="1"/>
  <c r="DK103" s="1"/>
  <c r="BR104"/>
  <c r="EA105"/>
  <c r="DE105"/>
  <c r="BU106"/>
  <c r="EA106"/>
  <c r="EB106" s="1"/>
  <c r="EC106" s="1"/>
  <c r="CT106"/>
  <c r="DH106" s="1"/>
  <c r="DK106" s="1"/>
  <c r="CV97"/>
  <c r="AW98"/>
  <c r="AW99"/>
  <c r="CA99" s="1"/>
  <c r="CV99"/>
  <c r="AL100"/>
  <c r="DF100" s="1"/>
  <c r="BE100"/>
  <c r="BF100" s="1"/>
  <c r="DE100"/>
  <c r="BE101"/>
  <c r="BF101" s="1"/>
  <c r="DE101"/>
  <c r="AL102"/>
  <c r="DF102" s="1"/>
  <c r="DE102"/>
  <c r="DZ102"/>
  <c r="AW103"/>
  <c r="CV103"/>
  <c r="AW104"/>
  <c r="CA104" s="1"/>
  <c r="CV104"/>
  <c r="AW105"/>
  <c r="CV105"/>
  <c r="AW106"/>
  <c r="CA106" s="1"/>
  <c r="BR106"/>
  <c r="CV106"/>
  <c r="DY106" s="1"/>
  <c r="DN106"/>
  <c r="BE98"/>
  <c r="BF98" s="1"/>
  <c r="BE99"/>
  <c r="BF99" s="1"/>
  <c r="AB100"/>
  <c r="AE100" s="1"/>
  <c r="AB101"/>
  <c r="AE101" s="1"/>
  <c r="AH101"/>
  <c r="AL101" s="1"/>
  <c r="DF101" s="1"/>
  <c r="BE102"/>
  <c r="BF102" s="1"/>
  <c r="BE103"/>
  <c r="BF103" s="1"/>
  <c r="BE104"/>
  <c r="BF104" s="1"/>
  <c r="BE105"/>
  <c r="BE106"/>
  <c r="BF106" s="1"/>
  <c r="BS106" s="1"/>
  <c r="CG106"/>
  <c r="CH106" s="1"/>
  <c r="AC74" i="5"/>
  <c r="AD74"/>
  <c r="DZ74" s="1"/>
  <c r="X74"/>
  <c r="AE74"/>
  <c r="CN94"/>
  <c r="CJ94"/>
  <c r="AP56"/>
  <c r="AP56" i="2"/>
  <c r="DN100" i="5"/>
  <c r="DN86"/>
  <c r="DN82"/>
  <c r="DN78"/>
  <c r="DN77"/>
  <c r="DN69"/>
  <c r="DN54"/>
  <c r="DN53"/>
  <c r="DN48"/>
  <c r="DN46"/>
  <c r="DN44"/>
  <c r="DN40"/>
  <c r="DN28"/>
  <c r="AF107" i="2"/>
  <c r="AF108"/>
  <c r="CH108" i="5"/>
  <c r="BZ108"/>
  <c r="AL108"/>
  <c r="CH107"/>
  <c r="BZ107"/>
  <c r="AL107"/>
  <c r="AK107"/>
  <c r="DO106"/>
  <c r="CZ106"/>
  <c r="CY106"/>
  <c r="CS106"/>
  <c r="CR106"/>
  <c r="CQ106"/>
  <c r="BX106"/>
  <c r="CG106" s="1"/>
  <c r="CH106" s="1"/>
  <c r="BP106"/>
  <c r="BO106"/>
  <c r="BJ106"/>
  <c r="BD106"/>
  <c r="AV106"/>
  <c r="AD106" s="1"/>
  <c r="AU106"/>
  <c r="AC106" s="1"/>
  <c r="CU106" s="1"/>
  <c r="AP106"/>
  <c r="AJ106"/>
  <c r="AB106"/>
  <c r="AA106"/>
  <c r="Z106"/>
  <c r="Y106"/>
  <c r="X106"/>
  <c r="W106"/>
  <c r="S106"/>
  <c r="I106"/>
  <c r="H106"/>
  <c r="G106"/>
  <c r="DO105"/>
  <c r="CZ105"/>
  <c r="CY105"/>
  <c r="CS105"/>
  <c r="CR105"/>
  <c r="CQ105"/>
  <c r="DE105" s="1"/>
  <c r="BP105"/>
  <c r="BO105"/>
  <c r="BD105"/>
  <c r="AV105"/>
  <c r="AU105"/>
  <c r="AW105" s="1"/>
  <c r="AJ105"/>
  <c r="AK105" s="1"/>
  <c r="AD105"/>
  <c r="DZ105" s="1"/>
  <c r="AB105"/>
  <c r="AA105"/>
  <c r="Z105"/>
  <c r="Y105"/>
  <c r="X105"/>
  <c r="W105"/>
  <c r="S105"/>
  <c r="I105"/>
  <c r="H105"/>
  <c r="G105"/>
  <c r="DO104"/>
  <c r="CZ104"/>
  <c r="CY104"/>
  <c r="CS104"/>
  <c r="CR104"/>
  <c r="CQ104"/>
  <c r="BP104"/>
  <c r="BO104"/>
  <c r="BN104"/>
  <c r="BD104"/>
  <c r="AV104"/>
  <c r="AD104" s="1"/>
  <c r="DZ104" s="1"/>
  <c r="AU104"/>
  <c r="AC104" s="1"/>
  <c r="AT104"/>
  <c r="AJ104"/>
  <c r="AK104" s="1"/>
  <c r="AB104"/>
  <c r="AA104"/>
  <c r="Z104"/>
  <c r="Y104"/>
  <c r="X104"/>
  <c r="W104"/>
  <c r="S104"/>
  <c r="I104"/>
  <c r="H104"/>
  <c r="G104"/>
  <c r="DO103"/>
  <c r="CZ103"/>
  <c r="CY103"/>
  <c r="CS103"/>
  <c r="CR103"/>
  <c r="CQ103"/>
  <c r="BP103"/>
  <c r="BO103"/>
  <c r="BL103"/>
  <c r="BD103"/>
  <c r="AV103"/>
  <c r="AD103" s="1"/>
  <c r="DZ103" s="1"/>
  <c r="AU103"/>
  <c r="AC103" s="1"/>
  <c r="AR103"/>
  <c r="AJ103"/>
  <c r="AB103"/>
  <c r="AA103"/>
  <c r="Z103"/>
  <c r="Y103"/>
  <c r="X103"/>
  <c r="W103"/>
  <c r="S103"/>
  <c r="I103"/>
  <c r="H103"/>
  <c r="G103"/>
  <c r="DO102"/>
  <c r="CZ102"/>
  <c r="CY102"/>
  <c r="CS102"/>
  <c r="CR102"/>
  <c r="CQ102"/>
  <c r="BP102"/>
  <c r="BO102"/>
  <c r="BD102"/>
  <c r="AV102"/>
  <c r="AU102"/>
  <c r="AJ102"/>
  <c r="AK102" s="1"/>
  <c r="AB102"/>
  <c r="AA102"/>
  <c r="Z102"/>
  <c r="Y102"/>
  <c r="X102"/>
  <c r="W102"/>
  <c r="S102"/>
  <c r="H102"/>
  <c r="P102" s="1"/>
  <c r="DO101"/>
  <c r="CZ101"/>
  <c r="CY101"/>
  <c r="CS101"/>
  <c r="CR101"/>
  <c r="CQ101"/>
  <c r="BP101"/>
  <c r="BO101"/>
  <c r="BN101"/>
  <c r="BD101"/>
  <c r="AV101"/>
  <c r="AD101" s="1"/>
  <c r="AU101"/>
  <c r="AC101" s="1"/>
  <c r="AT101"/>
  <c r="AJ101"/>
  <c r="AK101" s="1"/>
  <c r="AA101"/>
  <c r="Z101"/>
  <c r="Y101"/>
  <c r="X101"/>
  <c r="W101"/>
  <c r="S101"/>
  <c r="I101"/>
  <c r="H101"/>
  <c r="G101"/>
  <c r="DO100"/>
  <c r="CZ100"/>
  <c r="CY100"/>
  <c r="CS100"/>
  <c r="CR100"/>
  <c r="CQ100"/>
  <c r="BD100"/>
  <c r="BP100"/>
  <c r="BO100"/>
  <c r="BN100"/>
  <c r="BQ100" s="1"/>
  <c r="AV100"/>
  <c r="AU100"/>
  <c r="AT100"/>
  <c r="AJ100"/>
  <c r="AK100" s="1"/>
  <c r="AG100"/>
  <c r="AC100"/>
  <c r="CU100" s="1"/>
  <c r="AA100"/>
  <c r="Z100"/>
  <c r="Y100"/>
  <c r="X100"/>
  <c r="W100"/>
  <c r="S100"/>
  <c r="I100"/>
  <c r="H100"/>
  <c r="G100"/>
  <c r="DO99"/>
  <c r="CZ99"/>
  <c r="CY99"/>
  <c r="CS99"/>
  <c r="CR99"/>
  <c r="CQ99"/>
  <c r="BP99"/>
  <c r="BO99"/>
  <c r="BN99"/>
  <c r="BD99"/>
  <c r="AV99"/>
  <c r="AD99" s="1"/>
  <c r="AU99"/>
  <c r="AT99"/>
  <c r="AJ99"/>
  <c r="AK99" s="1"/>
  <c r="AC99"/>
  <c r="CU99" s="1"/>
  <c r="AA99"/>
  <c r="Z99"/>
  <c r="Y99"/>
  <c r="X99"/>
  <c r="W99"/>
  <c r="S99"/>
  <c r="I99"/>
  <c r="H99"/>
  <c r="G99"/>
  <c r="DO98"/>
  <c r="CZ98"/>
  <c r="CY98"/>
  <c r="CS98"/>
  <c r="CR98"/>
  <c r="CQ98"/>
  <c r="BP98"/>
  <c r="BO98"/>
  <c r="BN98"/>
  <c r="BD98"/>
  <c r="AV98"/>
  <c r="AD98" s="1"/>
  <c r="AU98"/>
  <c r="AC98" s="1"/>
  <c r="CU98" s="1"/>
  <c r="AT98"/>
  <c r="AJ98"/>
  <c r="AK98" s="1"/>
  <c r="AA98"/>
  <c r="Z98"/>
  <c r="Y98"/>
  <c r="X98"/>
  <c r="W98"/>
  <c r="S98"/>
  <c r="I98"/>
  <c r="H98"/>
  <c r="G98"/>
  <c r="DO97"/>
  <c r="CZ97"/>
  <c r="CY97"/>
  <c r="CS97"/>
  <c r="CR97"/>
  <c r="CQ97"/>
  <c r="BP97"/>
  <c r="BO97"/>
  <c r="BI97"/>
  <c r="BD97"/>
  <c r="AV97"/>
  <c r="AD97" s="1"/>
  <c r="AU97"/>
  <c r="AO97"/>
  <c r="AJ97"/>
  <c r="AB97"/>
  <c r="AA97"/>
  <c r="Z97"/>
  <c r="Y97"/>
  <c r="X97"/>
  <c r="S97"/>
  <c r="I97"/>
  <c r="H97"/>
  <c r="G97"/>
  <c r="DO96"/>
  <c r="CZ96"/>
  <c r="CY96"/>
  <c r="CS96"/>
  <c r="CR96"/>
  <c r="CQ96"/>
  <c r="BP96"/>
  <c r="BO96"/>
  <c r="BJ96"/>
  <c r="BD96"/>
  <c r="AV96"/>
  <c r="AD96" s="1"/>
  <c r="AU96"/>
  <c r="AP96"/>
  <c r="AJ96"/>
  <c r="AB96"/>
  <c r="AA96"/>
  <c r="Z96"/>
  <c r="Y96"/>
  <c r="X96"/>
  <c r="W96"/>
  <c r="S96"/>
  <c r="I96"/>
  <c r="H96"/>
  <c r="G96"/>
  <c r="DO95"/>
  <c r="CZ95"/>
  <c r="CY95"/>
  <c r="CS95"/>
  <c r="CR95"/>
  <c r="CQ95"/>
  <c r="BP95"/>
  <c r="BO95"/>
  <c r="BI95"/>
  <c r="BD95"/>
  <c r="AV95"/>
  <c r="AD95" s="1"/>
  <c r="AU95"/>
  <c r="AO95"/>
  <c r="AJ95"/>
  <c r="AK95" s="1"/>
  <c r="AB95"/>
  <c r="AA95"/>
  <c r="Z95"/>
  <c r="Y95"/>
  <c r="X95"/>
  <c r="S95"/>
  <c r="I95"/>
  <c r="H95"/>
  <c r="G95"/>
  <c r="DO94"/>
  <c r="CZ94"/>
  <c r="CY94"/>
  <c r="CS94"/>
  <c r="CR94"/>
  <c r="CQ94"/>
  <c r="BP94"/>
  <c r="BO94"/>
  <c r="BI94"/>
  <c r="BD94"/>
  <c r="AV94"/>
  <c r="AD94" s="1"/>
  <c r="AU94"/>
  <c r="AO94"/>
  <c r="AJ94"/>
  <c r="AB94"/>
  <c r="AA94"/>
  <c r="Z94"/>
  <c r="Y94"/>
  <c r="X94"/>
  <c r="S94"/>
  <c r="I94"/>
  <c r="H94"/>
  <c r="G94"/>
  <c r="CZ93"/>
  <c r="CY93"/>
  <c r="S93" s="1"/>
  <c r="CS93"/>
  <c r="CR93"/>
  <c r="CQ93"/>
  <c r="BP93"/>
  <c r="BO93"/>
  <c r="BI93"/>
  <c r="BD93"/>
  <c r="AV93"/>
  <c r="AD93" s="1"/>
  <c r="AU93"/>
  <c r="AO93"/>
  <c r="AJ93"/>
  <c r="AK93" s="1"/>
  <c r="AB93"/>
  <c r="AA93"/>
  <c r="Z93"/>
  <c r="Y93"/>
  <c r="X93"/>
  <c r="I93"/>
  <c r="H93"/>
  <c r="G93"/>
  <c r="DO92"/>
  <c r="CZ92"/>
  <c r="CY92"/>
  <c r="S92" s="1"/>
  <c r="CS92"/>
  <c r="CR92"/>
  <c r="CQ92"/>
  <c r="BP92"/>
  <c r="BO92"/>
  <c r="BI92"/>
  <c r="BD92"/>
  <c r="AV92"/>
  <c r="AD92" s="1"/>
  <c r="AU92"/>
  <c r="AO92"/>
  <c r="AJ92"/>
  <c r="AK92" s="1"/>
  <c r="AB92"/>
  <c r="AA92"/>
  <c r="Z92"/>
  <c r="Y92"/>
  <c r="X92"/>
  <c r="I92"/>
  <c r="H92"/>
  <c r="G92"/>
  <c r="DO91"/>
  <c r="CZ91"/>
  <c r="CY91"/>
  <c r="S91" s="1"/>
  <c r="CS91"/>
  <c r="CR91"/>
  <c r="CQ91"/>
  <c r="BP91"/>
  <c r="BO91"/>
  <c r="BN91"/>
  <c r="BD91"/>
  <c r="AV91"/>
  <c r="AD91" s="1"/>
  <c r="AU91"/>
  <c r="AT91"/>
  <c r="AJ91"/>
  <c r="AK91" s="1"/>
  <c r="AA91"/>
  <c r="Z91"/>
  <c r="Y91"/>
  <c r="X91"/>
  <c r="W91"/>
  <c r="I91"/>
  <c r="H91"/>
  <c r="G91"/>
  <c r="DO90"/>
  <c r="CZ90"/>
  <c r="CY90"/>
  <c r="S90" s="1"/>
  <c r="CS90"/>
  <c r="CR90"/>
  <c r="CQ90"/>
  <c r="BP90"/>
  <c r="BO90"/>
  <c r="AC90" s="1"/>
  <c r="CU90" s="1"/>
  <c r="BD90"/>
  <c r="AV90"/>
  <c r="AU90"/>
  <c r="AJ90"/>
  <c r="AK90" s="1"/>
  <c r="AB90"/>
  <c r="AA90"/>
  <c r="Z90"/>
  <c r="Y90"/>
  <c r="X90"/>
  <c r="W90"/>
  <c r="H90"/>
  <c r="P90" s="1"/>
  <c r="I90" s="1"/>
  <c r="Q90" s="1"/>
  <c r="BX90" s="1"/>
  <c r="DO89"/>
  <c r="CZ89"/>
  <c r="CY89"/>
  <c r="CS89"/>
  <c r="CR89"/>
  <c r="CQ89"/>
  <c r="BP89"/>
  <c r="BO89"/>
  <c r="AC89" s="1"/>
  <c r="CU89" s="1"/>
  <c r="BD89"/>
  <c r="AV89"/>
  <c r="AU89"/>
  <c r="AJ89"/>
  <c r="AB89"/>
  <c r="AA89"/>
  <c r="Z89"/>
  <c r="Y89"/>
  <c r="X89"/>
  <c r="W89"/>
  <c r="S89"/>
  <c r="H89"/>
  <c r="P89" s="1"/>
  <c r="DO88"/>
  <c r="CZ88"/>
  <c r="CY88"/>
  <c r="S88" s="1"/>
  <c r="CS88"/>
  <c r="CR88"/>
  <c r="CQ88"/>
  <c r="BP88"/>
  <c r="BO88"/>
  <c r="BI88"/>
  <c r="BD88"/>
  <c r="AV88"/>
  <c r="AD88" s="1"/>
  <c r="AU88"/>
  <c r="AC88" s="1"/>
  <c r="AO88"/>
  <c r="AJ88"/>
  <c r="AB88"/>
  <c r="AA88"/>
  <c r="Z88"/>
  <c r="Y88"/>
  <c r="X88"/>
  <c r="I88"/>
  <c r="H88"/>
  <c r="G88"/>
  <c r="DO87"/>
  <c r="CZ87"/>
  <c r="CY87"/>
  <c r="S87" s="1"/>
  <c r="CS87"/>
  <c r="CR87"/>
  <c r="CQ87"/>
  <c r="BP87"/>
  <c r="BO87"/>
  <c r="BN87"/>
  <c r="BD87"/>
  <c r="AV87"/>
  <c r="AD87" s="1"/>
  <c r="AU87"/>
  <c r="AC87" s="1"/>
  <c r="AT87"/>
  <c r="AJ87"/>
  <c r="AA87"/>
  <c r="Z87"/>
  <c r="Y87"/>
  <c r="X87"/>
  <c r="W87"/>
  <c r="I87"/>
  <c r="H87"/>
  <c r="G87"/>
  <c r="DO86"/>
  <c r="CZ86"/>
  <c r="CY86"/>
  <c r="CS86"/>
  <c r="CR86"/>
  <c r="CQ86"/>
  <c r="BP86"/>
  <c r="BO86"/>
  <c r="BI86"/>
  <c r="BD86"/>
  <c r="AV86"/>
  <c r="AU86"/>
  <c r="AC86" s="1"/>
  <c r="AJ86"/>
  <c r="AK86" s="1"/>
  <c r="AG86"/>
  <c r="AH86" s="1"/>
  <c r="AD86"/>
  <c r="DZ86" s="1"/>
  <c r="AB86"/>
  <c r="AA86"/>
  <c r="Z86"/>
  <c r="Y86"/>
  <c r="X86"/>
  <c r="S86"/>
  <c r="I86"/>
  <c r="H86"/>
  <c r="G86"/>
  <c r="DO85"/>
  <c r="CZ85"/>
  <c r="CY85"/>
  <c r="CS85"/>
  <c r="CR85"/>
  <c r="CQ85"/>
  <c r="BP85"/>
  <c r="BO85"/>
  <c r="BI85"/>
  <c r="BD85"/>
  <c r="AV85"/>
  <c r="AD85" s="1"/>
  <c r="AU85"/>
  <c r="AC85" s="1"/>
  <c r="AO85"/>
  <c r="W85" s="1"/>
  <c r="AJ85"/>
  <c r="AB85"/>
  <c r="AA85"/>
  <c r="Z85"/>
  <c r="Y85"/>
  <c r="X85"/>
  <c r="I85"/>
  <c r="H85"/>
  <c r="G85"/>
  <c r="DO84"/>
  <c r="CZ84"/>
  <c r="CY84"/>
  <c r="CS84"/>
  <c r="CR84"/>
  <c r="CQ84"/>
  <c r="BP84"/>
  <c r="BO84"/>
  <c r="BN84"/>
  <c r="BD84"/>
  <c r="AV84"/>
  <c r="AD84" s="1"/>
  <c r="AU84"/>
  <c r="AT84"/>
  <c r="AJ84"/>
  <c r="AK84" s="1"/>
  <c r="AB84"/>
  <c r="AA84"/>
  <c r="Z84"/>
  <c r="Y84"/>
  <c r="X84"/>
  <c r="W84"/>
  <c r="S84"/>
  <c r="I84"/>
  <c r="H84"/>
  <c r="G84"/>
  <c r="DO83"/>
  <c r="CZ83"/>
  <c r="CY83"/>
  <c r="CS83"/>
  <c r="CR83"/>
  <c r="CQ83"/>
  <c r="BP83"/>
  <c r="BO83"/>
  <c r="BJ83"/>
  <c r="BD83"/>
  <c r="AV83"/>
  <c r="AD83" s="1"/>
  <c r="AU83"/>
  <c r="AP83"/>
  <c r="AJ83"/>
  <c r="AK83" s="1"/>
  <c r="AB83"/>
  <c r="AA83"/>
  <c r="Z83"/>
  <c r="Y83"/>
  <c r="X83"/>
  <c r="W83"/>
  <c r="S83"/>
  <c r="I83"/>
  <c r="H83"/>
  <c r="G83"/>
  <c r="DO82"/>
  <c r="CZ82"/>
  <c r="CY82"/>
  <c r="S82" s="1"/>
  <c r="CS82"/>
  <c r="CR82"/>
  <c r="CQ82"/>
  <c r="BP82"/>
  <c r="BO82"/>
  <c r="BK82"/>
  <c r="BD82"/>
  <c r="AV82"/>
  <c r="AD82" s="1"/>
  <c r="AU82"/>
  <c r="AQ82"/>
  <c r="AJ82"/>
  <c r="AK82" s="1"/>
  <c r="AB82"/>
  <c r="AA82"/>
  <c r="Z82"/>
  <c r="X82"/>
  <c r="W82"/>
  <c r="I82"/>
  <c r="H82"/>
  <c r="G82"/>
  <c r="DO81"/>
  <c r="CZ81"/>
  <c r="CY81"/>
  <c r="CS81"/>
  <c r="CR81"/>
  <c r="CQ81"/>
  <c r="DE81" s="1"/>
  <c r="BP81"/>
  <c r="BO81"/>
  <c r="BJ81"/>
  <c r="BD81"/>
  <c r="AV81"/>
  <c r="AU81"/>
  <c r="AW81" s="1"/>
  <c r="AP81"/>
  <c r="AK81"/>
  <c r="AJ81"/>
  <c r="AD81"/>
  <c r="CV81" s="1"/>
  <c r="AB81"/>
  <c r="AA81"/>
  <c r="Z81"/>
  <c r="Y81"/>
  <c r="X81"/>
  <c r="W81"/>
  <c r="S81"/>
  <c r="I81"/>
  <c r="H81"/>
  <c r="G81"/>
  <c r="DO80"/>
  <c r="CZ80"/>
  <c r="CY80"/>
  <c r="S80" s="1"/>
  <c r="CS80"/>
  <c r="CR80"/>
  <c r="CQ80"/>
  <c r="BP80"/>
  <c r="BO80"/>
  <c r="BJ80"/>
  <c r="BD80"/>
  <c r="AV80"/>
  <c r="AD80" s="1"/>
  <c r="AU80"/>
  <c r="AP80"/>
  <c r="AJ80"/>
  <c r="AK80" s="1"/>
  <c r="AB80"/>
  <c r="AA80"/>
  <c r="Z80"/>
  <c r="Y80"/>
  <c r="X80"/>
  <c r="W80"/>
  <c r="I80"/>
  <c r="H80"/>
  <c r="G80"/>
  <c r="DO79"/>
  <c r="CZ79"/>
  <c r="CY79"/>
  <c r="CS79"/>
  <c r="CR79"/>
  <c r="CQ79"/>
  <c r="BP79"/>
  <c r="BO79"/>
  <c r="BN79"/>
  <c r="BD79"/>
  <c r="AV79"/>
  <c r="AD79" s="1"/>
  <c r="CV79" s="1"/>
  <c r="AU79"/>
  <c r="AT79"/>
  <c r="AJ79"/>
  <c r="AK79" s="1"/>
  <c r="AB79"/>
  <c r="AA79"/>
  <c r="Z79"/>
  <c r="Y79"/>
  <c r="X79"/>
  <c r="W79"/>
  <c r="S79"/>
  <c r="I79"/>
  <c r="H79"/>
  <c r="G79"/>
  <c r="DO78"/>
  <c r="CZ78"/>
  <c r="CY78"/>
  <c r="S78" s="1"/>
  <c r="CS78"/>
  <c r="CR78"/>
  <c r="CQ78"/>
  <c r="BX78"/>
  <c r="BP78"/>
  <c r="BO78"/>
  <c r="BL78"/>
  <c r="BD78"/>
  <c r="AV78"/>
  <c r="AD78" s="1"/>
  <c r="DZ78" s="1"/>
  <c r="AU78"/>
  <c r="AC78" s="1"/>
  <c r="CU78" s="1"/>
  <c r="AR78"/>
  <c r="AJ78"/>
  <c r="AK78" s="1"/>
  <c r="AB78"/>
  <c r="AA78"/>
  <c r="Z78"/>
  <c r="Y78"/>
  <c r="X78"/>
  <c r="W78"/>
  <c r="I78"/>
  <c r="H78"/>
  <c r="G78"/>
  <c r="DO77"/>
  <c r="CZ77"/>
  <c r="CY77"/>
  <c r="CS77"/>
  <c r="CR77"/>
  <c r="CQ77"/>
  <c r="BP77"/>
  <c r="BO77"/>
  <c r="BN77"/>
  <c r="BD77"/>
  <c r="AV77"/>
  <c r="AD77" s="1"/>
  <c r="DZ77" s="1"/>
  <c r="AU77"/>
  <c r="AC77" s="1"/>
  <c r="AT77"/>
  <c r="AJ77"/>
  <c r="AK77" s="1"/>
  <c r="AA77"/>
  <c r="Z77"/>
  <c r="Y77"/>
  <c r="X77"/>
  <c r="W77"/>
  <c r="AG77"/>
  <c r="AH77" s="1"/>
  <c r="S77"/>
  <c r="I77"/>
  <c r="H77"/>
  <c r="G77"/>
  <c r="DO76"/>
  <c r="CZ76"/>
  <c r="CY76"/>
  <c r="S76" s="1"/>
  <c r="CS76"/>
  <c r="CR76"/>
  <c r="CQ76"/>
  <c r="BP76"/>
  <c r="BO76"/>
  <c r="BN76"/>
  <c r="BD76"/>
  <c r="AV76"/>
  <c r="AD76" s="1"/>
  <c r="AU76"/>
  <c r="AC76" s="1"/>
  <c r="AT76"/>
  <c r="AJ76"/>
  <c r="AK76" s="1"/>
  <c r="AB76"/>
  <c r="AA76"/>
  <c r="Z76"/>
  <c r="Y76"/>
  <c r="X76"/>
  <c r="W76"/>
  <c r="I76"/>
  <c r="H76"/>
  <c r="G76"/>
  <c r="DO75"/>
  <c r="CZ75"/>
  <c r="CY75"/>
  <c r="S75" s="1"/>
  <c r="CS75"/>
  <c r="CR75"/>
  <c r="CQ75"/>
  <c r="BP75"/>
  <c r="BO75"/>
  <c r="BN75"/>
  <c r="BD75"/>
  <c r="AV75"/>
  <c r="AU75"/>
  <c r="AC75" s="1"/>
  <c r="AT75"/>
  <c r="AB75" s="1"/>
  <c r="AJ75"/>
  <c r="AK75" s="1"/>
  <c r="AA75"/>
  <c r="Z75"/>
  <c r="Y75"/>
  <c r="X75"/>
  <c r="W75"/>
  <c r="I75"/>
  <c r="H75"/>
  <c r="G75"/>
  <c r="DO74"/>
  <c r="CZ74"/>
  <c r="CY74"/>
  <c r="S74" s="1"/>
  <c r="CS74"/>
  <c r="CV74" s="1"/>
  <c r="CR74"/>
  <c r="CQ74"/>
  <c r="DO73"/>
  <c r="CZ73"/>
  <c r="CY73"/>
  <c r="S73" s="1"/>
  <c r="CS73"/>
  <c r="CR73"/>
  <c r="CQ73"/>
  <c r="BP73"/>
  <c r="BO73"/>
  <c r="BN73"/>
  <c r="BD73"/>
  <c r="AV73"/>
  <c r="AD73" s="1"/>
  <c r="AU73"/>
  <c r="AT73"/>
  <c r="AJ73"/>
  <c r="AK73" s="1"/>
  <c r="AB73"/>
  <c r="AA73"/>
  <c r="Z73"/>
  <c r="Y73"/>
  <c r="X73"/>
  <c r="W73"/>
  <c r="I73"/>
  <c r="H73"/>
  <c r="G73"/>
  <c r="DO72"/>
  <c r="CZ72"/>
  <c r="CY72"/>
  <c r="CS72"/>
  <c r="CR72"/>
  <c r="CQ72"/>
  <c r="BP72"/>
  <c r="BO72"/>
  <c r="BN72"/>
  <c r="BD72"/>
  <c r="AV72"/>
  <c r="AD72" s="1"/>
  <c r="CV72" s="1"/>
  <c r="AU72"/>
  <c r="AT72"/>
  <c r="AJ72"/>
  <c r="AK72" s="1"/>
  <c r="AB72"/>
  <c r="AA72"/>
  <c r="Z72"/>
  <c r="Y72"/>
  <c r="X72"/>
  <c r="W72"/>
  <c r="S72"/>
  <c r="I72"/>
  <c r="H72"/>
  <c r="G72"/>
  <c r="DO71"/>
  <c r="CZ71"/>
  <c r="CY71"/>
  <c r="S71" s="1"/>
  <c r="CS71"/>
  <c r="CR71"/>
  <c r="CQ71"/>
  <c r="BP71"/>
  <c r="BO71"/>
  <c r="BJ71"/>
  <c r="BD71"/>
  <c r="AV71"/>
  <c r="AD71" s="1"/>
  <c r="AU71"/>
  <c r="AP71"/>
  <c r="AJ71"/>
  <c r="AK71" s="1"/>
  <c r="AB71"/>
  <c r="AA71"/>
  <c r="Z71"/>
  <c r="Y71"/>
  <c r="X71"/>
  <c r="W71"/>
  <c r="I71"/>
  <c r="H71"/>
  <c r="G71"/>
  <c r="DO70"/>
  <c r="CZ70"/>
  <c r="CY70"/>
  <c r="CS70"/>
  <c r="CR70"/>
  <c r="CQ70"/>
  <c r="BP70"/>
  <c r="BO70"/>
  <c r="BJ70"/>
  <c r="BD70"/>
  <c r="AV70"/>
  <c r="AD70" s="1"/>
  <c r="AU70"/>
  <c r="AP70"/>
  <c r="AJ70"/>
  <c r="AK70" s="1"/>
  <c r="AB70"/>
  <c r="AA70"/>
  <c r="Z70"/>
  <c r="Y70"/>
  <c r="X70"/>
  <c r="W70"/>
  <c r="S70"/>
  <c r="I70"/>
  <c r="H70"/>
  <c r="G70"/>
  <c r="DO69"/>
  <c r="CZ69"/>
  <c r="CY69"/>
  <c r="S69" s="1"/>
  <c r="CS69"/>
  <c r="CR69"/>
  <c r="CQ69"/>
  <c r="BP69"/>
  <c r="BO69"/>
  <c r="BN69"/>
  <c r="BD69"/>
  <c r="AV69"/>
  <c r="AD69" s="1"/>
  <c r="AU69"/>
  <c r="AT69"/>
  <c r="AJ69"/>
  <c r="AG69"/>
  <c r="AC69"/>
  <c r="AA69"/>
  <c r="Z69"/>
  <c r="Y69"/>
  <c r="X69"/>
  <c r="W69"/>
  <c r="I69"/>
  <c r="H69"/>
  <c r="G69"/>
  <c r="DO68"/>
  <c r="CZ68"/>
  <c r="CY68"/>
  <c r="CS68"/>
  <c r="CR68"/>
  <c r="CQ68"/>
  <c r="BP68"/>
  <c r="BO68"/>
  <c r="BN68"/>
  <c r="BD68"/>
  <c r="AV68"/>
  <c r="AD68" s="1"/>
  <c r="AU68"/>
  <c r="AC68" s="1"/>
  <c r="AT68"/>
  <c r="AJ68"/>
  <c r="AA68"/>
  <c r="Z68"/>
  <c r="Y68"/>
  <c r="X68"/>
  <c r="W68"/>
  <c r="S68"/>
  <c r="I68"/>
  <c r="H68"/>
  <c r="G68"/>
  <c r="DO67"/>
  <c r="CZ67"/>
  <c r="CY67"/>
  <c r="CS67"/>
  <c r="CR67"/>
  <c r="CQ67"/>
  <c r="BP67"/>
  <c r="BO67"/>
  <c r="BJ67"/>
  <c r="BD67"/>
  <c r="AV67"/>
  <c r="AD67" s="1"/>
  <c r="AU67"/>
  <c r="AC67" s="1"/>
  <c r="CU67" s="1"/>
  <c r="AP67"/>
  <c r="AJ67"/>
  <c r="AB67"/>
  <c r="AA67"/>
  <c r="Z67"/>
  <c r="Y67"/>
  <c r="W67"/>
  <c r="S67"/>
  <c r="I67"/>
  <c r="H67"/>
  <c r="G67"/>
  <c r="DO66"/>
  <c r="CZ66"/>
  <c r="CY66"/>
  <c r="CS66"/>
  <c r="CR66"/>
  <c r="CQ66"/>
  <c r="BP66"/>
  <c r="BO66"/>
  <c r="BN66"/>
  <c r="BD66"/>
  <c r="AV66"/>
  <c r="AD66" s="1"/>
  <c r="AU66"/>
  <c r="AC66" s="1"/>
  <c r="CU66" s="1"/>
  <c r="AT66"/>
  <c r="AJ66"/>
  <c r="AA66"/>
  <c r="Z66"/>
  <c r="Y66"/>
  <c r="X66"/>
  <c r="W66"/>
  <c r="S66"/>
  <c r="I66"/>
  <c r="H66"/>
  <c r="G66"/>
  <c r="DO65"/>
  <c r="CZ65"/>
  <c r="CY65"/>
  <c r="S65" s="1"/>
  <c r="CS65"/>
  <c r="CR65"/>
  <c r="CQ65"/>
  <c r="BP65"/>
  <c r="BO65"/>
  <c r="BN65"/>
  <c r="BD65"/>
  <c r="AV65"/>
  <c r="AD65" s="1"/>
  <c r="AU65"/>
  <c r="AC65" s="1"/>
  <c r="AT65"/>
  <c r="AJ65"/>
  <c r="AA65"/>
  <c r="Z65"/>
  <c r="Y65"/>
  <c r="X65"/>
  <c r="W65"/>
  <c r="I65"/>
  <c r="H65"/>
  <c r="G65"/>
  <c r="DO64"/>
  <c r="CZ64"/>
  <c r="CY64"/>
  <c r="CS64"/>
  <c r="CR64"/>
  <c r="CQ64"/>
  <c r="BP64"/>
  <c r="BO64"/>
  <c r="BN64"/>
  <c r="BD64"/>
  <c r="AV64"/>
  <c r="AD64" s="1"/>
  <c r="AU64"/>
  <c r="AC64" s="1"/>
  <c r="CU64" s="1"/>
  <c r="AT64"/>
  <c r="AJ64"/>
  <c r="AA64"/>
  <c r="Z64"/>
  <c r="Y64"/>
  <c r="X64"/>
  <c r="W64"/>
  <c r="S64"/>
  <c r="I64"/>
  <c r="H64"/>
  <c r="G64"/>
  <c r="DO63"/>
  <c r="CZ63"/>
  <c r="CY63"/>
  <c r="CS63"/>
  <c r="CR63"/>
  <c r="CQ63"/>
  <c r="BP63"/>
  <c r="BO63"/>
  <c r="BK63"/>
  <c r="BD63"/>
  <c r="AV63"/>
  <c r="AD63" s="1"/>
  <c r="AU63"/>
  <c r="AC63" s="1"/>
  <c r="AQ63"/>
  <c r="Y63" s="1"/>
  <c r="AJ63"/>
  <c r="AB63"/>
  <c r="AA63"/>
  <c r="Z63"/>
  <c r="X63"/>
  <c r="W63"/>
  <c r="S63"/>
  <c r="I63"/>
  <c r="H63"/>
  <c r="G63"/>
  <c r="DO62"/>
  <c r="CZ62"/>
  <c r="CY62"/>
  <c r="CS62"/>
  <c r="CR62"/>
  <c r="CQ62"/>
  <c r="BP62"/>
  <c r="BO62"/>
  <c r="BN62"/>
  <c r="BD62"/>
  <c r="AV62"/>
  <c r="AD62" s="1"/>
  <c r="AU62"/>
  <c r="AC62" s="1"/>
  <c r="AT62"/>
  <c r="AJ62"/>
  <c r="AA62"/>
  <c r="Z62"/>
  <c r="Y62"/>
  <c r="X62"/>
  <c r="W62"/>
  <c r="S62"/>
  <c r="I62"/>
  <c r="H62"/>
  <c r="G62"/>
  <c r="DO61"/>
  <c r="CZ61"/>
  <c r="CY61"/>
  <c r="CS61"/>
  <c r="CR61"/>
  <c r="CQ61"/>
  <c r="BP61"/>
  <c r="BO61"/>
  <c r="BJ61"/>
  <c r="BD61"/>
  <c r="AV61"/>
  <c r="AD61" s="1"/>
  <c r="AU61"/>
  <c r="AC61" s="1"/>
  <c r="AP61"/>
  <c r="AJ61"/>
  <c r="AB61"/>
  <c r="AA61"/>
  <c r="Z61"/>
  <c r="Y61"/>
  <c r="W61"/>
  <c r="S61"/>
  <c r="I61"/>
  <c r="H61"/>
  <c r="G61"/>
  <c r="DO60"/>
  <c r="CZ60"/>
  <c r="CY60"/>
  <c r="CS60"/>
  <c r="CR60"/>
  <c r="CQ60"/>
  <c r="BP60"/>
  <c r="BO60"/>
  <c r="BL60"/>
  <c r="BD60"/>
  <c r="AV60"/>
  <c r="AD60" s="1"/>
  <c r="AU60"/>
  <c r="AC60" s="1"/>
  <c r="AR60"/>
  <c r="AJ60"/>
  <c r="AB60"/>
  <c r="AA60"/>
  <c r="Y60"/>
  <c r="X60"/>
  <c r="W60"/>
  <c r="S60"/>
  <c r="I60"/>
  <c r="H60"/>
  <c r="G60"/>
  <c r="DO59"/>
  <c r="CZ59"/>
  <c r="CY59"/>
  <c r="S59" s="1"/>
  <c r="CS59"/>
  <c r="CR59"/>
  <c r="CQ59"/>
  <c r="BP59"/>
  <c r="BO59"/>
  <c r="BJ59"/>
  <c r="BD59"/>
  <c r="AV59"/>
  <c r="AD59" s="1"/>
  <c r="AU59"/>
  <c r="AP59"/>
  <c r="AJ59"/>
  <c r="AB59"/>
  <c r="AA59"/>
  <c r="Z59"/>
  <c r="Y59"/>
  <c r="X59"/>
  <c r="W59"/>
  <c r="I59"/>
  <c r="H59"/>
  <c r="G59"/>
  <c r="DO58"/>
  <c r="CZ58"/>
  <c r="CY58"/>
  <c r="CS58"/>
  <c r="CR58"/>
  <c r="CQ58"/>
  <c r="BP58"/>
  <c r="BO58"/>
  <c r="BN58"/>
  <c r="BD58"/>
  <c r="AV58"/>
  <c r="AD58" s="1"/>
  <c r="CV58" s="1"/>
  <c r="AU58"/>
  <c r="AT58"/>
  <c r="AJ58"/>
  <c r="AK58" s="1"/>
  <c r="AB58"/>
  <c r="AA58"/>
  <c r="Z58"/>
  <c r="Y58"/>
  <c r="X58"/>
  <c r="W58"/>
  <c r="S58"/>
  <c r="I58"/>
  <c r="H58"/>
  <c r="G58"/>
  <c r="DO57"/>
  <c r="CZ57"/>
  <c r="CY57"/>
  <c r="S57" s="1"/>
  <c r="CS57"/>
  <c r="CR57"/>
  <c r="CQ57"/>
  <c r="BP57"/>
  <c r="BO57"/>
  <c r="BJ57"/>
  <c r="BQ57" s="1"/>
  <c r="BD57"/>
  <c r="AV57"/>
  <c r="AD57" s="1"/>
  <c r="AU57"/>
  <c r="AC57" s="1"/>
  <c r="AP57"/>
  <c r="AJ57"/>
  <c r="AK57" s="1"/>
  <c r="AB57"/>
  <c r="AA57"/>
  <c r="Z57"/>
  <c r="Y57"/>
  <c r="W57"/>
  <c r="I57"/>
  <c r="H57"/>
  <c r="G57"/>
  <c r="DO56"/>
  <c r="CZ56"/>
  <c r="CY56"/>
  <c r="S56" s="1"/>
  <c r="CS56"/>
  <c r="CR56"/>
  <c r="CQ56"/>
  <c r="BP56"/>
  <c r="BO56"/>
  <c r="BJ56"/>
  <c r="X56" s="1"/>
  <c r="BD56"/>
  <c r="AV56"/>
  <c r="AD56" s="1"/>
  <c r="AU56"/>
  <c r="AC56" s="1"/>
  <c r="AJ56"/>
  <c r="AK56" s="1"/>
  <c r="AB56"/>
  <c r="AA56"/>
  <c r="Z56"/>
  <c r="Y56"/>
  <c r="W56"/>
  <c r="I56"/>
  <c r="H56"/>
  <c r="G56"/>
  <c r="DO55"/>
  <c r="CZ55"/>
  <c r="CY55"/>
  <c r="CS55"/>
  <c r="CR55"/>
  <c r="CQ55"/>
  <c r="BP55"/>
  <c r="BO55"/>
  <c r="BN55"/>
  <c r="BD55"/>
  <c r="AV55"/>
  <c r="AU55"/>
  <c r="AC55" s="1"/>
  <c r="AT55"/>
  <c r="AJ55"/>
  <c r="AK55" s="1"/>
  <c r="AD55"/>
  <c r="DZ55" s="1"/>
  <c r="AA55"/>
  <c r="Z55"/>
  <c r="Y55"/>
  <c r="X55"/>
  <c r="W55"/>
  <c r="S55"/>
  <c r="I55"/>
  <c r="H55"/>
  <c r="G55"/>
  <c r="DO54"/>
  <c r="CZ54"/>
  <c r="CY54"/>
  <c r="CS54"/>
  <c r="CR54"/>
  <c r="CQ54"/>
  <c r="BP54"/>
  <c r="BO54"/>
  <c r="BL54"/>
  <c r="BD54"/>
  <c r="AV54"/>
  <c r="AD54" s="1"/>
  <c r="DZ54" s="1"/>
  <c r="AU54"/>
  <c r="AR54"/>
  <c r="AJ54"/>
  <c r="AK54" s="1"/>
  <c r="AB54"/>
  <c r="AA54"/>
  <c r="Z54"/>
  <c r="Y54"/>
  <c r="X54"/>
  <c r="W54"/>
  <c r="S54"/>
  <c r="I54"/>
  <c r="H54"/>
  <c r="G54"/>
  <c r="DO53"/>
  <c r="CZ53"/>
  <c r="CY53"/>
  <c r="CS53"/>
  <c r="CR53"/>
  <c r="CQ53"/>
  <c r="BP53"/>
  <c r="BO53"/>
  <c r="BN53"/>
  <c r="BD53"/>
  <c r="AV53"/>
  <c r="AD53" s="1"/>
  <c r="AU53"/>
  <c r="AT53"/>
  <c r="AJ53"/>
  <c r="AB53"/>
  <c r="AA53"/>
  <c r="Z53"/>
  <c r="Y53"/>
  <c r="X53"/>
  <c r="W53"/>
  <c r="S53"/>
  <c r="I53"/>
  <c r="H53"/>
  <c r="G53"/>
  <c r="DO52"/>
  <c r="CZ52"/>
  <c r="CY52"/>
  <c r="CS52"/>
  <c r="CR52"/>
  <c r="CQ52"/>
  <c r="DE52" s="1"/>
  <c r="BP52"/>
  <c r="BO52"/>
  <c r="BL52"/>
  <c r="BD52"/>
  <c r="AV52"/>
  <c r="AU52"/>
  <c r="AW52" s="1"/>
  <c r="AR52"/>
  <c r="AK52"/>
  <c r="AJ52"/>
  <c r="AD52"/>
  <c r="CV52" s="1"/>
  <c r="AB52"/>
  <c r="AA52"/>
  <c r="Z52"/>
  <c r="Y52"/>
  <c r="X52"/>
  <c r="W52"/>
  <c r="S52"/>
  <c r="I52"/>
  <c r="H52"/>
  <c r="G52"/>
  <c r="DO51"/>
  <c r="CZ51"/>
  <c r="CY51"/>
  <c r="CS51"/>
  <c r="CR51"/>
  <c r="CQ51"/>
  <c r="BP51"/>
  <c r="BO51"/>
  <c r="BJ51"/>
  <c r="BD51"/>
  <c r="AV51"/>
  <c r="AD51" s="1"/>
  <c r="AU51"/>
  <c r="AP51"/>
  <c r="AJ51"/>
  <c r="AB51"/>
  <c r="AA51"/>
  <c r="Z51"/>
  <c r="Y51"/>
  <c r="X51"/>
  <c r="W51"/>
  <c r="S51"/>
  <c r="I51"/>
  <c r="H51"/>
  <c r="G51"/>
  <c r="DO50"/>
  <c r="CZ50"/>
  <c r="CY50"/>
  <c r="CS50"/>
  <c r="CR50"/>
  <c r="CQ50"/>
  <c r="DE50" s="1"/>
  <c r="BP50"/>
  <c r="BO50"/>
  <c r="BL50"/>
  <c r="BD50"/>
  <c r="AV50"/>
  <c r="AU50"/>
  <c r="AW50" s="1"/>
  <c r="AR50"/>
  <c r="AK50"/>
  <c r="AJ50"/>
  <c r="AD50"/>
  <c r="CV50" s="1"/>
  <c r="AB50"/>
  <c r="AA50"/>
  <c r="Z50"/>
  <c r="Y50"/>
  <c r="X50"/>
  <c r="W50"/>
  <c r="S50"/>
  <c r="I50"/>
  <c r="H50"/>
  <c r="G50"/>
  <c r="DO49"/>
  <c r="CZ49"/>
  <c r="CY49"/>
  <c r="S49" s="1"/>
  <c r="CS49"/>
  <c r="CR49"/>
  <c r="CQ49"/>
  <c r="BP49"/>
  <c r="BO49"/>
  <c r="BN49"/>
  <c r="BD49"/>
  <c r="AV49"/>
  <c r="AD49" s="1"/>
  <c r="AU49"/>
  <c r="AT49"/>
  <c r="AJ49"/>
  <c r="AK49" s="1"/>
  <c r="AB49"/>
  <c r="AA49"/>
  <c r="Z49"/>
  <c r="Y49"/>
  <c r="X49"/>
  <c r="W49"/>
  <c r="I49"/>
  <c r="H49"/>
  <c r="G49"/>
  <c r="DO48"/>
  <c r="CZ48"/>
  <c r="CY48"/>
  <c r="CS48"/>
  <c r="CR48"/>
  <c r="CQ48"/>
  <c r="BP48"/>
  <c r="BO48"/>
  <c r="BJ48"/>
  <c r="BD48"/>
  <c r="AV48"/>
  <c r="AD48" s="1"/>
  <c r="CV48" s="1"/>
  <c r="AU48"/>
  <c r="AP48"/>
  <c r="AJ48"/>
  <c r="AK48" s="1"/>
  <c r="AB48"/>
  <c r="AA48"/>
  <c r="Z48"/>
  <c r="Y48"/>
  <c r="X48"/>
  <c r="W48"/>
  <c r="S48"/>
  <c r="I48"/>
  <c r="H48"/>
  <c r="G48"/>
  <c r="DO47"/>
  <c r="CZ47"/>
  <c r="CY47"/>
  <c r="S47" s="1"/>
  <c r="CS47"/>
  <c r="CR47"/>
  <c r="CQ47"/>
  <c r="BP47"/>
  <c r="BO47"/>
  <c r="BJ47"/>
  <c r="BQ47" s="1"/>
  <c r="BD47"/>
  <c r="AV47"/>
  <c r="AD47" s="1"/>
  <c r="CV47" s="1"/>
  <c r="AU47"/>
  <c r="AP47"/>
  <c r="AJ47"/>
  <c r="AB47"/>
  <c r="AA47"/>
  <c r="Z47"/>
  <c r="Y47"/>
  <c r="X47"/>
  <c r="W47"/>
  <c r="I47"/>
  <c r="H47"/>
  <c r="G47"/>
  <c r="DO46"/>
  <c r="CZ46"/>
  <c r="CY46"/>
  <c r="CS46"/>
  <c r="CR46"/>
  <c r="CQ46"/>
  <c r="BP46"/>
  <c r="BO46"/>
  <c r="BM46"/>
  <c r="BD46"/>
  <c r="AV46"/>
  <c r="AU46"/>
  <c r="AS46"/>
  <c r="AJ46"/>
  <c r="AK46" s="1"/>
  <c r="AD46"/>
  <c r="AB46"/>
  <c r="Z46"/>
  <c r="Y46"/>
  <c r="X46"/>
  <c r="W46"/>
  <c r="S46"/>
  <c r="I46"/>
  <c r="H46"/>
  <c r="G46"/>
  <c r="DO45"/>
  <c r="CZ45"/>
  <c r="CY45"/>
  <c r="CS45"/>
  <c r="CR45"/>
  <c r="CQ45"/>
  <c r="DE45" s="1"/>
  <c r="BP45"/>
  <c r="BO45"/>
  <c r="BJ45"/>
  <c r="BD45"/>
  <c r="AV45"/>
  <c r="AU45"/>
  <c r="AW45" s="1"/>
  <c r="AP45"/>
  <c r="AK45"/>
  <c r="AJ45"/>
  <c r="AD45"/>
  <c r="CV45" s="1"/>
  <c r="AB45"/>
  <c r="AA45"/>
  <c r="Z45"/>
  <c r="Y45"/>
  <c r="X45"/>
  <c r="W45"/>
  <c r="S45"/>
  <c r="I45"/>
  <c r="H45"/>
  <c r="G45"/>
  <c r="DO44"/>
  <c r="CZ44"/>
  <c r="CY44"/>
  <c r="S44" s="1"/>
  <c r="CS44"/>
  <c r="CR44"/>
  <c r="CQ44"/>
  <c r="BP44"/>
  <c r="BO44"/>
  <c r="BJ44"/>
  <c r="BD44"/>
  <c r="AV44"/>
  <c r="AD44" s="1"/>
  <c r="AU44"/>
  <c r="AP44"/>
  <c r="AJ44"/>
  <c r="AK44" s="1"/>
  <c r="AB44"/>
  <c r="AA44"/>
  <c r="Z44"/>
  <c r="Y44"/>
  <c r="X44"/>
  <c r="W44"/>
  <c r="I44"/>
  <c r="H44"/>
  <c r="G44"/>
  <c r="DO43"/>
  <c r="CZ43"/>
  <c r="CY43"/>
  <c r="CS43"/>
  <c r="CR43"/>
  <c r="CQ43"/>
  <c r="BP43"/>
  <c r="BO43"/>
  <c r="BJ43"/>
  <c r="BD43"/>
  <c r="AV43"/>
  <c r="AD43" s="1"/>
  <c r="CV43" s="1"/>
  <c r="AU43"/>
  <c r="AP43"/>
  <c r="AJ43"/>
  <c r="AK43" s="1"/>
  <c r="AB43"/>
  <c r="AA43"/>
  <c r="Z43"/>
  <c r="Y43"/>
  <c r="X43"/>
  <c r="W43"/>
  <c r="S43"/>
  <c r="I43"/>
  <c r="H43"/>
  <c r="G43"/>
  <c r="DO42"/>
  <c r="CZ42"/>
  <c r="CY42"/>
  <c r="S42" s="1"/>
  <c r="CS42"/>
  <c r="CR42"/>
  <c r="CQ42"/>
  <c r="BP42"/>
  <c r="BO42"/>
  <c r="BN42"/>
  <c r="BD42"/>
  <c r="AV42"/>
  <c r="AD42" s="1"/>
  <c r="AU42"/>
  <c r="AT42"/>
  <c r="AJ42"/>
  <c r="AB42"/>
  <c r="AA42"/>
  <c r="Z42"/>
  <c r="Y42"/>
  <c r="X42"/>
  <c r="W42"/>
  <c r="I42"/>
  <c r="H42"/>
  <c r="G42"/>
  <c r="DO41"/>
  <c r="CZ41"/>
  <c r="CY41"/>
  <c r="CS41"/>
  <c r="CR41"/>
  <c r="CQ41"/>
  <c r="DE41" s="1"/>
  <c r="BP41"/>
  <c r="BO41"/>
  <c r="BN41"/>
  <c r="BD41"/>
  <c r="AV41"/>
  <c r="AU41"/>
  <c r="AW41" s="1"/>
  <c r="AT41"/>
  <c r="AK41"/>
  <c r="AJ41"/>
  <c r="AD41"/>
  <c r="CV41" s="1"/>
  <c r="AB41"/>
  <c r="AA41"/>
  <c r="Z41"/>
  <c r="Y41"/>
  <c r="X41"/>
  <c r="W41"/>
  <c r="S41"/>
  <c r="I41"/>
  <c r="H41"/>
  <c r="G41"/>
  <c r="DO40"/>
  <c r="CZ40"/>
  <c r="CY40"/>
  <c r="S40" s="1"/>
  <c r="CS40"/>
  <c r="CR40"/>
  <c r="CQ40"/>
  <c r="BP40"/>
  <c r="BO40"/>
  <c r="BN40"/>
  <c r="BD40"/>
  <c r="AV40"/>
  <c r="AD40" s="1"/>
  <c r="AU40"/>
  <c r="AT40"/>
  <c r="AJ40"/>
  <c r="AK40" s="1"/>
  <c r="AB40"/>
  <c r="AA40"/>
  <c r="Z40"/>
  <c r="Y40"/>
  <c r="X40"/>
  <c r="W40"/>
  <c r="I40"/>
  <c r="H40"/>
  <c r="G40"/>
  <c r="DO39"/>
  <c r="CZ39"/>
  <c r="CY39"/>
  <c r="CS39"/>
  <c r="CR39"/>
  <c r="CQ39"/>
  <c r="BP39"/>
  <c r="BO39"/>
  <c r="BN39"/>
  <c r="BD39"/>
  <c r="AV39"/>
  <c r="AD39" s="1"/>
  <c r="CV39" s="1"/>
  <c r="AU39"/>
  <c r="AT39"/>
  <c r="AJ39"/>
  <c r="AK39" s="1"/>
  <c r="AB39"/>
  <c r="AA39"/>
  <c r="Z39"/>
  <c r="Y39"/>
  <c r="X39"/>
  <c r="W39"/>
  <c r="S39"/>
  <c r="I39"/>
  <c r="H39"/>
  <c r="G39"/>
  <c r="DO38"/>
  <c r="CZ38"/>
  <c r="CY38"/>
  <c r="S38" s="1"/>
  <c r="CS38"/>
  <c r="CR38"/>
  <c r="CQ38"/>
  <c r="BP38"/>
  <c r="BO38"/>
  <c r="BJ38"/>
  <c r="BQ38" s="1"/>
  <c r="BD38"/>
  <c r="AV38"/>
  <c r="AD38" s="1"/>
  <c r="CV38" s="1"/>
  <c r="AU38"/>
  <c r="AP38"/>
  <c r="AJ38"/>
  <c r="AB38"/>
  <c r="AA38"/>
  <c r="Z38"/>
  <c r="Y38"/>
  <c r="X38"/>
  <c r="W38"/>
  <c r="I38"/>
  <c r="H38"/>
  <c r="G38"/>
  <c r="DO37"/>
  <c r="CZ37"/>
  <c r="CY37"/>
  <c r="CS37"/>
  <c r="CR37"/>
  <c r="CQ37"/>
  <c r="DE37" s="1"/>
  <c r="BP37"/>
  <c r="BO37"/>
  <c r="BN37"/>
  <c r="BD37"/>
  <c r="AV37"/>
  <c r="AU37"/>
  <c r="AW37" s="1"/>
  <c r="AT37"/>
  <c r="AK37"/>
  <c r="AJ37"/>
  <c r="AD37"/>
  <c r="CV37" s="1"/>
  <c r="AB37"/>
  <c r="AA37"/>
  <c r="Z37"/>
  <c r="Y37"/>
  <c r="X37"/>
  <c r="W37"/>
  <c r="S37"/>
  <c r="I37"/>
  <c r="H37"/>
  <c r="G37"/>
  <c r="DO36"/>
  <c r="CZ36"/>
  <c r="CY36"/>
  <c r="S36" s="1"/>
  <c r="CS36"/>
  <c r="CR36"/>
  <c r="CQ36"/>
  <c r="BP36"/>
  <c r="BO36"/>
  <c r="BJ36"/>
  <c r="BD36"/>
  <c r="AV36"/>
  <c r="AD36" s="1"/>
  <c r="AU36"/>
  <c r="AP36"/>
  <c r="AJ36"/>
  <c r="AK36" s="1"/>
  <c r="AB36"/>
  <c r="AA36"/>
  <c r="Z36"/>
  <c r="Y36"/>
  <c r="X36"/>
  <c r="W36"/>
  <c r="I36"/>
  <c r="H36"/>
  <c r="G36"/>
  <c r="DO35"/>
  <c r="CZ35"/>
  <c r="CY35"/>
  <c r="CS35"/>
  <c r="CR35"/>
  <c r="CQ35"/>
  <c r="BP35"/>
  <c r="BO35"/>
  <c r="BN35"/>
  <c r="BD35"/>
  <c r="AV35"/>
  <c r="AD35" s="1"/>
  <c r="CV35" s="1"/>
  <c r="AU35"/>
  <c r="AT35"/>
  <c r="AJ35"/>
  <c r="AK35" s="1"/>
  <c r="AB35"/>
  <c r="AA35"/>
  <c r="Z35"/>
  <c r="Y35"/>
  <c r="X35"/>
  <c r="W35"/>
  <c r="S35"/>
  <c r="I35"/>
  <c r="H35"/>
  <c r="G35"/>
  <c r="DO34"/>
  <c r="CZ34"/>
  <c r="CY34"/>
  <c r="S34" s="1"/>
  <c r="CS34"/>
  <c r="CR34"/>
  <c r="CQ34"/>
  <c r="BP34"/>
  <c r="BO34"/>
  <c r="BN34"/>
  <c r="BD34"/>
  <c r="AV34"/>
  <c r="AD34" s="1"/>
  <c r="AU34"/>
  <c r="AT34"/>
  <c r="AJ34"/>
  <c r="AB34"/>
  <c r="AA34"/>
  <c r="Z34"/>
  <c r="Y34"/>
  <c r="X34"/>
  <c r="W34"/>
  <c r="I34"/>
  <c r="H34"/>
  <c r="G34"/>
  <c r="DO33"/>
  <c r="CZ33"/>
  <c r="CY33"/>
  <c r="CS33"/>
  <c r="CR33"/>
  <c r="CQ33"/>
  <c r="DE33" s="1"/>
  <c r="BP33"/>
  <c r="BO33"/>
  <c r="BJ33"/>
  <c r="BD33"/>
  <c r="AV33"/>
  <c r="AU33"/>
  <c r="AW33" s="1"/>
  <c r="AP33"/>
  <c r="AK33"/>
  <c r="AJ33"/>
  <c r="AD33"/>
  <c r="CV33" s="1"/>
  <c r="AB33"/>
  <c r="AA33"/>
  <c r="Z33"/>
  <c r="Y33"/>
  <c r="X33"/>
  <c r="W33"/>
  <c r="S33"/>
  <c r="I33"/>
  <c r="H33"/>
  <c r="G33"/>
  <c r="DO32"/>
  <c r="CZ32"/>
  <c r="CY32"/>
  <c r="S32" s="1"/>
  <c r="CS32"/>
  <c r="CR32"/>
  <c r="CQ32"/>
  <c r="BP32"/>
  <c r="BO32"/>
  <c r="BD32"/>
  <c r="AV32"/>
  <c r="AD32" s="1"/>
  <c r="AU32"/>
  <c r="AJ32"/>
  <c r="AB32"/>
  <c r="AA32"/>
  <c r="Z32"/>
  <c r="Y32"/>
  <c r="X32"/>
  <c r="W32"/>
  <c r="I32"/>
  <c r="H32"/>
  <c r="G32"/>
  <c r="DO31"/>
  <c r="CZ31"/>
  <c r="CY31"/>
  <c r="CS31"/>
  <c r="CR31"/>
  <c r="CQ31"/>
  <c r="BP31"/>
  <c r="BO31"/>
  <c r="BN31"/>
  <c r="BD31"/>
  <c r="AV31"/>
  <c r="AD31" s="1"/>
  <c r="CV31" s="1"/>
  <c r="AU31"/>
  <c r="AT31"/>
  <c r="AJ31"/>
  <c r="AK31" s="1"/>
  <c r="AB31"/>
  <c r="AA31"/>
  <c r="Z31"/>
  <c r="Y31"/>
  <c r="X31"/>
  <c r="W31"/>
  <c r="S31"/>
  <c r="I31"/>
  <c r="H31"/>
  <c r="G31"/>
  <c r="DO30"/>
  <c r="CZ30"/>
  <c r="CY30"/>
  <c r="S30" s="1"/>
  <c r="CS30"/>
  <c r="CR30"/>
  <c r="CQ30"/>
  <c r="BP30"/>
  <c r="BO30"/>
  <c r="BJ30"/>
  <c r="BD30"/>
  <c r="AV30"/>
  <c r="AD30" s="1"/>
  <c r="AU30"/>
  <c r="AP30"/>
  <c r="AJ30"/>
  <c r="AK30" s="1"/>
  <c r="AB30"/>
  <c r="AA30"/>
  <c r="Z30"/>
  <c r="Y30"/>
  <c r="X30"/>
  <c r="W30"/>
  <c r="I30"/>
  <c r="H30"/>
  <c r="G30"/>
  <c r="DO29"/>
  <c r="CZ29"/>
  <c r="CY29"/>
  <c r="CS29"/>
  <c r="CR29"/>
  <c r="CQ29"/>
  <c r="BX29"/>
  <c r="BP29"/>
  <c r="BO29"/>
  <c r="BJ29"/>
  <c r="BD29"/>
  <c r="AV29"/>
  <c r="AD29" s="1"/>
  <c r="CV29" s="1"/>
  <c r="AU29"/>
  <c r="AP29"/>
  <c r="AJ29"/>
  <c r="AK29" s="1"/>
  <c r="AB29"/>
  <c r="AA29"/>
  <c r="Z29"/>
  <c r="Y29"/>
  <c r="X29"/>
  <c r="W29"/>
  <c r="S29"/>
  <c r="I29"/>
  <c r="H29"/>
  <c r="G29"/>
  <c r="DO28"/>
  <c r="CZ28"/>
  <c r="CY28"/>
  <c r="CS28"/>
  <c r="CR28"/>
  <c r="CQ28"/>
  <c r="BP28"/>
  <c r="BO28"/>
  <c r="BJ28"/>
  <c r="BD28"/>
  <c r="AV28"/>
  <c r="AD28" s="1"/>
  <c r="CV28" s="1"/>
  <c r="AU28"/>
  <c r="AP28"/>
  <c r="AJ28"/>
  <c r="AK28" s="1"/>
  <c r="AB28"/>
  <c r="AA28"/>
  <c r="Z28"/>
  <c r="Y28"/>
  <c r="X28"/>
  <c r="W28"/>
  <c r="S28"/>
  <c r="I28"/>
  <c r="H28"/>
  <c r="G28"/>
  <c r="DO27"/>
  <c r="CZ27"/>
  <c r="CY27"/>
  <c r="S27" s="1"/>
  <c r="CS27"/>
  <c r="CR27"/>
  <c r="CQ27"/>
  <c r="BP27"/>
  <c r="BO27"/>
  <c r="BJ27"/>
  <c r="BD27"/>
  <c r="AV27"/>
  <c r="AD27" s="1"/>
  <c r="AU27"/>
  <c r="AP27"/>
  <c r="AJ27"/>
  <c r="AB27"/>
  <c r="AA27"/>
  <c r="Z27"/>
  <c r="Y27"/>
  <c r="X27"/>
  <c r="W27"/>
  <c r="I27"/>
  <c r="H27"/>
  <c r="G27"/>
  <c r="DO26"/>
  <c r="CZ26"/>
  <c r="CY26"/>
  <c r="CS26"/>
  <c r="CR26"/>
  <c r="CQ26"/>
  <c r="BP26"/>
  <c r="BO26"/>
  <c r="AC26" s="1"/>
  <c r="CU26" s="1"/>
  <c r="BD26"/>
  <c r="AV26"/>
  <c r="AU26"/>
  <c r="AJ26"/>
  <c r="AB26"/>
  <c r="AA26"/>
  <c r="Z26"/>
  <c r="Y26"/>
  <c r="X26"/>
  <c r="W26"/>
  <c r="S26"/>
  <c r="H26"/>
  <c r="P26" s="1"/>
  <c r="DO25"/>
  <c r="CZ25"/>
  <c r="CY25"/>
  <c r="S25" s="1"/>
  <c r="CS25"/>
  <c r="CR25"/>
  <c r="CQ25"/>
  <c r="BP25"/>
  <c r="BO25"/>
  <c r="BJ25"/>
  <c r="BD25"/>
  <c r="AV25"/>
  <c r="AD25" s="1"/>
  <c r="AU25"/>
  <c r="AC25" s="1"/>
  <c r="AP25"/>
  <c r="AJ25"/>
  <c r="AK25" s="1"/>
  <c r="AB25"/>
  <c r="AA25"/>
  <c r="Z25"/>
  <c r="Y25"/>
  <c r="W25"/>
  <c r="I25"/>
  <c r="H25"/>
  <c r="G25"/>
  <c r="DO24"/>
  <c r="CZ24"/>
  <c r="CY24"/>
  <c r="S24" s="1"/>
  <c r="CS24"/>
  <c r="CR24"/>
  <c r="CQ24"/>
  <c r="BP24"/>
  <c r="BO24"/>
  <c r="BJ24"/>
  <c r="BD24"/>
  <c r="AV24"/>
  <c r="AD24" s="1"/>
  <c r="AU24"/>
  <c r="AP24"/>
  <c r="AJ24"/>
  <c r="AK24" s="1"/>
  <c r="AB24"/>
  <c r="AA24"/>
  <c r="Z24"/>
  <c r="Y24"/>
  <c r="W24"/>
  <c r="I24"/>
  <c r="H24"/>
  <c r="G24"/>
  <c r="DO23"/>
  <c r="CZ23"/>
  <c r="CY23"/>
  <c r="S23" s="1"/>
  <c r="CS23"/>
  <c r="CR23"/>
  <c r="CQ23"/>
  <c r="BP23"/>
  <c r="BO23"/>
  <c r="BJ23"/>
  <c r="BD23"/>
  <c r="AV23"/>
  <c r="AD23" s="1"/>
  <c r="DZ23" s="1"/>
  <c r="AU23"/>
  <c r="AC23" s="1"/>
  <c r="AP23"/>
  <c r="AJ23"/>
  <c r="AK23" s="1"/>
  <c r="AB23"/>
  <c r="AA23"/>
  <c r="Z23"/>
  <c r="Y23"/>
  <c r="W23"/>
  <c r="I23"/>
  <c r="H23"/>
  <c r="G23"/>
  <c r="DO22"/>
  <c r="CZ22"/>
  <c r="CY22"/>
  <c r="CS22"/>
  <c r="CR22"/>
  <c r="CQ22"/>
  <c r="BP22"/>
  <c r="BO22"/>
  <c r="BJ22"/>
  <c r="BD22"/>
  <c r="AV22"/>
  <c r="AD22" s="1"/>
  <c r="AU22"/>
  <c r="AP22"/>
  <c r="AJ22"/>
  <c r="AK22" s="1"/>
  <c r="AB22"/>
  <c r="AA22"/>
  <c r="Z22"/>
  <c r="Y22"/>
  <c r="W22"/>
  <c r="S22"/>
  <c r="I22"/>
  <c r="H22"/>
  <c r="G22"/>
  <c r="DO21"/>
  <c r="CZ21"/>
  <c r="CY21"/>
  <c r="S21" s="1"/>
  <c r="CS21"/>
  <c r="CR21"/>
  <c r="CQ21"/>
  <c r="BX21"/>
  <c r="CG21" s="1"/>
  <c r="CH21" s="1"/>
  <c r="BP21"/>
  <c r="BO21"/>
  <c r="BJ21"/>
  <c r="BD21"/>
  <c r="AV21"/>
  <c r="AD21" s="1"/>
  <c r="AU21"/>
  <c r="AC21" s="1"/>
  <c r="CU21" s="1"/>
  <c r="AP21"/>
  <c r="AJ21"/>
  <c r="AK21" s="1"/>
  <c r="AB21"/>
  <c r="AA21"/>
  <c r="Z21"/>
  <c r="Y21"/>
  <c r="W21"/>
  <c r="I21"/>
  <c r="H21"/>
  <c r="G21"/>
  <c r="DO20"/>
  <c r="CZ20"/>
  <c r="CY20"/>
  <c r="CS20"/>
  <c r="CR20"/>
  <c r="CQ20"/>
  <c r="BP20"/>
  <c r="BO20"/>
  <c r="BN20"/>
  <c r="BD20"/>
  <c r="AV20"/>
  <c r="AD20" s="1"/>
  <c r="AU20"/>
  <c r="AC20" s="1"/>
  <c r="AT20"/>
  <c r="AJ20"/>
  <c r="AA20"/>
  <c r="Z20"/>
  <c r="Y20"/>
  <c r="X20"/>
  <c r="W20"/>
  <c r="S20"/>
  <c r="I20"/>
  <c r="H20"/>
  <c r="G20"/>
  <c r="DO19"/>
  <c r="CZ19"/>
  <c r="CY19"/>
  <c r="CS19"/>
  <c r="CR19"/>
  <c r="CQ19"/>
  <c r="BP19"/>
  <c r="BO19"/>
  <c r="BJ19"/>
  <c r="BD19"/>
  <c r="AV19"/>
  <c r="AD19" s="1"/>
  <c r="AU19"/>
  <c r="AP19"/>
  <c r="AJ19"/>
  <c r="AB19"/>
  <c r="AA19"/>
  <c r="Z19"/>
  <c r="Y19"/>
  <c r="X19"/>
  <c r="W19"/>
  <c r="S19"/>
  <c r="I19"/>
  <c r="H19"/>
  <c r="G19"/>
  <c r="DO18"/>
  <c r="CZ18"/>
  <c r="CY18"/>
  <c r="S18" s="1"/>
  <c r="CS18"/>
  <c r="CR18"/>
  <c r="CQ18"/>
  <c r="BP18"/>
  <c r="BO18"/>
  <c r="BJ18"/>
  <c r="BD18"/>
  <c r="AV18"/>
  <c r="AD18" s="1"/>
  <c r="AU18"/>
  <c r="AP18"/>
  <c r="AJ18"/>
  <c r="AK18" s="1"/>
  <c r="AB18"/>
  <c r="AA18"/>
  <c r="Z18"/>
  <c r="Y18"/>
  <c r="X18"/>
  <c r="W18"/>
  <c r="I18"/>
  <c r="H18"/>
  <c r="G18"/>
  <c r="DO17"/>
  <c r="CZ17"/>
  <c r="CY17"/>
  <c r="S17" s="1"/>
  <c r="CS17"/>
  <c r="CR17"/>
  <c r="CQ17"/>
  <c r="BP17"/>
  <c r="BO17"/>
  <c r="BJ17"/>
  <c r="BD17"/>
  <c r="AV17"/>
  <c r="AD17" s="1"/>
  <c r="AU17"/>
  <c r="AP17"/>
  <c r="AJ17"/>
  <c r="AK17" s="1"/>
  <c r="AB17"/>
  <c r="AA17"/>
  <c r="Z17"/>
  <c r="Y17"/>
  <c r="X17"/>
  <c r="W17"/>
  <c r="I17"/>
  <c r="H17"/>
  <c r="G17"/>
  <c r="DO16"/>
  <c r="CZ16"/>
  <c r="CY16"/>
  <c r="S16" s="1"/>
  <c r="CS16"/>
  <c r="CR16"/>
  <c r="CQ16"/>
  <c r="BP16"/>
  <c r="BO16"/>
  <c r="BJ16"/>
  <c r="BD16"/>
  <c r="AV16"/>
  <c r="AD16" s="1"/>
  <c r="AU16"/>
  <c r="AP16"/>
  <c r="AJ16"/>
  <c r="AK16" s="1"/>
  <c r="AB16"/>
  <c r="AA16"/>
  <c r="Z16"/>
  <c r="Y16"/>
  <c r="X16"/>
  <c r="W16"/>
  <c r="I16"/>
  <c r="H16"/>
  <c r="G16"/>
  <c r="DO15"/>
  <c r="CZ15"/>
  <c r="CY15"/>
  <c r="CS15"/>
  <c r="CR15"/>
  <c r="CQ15"/>
  <c r="BP15"/>
  <c r="BO15"/>
  <c r="BI15"/>
  <c r="BD15"/>
  <c r="AV15"/>
  <c r="AD15" s="1"/>
  <c r="AU15"/>
  <c r="AO15"/>
  <c r="AJ15"/>
  <c r="AB15"/>
  <c r="AA15"/>
  <c r="Z15"/>
  <c r="Y15"/>
  <c r="X15"/>
  <c r="S15"/>
  <c r="I15"/>
  <c r="H15"/>
  <c r="G15"/>
  <c r="DO14"/>
  <c r="CZ14"/>
  <c r="CY14"/>
  <c r="S14" s="1"/>
  <c r="CS14"/>
  <c r="CR14"/>
  <c r="CQ14"/>
  <c r="BP14"/>
  <c r="BO14"/>
  <c r="BN14"/>
  <c r="BD14"/>
  <c r="AV14"/>
  <c r="AD14" s="1"/>
  <c r="AU14"/>
  <c r="AC14" s="1"/>
  <c r="AT14"/>
  <c r="AJ14"/>
  <c r="AA14"/>
  <c r="Z14"/>
  <c r="Y14"/>
  <c r="X14"/>
  <c r="W14"/>
  <c r="I14"/>
  <c r="H14"/>
  <c r="G14"/>
  <c r="DO13"/>
  <c r="CZ13"/>
  <c r="CY13"/>
  <c r="CS13"/>
  <c r="CR13"/>
  <c r="CQ13"/>
  <c r="BP13"/>
  <c r="BO13"/>
  <c r="BJ13"/>
  <c r="BD13"/>
  <c r="AV13"/>
  <c r="AD13" s="1"/>
  <c r="AU13"/>
  <c r="AP13"/>
  <c r="AJ13"/>
  <c r="AK13" s="1"/>
  <c r="AB13"/>
  <c r="AA13"/>
  <c r="Z13"/>
  <c r="Y13"/>
  <c r="X13"/>
  <c r="W13"/>
  <c r="S13"/>
  <c r="I13"/>
  <c r="H13"/>
  <c r="G13"/>
  <c r="DO12"/>
  <c r="CZ12"/>
  <c r="CY12"/>
  <c r="CS12"/>
  <c r="CR12"/>
  <c r="CQ12"/>
  <c r="BP12"/>
  <c r="BO12"/>
  <c r="BJ12"/>
  <c r="BD12"/>
  <c r="AV12"/>
  <c r="AD12" s="1"/>
  <c r="AU12"/>
  <c r="AC12" s="1"/>
  <c r="AP12"/>
  <c r="AJ12"/>
  <c r="AB12"/>
  <c r="AA12"/>
  <c r="Z12"/>
  <c r="Y12"/>
  <c r="W12"/>
  <c r="S12"/>
  <c r="I12"/>
  <c r="H12"/>
  <c r="G12"/>
  <c r="DO11"/>
  <c r="CZ11"/>
  <c r="CY11"/>
  <c r="S11" s="1"/>
  <c r="CS11"/>
  <c r="CR11"/>
  <c r="CQ11"/>
  <c r="BX11"/>
  <c r="CG11" s="1"/>
  <c r="CH11" s="1"/>
  <c r="BP11"/>
  <c r="BO11"/>
  <c r="BJ11"/>
  <c r="BD11"/>
  <c r="AV11"/>
  <c r="AD11" s="1"/>
  <c r="AU11"/>
  <c r="AC11" s="1"/>
  <c r="CU11" s="1"/>
  <c r="AP11"/>
  <c r="AJ11"/>
  <c r="AB11"/>
  <c r="AA11"/>
  <c r="Z11"/>
  <c r="Y11"/>
  <c r="W11"/>
  <c r="I11"/>
  <c r="H11"/>
  <c r="G11"/>
  <c r="DO10"/>
  <c r="CZ10"/>
  <c r="CY10"/>
  <c r="S10" s="1"/>
  <c r="CS10"/>
  <c r="CR10"/>
  <c r="CQ10"/>
  <c r="BP10"/>
  <c r="BO10"/>
  <c r="BJ10"/>
  <c r="BD10"/>
  <c r="AV10"/>
  <c r="AD10" s="1"/>
  <c r="AU10"/>
  <c r="AC10" s="1"/>
  <c r="AP10"/>
  <c r="AJ10"/>
  <c r="AB10"/>
  <c r="AA10"/>
  <c r="Z10"/>
  <c r="Y10"/>
  <c r="W10"/>
  <c r="I10"/>
  <c r="H10"/>
  <c r="G10"/>
  <c r="DO9"/>
  <c r="CZ9"/>
  <c r="CZ7" s="1"/>
  <c r="CY9"/>
  <c r="S9" s="1"/>
  <c r="CS9"/>
  <c r="CR9"/>
  <c r="CQ9"/>
  <c r="BP9"/>
  <c r="BO9"/>
  <c r="BJ9"/>
  <c r="BD9"/>
  <c r="AV9"/>
  <c r="AD9" s="1"/>
  <c r="AU9"/>
  <c r="AP9"/>
  <c r="AJ9"/>
  <c r="AK9" s="1"/>
  <c r="AB9"/>
  <c r="AA9"/>
  <c r="Z9"/>
  <c r="Y9"/>
  <c r="X9"/>
  <c r="W9"/>
  <c r="I9"/>
  <c r="H9"/>
  <c r="G9"/>
  <c r="DO8"/>
  <c r="DO160" s="1"/>
  <c r="CZ8"/>
  <c r="CY8"/>
  <c r="S8" s="1"/>
  <c r="CS8"/>
  <c r="CR8"/>
  <c r="CR7" s="1"/>
  <c r="CQ8"/>
  <c r="BP8"/>
  <c r="BP7" s="1"/>
  <c r="BO8"/>
  <c r="BJ8"/>
  <c r="BQ8" s="1"/>
  <c r="BD8"/>
  <c r="AV8"/>
  <c r="AD8" s="1"/>
  <c r="CV8" s="1"/>
  <c r="AU8"/>
  <c r="AP8"/>
  <c r="AJ8"/>
  <c r="AB8"/>
  <c r="AA8"/>
  <c r="Z8"/>
  <c r="Y8"/>
  <c r="X8"/>
  <c r="W8"/>
  <c r="I8"/>
  <c r="H8"/>
  <c r="G8"/>
  <c r="DD7"/>
  <c r="DC7"/>
  <c r="DB7"/>
  <c r="DA7"/>
  <c r="CY7"/>
  <c r="CX7"/>
  <c r="CW7"/>
  <c r="CP7"/>
  <c r="CO7"/>
  <c r="CN7"/>
  <c r="CM7"/>
  <c r="CL7"/>
  <c r="CK7"/>
  <c r="CJ7"/>
  <c r="CI7"/>
  <c r="CF7"/>
  <c r="CE7"/>
  <c r="BO7"/>
  <c r="BN7"/>
  <c r="BM7"/>
  <c r="BL7"/>
  <c r="BK7"/>
  <c r="BJ7"/>
  <c r="BI7"/>
  <c r="BH7"/>
  <c r="BC7"/>
  <c r="AV7"/>
  <c r="AU7"/>
  <c r="AT7"/>
  <c r="AS7"/>
  <c r="AR7"/>
  <c r="AQ7"/>
  <c r="AP7"/>
  <c r="AN7"/>
  <c r="AJ7"/>
  <c r="AI7"/>
  <c r="U7"/>
  <c r="CT4"/>
  <c r="CQ4"/>
  <c r="CM100" i="2"/>
  <c r="CJ28"/>
  <c r="CJ24"/>
  <c r="CN17"/>
  <c r="CJ17"/>
  <c r="CN100"/>
  <c r="CJ100"/>
  <c r="CI86"/>
  <c r="CJ86"/>
  <c r="CN86"/>
  <c r="CN94"/>
  <c r="CJ94"/>
  <c r="CN28"/>
  <c r="CN24"/>
  <c r="CN18"/>
  <c r="CJ18"/>
  <c r="BJ56"/>
  <c r="BJ56" i="1"/>
  <c r="AP56"/>
  <c r="M1" i="23"/>
  <c r="AF44" i="21" l="1"/>
  <c r="AF44" i="22"/>
  <c r="AL61" i="12"/>
  <c r="DF61" s="1"/>
  <c r="T106" i="21"/>
  <c r="T106" i="22"/>
  <c r="DM18"/>
  <c r="DX18" s="1"/>
  <c r="EF18"/>
  <c r="DH7"/>
  <c r="DK8"/>
  <c r="DM31"/>
  <c r="EF31"/>
  <c r="EF41"/>
  <c r="DM41"/>
  <c r="DM64"/>
  <c r="DX64" s="1"/>
  <c r="EF64"/>
  <c r="DM79"/>
  <c r="EF79"/>
  <c r="EF85"/>
  <c r="DM85"/>
  <c r="DX85" s="1"/>
  <c r="DM58"/>
  <c r="EF58"/>
  <c r="DM87"/>
  <c r="DX87" s="1"/>
  <c r="EF87"/>
  <c r="CH8"/>
  <c r="CH7" s="1"/>
  <c r="CG7"/>
  <c r="DM40"/>
  <c r="EF40"/>
  <c r="EF43"/>
  <c r="DM43"/>
  <c r="EF44"/>
  <c r="DM44"/>
  <c r="DX44" s="1"/>
  <c r="DM62"/>
  <c r="DX62" s="1"/>
  <c r="EF62"/>
  <c r="DM80"/>
  <c r="EF80"/>
  <c r="DM94"/>
  <c r="EF94"/>
  <c r="EF105"/>
  <c r="DM105"/>
  <c r="DX105" s="1"/>
  <c r="DM29"/>
  <c r="DX29" s="1"/>
  <c r="EF29"/>
  <c r="EF72"/>
  <c r="DM72"/>
  <c r="DX72" s="1"/>
  <c r="EF51"/>
  <c r="DM51"/>
  <c r="DX51" s="1"/>
  <c r="DM36"/>
  <c r="EF36"/>
  <c r="EF39"/>
  <c r="DM39"/>
  <c r="EF27"/>
  <c r="DM27"/>
  <c r="DX27" s="1"/>
  <c r="EF52"/>
  <c r="DM52"/>
  <c r="DX52" s="1"/>
  <c r="EF68"/>
  <c r="DM68"/>
  <c r="DM104"/>
  <c r="EF104"/>
  <c r="EF24"/>
  <c r="DM24"/>
  <c r="DX24" s="1"/>
  <c r="EF49"/>
  <c r="DM49"/>
  <c r="DX49" s="1"/>
  <c r="DM96"/>
  <c r="EF96"/>
  <c r="EF101"/>
  <c r="DM101"/>
  <c r="DX101" s="1"/>
  <c r="DJ8"/>
  <c r="CD8"/>
  <c r="BT7"/>
  <c r="BW8"/>
  <c r="DM15"/>
  <c r="EF15"/>
  <c r="DM25"/>
  <c r="DX25" s="1"/>
  <c r="EF25"/>
  <c r="EF33"/>
  <c r="DM33"/>
  <c r="EF53"/>
  <c r="DM53"/>
  <c r="DX53" s="1"/>
  <c r="EF23"/>
  <c r="DM23"/>
  <c r="DM28"/>
  <c r="DX28" s="1"/>
  <c r="EF28"/>
  <c r="EF50"/>
  <c r="DM50"/>
  <c r="DX50" s="1"/>
  <c r="DM56"/>
  <c r="EF56"/>
  <c r="EF63"/>
  <c r="DM63"/>
  <c r="DX63" s="1"/>
  <c r="DM77"/>
  <c r="EF77"/>
  <c r="EF86"/>
  <c r="DM86"/>
  <c r="DX86" s="1"/>
  <c r="DM93"/>
  <c r="EF93"/>
  <c r="DM99"/>
  <c r="EF99"/>
  <c r="DJ32"/>
  <c r="CD32"/>
  <c r="BW32"/>
  <c r="DX43"/>
  <c r="DX58"/>
  <c r="DX80"/>
  <c r="DX15"/>
  <c r="DM88"/>
  <c r="DX88" s="1"/>
  <c r="EF88"/>
  <c r="DM76"/>
  <c r="DX76" s="1"/>
  <c r="EF76"/>
  <c r="DM11"/>
  <c r="DX11" s="1"/>
  <c r="EF11"/>
  <c r="DM34"/>
  <c r="EF34"/>
  <c r="EF67"/>
  <c r="DM67"/>
  <c r="DX67" s="1"/>
  <c r="EF60"/>
  <c r="DM60"/>
  <c r="DX60" s="1"/>
  <c r="DM54"/>
  <c r="EF54"/>
  <c r="EF65"/>
  <c r="DM65"/>
  <c r="DX65" s="1"/>
  <c r="DM75"/>
  <c r="EF75"/>
  <c r="DM81"/>
  <c r="DX81" s="1"/>
  <c r="EF81"/>
  <c r="DM91"/>
  <c r="DX91" s="1"/>
  <c r="EF91"/>
  <c r="DM17"/>
  <c r="DX17" s="1"/>
  <c r="EF17"/>
  <c r="DM38"/>
  <c r="EF38"/>
  <c r="DM42"/>
  <c r="DX42" s="1"/>
  <c r="EF42"/>
  <c r="EF48"/>
  <c r="DM48"/>
  <c r="DX48" s="1"/>
  <c r="DM92"/>
  <c r="EF92"/>
  <c r="EF103"/>
  <c r="DM103"/>
  <c r="EF55"/>
  <c r="DM55"/>
  <c r="DX55" s="1"/>
  <c r="EF106"/>
  <c r="DM106"/>
  <c r="DX106" s="1"/>
  <c r="DM71"/>
  <c r="DX71" s="1"/>
  <c r="EF71"/>
  <c r="DM84"/>
  <c r="EF84"/>
  <c r="EF73"/>
  <c r="DM73"/>
  <c r="DX73" s="1"/>
  <c r="DM21"/>
  <c r="DX21" s="1"/>
  <c r="EF21"/>
  <c r="EF37"/>
  <c r="DM37"/>
  <c r="DX37" s="1"/>
  <c r="EF46"/>
  <c r="DM46"/>
  <c r="DX46" s="1"/>
  <c r="DM82"/>
  <c r="EF82"/>
  <c r="EF45"/>
  <c r="DM45"/>
  <c r="DX45" s="1"/>
  <c r="DM61"/>
  <c r="DX61" s="1"/>
  <c r="EF61"/>
  <c r="DM74"/>
  <c r="EF74"/>
  <c r="DM20"/>
  <c r="DX20" s="1"/>
  <c r="EF20"/>
  <c r="DM16"/>
  <c r="EF16"/>
  <c r="EF30"/>
  <c r="DM30"/>
  <c r="EF35"/>
  <c r="DM35"/>
  <c r="EF69"/>
  <c r="DM69"/>
  <c r="DX69" s="1"/>
  <c r="DM66"/>
  <c r="DX66" s="1"/>
  <c r="EF66"/>
  <c r="DM100"/>
  <c r="DX100" s="1"/>
  <c r="EF100"/>
  <c r="DM10"/>
  <c r="DX10" s="1"/>
  <c r="EF10"/>
  <c r="DM22"/>
  <c r="EF22"/>
  <c r="EF47"/>
  <c r="DM47"/>
  <c r="DX47" s="1"/>
  <c r="DM95"/>
  <c r="EF95"/>
  <c r="DX39"/>
  <c r="DX54"/>
  <c r="DX77"/>
  <c r="DX23"/>
  <c r="DX30"/>
  <c r="DX33"/>
  <c r="DX41"/>
  <c r="DX22"/>
  <c r="DX34"/>
  <c r="DX38"/>
  <c r="DX82"/>
  <c r="DX92"/>
  <c r="DX94"/>
  <c r="DX104"/>
  <c r="DX16"/>
  <c r="DX35"/>
  <c r="DX31"/>
  <c r="DX36"/>
  <c r="DX40"/>
  <c r="DX59"/>
  <c r="DX68"/>
  <c r="DX56"/>
  <c r="DX75"/>
  <c r="DX74"/>
  <c r="DX79"/>
  <c r="DX84"/>
  <c r="DX96"/>
  <c r="DX93"/>
  <c r="DX95"/>
  <c r="DX99"/>
  <c r="DX103"/>
  <c r="DM62" i="21"/>
  <c r="DX62" s="1"/>
  <c r="EF62"/>
  <c r="DM98"/>
  <c r="DX98" s="1"/>
  <c r="EF98"/>
  <c r="EF16"/>
  <c r="DM16"/>
  <c r="DM27"/>
  <c r="DX27" s="1"/>
  <c r="EF27"/>
  <c r="DM57"/>
  <c r="DX57" s="1"/>
  <c r="EF57"/>
  <c r="DM75"/>
  <c r="DX75" s="1"/>
  <c r="EF75"/>
  <c r="DM94"/>
  <c r="DX94" s="1"/>
  <c r="EF94"/>
  <c r="DJ32"/>
  <c r="CD32"/>
  <c r="BW32"/>
  <c r="EF25"/>
  <c r="DM25"/>
  <c r="DX25" s="1"/>
  <c r="DM53"/>
  <c r="DX53" s="1"/>
  <c r="EF53"/>
  <c r="DM39"/>
  <c r="DX39" s="1"/>
  <c r="EF39"/>
  <c r="DM96"/>
  <c r="DX96" s="1"/>
  <c r="EF96"/>
  <c r="CC100"/>
  <c r="BT100"/>
  <c r="EB100"/>
  <c r="EC100" s="1"/>
  <c r="CG100"/>
  <c r="CH100" s="1"/>
  <c r="BW61"/>
  <c r="DJ61"/>
  <c r="CD61"/>
  <c r="DM41"/>
  <c r="DX41" s="1"/>
  <c r="EF41"/>
  <c r="CC71"/>
  <c r="BT71"/>
  <c r="EB71"/>
  <c r="EC71" s="1"/>
  <c r="CG71"/>
  <c r="CH71" s="1"/>
  <c r="DM65"/>
  <c r="DX65" s="1"/>
  <c r="EF65"/>
  <c r="DM54"/>
  <c r="DX54" s="1"/>
  <c r="EF54"/>
  <c r="DM38"/>
  <c r="DX38" s="1"/>
  <c r="EF38"/>
  <c r="DM70"/>
  <c r="DX70" s="1"/>
  <c r="EF70"/>
  <c r="BT86"/>
  <c r="DM103"/>
  <c r="DX103" s="1"/>
  <c r="EF103"/>
  <c r="DM20"/>
  <c r="DX20" s="1"/>
  <c r="EF20"/>
  <c r="DM67"/>
  <c r="DX67" s="1"/>
  <c r="EF67"/>
  <c r="EF31"/>
  <c r="DM31"/>
  <c r="DX31" s="1"/>
  <c r="DM42"/>
  <c r="DX42" s="1"/>
  <c r="EF42"/>
  <c r="EF99"/>
  <c r="DM99"/>
  <c r="DX99" s="1"/>
  <c r="DX19"/>
  <c r="DH7"/>
  <c r="DK8"/>
  <c r="DM97"/>
  <c r="DX97" s="1"/>
  <c r="EF97"/>
  <c r="DM47"/>
  <c r="DX47" s="1"/>
  <c r="EF47"/>
  <c r="DM95"/>
  <c r="DX95" s="1"/>
  <c r="EF95"/>
  <c r="DM34"/>
  <c r="DX34" s="1"/>
  <c r="EF34"/>
  <c r="DM56"/>
  <c r="DX56" s="1"/>
  <c r="EF56"/>
  <c r="DM101"/>
  <c r="DX101" s="1"/>
  <c r="EF101"/>
  <c r="DM45"/>
  <c r="DX45" s="1"/>
  <c r="EF45"/>
  <c r="EF83"/>
  <c r="DM83"/>
  <c r="DX83" s="1"/>
  <c r="DM91"/>
  <c r="DX91" s="1"/>
  <c r="EF91"/>
  <c r="DM48"/>
  <c r="DX48" s="1"/>
  <c r="EF48"/>
  <c r="EF79"/>
  <c r="DM79"/>
  <c r="DX79" s="1"/>
  <c r="DM92"/>
  <c r="DX92" s="1"/>
  <c r="EF92"/>
  <c r="DM104"/>
  <c r="DX104" s="1"/>
  <c r="EF104"/>
  <c r="DM37"/>
  <c r="DX37" s="1"/>
  <c r="EF37"/>
  <c r="DM63"/>
  <c r="DX63" s="1"/>
  <c r="EF63"/>
  <c r="DM52"/>
  <c r="DX52" s="1"/>
  <c r="EF52"/>
  <c r="DM88"/>
  <c r="DX88" s="1"/>
  <c r="EF88"/>
  <c r="DM35"/>
  <c r="DX35" s="1"/>
  <c r="EF35"/>
  <c r="EF85"/>
  <c r="DM85"/>
  <c r="DX85" s="1"/>
  <c r="EF105"/>
  <c r="DM105"/>
  <c r="DX105" s="1"/>
  <c r="BT29"/>
  <c r="DM51"/>
  <c r="EF51"/>
  <c r="DM72"/>
  <c r="DX72" s="1"/>
  <c r="EF72"/>
  <c r="DM106"/>
  <c r="DX106" s="1"/>
  <c r="EF106"/>
  <c r="DX16"/>
  <c r="DX51"/>
  <c r="DH26" i="19"/>
  <c r="DK26" s="1"/>
  <c r="DY26"/>
  <c r="BU7"/>
  <c r="DW104" i="15"/>
  <c r="DH103"/>
  <c r="DK103" s="1"/>
  <c r="DY103"/>
  <c r="EA90"/>
  <c r="EB90" s="1"/>
  <c r="EC90" s="1"/>
  <c r="BU90"/>
  <c r="DW90" s="1"/>
  <c r="CT90"/>
  <c r="DL51"/>
  <c r="DH63"/>
  <c r="DK63" s="1"/>
  <c r="DY63"/>
  <c r="DJ104" i="19"/>
  <c r="CD104"/>
  <c r="BW104"/>
  <c r="DJ97"/>
  <c r="CD97"/>
  <c r="BW97"/>
  <c r="DJ88"/>
  <c r="CD88"/>
  <c r="BW88"/>
  <c r="BW65"/>
  <c r="DJ65"/>
  <c r="CD65"/>
  <c r="BW31"/>
  <c r="DJ31"/>
  <c r="CD31"/>
  <c r="DJ34"/>
  <c r="CD34"/>
  <c r="BW34"/>
  <c r="BW12"/>
  <c r="DJ12"/>
  <c r="DM12" s="1"/>
  <c r="CD12"/>
  <c r="BW83"/>
  <c r="DJ83"/>
  <c r="CD83"/>
  <c r="BW62"/>
  <c r="DJ62"/>
  <c r="CD62"/>
  <c r="DM53"/>
  <c r="EF53"/>
  <c r="DH60"/>
  <c r="DK60" s="1"/>
  <c r="DY60"/>
  <c r="DH46"/>
  <c r="DK46" s="1"/>
  <c r="DY46"/>
  <c r="DH48"/>
  <c r="DK48" s="1"/>
  <c r="DY48"/>
  <c r="DH43"/>
  <c r="DK43" s="1"/>
  <c r="DY43"/>
  <c r="DH27"/>
  <c r="DK27" s="1"/>
  <c r="DY27"/>
  <c r="BT32"/>
  <c r="CC32"/>
  <c r="BW101"/>
  <c r="DJ101"/>
  <c r="CD101"/>
  <c r="BW67"/>
  <c r="DJ67"/>
  <c r="CD67"/>
  <c r="DJ59"/>
  <c r="DM59" s="1"/>
  <c r="CD59"/>
  <c r="BW59"/>
  <c r="BW25"/>
  <c r="DJ25"/>
  <c r="CD25"/>
  <c r="DJ41"/>
  <c r="CD41"/>
  <c r="BW41"/>
  <c r="DJ39"/>
  <c r="CD39"/>
  <c r="BW39"/>
  <c r="DJ37"/>
  <c r="CD37"/>
  <c r="BW37"/>
  <c r="DM42"/>
  <c r="EF42"/>
  <c r="DK8"/>
  <c r="DJ95"/>
  <c r="CD95"/>
  <c r="BW95"/>
  <c r="BW26"/>
  <c r="DJ26"/>
  <c r="DM26" s="1"/>
  <c r="CD26"/>
  <c r="DY20"/>
  <c r="DH20"/>
  <c r="DK20" s="1"/>
  <c r="DH88"/>
  <c r="DK88" s="1"/>
  <c r="DY88"/>
  <c r="DH31"/>
  <c r="DK31" s="1"/>
  <c r="DY31"/>
  <c r="DH14"/>
  <c r="DK14" s="1"/>
  <c r="DY14"/>
  <c r="BW99"/>
  <c r="DJ99"/>
  <c r="CD99"/>
  <c r="BW92"/>
  <c r="DJ92"/>
  <c r="CD92"/>
  <c r="BW72"/>
  <c r="DJ72"/>
  <c r="CD72"/>
  <c r="BW61"/>
  <c r="DJ61"/>
  <c r="CD61"/>
  <c r="DJ57"/>
  <c r="CD57"/>
  <c r="BW57"/>
  <c r="DJ54"/>
  <c r="CD54"/>
  <c r="BW54"/>
  <c r="DJ52"/>
  <c r="CD52"/>
  <c r="BW52"/>
  <c r="DJ48"/>
  <c r="CD48"/>
  <c r="BW48"/>
  <c r="DJ45"/>
  <c r="CD45"/>
  <c r="BW45"/>
  <c r="DJ38"/>
  <c r="CD38"/>
  <c r="BW38"/>
  <c r="DJ36"/>
  <c r="BW102"/>
  <c r="DJ102"/>
  <c r="DM102" s="1"/>
  <c r="DX102" s="1"/>
  <c r="CD102"/>
  <c r="BW91"/>
  <c r="DJ91"/>
  <c r="CD91"/>
  <c r="DM96"/>
  <c r="DX96" s="1"/>
  <c r="EF96"/>
  <c r="BW75"/>
  <c r="DJ75"/>
  <c r="CD75"/>
  <c r="DJ85"/>
  <c r="CD85"/>
  <c r="BW85"/>
  <c r="DJ56"/>
  <c r="CD56"/>
  <c r="BW56"/>
  <c r="BW16"/>
  <c r="DJ16"/>
  <c r="CD16"/>
  <c r="DH105"/>
  <c r="DK105" s="1"/>
  <c r="DY105"/>
  <c r="DH95"/>
  <c r="DK95" s="1"/>
  <c r="DY95"/>
  <c r="DH59"/>
  <c r="DK59" s="1"/>
  <c r="DX59" s="1"/>
  <c r="DY59"/>
  <c r="DH51"/>
  <c r="DK51" s="1"/>
  <c r="DY51"/>
  <c r="DH47"/>
  <c r="DK47" s="1"/>
  <c r="DY47"/>
  <c r="DH38"/>
  <c r="DK38" s="1"/>
  <c r="DY38"/>
  <c r="DH34"/>
  <c r="DK34" s="1"/>
  <c r="DY34"/>
  <c r="DH52"/>
  <c r="DK52" s="1"/>
  <c r="DY52"/>
  <c r="DH39"/>
  <c r="DK39" s="1"/>
  <c r="DY39"/>
  <c r="DH35"/>
  <c r="DK35" s="1"/>
  <c r="DY35"/>
  <c r="DJ105"/>
  <c r="DJ103"/>
  <c r="CD103"/>
  <c r="BW103"/>
  <c r="DJ98"/>
  <c r="CD98"/>
  <c r="BW98"/>
  <c r="DJ94"/>
  <c r="BW79"/>
  <c r="DJ79"/>
  <c r="CD79"/>
  <c r="BW63"/>
  <c r="DJ63"/>
  <c r="CD63"/>
  <c r="DJ51"/>
  <c r="CD51"/>
  <c r="BW51"/>
  <c r="DJ47"/>
  <c r="CD47"/>
  <c r="BW47"/>
  <c r="DJ35"/>
  <c r="CD35"/>
  <c r="BW35"/>
  <c r="DJ19"/>
  <c r="BW20"/>
  <c r="CD20"/>
  <c r="DJ20"/>
  <c r="DJ14"/>
  <c r="DM14" s="1"/>
  <c r="CD14"/>
  <c r="BW14"/>
  <c r="BW106"/>
  <c r="DJ106"/>
  <c r="CD106"/>
  <c r="BW70"/>
  <c r="CD70"/>
  <c r="DJ70"/>
  <c r="DJ27"/>
  <c r="CD27"/>
  <c r="BW27"/>
  <c r="BW9"/>
  <c r="DJ9"/>
  <c r="DM9" s="1"/>
  <c r="DX9" s="1"/>
  <c r="CD9"/>
  <c r="DH103"/>
  <c r="DK103" s="1"/>
  <c r="DY103"/>
  <c r="DH104"/>
  <c r="DK104" s="1"/>
  <c r="DY104"/>
  <c r="DH94"/>
  <c r="DK94" s="1"/>
  <c r="DY94"/>
  <c r="DH58"/>
  <c r="DK58" s="1"/>
  <c r="DY58"/>
  <c r="DH57"/>
  <c r="DK57" s="1"/>
  <c r="DY57"/>
  <c r="DH49"/>
  <c r="DK49" s="1"/>
  <c r="DY49"/>
  <c r="DH40"/>
  <c r="DK40" s="1"/>
  <c r="DY40"/>
  <c r="DH36"/>
  <c r="DK36" s="1"/>
  <c r="DY36"/>
  <c r="DH54"/>
  <c r="DK54" s="1"/>
  <c r="DY54"/>
  <c r="DH41"/>
  <c r="DK41" s="1"/>
  <c r="DY41"/>
  <c r="DH37"/>
  <c r="DK37" s="1"/>
  <c r="DY37"/>
  <c r="DH33"/>
  <c r="DK33" s="1"/>
  <c r="DY33"/>
  <c r="EB32"/>
  <c r="EC32" s="1"/>
  <c r="CG32"/>
  <c r="CH32" s="1"/>
  <c r="DH50"/>
  <c r="DK50" s="1"/>
  <c r="DY50"/>
  <c r="DH45"/>
  <c r="DK45" s="1"/>
  <c r="DY45"/>
  <c r="DH29"/>
  <c r="DK29" s="1"/>
  <c r="DY29"/>
  <c r="DX26"/>
  <c r="DX53"/>
  <c r="DX42"/>
  <c r="DX12"/>
  <c r="CT7"/>
  <c r="CQ6" s="1"/>
  <c r="AM13" i="15"/>
  <c r="BA13" s="1"/>
  <c r="BB13" s="1"/>
  <c r="BF13" s="1"/>
  <c r="BG13" s="1"/>
  <c r="CT26"/>
  <c r="EA26"/>
  <c r="EB26" s="1"/>
  <c r="EC26" s="1"/>
  <c r="BU26"/>
  <c r="DW26" s="1"/>
  <c r="EA100"/>
  <c r="EB100" s="1"/>
  <c r="EC100" s="1"/>
  <c r="BU100"/>
  <c r="CT100"/>
  <c r="DW100"/>
  <c r="DW9"/>
  <c r="DW45"/>
  <c r="DW59"/>
  <c r="BU102"/>
  <c r="DW102" s="1"/>
  <c r="CT102"/>
  <c r="EA102"/>
  <c r="EB102" s="1"/>
  <c r="EC102" s="1"/>
  <c r="CB74"/>
  <c r="CB7" s="1"/>
  <c r="BE7"/>
  <c r="DL34"/>
  <c r="DW53"/>
  <c r="DL106"/>
  <c r="DL9"/>
  <c r="DW47"/>
  <c r="DL62"/>
  <c r="BB10"/>
  <c r="BF10" s="1"/>
  <c r="DW10" s="1"/>
  <c r="DI8"/>
  <c r="BY8"/>
  <c r="BX8"/>
  <c r="BV8"/>
  <c r="BS8"/>
  <c r="EA22"/>
  <c r="CT22"/>
  <c r="BU22"/>
  <c r="EA43"/>
  <c r="CT43"/>
  <c r="BU43"/>
  <c r="EA49"/>
  <c r="CT49"/>
  <c r="BU49"/>
  <c r="EA87"/>
  <c r="CT87"/>
  <c r="BU87"/>
  <c r="CC95"/>
  <c r="BT95"/>
  <c r="CC100"/>
  <c r="BT100"/>
  <c r="DH16"/>
  <c r="DK16" s="1"/>
  <c r="DY16"/>
  <c r="DH21"/>
  <c r="DK21" s="1"/>
  <c r="DY21"/>
  <c r="EC25"/>
  <c r="EB25"/>
  <c r="CG25"/>
  <c r="CH25" s="1"/>
  <c r="DH33"/>
  <c r="DK33" s="1"/>
  <c r="DY33"/>
  <c r="DH34"/>
  <c r="DK34" s="1"/>
  <c r="DY34"/>
  <c r="DH36"/>
  <c r="DK36" s="1"/>
  <c r="DY36"/>
  <c r="DH48"/>
  <c r="DK48" s="1"/>
  <c r="DY48"/>
  <c r="DH61"/>
  <c r="DK61" s="1"/>
  <c r="DY61"/>
  <c r="DH68"/>
  <c r="DK68" s="1"/>
  <c r="DY68"/>
  <c r="DH70"/>
  <c r="DK70" s="1"/>
  <c r="DY70"/>
  <c r="DH57"/>
  <c r="DK57" s="1"/>
  <c r="DY57"/>
  <c r="DH80"/>
  <c r="DK80" s="1"/>
  <c r="DY80"/>
  <c r="EC85"/>
  <c r="CG85"/>
  <c r="CH85" s="1"/>
  <c r="DH86"/>
  <c r="DK86" s="1"/>
  <c r="DY86"/>
  <c r="EB92"/>
  <c r="EC92" s="1"/>
  <c r="CG92"/>
  <c r="CH92" s="1"/>
  <c r="EB95"/>
  <c r="EC95" s="1"/>
  <c r="CG95"/>
  <c r="CH95" s="1"/>
  <c r="EB96"/>
  <c r="CG96"/>
  <c r="CH96" s="1"/>
  <c r="EC96"/>
  <c r="EB98"/>
  <c r="EC98" s="1"/>
  <c r="CG98"/>
  <c r="CH98" s="1"/>
  <c r="EB104"/>
  <c r="EC104" s="1"/>
  <c r="CG104"/>
  <c r="CH104" s="1"/>
  <c r="EB99"/>
  <c r="EC99" s="1"/>
  <c r="CG99"/>
  <c r="CH99" s="1"/>
  <c r="CG100"/>
  <c r="CH100" s="1"/>
  <c r="CT20"/>
  <c r="EA20"/>
  <c r="EB20" s="1"/>
  <c r="EC20" s="1"/>
  <c r="BU20"/>
  <c r="DW20" s="1"/>
  <c r="EA31"/>
  <c r="EB31" s="1"/>
  <c r="EC31" s="1"/>
  <c r="BU31"/>
  <c r="DW31" s="1"/>
  <c r="CT31"/>
  <c r="EA38"/>
  <c r="EB38" s="1"/>
  <c r="EC38" s="1"/>
  <c r="CT38"/>
  <c r="BU38"/>
  <c r="DW38" s="1"/>
  <c r="EA41"/>
  <c r="EB41" s="1"/>
  <c r="CT41"/>
  <c r="BU41"/>
  <c r="BT25"/>
  <c r="CC25"/>
  <c r="EA42"/>
  <c r="CT42"/>
  <c r="BU42"/>
  <c r="EA60"/>
  <c r="CT60"/>
  <c r="BU60"/>
  <c r="EA83"/>
  <c r="EB83" s="1"/>
  <c r="EC83" s="1"/>
  <c r="CT83"/>
  <c r="BU83"/>
  <c r="DW83" s="1"/>
  <c r="EA82"/>
  <c r="CT82"/>
  <c r="BU82"/>
  <c r="EA88"/>
  <c r="CT88"/>
  <c r="BU88"/>
  <c r="DW88" s="1"/>
  <c r="CT93"/>
  <c r="EA93"/>
  <c r="BU93"/>
  <c r="BX32"/>
  <c r="BV32"/>
  <c r="DI32"/>
  <c r="DL32" s="1"/>
  <c r="BY32"/>
  <c r="BZ32" s="1"/>
  <c r="BT14"/>
  <c r="CC14"/>
  <c r="EC14"/>
  <c r="CG14"/>
  <c r="CH14" s="1"/>
  <c r="DH17"/>
  <c r="DK17" s="1"/>
  <c r="DY17"/>
  <c r="BT20"/>
  <c r="CC20"/>
  <c r="CG20"/>
  <c r="CH20" s="1"/>
  <c r="DH24"/>
  <c r="DK24" s="1"/>
  <c r="DY24"/>
  <c r="DH28"/>
  <c r="DK28" s="1"/>
  <c r="DY28"/>
  <c r="DH29"/>
  <c r="DK29" s="1"/>
  <c r="DY29"/>
  <c r="DH30"/>
  <c r="DK30" s="1"/>
  <c r="DY30"/>
  <c r="DH37"/>
  <c r="DK37" s="1"/>
  <c r="DY37"/>
  <c r="DH54"/>
  <c r="DK54" s="1"/>
  <c r="DY54"/>
  <c r="CC34"/>
  <c r="BT34"/>
  <c r="EB34"/>
  <c r="CG34"/>
  <c r="CH34" s="1"/>
  <c r="EC34"/>
  <c r="CC51"/>
  <c r="BT51"/>
  <c r="EB51"/>
  <c r="EC51" s="1"/>
  <c r="CG51"/>
  <c r="CH51" s="1"/>
  <c r="DH74"/>
  <c r="DK74" s="1"/>
  <c r="DY74"/>
  <c r="DH73"/>
  <c r="DK73" s="1"/>
  <c r="DY73"/>
  <c r="CC56"/>
  <c r="BT56"/>
  <c r="EB56"/>
  <c r="CG56"/>
  <c r="CH56" s="1"/>
  <c r="EC56"/>
  <c r="CC65"/>
  <c r="BT65"/>
  <c r="EB65"/>
  <c r="CG65"/>
  <c r="CH65" s="1"/>
  <c r="EC65"/>
  <c r="CC71"/>
  <c r="BT71"/>
  <c r="EB71"/>
  <c r="EC71" s="1"/>
  <c r="CG71"/>
  <c r="CH71" s="1"/>
  <c r="DH76"/>
  <c r="DK76" s="1"/>
  <c r="DY76"/>
  <c r="DH77"/>
  <c r="DK77" s="1"/>
  <c r="DY77"/>
  <c r="DH78"/>
  <c r="DK78" s="1"/>
  <c r="DY78"/>
  <c r="DH79"/>
  <c r="DK79" s="1"/>
  <c r="DY79"/>
  <c r="BT83"/>
  <c r="CC83"/>
  <c r="CG83"/>
  <c r="CH83" s="1"/>
  <c r="DH84"/>
  <c r="DK84" s="1"/>
  <c r="DY84"/>
  <c r="DJ92"/>
  <c r="CD92"/>
  <c r="BW92"/>
  <c r="CC97"/>
  <c r="BT97"/>
  <c r="EB97"/>
  <c r="EC97" s="1"/>
  <c r="CG97"/>
  <c r="CH97" s="1"/>
  <c r="BT103"/>
  <c r="CC103"/>
  <c r="EB103"/>
  <c r="EC103" s="1"/>
  <c r="CG103"/>
  <c r="CH103" s="1"/>
  <c r="BB106"/>
  <c r="BG106"/>
  <c r="CC101"/>
  <c r="BT101"/>
  <c r="EB101"/>
  <c r="EC101" s="1"/>
  <c r="CG101"/>
  <c r="CH101" s="1"/>
  <c r="DH105"/>
  <c r="DK105" s="1"/>
  <c r="DY105"/>
  <c r="DL8"/>
  <c r="CC9"/>
  <c r="BT9"/>
  <c r="EB9"/>
  <c r="CG9"/>
  <c r="CH9" s="1"/>
  <c r="EC9"/>
  <c r="BB30"/>
  <c r="BF30" s="1"/>
  <c r="BG30" s="1"/>
  <c r="BT38"/>
  <c r="CC38"/>
  <c r="CG38"/>
  <c r="CH38" s="1"/>
  <c r="BT42"/>
  <c r="CC42"/>
  <c r="CC27"/>
  <c r="BT27"/>
  <c r="EB27"/>
  <c r="EC27" s="1"/>
  <c r="CG27"/>
  <c r="CH27" s="1"/>
  <c r="CC35"/>
  <c r="BT35"/>
  <c r="EB35"/>
  <c r="CG35"/>
  <c r="CH35" s="1"/>
  <c r="EC35"/>
  <c r="CC45"/>
  <c r="BT45"/>
  <c r="EB45"/>
  <c r="EC45" s="1"/>
  <c r="CG45"/>
  <c r="CH45" s="1"/>
  <c r="CC52"/>
  <c r="BT52"/>
  <c r="EB52"/>
  <c r="EC52" s="1"/>
  <c r="CG52"/>
  <c r="CH52" s="1"/>
  <c r="BB55"/>
  <c r="BF55" s="1"/>
  <c r="DH71"/>
  <c r="DK71" s="1"/>
  <c r="DY71"/>
  <c r="DH72"/>
  <c r="DK72" s="1"/>
  <c r="DY72"/>
  <c r="CC59"/>
  <c r="BT59"/>
  <c r="CC62"/>
  <c r="BT62"/>
  <c r="EB62"/>
  <c r="CG62"/>
  <c r="CH62" s="1"/>
  <c r="EC62"/>
  <c r="CC72"/>
  <c r="BT72"/>
  <c r="CG72"/>
  <c r="CH72" s="1"/>
  <c r="EB72"/>
  <c r="EC72" s="1"/>
  <c r="CC79"/>
  <c r="BT79"/>
  <c r="EB79"/>
  <c r="CG79"/>
  <c r="CH79" s="1"/>
  <c r="EC79"/>
  <c r="BW98"/>
  <c r="DJ98"/>
  <c r="EF98" s="1"/>
  <c r="CD98"/>
  <c r="BW99"/>
  <c r="DJ99"/>
  <c r="DM99" s="1"/>
  <c r="DX99" s="1"/>
  <c r="CD99"/>
  <c r="CC102"/>
  <c r="BT102"/>
  <c r="DW34"/>
  <c r="BR7"/>
  <c r="BS32"/>
  <c r="DL16"/>
  <c r="DL53"/>
  <c r="CC90"/>
  <c r="CC104"/>
  <c r="DL47"/>
  <c r="DL56"/>
  <c r="DL57"/>
  <c r="DL65"/>
  <c r="DL67"/>
  <c r="DW71"/>
  <c r="DL72"/>
  <c r="DL95"/>
  <c r="EA11"/>
  <c r="EB11" s="1"/>
  <c r="CT11"/>
  <c r="BU11"/>
  <c r="EA18"/>
  <c r="CT18"/>
  <c r="BU18"/>
  <c r="EA23"/>
  <c r="CT23"/>
  <c r="BU23"/>
  <c r="BU50"/>
  <c r="EA50"/>
  <c r="CT50"/>
  <c r="EA40"/>
  <c r="CT40"/>
  <c r="BU40"/>
  <c r="CC96"/>
  <c r="BT96"/>
  <c r="DH25"/>
  <c r="DK25" s="1"/>
  <c r="DY25"/>
  <c r="EA85"/>
  <c r="EB85" s="1"/>
  <c r="CT85"/>
  <c r="BU85"/>
  <c r="DW85" s="1"/>
  <c r="DH96"/>
  <c r="DK96" s="1"/>
  <c r="DY96"/>
  <c r="DH92"/>
  <c r="DK92" s="1"/>
  <c r="DY92"/>
  <c r="DH104"/>
  <c r="DK104" s="1"/>
  <c r="DY104"/>
  <c r="EF99"/>
  <c r="EA12"/>
  <c r="CT12"/>
  <c r="BU12"/>
  <c r="DW12" s="1"/>
  <c r="EA14"/>
  <c r="EB14" s="1"/>
  <c r="CT14"/>
  <c r="BU14"/>
  <c r="DW14" s="1"/>
  <c r="EA39"/>
  <c r="EB39" s="1"/>
  <c r="EC39" s="1"/>
  <c r="CT39"/>
  <c r="BU39"/>
  <c r="DW39" s="1"/>
  <c r="EA32"/>
  <c r="CT32"/>
  <c r="BU32"/>
  <c r="CC75"/>
  <c r="BT75"/>
  <c r="EA91"/>
  <c r="EB91" s="1"/>
  <c r="EC91" s="1"/>
  <c r="CT91"/>
  <c r="BU91"/>
  <c r="DW91" s="1"/>
  <c r="DF10"/>
  <c r="AY10"/>
  <c r="AZ10" s="1"/>
  <c r="DG10" s="1"/>
  <c r="EB75"/>
  <c r="CG75"/>
  <c r="CH75" s="1"/>
  <c r="EC75"/>
  <c r="BT12"/>
  <c r="CC12"/>
  <c r="EC12"/>
  <c r="EB12"/>
  <c r="CG12"/>
  <c r="CH12" s="1"/>
  <c r="DH13"/>
  <c r="DK13" s="1"/>
  <c r="DY13"/>
  <c r="DH19"/>
  <c r="DK19" s="1"/>
  <c r="DY19"/>
  <c r="CC16"/>
  <c r="BT16"/>
  <c r="EB16"/>
  <c r="EC16" s="1"/>
  <c r="CG16"/>
  <c r="CH16" s="1"/>
  <c r="DH27"/>
  <c r="DK27" s="1"/>
  <c r="DY27"/>
  <c r="DH35"/>
  <c r="DK35" s="1"/>
  <c r="DY35"/>
  <c r="DH51"/>
  <c r="DK51" s="1"/>
  <c r="DY51"/>
  <c r="DH52"/>
  <c r="DK52" s="1"/>
  <c r="DY52"/>
  <c r="DH53"/>
  <c r="DK53" s="1"/>
  <c r="DY53"/>
  <c r="CC48"/>
  <c r="BT48"/>
  <c r="EB48"/>
  <c r="EC48" s="1"/>
  <c r="CG48"/>
  <c r="CH48" s="1"/>
  <c r="CC53"/>
  <c r="BT53"/>
  <c r="EB53"/>
  <c r="EC53" s="1"/>
  <c r="CG53"/>
  <c r="CH53" s="1"/>
  <c r="DH55"/>
  <c r="DK55" s="1"/>
  <c r="DY55"/>
  <c r="DJ85"/>
  <c r="CD85"/>
  <c r="BW85"/>
  <c r="CC63"/>
  <c r="BT63"/>
  <c r="EB63"/>
  <c r="CG63"/>
  <c r="CH63" s="1"/>
  <c r="EC63"/>
  <c r="CC67"/>
  <c r="BT67"/>
  <c r="EB67"/>
  <c r="CG67"/>
  <c r="CH67" s="1"/>
  <c r="EC67"/>
  <c r="DH81"/>
  <c r="DK81" s="1"/>
  <c r="DY81"/>
  <c r="BW90"/>
  <c r="DJ90"/>
  <c r="DM90" s="1"/>
  <c r="CD90"/>
  <c r="DJ104"/>
  <c r="DM104" s="1"/>
  <c r="CD104"/>
  <c r="BW104"/>
  <c r="CC106"/>
  <c r="BT106"/>
  <c r="DH8"/>
  <c r="DY8"/>
  <c r="AZ8"/>
  <c r="DH9"/>
  <c r="DK9" s="1"/>
  <c r="DY9"/>
  <c r="BT39"/>
  <c r="CC39"/>
  <c r="CG39"/>
  <c r="CH39" s="1"/>
  <c r="BT41"/>
  <c r="CC41"/>
  <c r="EC41"/>
  <c r="CG41"/>
  <c r="CH41" s="1"/>
  <c r="EC42"/>
  <c r="EB42"/>
  <c r="CG42"/>
  <c r="CH42" s="1"/>
  <c r="DH44"/>
  <c r="DK44" s="1"/>
  <c r="DY44"/>
  <c r="DH45"/>
  <c r="DK45" s="1"/>
  <c r="DY45"/>
  <c r="DH47"/>
  <c r="DK47" s="1"/>
  <c r="DY47"/>
  <c r="CC31"/>
  <c r="BT31"/>
  <c r="CG31"/>
  <c r="CH31" s="1"/>
  <c r="CC37"/>
  <c r="BT37"/>
  <c r="EB37"/>
  <c r="EC37" s="1"/>
  <c r="CG37"/>
  <c r="CH37" s="1"/>
  <c r="CC47"/>
  <c r="BT47"/>
  <c r="EB47"/>
  <c r="EC47" s="1"/>
  <c r="CG47"/>
  <c r="CH47" s="1"/>
  <c r="CC54"/>
  <c r="BT54"/>
  <c r="EB54"/>
  <c r="EC54" s="1"/>
  <c r="CG54"/>
  <c r="CH54" s="1"/>
  <c r="DH56"/>
  <c r="DK56" s="1"/>
  <c r="DY56"/>
  <c r="DH58"/>
  <c r="DK58" s="1"/>
  <c r="DY58"/>
  <c r="DH59"/>
  <c r="DK59" s="1"/>
  <c r="DY59"/>
  <c r="DH62"/>
  <c r="DK62" s="1"/>
  <c r="DY62"/>
  <c r="DH64"/>
  <c r="DK64" s="1"/>
  <c r="DY64"/>
  <c r="DH65"/>
  <c r="DK65" s="1"/>
  <c r="DY65"/>
  <c r="DH66"/>
  <c r="DK66" s="1"/>
  <c r="DY66"/>
  <c r="DH67"/>
  <c r="DK67" s="1"/>
  <c r="DY67"/>
  <c r="DH69"/>
  <c r="DK69" s="1"/>
  <c r="DY69"/>
  <c r="DH75"/>
  <c r="DK75" s="1"/>
  <c r="DY75"/>
  <c r="CC57"/>
  <c r="BT57"/>
  <c r="EB57"/>
  <c r="EC57" s="1"/>
  <c r="CG57"/>
  <c r="CH57" s="1"/>
  <c r="EB59"/>
  <c r="EC59" s="1"/>
  <c r="CG59"/>
  <c r="CH59" s="1"/>
  <c r="CC70"/>
  <c r="BT70"/>
  <c r="EB70"/>
  <c r="CG70"/>
  <c r="CH70" s="1"/>
  <c r="EC70"/>
  <c r="BT88"/>
  <c r="CC88"/>
  <c r="EB88"/>
  <c r="EC88" s="1"/>
  <c r="CG88"/>
  <c r="CH88" s="1"/>
  <c r="BT91"/>
  <c r="CC91"/>
  <c r="CG91"/>
  <c r="CH91" s="1"/>
  <c r="DH101"/>
  <c r="DK101" s="1"/>
  <c r="DY101"/>
  <c r="DW92"/>
  <c r="DX89"/>
  <c r="DL96"/>
  <c r="AE7"/>
  <c r="CT10"/>
  <c r="DL48"/>
  <c r="DL71"/>
  <c r="DL97"/>
  <c r="CC98"/>
  <c r="CC99"/>
  <c r="DW101"/>
  <c r="CB66" i="12"/>
  <c r="CB68"/>
  <c r="CA11"/>
  <c r="EC11" s="1"/>
  <c r="EA21"/>
  <c r="EB21" s="1"/>
  <c r="CA84"/>
  <c r="CA87"/>
  <c r="BU21"/>
  <c r="CT13"/>
  <c r="DH13" s="1"/>
  <c r="DK13" s="1"/>
  <c r="BF44"/>
  <c r="CT19"/>
  <c r="DH19" s="1"/>
  <c r="DK19" s="1"/>
  <c r="AY102"/>
  <c r="AZ102" s="1"/>
  <c r="DG102" s="1"/>
  <c r="CB94"/>
  <c r="CA77"/>
  <c r="CA68"/>
  <c r="EA8"/>
  <c r="BU8"/>
  <c r="CB103"/>
  <c r="DY93"/>
  <c r="CB15"/>
  <c r="AY99"/>
  <c r="AZ99" s="1"/>
  <c r="DG99" s="1"/>
  <c r="CB70"/>
  <c r="CA67"/>
  <c r="CA65"/>
  <c r="CT63"/>
  <c r="CB95"/>
  <c r="DH102"/>
  <c r="DK102" s="1"/>
  <c r="DY102"/>
  <c r="DH63"/>
  <c r="DY63"/>
  <c r="CT32"/>
  <c r="DH32" s="1"/>
  <c r="BU32"/>
  <c r="EA32"/>
  <c r="DK63"/>
  <c r="CB86"/>
  <c r="CB85"/>
  <c r="CB64"/>
  <c r="CB61"/>
  <c r="BR105"/>
  <c r="CB105" s="1"/>
  <c r="BR104"/>
  <c r="CB104" s="1"/>
  <c r="CB101"/>
  <c r="CA99"/>
  <c r="DK96"/>
  <c r="CB93"/>
  <c r="AY89"/>
  <c r="AZ89" s="1"/>
  <c r="DG89" s="1"/>
  <c r="AY92"/>
  <c r="AZ92" s="1"/>
  <c r="DG92" s="1"/>
  <c r="AY91"/>
  <c r="AZ91" s="1"/>
  <c r="DG91" s="1"/>
  <c r="BR88"/>
  <c r="CB88" s="1"/>
  <c r="BR79"/>
  <c r="CB79" s="1"/>
  <c r="BR77"/>
  <c r="CB77" s="1"/>
  <c r="BR75"/>
  <c r="CB75" s="1"/>
  <c r="AY95"/>
  <c r="AZ95" s="1"/>
  <c r="DG95" s="1"/>
  <c r="CT85"/>
  <c r="CA74"/>
  <c r="AE72"/>
  <c r="CB63"/>
  <c r="AY83"/>
  <c r="AZ83" s="1"/>
  <c r="DG83" s="1"/>
  <c r="BS42"/>
  <c r="BS38"/>
  <c r="CA42"/>
  <c r="CA38"/>
  <c r="DK32"/>
  <c r="AY32"/>
  <c r="AZ32" s="1"/>
  <c r="DG32" s="1"/>
  <c r="AD7"/>
  <c r="DY13"/>
  <c r="CB46"/>
  <c r="BR32"/>
  <c r="CB32" s="1"/>
  <c r="DK15"/>
  <c r="BY26"/>
  <c r="BZ26" s="1"/>
  <c r="AE24"/>
  <c r="CA10"/>
  <c r="CT21"/>
  <c r="AA7"/>
  <c r="BS102"/>
  <c r="BT102" s="1"/>
  <c r="CB97"/>
  <c r="CA28"/>
  <c r="DY18"/>
  <c r="CB17"/>
  <c r="DY97"/>
  <c r="EC21"/>
  <c r="DK18"/>
  <c r="CB14"/>
  <c r="BG44"/>
  <c r="T44" i="15" s="1"/>
  <c r="DF44" i="12"/>
  <c r="DF52"/>
  <c r="EA20"/>
  <c r="BU20"/>
  <c r="CT20"/>
  <c r="DH20" s="1"/>
  <c r="DK20" s="1"/>
  <c r="DF8"/>
  <c r="DW8"/>
  <c r="AM8"/>
  <c r="DF9"/>
  <c r="CV73"/>
  <c r="DZ73"/>
  <c r="AE100"/>
  <c r="AY104"/>
  <c r="AZ104" s="1"/>
  <c r="DG104" s="1"/>
  <c r="AE94"/>
  <c r="AE91"/>
  <c r="DK93"/>
  <c r="AE74"/>
  <c r="AE69"/>
  <c r="AE67"/>
  <c r="AE65"/>
  <c r="BG38"/>
  <c r="T38" i="15" s="1"/>
  <c r="AB7" i="12"/>
  <c r="DY20"/>
  <c r="CA56"/>
  <c r="AK7"/>
  <c r="CB10"/>
  <c r="BR22"/>
  <c r="CB22" s="1"/>
  <c r="AE90"/>
  <c r="CV32"/>
  <c r="DY32" s="1"/>
  <c r="DZ32"/>
  <c r="Z7"/>
  <c r="CB84"/>
  <c r="CB82"/>
  <c r="X7"/>
  <c r="CB16"/>
  <c r="CB11"/>
  <c r="AE46"/>
  <c r="DI103"/>
  <c r="BY103"/>
  <c r="BZ103" s="1"/>
  <c r="BX103"/>
  <c r="BV103"/>
  <c r="BS103"/>
  <c r="BX98"/>
  <c r="DI98"/>
  <c r="BY98"/>
  <c r="BZ98" s="1"/>
  <c r="BV98"/>
  <c r="BS98"/>
  <c r="BT100"/>
  <c r="CC100"/>
  <c r="BX96"/>
  <c r="BV96"/>
  <c r="DI96"/>
  <c r="BY96"/>
  <c r="BZ96" s="1"/>
  <c r="BS96"/>
  <c r="DF90"/>
  <c r="AY90"/>
  <c r="AZ90" s="1"/>
  <c r="DG90" s="1"/>
  <c r="BT91"/>
  <c r="CC91"/>
  <c r="DI85"/>
  <c r="BY85"/>
  <c r="BZ85" s="1"/>
  <c r="BX85"/>
  <c r="BV85"/>
  <c r="BS85"/>
  <c r="DF88"/>
  <c r="AY88"/>
  <c r="AZ88" s="1"/>
  <c r="DG88" s="1"/>
  <c r="BX83"/>
  <c r="BV83"/>
  <c r="DI83"/>
  <c r="DL83" s="1"/>
  <c r="BY83"/>
  <c r="BZ83" s="1"/>
  <c r="BS83"/>
  <c r="BU79"/>
  <c r="EA79"/>
  <c r="CT79"/>
  <c r="BU77"/>
  <c r="EA77"/>
  <c r="CT77"/>
  <c r="BU76"/>
  <c r="EA76"/>
  <c r="CT76"/>
  <c r="DW75"/>
  <c r="DF75"/>
  <c r="AY75"/>
  <c r="AZ75" s="1"/>
  <c r="DG75" s="1"/>
  <c r="BT72"/>
  <c r="BY71"/>
  <c r="BZ71" s="1"/>
  <c r="DI71"/>
  <c r="BX71"/>
  <c r="BV71"/>
  <c r="BS71"/>
  <c r="DI62"/>
  <c r="BY62"/>
  <c r="BZ62" s="1"/>
  <c r="BX62"/>
  <c r="BV62"/>
  <c r="BS62"/>
  <c r="EA64"/>
  <c r="BU64"/>
  <c r="CT64"/>
  <c r="DW62"/>
  <c r="DF62"/>
  <c r="AY62"/>
  <c r="AZ62" s="1"/>
  <c r="DG62" s="1"/>
  <c r="BU62"/>
  <c r="EA62"/>
  <c r="CT62"/>
  <c r="BU61"/>
  <c r="EA61"/>
  <c r="CT61"/>
  <c r="DI53"/>
  <c r="BY53"/>
  <c r="BZ53" s="1"/>
  <c r="BV53"/>
  <c r="BX53"/>
  <c r="BS53"/>
  <c r="DI41"/>
  <c r="BY41"/>
  <c r="BZ41" s="1"/>
  <c r="BV41"/>
  <c r="BX41"/>
  <c r="BS41"/>
  <c r="DI39"/>
  <c r="BY39"/>
  <c r="BZ39" s="1"/>
  <c r="BV39"/>
  <c r="BX39"/>
  <c r="BS39"/>
  <c r="DI25"/>
  <c r="BY25"/>
  <c r="BZ25" s="1"/>
  <c r="BV25"/>
  <c r="BX25"/>
  <c r="BS25"/>
  <c r="EA57"/>
  <c r="CT57"/>
  <c r="BU57"/>
  <c r="BX57"/>
  <c r="BV57"/>
  <c r="DI57"/>
  <c r="BY57"/>
  <c r="BZ57" s="1"/>
  <c r="DW57"/>
  <c r="BS57"/>
  <c r="EA55"/>
  <c r="CT55"/>
  <c r="BU55"/>
  <c r="BU51"/>
  <c r="EA51"/>
  <c r="CT51"/>
  <c r="BT45"/>
  <c r="BU25"/>
  <c r="EA25"/>
  <c r="CT25"/>
  <c r="EA22"/>
  <c r="CT22"/>
  <c r="BU22"/>
  <c r="EA17"/>
  <c r="CT17"/>
  <c r="DH17" s="1"/>
  <c r="BU17"/>
  <c r="EA16"/>
  <c r="CT16"/>
  <c r="BU16"/>
  <c r="EA12"/>
  <c r="CT12"/>
  <c r="BU12"/>
  <c r="EA11"/>
  <c r="EB11" s="1"/>
  <c r="CT11"/>
  <c r="BU11"/>
  <c r="DI22"/>
  <c r="BS22"/>
  <c r="BX14"/>
  <c r="BV14"/>
  <c r="DI14"/>
  <c r="DL14" s="1"/>
  <c r="BY14"/>
  <c r="BZ14" s="1"/>
  <c r="BS14"/>
  <c r="BX12"/>
  <c r="BV12"/>
  <c r="BY12"/>
  <c r="BZ12" s="1"/>
  <c r="DI12"/>
  <c r="DL12" s="1"/>
  <c r="BS12"/>
  <c r="EA48"/>
  <c r="CT48"/>
  <c r="BU48"/>
  <c r="EA34"/>
  <c r="CT34"/>
  <c r="BU34"/>
  <c r="EA27"/>
  <c r="CT27"/>
  <c r="BU27"/>
  <c r="EA35"/>
  <c r="CT35"/>
  <c r="BU35"/>
  <c r="EA33"/>
  <c r="CT33"/>
  <c r="BU33"/>
  <c r="BB50"/>
  <c r="BF50" s="1"/>
  <c r="BG50" s="1"/>
  <c r="T50" i="15" s="1"/>
  <c r="CT49" i="12"/>
  <c r="EA49"/>
  <c r="BU49"/>
  <c r="EA47"/>
  <c r="CT47"/>
  <c r="BU47"/>
  <c r="DI104"/>
  <c r="BY104"/>
  <c r="BZ104" s="1"/>
  <c r="BX104"/>
  <c r="BV104"/>
  <c r="BS104"/>
  <c r="BY101"/>
  <c r="BZ101" s="1"/>
  <c r="DI101"/>
  <c r="BX101"/>
  <c r="BV101"/>
  <c r="BS101"/>
  <c r="DF106"/>
  <c r="AY106"/>
  <c r="AZ106" s="1"/>
  <c r="DG106" s="1"/>
  <c r="BU106"/>
  <c r="EA106"/>
  <c r="EB106" s="1"/>
  <c r="EC106" s="1"/>
  <c r="CT106"/>
  <c r="EA105"/>
  <c r="CT105"/>
  <c r="BU105"/>
  <c r="DF103"/>
  <c r="DL103" s="1"/>
  <c r="AY103"/>
  <c r="AZ103" s="1"/>
  <c r="DG103" s="1"/>
  <c r="BU103"/>
  <c r="DW103" s="1"/>
  <c r="EA103"/>
  <c r="CT103"/>
  <c r="DF101"/>
  <c r="DL101" s="1"/>
  <c r="AY101"/>
  <c r="AZ101" s="1"/>
  <c r="DG101" s="1"/>
  <c r="EA101"/>
  <c r="CT101"/>
  <c r="BU101"/>
  <c r="BX99"/>
  <c r="BV99"/>
  <c r="DI99"/>
  <c r="DL99" s="1"/>
  <c r="BY99"/>
  <c r="BZ99" s="1"/>
  <c r="BS99"/>
  <c r="BX97"/>
  <c r="BV97"/>
  <c r="DI97"/>
  <c r="BY97"/>
  <c r="BZ97" s="1"/>
  <c r="BS97"/>
  <c r="BX95"/>
  <c r="BV95"/>
  <c r="DI95"/>
  <c r="DL95" s="1"/>
  <c r="BY95"/>
  <c r="BZ95" s="1"/>
  <c r="BS95"/>
  <c r="BX92"/>
  <c r="BV92"/>
  <c r="DI92"/>
  <c r="DL92" s="1"/>
  <c r="BY92"/>
  <c r="BZ92" s="1"/>
  <c r="BS92"/>
  <c r="DI90"/>
  <c r="BY90"/>
  <c r="BZ90" s="1"/>
  <c r="BV90"/>
  <c r="BS90"/>
  <c r="DI88"/>
  <c r="BY88"/>
  <c r="BZ88" s="1"/>
  <c r="BX88"/>
  <c r="BV88"/>
  <c r="BS88"/>
  <c r="DI79"/>
  <c r="BY79"/>
  <c r="BZ79" s="1"/>
  <c r="BX79"/>
  <c r="BV79"/>
  <c r="BS79"/>
  <c r="DI75"/>
  <c r="BY75"/>
  <c r="BZ75" s="1"/>
  <c r="BX75"/>
  <c r="BV75"/>
  <c r="BS75"/>
  <c r="BU87"/>
  <c r="EA87"/>
  <c r="CT87"/>
  <c r="DF85"/>
  <c r="DL85" s="1"/>
  <c r="AY85"/>
  <c r="AZ85" s="1"/>
  <c r="DG85" s="1"/>
  <c r="DI70"/>
  <c r="BY70"/>
  <c r="BZ70" s="1"/>
  <c r="BX70"/>
  <c r="BV70"/>
  <c r="BS70"/>
  <c r="DI63"/>
  <c r="BY63"/>
  <c r="BZ63" s="1"/>
  <c r="BX63"/>
  <c r="BV63"/>
  <c r="BS63"/>
  <c r="EA74"/>
  <c r="CT74"/>
  <c r="BU74"/>
  <c r="EA72"/>
  <c r="CT72"/>
  <c r="BU72"/>
  <c r="DF71"/>
  <c r="DL71" s="1"/>
  <c r="AY71"/>
  <c r="AZ71" s="1"/>
  <c r="DG71" s="1"/>
  <c r="EA71"/>
  <c r="BU71"/>
  <c r="DW71" s="1"/>
  <c r="CT71"/>
  <c r="DF70"/>
  <c r="DL70" s="1"/>
  <c r="AY70"/>
  <c r="AZ70" s="1"/>
  <c r="DG70" s="1"/>
  <c r="BU70"/>
  <c r="DW70" s="1"/>
  <c r="EA70"/>
  <c r="CT70"/>
  <c r="DW63"/>
  <c r="DF63"/>
  <c r="AY63"/>
  <c r="AZ63" s="1"/>
  <c r="DG63" s="1"/>
  <c r="DI51"/>
  <c r="BY51"/>
  <c r="BZ51" s="1"/>
  <c r="BV51"/>
  <c r="BX51"/>
  <c r="BS51"/>
  <c r="DI37"/>
  <c r="BY37"/>
  <c r="BZ37" s="1"/>
  <c r="BV37"/>
  <c r="BX37"/>
  <c r="BS37"/>
  <c r="DI31"/>
  <c r="BY31"/>
  <c r="BZ31" s="1"/>
  <c r="BV31"/>
  <c r="BX31"/>
  <c r="BS31"/>
  <c r="EA59"/>
  <c r="CT59"/>
  <c r="BU59"/>
  <c r="BU53"/>
  <c r="DW53" s="1"/>
  <c r="EA53"/>
  <c r="CT53"/>
  <c r="BX47"/>
  <c r="BV47"/>
  <c r="DI47"/>
  <c r="BY47"/>
  <c r="BZ47" s="1"/>
  <c r="BS47"/>
  <c r="BU43"/>
  <c r="EA43"/>
  <c r="CT43"/>
  <c r="BU41"/>
  <c r="EA41"/>
  <c r="CT41"/>
  <c r="BU39"/>
  <c r="DW39" s="1"/>
  <c r="EA39"/>
  <c r="CT39"/>
  <c r="BX35"/>
  <c r="BV35"/>
  <c r="DI35"/>
  <c r="BY35"/>
  <c r="BZ35" s="1"/>
  <c r="BS35"/>
  <c r="BT27"/>
  <c r="EA45"/>
  <c r="CT45"/>
  <c r="BU45"/>
  <c r="EA44"/>
  <c r="CT44"/>
  <c r="BU44"/>
  <c r="EA36"/>
  <c r="CT36"/>
  <c r="BU36"/>
  <c r="EA30"/>
  <c r="CT30"/>
  <c r="BU30"/>
  <c r="EA29"/>
  <c r="EB29" s="1"/>
  <c r="CT29"/>
  <c r="BU29"/>
  <c r="EA23"/>
  <c r="CT23"/>
  <c r="BU23"/>
  <c r="BX16"/>
  <c r="BV16"/>
  <c r="DI16"/>
  <c r="BY16"/>
  <c r="BZ16" s="1"/>
  <c r="DW16"/>
  <c r="BS16"/>
  <c r="EA28"/>
  <c r="CT28"/>
  <c r="BU28"/>
  <c r="EA24"/>
  <c r="CT24"/>
  <c r="BU24"/>
  <c r="EB102"/>
  <c r="EC102" s="1"/>
  <c r="CG102"/>
  <c r="CH102" s="1"/>
  <c r="DW98"/>
  <c r="DF98"/>
  <c r="DL98" s="1"/>
  <c r="CG90"/>
  <c r="CH90" s="1"/>
  <c r="EA89"/>
  <c r="EB89" s="1"/>
  <c r="EC89" s="1"/>
  <c r="CT89"/>
  <c r="BU89"/>
  <c r="AH84"/>
  <c r="AL84" s="1"/>
  <c r="AM84" s="1"/>
  <c r="BA84" s="1"/>
  <c r="AH82"/>
  <c r="AL82" s="1"/>
  <c r="AM82" s="1"/>
  <c r="BA82" s="1"/>
  <c r="DW72"/>
  <c r="DF72"/>
  <c r="BU60"/>
  <c r="EA60"/>
  <c r="CT60"/>
  <c r="DI54"/>
  <c r="BY54"/>
  <c r="BZ54" s="1"/>
  <c r="BX54"/>
  <c r="BV54"/>
  <c r="DI52"/>
  <c r="BY52"/>
  <c r="BZ52" s="1"/>
  <c r="BX52"/>
  <c r="BV52"/>
  <c r="DI42"/>
  <c r="BY42"/>
  <c r="BZ42" s="1"/>
  <c r="BX42"/>
  <c r="BV42"/>
  <c r="DI38"/>
  <c r="DL38" s="1"/>
  <c r="BY38"/>
  <c r="BZ38" s="1"/>
  <c r="BX38"/>
  <c r="BV38"/>
  <c r="AX55"/>
  <c r="CB55" s="1"/>
  <c r="BU50"/>
  <c r="EA50"/>
  <c r="CT50"/>
  <c r="BX44"/>
  <c r="BV44"/>
  <c r="DI44"/>
  <c r="BY44"/>
  <c r="BZ44" s="1"/>
  <c r="AX43"/>
  <c r="BU42"/>
  <c r="EA42"/>
  <c r="CT42"/>
  <c r="AX41"/>
  <c r="AY41"/>
  <c r="AZ41" s="1"/>
  <c r="DG41" s="1"/>
  <c r="DW41"/>
  <c r="DF41"/>
  <c r="DL41" s="1"/>
  <c r="BU38"/>
  <c r="EA38"/>
  <c r="CT38"/>
  <c r="CA26"/>
  <c r="BR26"/>
  <c r="BF8"/>
  <c r="BE7"/>
  <c r="AX38"/>
  <c r="CB38" s="1"/>
  <c r="AY38"/>
  <c r="AZ38" s="1"/>
  <c r="DG38" s="1"/>
  <c r="AX21"/>
  <c r="AX19"/>
  <c r="CB19" s="1"/>
  <c r="AY19"/>
  <c r="AZ19" s="1"/>
  <c r="DG19" s="1"/>
  <c r="AX18"/>
  <c r="EA58"/>
  <c r="CT58"/>
  <c r="BU58"/>
  <c r="AY56"/>
  <c r="AZ56" s="1"/>
  <c r="DG56" s="1"/>
  <c r="AX56"/>
  <c r="AY48"/>
  <c r="AZ48" s="1"/>
  <c r="DG48" s="1"/>
  <c r="AX48"/>
  <c r="CB48" s="1"/>
  <c r="AY45"/>
  <c r="AZ45" s="1"/>
  <c r="DG45" s="1"/>
  <c r="AX45"/>
  <c r="AY44"/>
  <c r="AZ44" s="1"/>
  <c r="DG44" s="1"/>
  <c r="AX44"/>
  <c r="CB44" s="1"/>
  <c r="AX36"/>
  <c r="AY34"/>
  <c r="AZ34" s="1"/>
  <c r="DG34" s="1"/>
  <c r="AX34"/>
  <c r="AX30"/>
  <c r="AX29"/>
  <c r="AY27"/>
  <c r="AZ27" s="1"/>
  <c r="DG27" s="1"/>
  <c r="AX27"/>
  <c r="AX23"/>
  <c r="AY35"/>
  <c r="AZ35" s="1"/>
  <c r="DG35" s="1"/>
  <c r="AX35"/>
  <c r="AY33"/>
  <c r="AZ33" s="1"/>
  <c r="DG33" s="1"/>
  <c r="AX33"/>
  <c r="DY17"/>
  <c r="DE17"/>
  <c r="DK17" s="1"/>
  <c r="CQ7"/>
  <c r="AX9"/>
  <c r="AY9"/>
  <c r="AZ9" s="1"/>
  <c r="DG9" s="1"/>
  <c r="AY49"/>
  <c r="AZ49" s="1"/>
  <c r="DG49" s="1"/>
  <c r="AX49"/>
  <c r="AY47"/>
  <c r="AZ47" s="1"/>
  <c r="DG47" s="1"/>
  <c r="AX47"/>
  <c r="CB47" s="1"/>
  <c r="AX28"/>
  <c r="AX24"/>
  <c r="CB24" s="1"/>
  <c r="BA8"/>
  <c r="DF19"/>
  <c r="DL97"/>
  <c r="DK95"/>
  <c r="CB102"/>
  <c r="CC102"/>
  <c r="DW102"/>
  <c r="AY96"/>
  <c r="AZ96" s="1"/>
  <c r="DG96" s="1"/>
  <c r="CB89"/>
  <c r="DY95"/>
  <c r="AY97"/>
  <c r="AZ97" s="1"/>
  <c r="DG97" s="1"/>
  <c r="CB92"/>
  <c r="CB91"/>
  <c r="AE81"/>
  <c r="AE80"/>
  <c r="AE82"/>
  <c r="AE78"/>
  <c r="DY86"/>
  <c r="AY79"/>
  <c r="AZ79" s="1"/>
  <c r="DG79" s="1"/>
  <c r="BS67"/>
  <c r="BS65"/>
  <c r="BS59"/>
  <c r="DL54"/>
  <c r="BS54"/>
  <c r="DL52"/>
  <c r="BS52"/>
  <c r="CB34"/>
  <c r="DK26"/>
  <c r="CV7"/>
  <c r="AM49"/>
  <c r="BA49" s="1"/>
  <c r="AM33"/>
  <c r="BA33" s="1"/>
  <c r="AE68"/>
  <c r="CA58"/>
  <c r="BR49"/>
  <c r="BS44"/>
  <c r="CA35"/>
  <c r="CB27"/>
  <c r="CB69"/>
  <c r="CB67"/>
  <c r="CB65"/>
  <c r="DW44"/>
  <c r="DW52"/>
  <c r="CA34"/>
  <c r="CA30"/>
  <c r="CA27"/>
  <c r="DY19"/>
  <c r="DY15"/>
  <c r="AE14"/>
  <c r="AE10"/>
  <c r="CB21"/>
  <c r="CB18"/>
  <c r="CA9"/>
  <c r="BQ7"/>
  <c r="DW54"/>
  <c r="DW42"/>
  <c r="DL16"/>
  <c r="DE7"/>
  <c r="AC7"/>
  <c r="DI106"/>
  <c r="BY106"/>
  <c r="BZ106" s="1"/>
  <c r="BV106"/>
  <c r="BU104"/>
  <c r="DW104" s="1"/>
  <c r="EA104"/>
  <c r="CT104"/>
  <c r="BX100"/>
  <c r="BV100"/>
  <c r="DI100"/>
  <c r="DL100" s="1"/>
  <c r="BY100"/>
  <c r="BZ100" s="1"/>
  <c r="EA100"/>
  <c r="CT100"/>
  <c r="BU100"/>
  <c r="EA98"/>
  <c r="CT98"/>
  <c r="BU98"/>
  <c r="AX98"/>
  <c r="CB98" s="1"/>
  <c r="AY98"/>
  <c r="AZ98" s="1"/>
  <c r="DG98" s="1"/>
  <c r="AE92"/>
  <c r="W7"/>
  <c r="DJ102"/>
  <c r="DM102" s="1"/>
  <c r="DX102" s="1"/>
  <c r="CD102"/>
  <c r="BW102"/>
  <c r="EA94"/>
  <c r="CT94"/>
  <c r="BU94"/>
  <c r="BX91"/>
  <c r="BV91"/>
  <c r="DI91"/>
  <c r="DL91" s="1"/>
  <c r="BY91"/>
  <c r="BZ91" s="1"/>
  <c r="EA91"/>
  <c r="CT91"/>
  <c r="BU91"/>
  <c r="DW91" s="1"/>
  <c r="BV89"/>
  <c r="DI89"/>
  <c r="DL89" s="1"/>
  <c r="BY89"/>
  <c r="BZ89" s="1"/>
  <c r="BX72"/>
  <c r="BV72"/>
  <c r="DI72"/>
  <c r="BY72"/>
  <c r="BZ72" s="1"/>
  <c r="AX74"/>
  <c r="CB74" s="1"/>
  <c r="AY72"/>
  <c r="AZ72" s="1"/>
  <c r="DG72" s="1"/>
  <c r="AX72"/>
  <c r="CB72" s="1"/>
  <c r="BU75"/>
  <c r="EA75"/>
  <c r="CT75"/>
  <c r="AX73"/>
  <c r="CB73" s="1"/>
  <c r="EA73"/>
  <c r="CT73"/>
  <c r="BU73"/>
  <c r="CT69"/>
  <c r="EA69"/>
  <c r="BU69"/>
  <c r="DI67"/>
  <c r="EA67"/>
  <c r="CT67"/>
  <c r="BU67"/>
  <c r="BX65"/>
  <c r="BV65"/>
  <c r="DI65"/>
  <c r="DL65" s="1"/>
  <c r="BY65"/>
  <c r="BZ65" s="1"/>
  <c r="EA65"/>
  <c r="CT65"/>
  <c r="BU65"/>
  <c r="BX59"/>
  <c r="BV59"/>
  <c r="DI59"/>
  <c r="DL59" s="1"/>
  <c r="BY59"/>
  <c r="BZ59" s="1"/>
  <c r="BT56"/>
  <c r="CC56"/>
  <c r="AY59"/>
  <c r="AZ59" s="1"/>
  <c r="DG59" s="1"/>
  <c r="AX59"/>
  <c r="AY57"/>
  <c r="AZ57" s="1"/>
  <c r="DG57" s="1"/>
  <c r="AX57"/>
  <c r="CB57" s="1"/>
  <c r="BX56"/>
  <c r="BV56"/>
  <c r="DI56"/>
  <c r="BY56"/>
  <c r="BZ56" s="1"/>
  <c r="BU54"/>
  <c r="EA54"/>
  <c r="CT54"/>
  <c r="AX53"/>
  <c r="CB53" s="1"/>
  <c r="AY53"/>
  <c r="AZ53" s="1"/>
  <c r="DG53" s="1"/>
  <c r="BU52"/>
  <c r="EA52"/>
  <c r="CT52"/>
  <c r="AX51"/>
  <c r="CB51" s="1"/>
  <c r="AY51"/>
  <c r="AZ51" s="1"/>
  <c r="DG51" s="1"/>
  <c r="DW51"/>
  <c r="DF51"/>
  <c r="DL51" s="1"/>
  <c r="BX48"/>
  <c r="BV48"/>
  <c r="DI48"/>
  <c r="DL48" s="1"/>
  <c r="BY48"/>
  <c r="BZ48" s="1"/>
  <c r="BX45"/>
  <c r="BV45"/>
  <c r="DI45"/>
  <c r="DL45" s="1"/>
  <c r="BY45"/>
  <c r="BZ45" s="1"/>
  <c r="BT42"/>
  <c r="BU40"/>
  <c r="EA40"/>
  <c r="CT40"/>
  <c r="AX39"/>
  <c r="CB39" s="1"/>
  <c r="AY39"/>
  <c r="AZ39" s="1"/>
  <c r="DG39" s="1"/>
  <c r="CC38"/>
  <c r="BT38"/>
  <c r="AX37"/>
  <c r="CB37" s="1"/>
  <c r="AY37"/>
  <c r="AZ37" s="1"/>
  <c r="DG37" s="1"/>
  <c r="DF37"/>
  <c r="DL37" s="1"/>
  <c r="BU37"/>
  <c r="DW37" s="1"/>
  <c r="EA37"/>
  <c r="CT37"/>
  <c r="BX34"/>
  <c r="BV34"/>
  <c r="DI34"/>
  <c r="DL34" s="1"/>
  <c r="BY34"/>
  <c r="BZ34" s="1"/>
  <c r="BS34"/>
  <c r="BX32"/>
  <c r="BV32"/>
  <c r="DW32" s="1"/>
  <c r="DI32"/>
  <c r="DL32" s="1"/>
  <c r="BY32"/>
  <c r="BZ32" s="1"/>
  <c r="AX31"/>
  <c r="CB31" s="1"/>
  <c r="AY31"/>
  <c r="AZ31" s="1"/>
  <c r="DG31" s="1"/>
  <c r="DF31"/>
  <c r="DL31" s="1"/>
  <c r="EA31"/>
  <c r="BU31"/>
  <c r="DW31" s="1"/>
  <c r="CT31"/>
  <c r="BX27"/>
  <c r="BV27"/>
  <c r="DI27"/>
  <c r="DL27" s="1"/>
  <c r="BY27"/>
  <c r="BZ27" s="1"/>
  <c r="AY26"/>
  <c r="AZ26" s="1"/>
  <c r="DG26" s="1"/>
  <c r="AX26"/>
  <c r="AX25"/>
  <c r="CB25" s="1"/>
  <c r="AY25"/>
  <c r="AZ25" s="1"/>
  <c r="DG25" s="1"/>
  <c r="DW25"/>
  <c r="DF25"/>
  <c r="DL25" s="1"/>
  <c r="DI20"/>
  <c r="DL20" s="1"/>
  <c r="BY20"/>
  <c r="BZ20" s="1"/>
  <c r="BV20"/>
  <c r="DW20" s="1"/>
  <c r="BX20"/>
  <c r="DI9"/>
  <c r="DL9" s="1"/>
  <c r="BY9"/>
  <c r="BZ9" s="1"/>
  <c r="BX9"/>
  <c r="BV9"/>
  <c r="AX13"/>
  <c r="CB13" s="1"/>
  <c r="AX8"/>
  <c r="CB8" s="1"/>
  <c r="AY8"/>
  <c r="AW7"/>
  <c r="AX58"/>
  <c r="CB58" s="1"/>
  <c r="EA56"/>
  <c r="CT56"/>
  <c r="BU56"/>
  <c r="AX54"/>
  <c r="CB54" s="1"/>
  <c r="AY54"/>
  <c r="AZ54" s="1"/>
  <c r="DG54" s="1"/>
  <c r="AX52"/>
  <c r="CB52" s="1"/>
  <c r="AY52"/>
  <c r="AZ52" s="1"/>
  <c r="DG52" s="1"/>
  <c r="AX50"/>
  <c r="CB50" s="1"/>
  <c r="AY50"/>
  <c r="AZ50" s="1"/>
  <c r="DG50" s="1"/>
  <c r="DW50"/>
  <c r="DF50"/>
  <c r="AX42"/>
  <c r="CB42" s="1"/>
  <c r="AY42"/>
  <c r="AZ42" s="1"/>
  <c r="DG42" s="1"/>
  <c r="AX40"/>
  <c r="CB40" s="1"/>
  <c r="DW56"/>
  <c r="DF56"/>
  <c r="DL56" s="1"/>
  <c r="BR7"/>
  <c r="BS106"/>
  <c r="DL104"/>
  <c r="AE99"/>
  <c r="DL96"/>
  <c r="CB100"/>
  <c r="DW97"/>
  <c r="DW96"/>
  <c r="DW95"/>
  <c r="DY96"/>
  <c r="BS89"/>
  <c r="AE84"/>
  <c r="DL79"/>
  <c r="DW85"/>
  <c r="AE83"/>
  <c r="DW88"/>
  <c r="CB81"/>
  <c r="CB80"/>
  <c r="CB56"/>
  <c r="DL53"/>
  <c r="DL47"/>
  <c r="CB43"/>
  <c r="DL42"/>
  <c r="CB41"/>
  <c r="DL39"/>
  <c r="DL35"/>
  <c r="CB33"/>
  <c r="CB28"/>
  <c r="CB35"/>
  <c r="BS32"/>
  <c r="CA31"/>
  <c r="CB29"/>
  <c r="CB59"/>
  <c r="CA72"/>
  <c r="AE66"/>
  <c r="AM61"/>
  <c r="BA61" s="1"/>
  <c r="CA53"/>
  <c r="CA51"/>
  <c r="BS48"/>
  <c r="CB45"/>
  <c r="CA43"/>
  <c r="CA41"/>
  <c r="CB36"/>
  <c r="CB30"/>
  <c r="BS26"/>
  <c r="CB23"/>
  <c r="AY61"/>
  <c r="AZ61" s="1"/>
  <c r="DG61" s="1"/>
  <c r="DL57"/>
  <c r="DL44"/>
  <c r="CA36"/>
  <c r="CA29"/>
  <c r="EC29" s="1"/>
  <c r="CA23"/>
  <c r="CA21"/>
  <c r="CA18"/>
  <c r="CB9"/>
  <c r="CA59"/>
  <c r="CA55"/>
  <c r="CA48"/>
  <c r="CA45"/>
  <c r="CA44"/>
  <c r="CA33"/>
  <c r="DY26"/>
  <c r="BS20"/>
  <c r="BS9"/>
  <c r="CA19"/>
  <c r="AM19"/>
  <c r="BA19" s="1"/>
  <c r="DW9"/>
  <c r="CU7"/>
  <c r="CT8"/>
  <c r="AL15" i="9"/>
  <c r="CA81"/>
  <c r="CA68"/>
  <c r="CA28"/>
  <c r="AE26"/>
  <c r="CA82"/>
  <c r="DY82"/>
  <c r="CB82"/>
  <c r="CB73"/>
  <c r="BR68"/>
  <c r="CB68" s="1"/>
  <c r="AX46"/>
  <c r="CB46" s="1"/>
  <c r="CB40"/>
  <c r="CB19"/>
  <c r="CB15"/>
  <c r="CT105"/>
  <c r="DH105" s="1"/>
  <c r="BU105"/>
  <c r="AX28"/>
  <c r="BR18"/>
  <c r="CB18" s="1"/>
  <c r="CB90"/>
  <c r="CB26"/>
  <c r="AE89"/>
  <c r="AL65"/>
  <c r="DK105"/>
  <c r="AY85"/>
  <c r="AZ85" s="1"/>
  <c r="DG85" s="1"/>
  <c r="BY89"/>
  <c r="BZ89" s="1"/>
  <c r="DL89"/>
  <c r="AY59"/>
  <c r="AZ59" s="1"/>
  <c r="DG59" s="1"/>
  <c r="AY52"/>
  <c r="AZ52" s="1"/>
  <c r="DG52" s="1"/>
  <c r="AY39"/>
  <c r="AZ39" s="1"/>
  <c r="DG39" s="1"/>
  <c r="AY44"/>
  <c r="AZ44" s="1"/>
  <c r="DG44" s="1"/>
  <c r="AY102"/>
  <c r="AZ102" s="1"/>
  <c r="DG102" s="1"/>
  <c r="DF51"/>
  <c r="AY38"/>
  <c r="AZ38" s="1"/>
  <c r="DG38" s="1"/>
  <c r="AY20"/>
  <c r="AZ20" s="1"/>
  <c r="DG20" s="1"/>
  <c r="DF83"/>
  <c r="DF33"/>
  <c r="AY33"/>
  <c r="AZ33" s="1"/>
  <c r="DG33" s="1"/>
  <c r="DI26"/>
  <c r="BS26"/>
  <c r="BT26" s="1"/>
  <c r="BV26"/>
  <c r="BY26"/>
  <c r="BZ26" s="1"/>
  <c r="AY25"/>
  <c r="AZ25" s="1"/>
  <c r="DG25" s="1"/>
  <c r="DF25"/>
  <c r="AY62"/>
  <c r="AZ62" s="1"/>
  <c r="DG62" s="1"/>
  <c r="DF26"/>
  <c r="DL26" s="1"/>
  <c r="AY26"/>
  <c r="AZ26" s="1"/>
  <c r="DG26" s="1"/>
  <c r="BG106"/>
  <c r="T106" i="12" s="1"/>
  <c r="DY105" i="9"/>
  <c r="DY99"/>
  <c r="DY104"/>
  <c r="AE97"/>
  <c r="CB94"/>
  <c r="AE78"/>
  <c r="CB62"/>
  <c r="CB60"/>
  <c r="CB89"/>
  <c r="AE60"/>
  <c r="BF44"/>
  <c r="AW7"/>
  <c r="AL18"/>
  <c r="DF18" s="1"/>
  <c r="AE32"/>
  <c r="AE58"/>
  <c r="AE102"/>
  <c r="DI104"/>
  <c r="DL104" s="1"/>
  <c r="BY104"/>
  <c r="BZ104" s="1"/>
  <c r="BX104"/>
  <c r="BV104"/>
  <c r="BS104"/>
  <c r="BV102"/>
  <c r="DI102"/>
  <c r="BY102"/>
  <c r="BZ102" s="1"/>
  <c r="BS102"/>
  <c r="DI99"/>
  <c r="DL99" s="1"/>
  <c r="BY99"/>
  <c r="BZ99" s="1"/>
  <c r="BX99"/>
  <c r="BV99"/>
  <c r="BS99"/>
  <c r="BX100"/>
  <c r="BV100"/>
  <c r="DI100"/>
  <c r="BY100"/>
  <c r="BZ100" s="1"/>
  <c r="BS100"/>
  <c r="BT106"/>
  <c r="DI91"/>
  <c r="BY91"/>
  <c r="BZ91" s="1"/>
  <c r="BX91"/>
  <c r="BV91"/>
  <c r="BS91"/>
  <c r="DI83"/>
  <c r="BY83"/>
  <c r="BZ83" s="1"/>
  <c r="BX83"/>
  <c r="BV83"/>
  <c r="BS83"/>
  <c r="BX88"/>
  <c r="BV88"/>
  <c r="DI88"/>
  <c r="DL88" s="1"/>
  <c r="BY88"/>
  <c r="BZ88" s="1"/>
  <c r="BS88"/>
  <c r="BU84"/>
  <c r="EA84"/>
  <c r="CT84"/>
  <c r="BU83"/>
  <c r="EA83"/>
  <c r="CT83"/>
  <c r="BX79"/>
  <c r="BV79"/>
  <c r="DI79"/>
  <c r="DL79" s="1"/>
  <c r="BY79"/>
  <c r="BZ79" s="1"/>
  <c r="BS79"/>
  <c r="BV90"/>
  <c r="DI90"/>
  <c r="DL90" s="1"/>
  <c r="BY90"/>
  <c r="BZ90" s="1"/>
  <c r="BS90"/>
  <c r="DI67"/>
  <c r="BY67"/>
  <c r="BZ67" s="1"/>
  <c r="BX67"/>
  <c r="BV67"/>
  <c r="BS67"/>
  <c r="DI63"/>
  <c r="BY63"/>
  <c r="BZ63" s="1"/>
  <c r="BX63"/>
  <c r="BV63"/>
  <c r="BS63"/>
  <c r="DI61"/>
  <c r="BY61"/>
  <c r="BZ61" s="1"/>
  <c r="BX61"/>
  <c r="BV61"/>
  <c r="BS61"/>
  <c r="BX72"/>
  <c r="BV72"/>
  <c r="DI72"/>
  <c r="BY72"/>
  <c r="BZ72" s="1"/>
  <c r="BS72"/>
  <c r="DW72"/>
  <c r="BX71"/>
  <c r="BV71"/>
  <c r="DI71"/>
  <c r="DL71" s="1"/>
  <c r="BY71"/>
  <c r="BZ71" s="1"/>
  <c r="BS71"/>
  <c r="BX70"/>
  <c r="BV70"/>
  <c r="DI70"/>
  <c r="DL70" s="1"/>
  <c r="BY70"/>
  <c r="BZ70" s="1"/>
  <c r="BS70"/>
  <c r="DF65"/>
  <c r="AY65"/>
  <c r="AZ65" s="1"/>
  <c r="DG65" s="1"/>
  <c r="DF61"/>
  <c r="AY61"/>
  <c r="AZ61" s="1"/>
  <c r="DG61" s="1"/>
  <c r="BU61"/>
  <c r="DW61" s="1"/>
  <c r="EA61"/>
  <c r="CT61"/>
  <c r="BX59"/>
  <c r="BV59"/>
  <c r="DI59"/>
  <c r="DL59" s="1"/>
  <c r="BY59"/>
  <c r="BZ59" s="1"/>
  <c r="BS59"/>
  <c r="BX57"/>
  <c r="BV57"/>
  <c r="DI57"/>
  <c r="BY57"/>
  <c r="BZ57" s="1"/>
  <c r="DW57"/>
  <c r="BS57"/>
  <c r="DI47"/>
  <c r="BY47"/>
  <c r="BZ47" s="1"/>
  <c r="BX47"/>
  <c r="BV47"/>
  <c r="BS47"/>
  <c r="DI41"/>
  <c r="BY41"/>
  <c r="BZ41" s="1"/>
  <c r="BX41"/>
  <c r="BV41"/>
  <c r="BS41"/>
  <c r="BY32"/>
  <c r="BZ32" s="1"/>
  <c r="DI32"/>
  <c r="BX32"/>
  <c r="BV32"/>
  <c r="BS32"/>
  <c r="EA53"/>
  <c r="BU53"/>
  <c r="CT53"/>
  <c r="BX52"/>
  <c r="BV52"/>
  <c r="DI52"/>
  <c r="BY52"/>
  <c r="BZ52" s="1"/>
  <c r="DW52"/>
  <c r="BS52"/>
  <c r="BX51"/>
  <c r="BV51"/>
  <c r="DI51"/>
  <c r="BY51"/>
  <c r="BZ51" s="1"/>
  <c r="BS51"/>
  <c r="DW51"/>
  <c r="BX48"/>
  <c r="BV48"/>
  <c r="DI48"/>
  <c r="BY48"/>
  <c r="BZ48" s="1"/>
  <c r="BS48"/>
  <c r="BU43"/>
  <c r="EA43"/>
  <c r="CT43"/>
  <c r="DW42"/>
  <c r="DF42"/>
  <c r="AY42"/>
  <c r="AZ42" s="1"/>
  <c r="DG42" s="1"/>
  <c r="DW41"/>
  <c r="DF41"/>
  <c r="AY41"/>
  <c r="AZ41" s="1"/>
  <c r="DG41" s="1"/>
  <c r="BU41"/>
  <c r="EA41"/>
  <c r="CT41"/>
  <c r="BX39"/>
  <c r="BV39"/>
  <c r="DI39"/>
  <c r="DL39" s="1"/>
  <c r="BY39"/>
  <c r="BZ39" s="1"/>
  <c r="BS39"/>
  <c r="BX38"/>
  <c r="BV38"/>
  <c r="DI38"/>
  <c r="DL38" s="1"/>
  <c r="BY38"/>
  <c r="BZ38" s="1"/>
  <c r="BS38"/>
  <c r="DI37"/>
  <c r="BS37"/>
  <c r="BX35"/>
  <c r="BV35"/>
  <c r="DI35"/>
  <c r="DL35" s="1"/>
  <c r="BY35"/>
  <c r="BZ35" s="1"/>
  <c r="BS35"/>
  <c r="BX34"/>
  <c r="BV34"/>
  <c r="DI34"/>
  <c r="DL34" s="1"/>
  <c r="BY34"/>
  <c r="BZ34" s="1"/>
  <c r="BS34"/>
  <c r="BX33"/>
  <c r="BV33"/>
  <c r="DI33"/>
  <c r="DL33" s="1"/>
  <c r="BY33"/>
  <c r="BZ33" s="1"/>
  <c r="BS33"/>
  <c r="DF32"/>
  <c r="DL32" s="1"/>
  <c r="AY32"/>
  <c r="AZ32" s="1"/>
  <c r="DG32" s="1"/>
  <c r="DF27"/>
  <c r="AY27"/>
  <c r="AZ27" s="1"/>
  <c r="DG27" s="1"/>
  <c r="BU27"/>
  <c r="EA27"/>
  <c r="CT27"/>
  <c r="BX25"/>
  <c r="BV25"/>
  <c r="DI25"/>
  <c r="BY25"/>
  <c r="BZ25" s="1"/>
  <c r="BS25"/>
  <c r="DW25"/>
  <c r="DI16"/>
  <c r="BY16"/>
  <c r="BZ16" s="1"/>
  <c r="BX16"/>
  <c r="BV16"/>
  <c r="BS16"/>
  <c r="DI20"/>
  <c r="DL20" s="1"/>
  <c r="BY20"/>
  <c r="BZ20" s="1"/>
  <c r="BV20"/>
  <c r="BX20"/>
  <c r="BS20"/>
  <c r="BU19"/>
  <c r="EA19"/>
  <c r="CT19"/>
  <c r="BU18"/>
  <c r="EA18"/>
  <c r="CT18"/>
  <c r="BU17"/>
  <c r="EA17"/>
  <c r="CT17"/>
  <c r="BU16"/>
  <c r="EA16"/>
  <c r="CT16"/>
  <c r="BX14"/>
  <c r="BV14"/>
  <c r="DI14"/>
  <c r="DL14" s="1"/>
  <c r="BY14"/>
  <c r="BZ14" s="1"/>
  <c r="BS14"/>
  <c r="BU13"/>
  <c r="EA13"/>
  <c r="CT13"/>
  <c r="BX12"/>
  <c r="BV12"/>
  <c r="DI12"/>
  <c r="DL12" s="1"/>
  <c r="BY12"/>
  <c r="BZ12" s="1"/>
  <c r="BS12"/>
  <c r="DI103"/>
  <c r="DL103" s="1"/>
  <c r="BY103"/>
  <c r="BZ103" s="1"/>
  <c r="BX103"/>
  <c r="BV103"/>
  <c r="BS103"/>
  <c r="EA101"/>
  <c r="CT101"/>
  <c r="BU101"/>
  <c r="EA100"/>
  <c r="CT100"/>
  <c r="BU100"/>
  <c r="DW100" s="1"/>
  <c r="DI98"/>
  <c r="BY98"/>
  <c r="BZ98" s="1"/>
  <c r="BX98"/>
  <c r="BV98"/>
  <c r="BS98"/>
  <c r="DW98"/>
  <c r="BX101"/>
  <c r="BV101"/>
  <c r="DI101"/>
  <c r="BY101"/>
  <c r="BZ101" s="1"/>
  <c r="BS101"/>
  <c r="BX96"/>
  <c r="BV96"/>
  <c r="DI96"/>
  <c r="DL96" s="1"/>
  <c r="BY96"/>
  <c r="BZ96" s="1"/>
  <c r="BS96"/>
  <c r="BX95"/>
  <c r="BV95"/>
  <c r="DI95"/>
  <c r="DL95" s="1"/>
  <c r="BY95"/>
  <c r="BZ95" s="1"/>
  <c r="BS95"/>
  <c r="DI92"/>
  <c r="BY92"/>
  <c r="BZ92" s="1"/>
  <c r="BX92"/>
  <c r="BV92"/>
  <c r="BS92"/>
  <c r="BT97"/>
  <c r="CC97"/>
  <c r="BX85"/>
  <c r="BV85"/>
  <c r="DI85"/>
  <c r="DL85" s="1"/>
  <c r="BY85"/>
  <c r="BZ85" s="1"/>
  <c r="BS85"/>
  <c r="DI75"/>
  <c r="BY75"/>
  <c r="BZ75" s="1"/>
  <c r="BX75"/>
  <c r="BV75"/>
  <c r="BS75"/>
  <c r="DI62"/>
  <c r="BY62"/>
  <c r="BZ62" s="1"/>
  <c r="BX62"/>
  <c r="BV62"/>
  <c r="BS62"/>
  <c r="BU68"/>
  <c r="EA68"/>
  <c r="CT68"/>
  <c r="DW67"/>
  <c r="DF67"/>
  <c r="DL67" s="1"/>
  <c r="AY67"/>
  <c r="AZ67" s="1"/>
  <c r="DG67" s="1"/>
  <c r="BU66"/>
  <c r="EA66"/>
  <c r="CT66"/>
  <c r="BU64"/>
  <c r="EA64"/>
  <c r="CT64"/>
  <c r="DI56"/>
  <c r="BY56"/>
  <c r="BZ56" s="1"/>
  <c r="BX56"/>
  <c r="BV56"/>
  <c r="BS56"/>
  <c r="DI54"/>
  <c r="BY54"/>
  <c r="BZ54" s="1"/>
  <c r="BX54"/>
  <c r="BV54"/>
  <c r="BS54"/>
  <c r="DI53"/>
  <c r="BY53"/>
  <c r="BZ53" s="1"/>
  <c r="BX53"/>
  <c r="BV53"/>
  <c r="BS53"/>
  <c r="DI42"/>
  <c r="BY42"/>
  <c r="BZ42" s="1"/>
  <c r="BX42"/>
  <c r="BV42"/>
  <c r="BS42"/>
  <c r="DI27"/>
  <c r="BY27"/>
  <c r="BZ27" s="1"/>
  <c r="BX27"/>
  <c r="BV27"/>
  <c r="BS27"/>
  <c r="DF47"/>
  <c r="DL47" s="1"/>
  <c r="AY47"/>
  <c r="AZ47" s="1"/>
  <c r="DG47" s="1"/>
  <c r="BU47"/>
  <c r="DW47" s="1"/>
  <c r="EA47"/>
  <c r="CT47"/>
  <c r="BX45"/>
  <c r="BV45"/>
  <c r="DI45"/>
  <c r="DL45" s="1"/>
  <c r="BY45"/>
  <c r="BZ45" s="1"/>
  <c r="BS45"/>
  <c r="DI31"/>
  <c r="BS31"/>
  <c r="DI9"/>
  <c r="BY9"/>
  <c r="BZ9" s="1"/>
  <c r="BX9"/>
  <c r="BV9"/>
  <c r="BS9"/>
  <c r="BX44"/>
  <c r="BV44"/>
  <c r="DI44"/>
  <c r="BY44"/>
  <c r="BZ44" s="1"/>
  <c r="DW44"/>
  <c r="BS44"/>
  <c r="BG44"/>
  <c r="AM18"/>
  <c r="BA18" s="1"/>
  <c r="AY18"/>
  <c r="AZ18" s="1"/>
  <c r="DG18" s="1"/>
  <c r="DF15"/>
  <c r="AY15"/>
  <c r="AZ15" s="1"/>
  <c r="DG15" s="1"/>
  <c r="AM15"/>
  <c r="BA15" s="1"/>
  <c r="DF9"/>
  <c r="DL9" s="1"/>
  <c r="AY9"/>
  <c r="AZ9" s="1"/>
  <c r="DG9" s="1"/>
  <c r="BU9"/>
  <c r="DW9" s="1"/>
  <c r="EA9"/>
  <c r="CT9"/>
  <c r="AX105"/>
  <c r="AX103"/>
  <c r="AY103"/>
  <c r="AZ103" s="1"/>
  <c r="DG103" s="1"/>
  <c r="AX98"/>
  <c r="AY98"/>
  <c r="AZ98" s="1"/>
  <c r="DG98" s="1"/>
  <c r="CG102"/>
  <c r="CH102" s="1"/>
  <c r="AX93"/>
  <c r="BU92"/>
  <c r="EA92"/>
  <c r="CT92"/>
  <c r="AX92"/>
  <c r="AY92"/>
  <c r="AZ92" s="1"/>
  <c r="DG92" s="1"/>
  <c r="AX91"/>
  <c r="CB91" s="1"/>
  <c r="AY91"/>
  <c r="AZ91" s="1"/>
  <c r="DG91" s="1"/>
  <c r="AE85"/>
  <c r="W7"/>
  <c r="CA93"/>
  <c r="BR93"/>
  <c r="CB93" s="1"/>
  <c r="EA86"/>
  <c r="CT86"/>
  <c r="BU86"/>
  <c r="AX75"/>
  <c r="CB75" s="1"/>
  <c r="AY75"/>
  <c r="AZ75" s="1"/>
  <c r="DG75" s="1"/>
  <c r="DW75"/>
  <c r="DF75"/>
  <c r="BU74"/>
  <c r="EA74"/>
  <c r="CT74"/>
  <c r="CD89"/>
  <c r="DJ89"/>
  <c r="BW89"/>
  <c r="AX56"/>
  <c r="CB56" s="1"/>
  <c r="AY56"/>
  <c r="AZ56" s="1"/>
  <c r="DG56" s="1"/>
  <c r="DW56"/>
  <c r="DF56"/>
  <c r="BU55"/>
  <c r="EA55"/>
  <c r="CT55"/>
  <c r="AX54"/>
  <c r="CB54" s="1"/>
  <c r="AY54"/>
  <c r="AZ54" s="1"/>
  <c r="DG54" s="1"/>
  <c r="DW54"/>
  <c r="DF54"/>
  <c r="DL54" s="1"/>
  <c r="BU54"/>
  <c r="EA54"/>
  <c r="CT54"/>
  <c r="AH37"/>
  <c r="AL37" s="1"/>
  <c r="BX37" s="1"/>
  <c r="AH31"/>
  <c r="AL31" s="1"/>
  <c r="BV31" s="1"/>
  <c r="BU21"/>
  <c r="EA21"/>
  <c r="EB21" s="1"/>
  <c r="EC21" s="1"/>
  <c r="CT21"/>
  <c r="DJ26"/>
  <c r="CD26"/>
  <c r="BW26"/>
  <c r="BU22"/>
  <c r="EA22"/>
  <c r="CT22"/>
  <c r="AC7"/>
  <c r="CU10"/>
  <c r="CU7" s="1"/>
  <c r="CG26"/>
  <c r="CH26" s="1"/>
  <c r="DL102"/>
  <c r="DL100"/>
  <c r="DW103"/>
  <c r="AY101"/>
  <c r="AZ101" s="1"/>
  <c r="DG101" s="1"/>
  <c r="DY103"/>
  <c r="CB100"/>
  <c r="AE95"/>
  <c r="AE94"/>
  <c r="CA105"/>
  <c r="DW104"/>
  <c r="CA103"/>
  <c r="AY100"/>
  <c r="AZ100" s="1"/>
  <c r="DG100" s="1"/>
  <c r="DW99"/>
  <c r="CA98"/>
  <c r="AE96"/>
  <c r="DL91"/>
  <c r="AE88"/>
  <c r="BR86"/>
  <c r="CB86" s="1"/>
  <c r="CB84"/>
  <c r="CB95"/>
  <c r="AE80"/>
  <c r="AY83"/>
  <c r="AZ83" s="1"/>
  <c r="DG83" s="1"/>
  <c r="CB77"/>
  <c r="DY63"/>
  <c r="CB61"/>
  <c r="CB88"/>
  <c r="CB87"/>
  <c r="CB85"/>
  <c r="CB80"/>
  <c r="CB78"/>
  <c r="AE72"/>
  <c r="AE70"/>
  <c r="AE69"/>
  <c r="DL57"/>
  <c r="AE73"/>
  <c r="AB7"/>
  <c r="CB72"/>
  <c r="CB70"/>
  <c r="CB69"/>
  <c r="CB58"/>
  <c r="AE50"/>
  <c r="AE31"/>
  <c r="CA21"/>
  <c r="BE7"/>
  <c r="DL48"/>
  <c r="DL44"/>
  <c r="AE51"/>
  <c r="AE30"/>
  <c r="AE25"/>
  <c r="AK7"/>
  <c r="X7"/>
  <c r="CB52"/>
  <c r="CB50"/>
  <c r="CB39"/>
  <c r="CB37"/>
  <c r="CB35"/>
  <c r="CB33"/>
  <c r="CB31"/>
  <c r="CB28"/>
  <c r="AL8"/>
  <c r="BQ7"/>
  <c r="AE14"/>
  <c r="AE10"/>
  <c r="AE8"/>
  <c r="AE12"/>
  <c r="CB14"/>
  <c r="AX106"/>
  <c r="CB106" s="1"/>
  <c r="AY106"/>
  <c r="AZ106" s="1"/>
  <c r="DG106" s="1"/>
  <c r="AX104"/>
  <c r="AY104"/>
  <c r="AZ104" s="1"/>
  <c r="DG104" s="1"/>
  <c r="AX99"/>
  <c r="CB99" s="1"/>
  <c r="AY99"/>
  <c r="AZ99" s="1"/>
  <c r="DG99" s="1"/>
  <c r="DI106"/>
  <c r="DL106" s="1"/>
  <c r="BY106"/>
  <c r="BZ106" s="1"/>
  <c r="BV106"/>
  <c r="DW106" s="1"/>
  <c r="BU98"/>
  <c r="EA98"/>
  <c r="CT98"/>
  <c r="EA97"/>
  <c r="CT97"/>
  <c r="BU97"/>
  <c r="BU91"/>
  <c r="DW91" s="1"/>
  <c r="EA91"/>
  <c r="CT91"/>
  <c r="CA92"/>
  <c r="BR92"/>
  <c r="CB92" s="1"/>
  <c r="CG90"/>
  <c r="CH90" s="1"/>
  <c r="BX97"/>
  <c r="BV97"/>
  <c r="DI97"/>
  <c r="DL97" s="1"/>
  <c r="BY97"/>
  <c r="BZ97" s="1"/>
  <c r="AH80"/>
  <c r="AL80" s="1"/>
  <c r="AM80" s="1"/>
  <c r="BA80" s="1"/>
  <c r="EA93"/>
  <c r="CT93"/>
  <c r="BU93"/>
  <c r="AH93"/>
  <c r="AL93" s="1"/>
  <c r="DF93" s="1"/>
  <c r="EA78"/>
  <c r="EB78" s="1"/>
  <c r="EC78" s="1"/>
  <c r="CT78"/>
  <c r="BU78"/>
  <c r="BU77"/>
  <c r="EA77"/>
  <c r="CT77"/>
  <c r="AX76"/>
  <c r="CB76" s="1"/>
  <c r="BU75"/>
  <c r="EA75"/>
  <c r="CT75"/>
  <c r="AX74"/>
  <c r="CB74" s="1"/>
  <c r="CG89"/>
  <c r="CH89" s="1"/>
  <c r="BU76"/>
  <c r="EA76"/>
  <c r="CT76"/>
  <c r="DW63"/>
  <c r="DF63"/>
  <c r="DL63" s="1"/>
  <c r="BU62"/>
  <c r="EA62"/>
  <c r="CT62"/>
  <c r="BU60"/>
  <c r="EA60"/>
  <c r="CT60"/>
  <c r="EA58"/>
  <c r="CT58"/>
  <c r="BU58"/>
  <c r="EA56"/>
  <c r="BU56"/>
  <c r="CT56"/>
  <c r="AX55"/>
  <c r="CB55" s="1"/>
  <c r="BU67"/>
  <c r="EA67"/>
  <c r="CT67"/>
  <c r="BU65"/>
  <c r="EA65"/>
  <c r="CT65"/>
  <c r="DW62"/>
  <c r="DF62"/>
  <c r="DL62" s="1"/>
  <c r="BU42"/>
  <c r="EA42"/>
  <c r="CT42"/>
  <c r="EA23"/>
  <c r="CT23"/>
  <c r="BU23"/>
  <c r="AX22"/>
  <c r="CB22" s="1"/>
  <c r="AX23"/>
  <c r="CB23" s="1"/>
  <c r="AX21"/>
  <c r="CB21" s="1"/>
  <c r="CB8"/>
  <c r="DW16"/>
  <c r="DF16"/>
  <c r="DL16" s="1"/>
  <c r="DL101"/>
  <c r="AM101"/>
  <c r="BA101" s="1"/>
  <c r="CB104"/>
  <c r="DL98"/>
  <c r="CB105"/>
  <c r="CB103"/>
  <c r="CB98"/>
  <c r="DL92"/>
  <c r="AE90"/>
  <c r="AE87"/>
  <c r="DL83"/>
  <c r="AE81"/>
  <c r="AE79"/>
  <c r="CA74"/>
  <c r="DM89"/>
  <c r="CC89"/>
  <c r="AE71"/>
  <c r="AE59"/>
  <c r="AE57"/>
  <c r="CA55"/>
  <c r="DL72"/>
  <c r="AY63"/>
  <c r="AZ63" s="1"/>
  <c r="DG63" s="1"/>
  <c r="DL53"/>
  <c r="AE52"/>
  <c r="AE39"/>
  <c r="AE37"/>
  <c r="AE35"/>
  <c r="AE33"/>
  <c r="AE28"/>
  <c r="DL51"/>
  <c r="DM26"/>
  <c r="CC26"/>
  <c r="DL25"/>
  <c r="AE49"/>
  <c r="AE48"/>
  <c r="AE45"/>
  <c r="AE44"/>
  <c r="AE40"/>
  <c r="AE38"/>
  <c r="AE36"/>
  <c r="AE34"/>
  <c r="AE29"/>
  <c r="AE24"/>
  <c r="CA22"/>
  <c r="AY53"/>
  <c r="AZ53" s="1"/>
  <c r="DG53" s="1"/>
  <c r="DL52"/>
  <c r="AE20"/>
  <c r="AE11"/>
  <c r="BF8"/>
  <c r="CV7"/>
  <c r="DE7"/>
  <c r="BQ98" i="5"/>
  <c r="AW102"/>
  <c r="AD102"/>
  <c r="DE64"/>
  <c r="AW69"/>
  <c r="CV70"/>
  <c r="AW72"/>
  <c r="DE72"/>
  <c r="CV73"/>
  <c r="AW79"/>
  <c r="DE79"/>
  <c r="CV82"/>
  <c r="CV83"/>
  <c r="BQ83"/>
  <c r="CV84"/>
  <c r="CU87"/>
  <c r="AW88"/>
  <c r="CV91"/>
  <c r="AW92"/>
  <c r="AX92" s="1"/>
  <c r="CV92"/>
  <c r="CV95"/>
  <c r="BD7"/>
  <c r="AE26"/>
  <c r="AW28"/>
  <c r="AW31"/>
  <c r="DE31"/>
  <c r="CV32"/>
  <c r="BQ32"/>
  <c r="AW43"/>
  <c r="DE43"/>
  <c r="CV44"/>
  <c r="BQ44"/>
  <c r="CV46"/>
  <c r="CV51"/>
  <c r="BQ51"/>
  <c r="CV53"/>
  <c r="CU56"/>
  <c r="CV59"/>
  <c r="BQ59"/>
  <c r="AW61"/>
  <c r="DE66"/>
  <c r="AW70"/>
  <c r="DE70"/>
  <c r="CV71"/>
  <c r="BQ76"/>
  <c r="CV9"/>
  <c r="BQ11"/>
  <c r="CV18"/>
  <c r="AE89"/>
  <c r="CV94"/>
  <c r="BU74"/>
  <c r="EA74"/>
  <c r="AF108"/>
  <c r="AF108" i="9" s="1"/>
  <c r="AF108" i="12" s="1"/>
  <c r="AF108" i="15" s="1"/>
  <c r="AF108" i="19" s="1"/>
  <c r="BQ66" i="5"/>
  <c r="BQ64"/>
  <c r="DE56"/>
  <c r="AF107"/>
  <c r="AF107" i="9" s="1"/>
  <c r="AF107" i="12" s="1"/>
  <c r="AF107" i="15" s="1"/>
  <c r="AF107" i="19" s="1"/>
  <c r="BQ24" i="5"/>
  <c r="S7"/>
  <c r="AW9"/>
  <c r="DE9"/>
  <c r="CS7"/>
  <c r="CU10"/>
  <c r="BQ10"/>
  <c r="DE10"/>
  <c r="CV16"/>
  <c r="BQ21"/>
  <c r="AL23"/>
  <c r="CU23"/>
  <c r="BQ23"/>
  <c r="CU25"/>
  <c r="CV27"/>
  <c r="BQ27"/>
  <c r="BQ29"/>
  <c r="DE29"/>
  <c r="CV30"/>
  <c r="BQ30"/>
  <c r="CV34"/>
  <c r="BQ34"/>
  <c r="AW35"/>
  <c r="DE35"/>
  <c r="CV36"/>
  <c r="BQ36"/>
  <c r="AW39"/>
  <c r="DE39"/>
  <c r="CV40"/>
  <c r="BQ40"/>
  <c r="CV42"/>
  <c r="BQ42"/>
  <c r="AW46"/>
  <c r="DE46"/>
  <c r="AW48"/>
  <c r="DE48"/>
  <c r="CV49"/>
  <c r="BQ49"/>
  <c r="AW58"/>
  <c r="DE58"/>
  <c r="AW60"/>
  <c r="AW62"/>
  <c r="AE63"/>
  <c r="CU63"/>
  <c r="BQ63"/>
  <c r="DE63"/>
  <c r="CU65"/>
  <c r="BQ65"/>
  <c r="DE65"/>
  <c r="BQ71"/>
  <c r="BQ75"/>
  <c r="BR75" s="1"/>
  <c r="BR76"/>
  <c r="CV80"/>
  <c r="BQ80"/>
  <c r="AW82"/>
  <c r="DE82"/>
  <c r="AW84"/>
  <c r="AW89"/>
  <c r="AD89"/>
  <c r="DZ89" s="1"/>
  <c r="BQ94"/>
  <c r="BQ99"/>
  <c r="AE104"/>
  <c r="CU104"/>
  <c r="BQ106"/>
  <c r="BQ73"/>
  <c r="AD90"/>
  <c r="DZ90" s="1"/>
  <c r="BQ90"/>
  <c r="DE90"/>
  <c r="BQ93"/>
  <c r="DE11"/>
  <c r="CU12"/>
  <c r="BQ12"/>
  <c r="DE12"/>
  <c r="CV13"/>
  <c r="BQ13"/>
  <c r="AW14"/>
  <c r="CV15"/>
  <c r="BQ15"/>
  <c r="AW16"/>
  <c r="DE16"/>
  <c r="CV17"/>
  <c r="BQ17"/>
  <c r="BR17" s="1"/>
  <c r="AW18"/>
  <c r="CV19"/>
  <c r="BQ19"/>
  <c r="AW20"/>
  <c r="CV22"/>
  <c r="CV25"/>
  <c r="AW26"/>
  <c r="AD26"/>
  <c r="DZ26" s="1"/>
  <c r="DE84"/>
  <c r="AE85"/>
  <c r="CU85"/>
  <c r="BQ85"/>
  <c r="DE85"/>
  <c r="CU86"/>
  <c r="AW87"/>
  <c r="AX87" s="1"/>
  <c r="W88"/>
  <c r="AE88" s="1"/>
  <c r="CU88"/>
  <c r="BQ88"/>
  <c r="DE88"/>
  <c r="AW90"/>
  <c r="BE90"/>
  <c r="BQ53"/>
  <c r="AW54"/>
  <c r="BQ55"/>
  <c r="BR55" s="1"/>
  <c r="BQ56"/>
  <c r="BR56" s="1"/>
  <c r="AW67"/>
  <c r="AW68"/>
  <c r="AX68" s="1"/>
  <c r="CU76"/>
  <c r="DE76"/>
  <c r="DE78"/>
  <c r="AW95"/>
  <c r="DE95"/>
  <c r="CV96"/>
  <c r="BQ96"/>
  <c r="CV97"/>
  <c r="BQ97"/>
  <c r="BR98"/>
  <c r="AW101"/>
  <c r="AC102"/>
  <c r="CU102" s="1"/>
  <c r="BQ103"/>
  <c r="DE104"/>
  <c r="BF90"/>
  <c r="DZ56"/>
  <c r="CV56"/>
  <c r="DZ76"/>
  <c r="CV76"/>
  <c r="CV102"/>
  <c r="DZ102"/>
  <c r="BQ67"/>
  <c r="DE67"/>
  <c r="CU68"/>
  <c r="BQ68"/>
  <c r="DE68"/>
  <c r="CU69"/>
  <c r="BQ69"/>
  <c r="CA69" s="1"/>
  <c r="AL70"/>
  <c r="DF70" s="1"/>
  <c r="BQ70"/>
  <c r="AW71"/>
  <c r="DE71"/>
  <c r="AL72"/>
  <c r="BQ72"/>
  <c r="AW73"/>
  <c r="CU74"/>
  <c r="BQ77"/>
  <c r="BR77" s="1"/>
  <c r="BQ78"/>
  <c r="BR78" s="1"/>
  <c r="CV78"/>
  <c r="AL79"/>
  <c r="DF79" s="1"/>
  <c r="BQ79"/>
  <c r="AW80"/>
  <c r="DE80"/>
  <c r="BQ81"/>
  <c r="BR81" s="1"/>
  <c r="BQ82"/>
  <c r="AW83"/>
  <c r="DE83"/>
  <c r="BQ84"/>
  <c r="CA84" s="1"/>
  <c r="AW85"/>
  <c r="BQ86"/>
  <c r="BQ87"/>
  <c r="DE87"/>
  <c r="DE106"/>
  <c r="AK8"/>
  <c r="AL8" s="1"/>
  <c r="AW8"/>
  <c r="DE8"/>
  <c r="AL9"/>
  <c r="DF9" s="1"/>
  <c r="BQ9"/>
  <c r="AW10"/>
  <c r="CA10" s="1"/>
  <c r="AW11"/>
  <c r="CA11" s="1"/>
  <c r="EC11" s="1"/>
  <c r="AW12"/>
  <c r="AW13"/>
  <c r="DE13"/>
  <c r="CU14"/>
  <c r="BQ14"/>
  <c r="DE14"/>
  <c r="AK15"/>
  <c r="AL15" s="1"/>
  <c r="AW15"/>
  <c r="DE15"/>
  <c r="AL16"/>
  <c r="DF16" s="1"/>
  <c r="BQ16"/>
  <c r="AW17"/>
  <c r="BQ18"/>
  <c r="BR18" s="1"/>
  <c r="AK19"/>
  <c r="AL19" s="1"/>
  <c r="AW19"/>
  <c r="DE19"/>
  <c r="CU20"/>
  <c r="BQ20"/>
  <c r="DE20"/>
  <c r="AW21"/>
  <c r="AX21" s="1"/>
  <c r="BQ22"/>
  <c r="BR22" s="1"/>
  <c r="CV23"/>
  <c r="CV24"/>
  <c r="AL25"/>
  <c r="BQ25"/>
  <c r="DZ25"/>
  <c r="BQ26"/>
  <c r="CA26" s="1"/>
  <c r="DE26"/>
  <c r="AK27"/>
  <c r="AL27" s="1"/>
  <c r="AW27"/>
  <c r="DE27"/>
  <c r="BQ28"/>
  <c r="BR28" s="1"/>
  <c r="AW29"/>
  <c r="AW30"/>
  <c r="DE30"/>
  <c r="BQ31"/>
  <c r="AK32"/>
  <c r="AW32"/>
  <c r="AX32" s="1"/>
  <c r="DE32"/>
  <c r="AL33"/>
  <c r="DF33" s="1"/>
  <c r="BQ33"/>
  <c r="AK34"/>
  <c r="AL34" s="1"/>
  <c r="AW34"/>
  <c r="DE34"/>
  <c r="AL35"/>
  <c r="DF35" s="1"/>
  <c r="BQ35"/>
  <c r="AW36"/>
  <c r="DE36"/>
  <c r="BQ37"/>
  <c r="AK38"/>
  <c r="AL38" s="1"/>
  <c r="AW38"/>
  <c r="DE38"/>
  <c r="AL39"/>
  <c r="DF39" s="1"/>
  <c r="BQ39"/>
  <c r="AW40"/>
  <c r="DE40"/>
  <c r="AL41"/>
  <c r="DF41" s="1"/>
  <c r="BQ41"/>
  <c r="AK42"/>
  <c r="AL42" s="1"/>
  <c r="AW42"/>
  <c r="DE42"/>
  <c r="BQ43"/>
  <c r="AW44"/>
  <c r="DE44"/>
  <c r="AL45"/>
  <c r="DF45" s="1"/>
  <c r="BQ45"/>
  <c r="BQ46"/>
  <c r="AK47"/>
  <c r="AL47" s="1"/>
  <c r="AW47"/>
  <c r="DE47"/>
  <c r="AL48"/>
  <c r="DF48" s="1"/>
  <c r="BQ48"/>
  <c r="AW49"/>
  <c r="DE49"/>
  <c r="BQ50"/>
  <c r="AK51"/>
  <c r="AL51" s="1"/>
  <c r="AW51"/>
  <c r="DE51"/>
  <c r="AL52"/>
  <c r="DF52" s="1"/>
  <c r="BQ52"/>
  <c r="AK53"/>
  <c r="AL53" s="1"/>
  <c r="AW53"/>
  <c r="DE53"/>
  <c r="AL54"/>
  <c r="BQ54"/>
  <c r="CU57"/>
  <c r="DE57"/>
  <c r="BQ58"/>
  <c r="AK59"/>
  <c r="AL59" s="1"/>
  <c r="AW59"/>
  <c r="DE59"/>
  <c r="CU60"/>
  <c r="BQ60"/>
  <c r="DE60"/>
  <c r="CU61"/>
  <c r="BQ61"/>
  <c r="DE61"/>
  <c r="CU62"/>
  <c r="BQ62"/>
  <c r="DE62"/>
  <c r="AW63"/>
  <c r="CA63" s="1"/>
  <c r="AW64"/>
  <c r="CA64" s="1"/>
  <c r="AW65"/>
  <c r="CA65" s="1"/>
  <c r="AW66"/>
  <c r="CA66" s="1"/>
  <c r="AL71"/>
  <c r="DF71" s="1"/>
  <c r="AD75"/>
  <c r="AL83"/>
  <c r="DF83" s="1"/>
  <c r="AL86"/>
  <c r="BQ89"/>
  <c r="BQ91"/>
  <c r="BQ92"/>
  <c r="CA92" s="1"/>
  <c r="AW93"/>
  <c r="AX93" s="1"/>
  <c r="AK94"/>
  <c r="AW94"/>
  <c r="AL95"/>
  <c r="DF95" s="1"/>
  <c r="BQ95"/>
  <c r="AK96"/>
  <c r="AL96" s="1"/>
  <c r="AW96"/>
  <c r="DE96"/>
  <c r="AK97"/>
  <c r="AL97" s="1"/>
  <c r="AW97"/>
  <c r="DE97"/>
  <c r="AW98"/>
  <c r="BR99"/>
  <c r="AW99"/>
  <c r="AW100"/>
  <c r="AD100"/>
  <c r="AD7" s="1"/>
  <c r="CU101"/>
  <c r="BQ101"/>
  <c r="CA101" s="1"/>
  <c r="BQ102"/>
  <c r="CA102" s="1"/>
  <c r="AE103"/>
  <c r="AK103"/>
  <c r="AL103" s="1"/>
  <c r="CU103"/>
  <c r="DE103"/>
  <c r="AL104"/>
  <c r="DF104" s="1"/>
  <c r="BQ104"/>
  <c r="AC105"/>
  <c r="CU105" s="1"/>
  <c r="BQ105"/>
  <c r="CA105" s="1"/>
  <c r="AE106"/>
  <c r="AW106"/>
  <c r="BR13"/>
  <c r="CA13"/>
  <c r="AX14"/>
  <c r="BR15"/>
  <c r="BR19"/>
  <c r="DZ20"/>
  <c r="CV20"/>
  <c r="AX8"/>
  <c r="BR9"/>
  <c r="CA9"/>
  <c r="DZ10"/>
  <c r="CV10"/>
  <c r="AX11"/>
  <c r="DZ11"/>
  <c r="CV11"/>
  <c r="AX12"/>
  <c r="DZ12"/>
  <c r="CV12"/>
  <c r="AX13"/>
  <c r="AX15"/>
  <c r="BR16"/>
  <c r="CA16"/>
  <c r="AX17"/>
  <c r="DE17"/>
  <c r="CQ7"/>
  <c r="AX18"/>
  <c r="DE18"/>
  <c r="AX19"/>
  <c r="CV21"/>
  <c r="DZ21"/>
  <c r="CA14"/>
  <c r="CA20"/>
  <c r="BR8"/>
  <c r="CA8"/>
  <c r="AY9"/>
  <c r="AZ9" s="1"/>
  <c r="DG9" s="1"/>
  <c r="AX9"/>
  <c r="DZ14"/>
  <c r="CV14"/>
  <c r="AX16"/>
  <c r="AX20"/>
  <c r="DE24"/>
  <c r="AW23"/>
  <c r="CA23" s="1"/>
  <c r="X23"/>
  <c r="AE23" s="1"/>
  <c r="AW25"/>
  <c r="CA25" s="1"/>
  <c r="X25"/>
  <c r="AE25" s="1"/>
  <c r="BU26"/>
  <c r="EA26"/>
  <c r="CT26"/>
  <c r="DH26" s="1"/>
  <c r="AX26"/>
  <c r="BR27"/>
  <c r="CA27"/>
  <c r="AX28"/>
  <c r="DE28"/>
  <c r="AX29"/>
  <c r="AX30"/>
  <c r="BR31"/>
  <c r="CA31"/>
  <c r="BR33"/>
  <c r="CA33"/>
  <c r="AX34"/>
  <c r="BR35"/>
  <c r="CA35"/>
  <c r="AX36"/>
  <c r="BR37"/>
  <c r="CA37"/>
  <c r="AX38"/>
  <c r="BR39"/>
  <c r="CA39"/>
  <c r="AX40"/>
  <c r="BR41"/>
  <c r="CA41"/>
  <c r="AX42"/>
  <c r="BR43"/>
  <c r="CA43"/>
  <c r="AX44"/>
  <c r="BR45"/>
  <c r="CA45"/>
  <c r="AX47"/>
  <c r="BR48"/>
  <c r="CA48"/>
  <c r="AX49"/>
  <c r="BR50"/>
  <c r="CA50"/>
  <c r="AX51"/>
  <c r="BR52"/>
  <c r="CA52"/>
  <c r="AX53"/>
  <c r="DF54"/>
  <c r="BR54"/>
  <c r="CA54"/>
  <c r="AC8"/>
  <c r="AE8" s="1"/>
  <c r="BE8"/>
  <c r="DZ8"/>
  <c r="AC9"/>
  <c r="CU9" s="1"/>
  <c r="BE9"/>
  <c r="BF9" s="1"/>
  <c r="DZ9"/>
  <c r="X10"/>
  <c r="AE10" s="1"/>
  <c r="AK10"/>
  <c r="BR10"/>
  <c r="X11"/>
  <c r="AE11" s="1"/>
  <c r="AK11"/>
  <c r="BR11"/>
  <c r="CB11" s="1"/>
  <c r="X12"/>
  <c r="AE12" s="1"/>
  <c r="AK12"/>
  <c r="AL12" s="1"/>
  <c r="BR12"/>
  <c r="CB12" s="1"/>
  <c r="AC13"/>
  <c r="CU13" s="1"/>
  <c r="BE13"/>
  <c r="DZ13"/>
  <c r="AB14"/>
  <c r="AK14"/>
  <c r="AL14" s="1"/>
  <c r="BR14"/>
  <c r="CB14" s="1"/>
  <c r="W15"/>
  <c r="AC15"/>
  <c r="CU15" s="1"/>
  <c r="BE15"/>
  <c r="DZ15"/>
  <c r="AC16"/>
  <c r="CU16" s="1"/>
  <c r="BE16"/>
  <c r="BF16" s="1"/>
  <c r="DZ16"/>
  <c r="AC17"/>
  <c r="CU17" s="1"/>
  <c r="BE17"/>
  <c r="DZ17"/>
  <c r="AC18"/>
  <c r="CU18" s="1"/>
  <c r="BE18"/>
  <c r="DZ18"/>
  <c r="AC19"/>
  <c r="CU19" s="1"/>
  <c r="BE19"/>
  <c r="DZ19"/>
  <c r="AB20"/>
  <c r="AE20" s="1"/>
  <c r="AK20"/>
  <c r="AL20" s="1"/>
  <c r="BR20"/>
  <c r="CB20" s="1"/>
  <c r="X21"/>
  <c r="AE21" s="1"/>
  <c r="BE21"/>
  <c r="DE21"/>
  <c r="AC22"/>
  <c r="CU22" s="1"/>
  <c r="AL22"/>
  <c r="DF22" s="1"/>
  <c r="BE22"/>
  <c r="DZ22"/>
  <c r="DE23"/>
  <c r="BR24"/>
  <c r="AC24"/>
  <c r="CU24" s="1"/>
  <c r="BE24"/>
  <c r="DZ24"/>
  <c r="DE25"/>
  <c r="CA46"/>
  <c r="AW22"/>
  <c r="X22"/>
  <c r="DF23"/>
  <c r="AW24"/>
  <c r="X24"/>
  <c r="I26"/>
  <c r="Q26" s="1"/>
  <c r="BX26" s="1"/>
  <c r="G26"/>
  <c r="AX27"/>
  <c r="CA28"/>
  <c r="BR29"/>
  <c r="CA29"/>
  <c r="EC29" s="1"/>
  <c r="BR30"/>
  <c r="CB30" s="1"/>
  <c r="CA30"/>
  <c r="AX31"/>
  <c r="BR32"/>
  <c r="CA32"/>
  <c r="AX33"/>
  <c r="BR34"/>
  <c r="CB34" s="1"/>
  <c r="CA34"/>
  <c r="AY35"/>
  <c r="AZ35" s="1"/>
  <c r="DG35" s="1"/>
  <c r="AX35"/>
  <c r="BR36"/>
  <c r="CA36"/>
  <c r="AX37"/>
  <c r="BR38"/>
  <c r="CB38" s="1"/>
  <c r="CA38"/>
  <c r="AX39"/>
  <c r="BR40"/>
  <c r="CB40" s="1"/>
  <c r="CA40"/>
  <c r="AX41"/>
  <c r="BR42"/>
  <c r="CB42" s="1"/>
  <c r="CA42"/>
  <c r="AX43"/>
  <c r="BR44"/>
  <c r="CB44" s="1"/>
  <c r="CA44"/>
  <c r="AY45"/>
  <c r="AZ45" s="1"/>
  <c r="DG45" s="1"/>
  <c r="AX45"/>
  <c r="AX46"/>
  <c r="BR47"/>
  <c r="CB47" s="1"/>
  <c r="CA47"/>
  <c r="AX48"/>
  <c r="BR49"/>
  <c r="CB49" s="1"/>
  <c r="CA49"/>
  <c r="AX50"/>
  <c r="BR51"/>
  <c r="CB51" s="1"/>
  <c r="CA51"/>
  <c r="AY52"/>
  <c r="AZ52" s="1"/>
  <c r="DG52" s="1"/>
  <c r="AX52"/>
  <c r="BR53"/>
  <c r="CB53" s="1"/>
  <c r="CA53"/>
  <c r="AY54"/>
  <c r="AZ54" s="1"/>
  <c r="DG54" s="1"/>
  <c r="AX54"/>
  <c r="BE10"/>
  <c r="BE11"/>
  <c r="BE12"/>
  <c r="BF12" s="1"/>
  <c r="BE14"/>
  <c r="BF14" s="1"/>
  <c r="BE20"/>
  <c r="BF20" s="1"/>
  <c r="BR21"/>
  <c r="CB21" s="1"/>
  <c r="DE22"/>
  <c r="BR23"/>
  <c r="BE23"/>
  <c r="BF23" s="1"/>
  <c r="BR25"/>
  <c r="BE25"/>
  <c r="BF25" s="1"/>
  <c r="DK26"/>
  <c r="BR58"/>
  <c r="CA58"/>
  <c r="AX59"/>
  <c r="AX63"/>
  <c r="DZ63"/>
  <c r="CV63"/>
  <c r="AX64"/>
  <c r="DZ64"/>
  <c r="CV64"/>
  <c r="AX65"/>
  <c r="DZ65"/>
  <c r="CV65"/>
  <c r="DZ66"/>
  <c r="CV66"/>
  <c r="AX67"/>
  <c r="DZ67"/>
  <c r="CV67"/>
  <c r="DZ68"/>
  <c r="CV68"/>
  <c r="AX69"/>
  <c r="DZ69"/>
  <c r="CV69"/>
  <c r="AY70"/>
  <c r="AZ70" s="1"/>
  <c r="DG70" s="1"/>
  <c r="AX70"/>
  <c r="BR71"/>
  <c r="CA71"/>
  <c r="AY72"/>
  <c r="AZ72" s="1"/>
  <c r="DG72" s="1"/>
  <c r="AX72"/>
  <c r="BR73"/>
  <c r="CA73"/>
  <c r="DZ75"/>
  <c r="CV75"/>
  <c r="AK26"/>
  <c r="AL26" s="1"/>
  <c r="BE26"/>
  <c r="BF26" s="1"/>
  <c r="BR26"/>
  <c r="CB26" s="1"/>
  <c r="AC27"/>
  <c r="CU27" s="1"/>
  <c r="BE27"/>
  <c r="BF27" s="1"/>
  <c r="DZ27"/>
  <c r="AC28"/>
  <c r="CU28" s="1"/>
  <c r="AG28"/>
  <c r="BE28"/>
  <c r="DZ28"/>
  <c r="AC29"/>
  <c r="CU29" s="1"/>
  <c r="BE29"/>
  <c r="CG29"/>
  <c r="CH29" s="1"/>
  <c r="DZ29"/>
  <c r="AC30"/>
  <c r="CU30" s="1"/>
  <c r="BE30"/>
  <c r="DZ30"/>
  <c r="AC31"/>
  <c r="CU31" s="1"/>
  <c r="BE31"/>
  <c r="BF31" s="1"/>
  <c r="DZ31"/>
  <c r="AC32"/>
  <c r="CU32" s="1"/>
  <c r="BE32"/>
  <c r="BF32" s="1"/>
  <c r="DZ32"/>
  <c r="AC33"/>
  <c r="CU33" s="1"/>
  <c r="BE33"/>
  <c r="DZ33"/>
  <c r="AC34"/>
  <c r="CU34" s="1"/>
  <c r="BE34"/>
  <c r="BF34" s="1"/>
  <c r="DZ34"/>
  <c r="AC35"/>
  <c r="CU35" s="1"/>
  <c r="BE35"/>
  <c r="DZ35"/>
  <c r="AC36"/>
  <c r="CU36" s="1"/>
  <c r="BE36"/>
  <c r="DZ36"/>
  <c r="AC37"/>
  <c r="CU37" s="1"/>
  <c r="BE37"/>
  <c r="DZ37"/>
  <c r="AC38"/>
  <c r="CU38" s="1"/>
  <c r="BE38"/>
  <c r="BF38" s="1"/>
  <c r="DZ38"/>
  <c r="AC39"/>
  <c r="CU39" s="1"/>
  <c r="BE39"/>
  <c r="DZ39"/>
  <c r="AC40"/>
  <c r="CU40" s="1"/>
  <c r="AG40"/>
  <c r="BE40"/>
  <c r="DZ40"/>
  <c r="AC41"/>
  <c r="CU41" s="1"/>
  <c r="BE41"/>
  <c r="DZ41"/>
  <c r="AC42"/>
  <c r="CU42" s="1"/>
  <c r="BE42"/>
  <c r="BF42" s="1"/>
  <c r="DZ42"/>
  <c r="AC43"/>
  <c r="CU43" s="1"/>
  <c r="BE43"/>
  <c r="BF43" s="1"/>
  <c r="DZ43"/>
  <c r="AC44"/>
  <c r="CU44" s="1"/>
  <c r="AG44"/>
  <c r="BE44"/>
  <c r="DZ44"/>
  <c r="AC45"/>
  <c r="CU45" s="1"/>
  <c r="BE45"/>
  <c r="BF45" s="1"/>
  <c r="DZ45"/>
  <c r="AA46"/>
  <c r="AC46"/>
  <c r="CU46" s="1"/>
  <c r="AG46"/>
  <c r="DZ46"/>
  <c r="AC47"/>
  <c r="CU47" s="1"/>
  <c r="BE47"/>
  <c r="BF47" s="1"/>
  <c r="DZ47"/>
  <c r="AC48"/>
  <c r="CU48" s="1"/>
  <c r="AG48"/>
  <c r="BE48"/>
  <c r="BF48" s="1"/>
  <c r="DZ48"/>
  <c r="AC49"/>
  <c r="CU49" s="1"/>
  <c r="BE49"/>
  <c r="DZ49"/>
  <c r="AC50"/>
  <c r="CU50" s="1"/>
  <c r="BE50"/>
  <c r="BF50" s="1"/>
  <c r="DZ50"/>
  <c r="AC51"/>
  <c r="CU51" s="1"/>
  <c r="BE51"/>
  <c r="BF51" s="1"/>
  <c r="DZ51"/>
  <c r="AC52"/>
  <c r="CU52" s="1"/>
  <c r="BE52"/>
  <c r="DZ52"/>
  <c r="AC53"/>
  <c r="CU53" s="1"/>
  <c r="AG53"/>
  <c r="BE53"/>
  <c r="BF53" s="1"/>
  <c r="DZ53"/>
  <c r="AC54"/>
  <c r="CU54" s="1"/>
  <c r="AG54"/>
  <c r="BE54"/>
  <c r="DE54"/>
  <c r="AB55"/>
  <c r="AE55" s="1"/>
  <c r="CU55"/>
  <c r="AW55"/>
  <c r="CA55" s="1"/>
  <c r="DE55"/>
  <c r="CV55"/>
  <c r="AE56"/>
  <c r="X57"/>
  <c r="AE57" s="1"/>
  <c r="AL57"/>
  <c r="AW57"/>
  <c r="CA57" s="1"/>
  <c r="CA60"/>
  <c r="CA61"/>
  <c r="CA62"/>
  <c r="CV57"/>
  <c r="DZ57"/>
  <c r="BR57"/>
  <c r="AX58"/>
  <c r="BR59"/>
  <c r="CB59" s="1"/>
  <c r="CA59"/>
  <c r="AX60"/>
  <c r="DZ60"/>
  <c r="CV60"/>
  <c r="AX61"/>
  <c r="DZ61"/>
  <c r="CV61"/>
  <c r="AX62"/>
  <c r="DZ62"/>
  <c r="CV62"/>
  <c r="BU63"/>
  <c r="EA63"/>
  <c r="CT63"/>
  <c r="DH63" s="1"/>
  <c r="DK63" s="1"/>
  <c r="BR70"/>
  <c r="CB70" s="1"/>
  <c r="CA70"/>
  <c r="AY71"/>
  <c r="AZ71" s="1"/>
  <c r="DG71" s="1"/>
  <c r="AX71"/>
  <c r="DF72"/>
  <c r="BR72"/>
  <c r="CB72" s="1"/>
  <c r="CA72"/>
  <c r="AX73"/>
  <c r="CV54"/>
  <c r="AW56"/>
  <c r="CG78"/>
  <c r="CH78" s="1"/>
  <c r="AY79"/>
  <c r="AZ79" s="1"/>
  <c r="DG79" s="1"/>
  <c r="AX79"/>
  <c r="BR80"/>
  <c r="CA80"/>
  <c r="AX81"/>
  <c r="AX82"/>
  <c r="BR83"/>
  <c r="CA83"/>
  <c r="AX84"/>
  <c r="BU85"/>
  <c r="EA85"/>
  <c r="CT85"/>
  <c r="DH85" s="1"/>
  <c r="AM86"/>
  <c r="BA86" s="1"/>
  <c r="BB86" s="1"/>
  <c r="DF86"/>
  <c r="DZ87"/>
  <c r="CV87"/>
  <c r="BU88"/>
  <c r="EA88"/>
  <c r="CT88"/>
  <c r="DH88" s="1"/>
  <c r="I89"/>
  <c r="Q89" s="1"/>
  <c r="BX89" s="1"/>
  <c r="G89"/>
  <c r="CG90"/>
  <c r="CH90" s="1"/>
  <c r="BE55"/>
  <c r="BE56"/>
  <c r="BF56" s="1"/>
  <c r="BE57"/>
  <c r="BF57" s="1"/>
  <c r="AC58"/>
  <c r="CU58" s="1"/>
  <c r="BE58"/>
  <c r="DZ58"/>
  <c r="AC59"/>
  <c r="CU59" s="1"/>
  <c r="BE59"/>
  <c r="BF59" s="1"/>
  <c r="DZ59"/>
  <c r="Z60"/>
  <c r="Z7" s="1"/>
  <c r="AK60"/>
  <c r="AL60" s="1"/>
  <c r="BR60"/>
  <c r="X61"/>
  <c r="AE61" s="1"/>
  <c r="AK61"/>
  <c r="AL61" s="1"/>
  <c r="BR61"/>
  <c r="AB62"/>
  <c r="AE62" s="1"/>
  <c r="AK62"/>
  <c r="AL62" s="1"/>
  <c r="BR62"/>
  <c r="AK63"/>
  <c r="AL63" s="1"/>
  <c r="BR63"/>
  <c r="CB63" s="1"/>
  <c r="AB64"/>
  <c r="AE64" s="1"/>
  <c r="AK64"/>
  <c r="BR64"/>
  <c r="CB64" s="1"/>
  <c r="AB65"/>
  <c r="AE65" s="1"/>
  <c r="AK65"/>
  <c r="BR65"/>
  <c r="CB65" s="1"/>
  <c r="AB66"/>
  <c r="AE66" s="1"/>
  <c r="AK66"/>
  <c r="BR66"/>
  <c r="X67"/>
  <c r="AE67" s="1"/>
  <c r="AK67"/>
  <c r="AL67" s="1"/>
  <c r="BR67"/>
  <c r="CB67" s="1"/>
  <c r="AB68"/>
  <c r="AE68" s="1"/>
  <c r="AK68"/>
  <c r="BR68"/>
  <c r="AB69"/>
  <c r="AE69" s="1"/>
  <c r="AH69"/>
  <c r="AK69"/>
  <c r="BR69"/>
  <c r="AC70"/>
  <c r="CU70" s="1"/>
  <c r="BE70"/>
  <c r="BF70" s="1"/>
  <c r="DZ70"/>
  <c r="AC71"/>
  <c r="CU71" s="1"/>
  <c r="BE71"/>
  <c r="BF71" s="1"/>
  <c r="DZ71"/>
  <c r="AC72"/>
  <c r="CU72" s="1"/>
  <c r="BE72"/>
  <c r="BF72" s="1"/>
  <c r="DZ72"/>
  <c r="AC73"/>
  <c r="CU73" s="1"/>
  <c r="BE73"/>
  <c r="DE73"/>
  <c r="DZ73"/>
  <c r="DE74"/>
  <c r="AE75"/>
  <c r="AL75"/>
  <c r="CU75"/>
  <c r="AW75"/>
  <c r="DE75"/>
  <c r="AE76"/>
  <c r="AB77"/>
  <c r="AL77"/>
  <c r="DF77" s="1"/>
  <c r="CU77"/>
  <c r="AW77"/>
  <c r="CA77" s="1"/>
  <c r="DE77"/>
  <c r="CV77"/>
  <c r="AE78"/>
  <c r="CA85"/>
  <c r="DK85"/>
  <c r="CA88"/>
  <c r="DK88"/>
  <c r="CA89"/>
  <c r="AG78"/>
  <c r="BR79"/>
  <c r="CB79" s="1"/>
  <c r="CA79"/>
  <c r="AX80"/>
  <c r="CA81"/>
  <c r="BR82"/>
  <c r="CB82" s="1"/>
  <c r="CA82"/>
  <c r="AY83"/>
  <c r="AZ83" s="1"/>
  <c r="DG83" s="1"/>
  <c r="AX83"/>
  <c r="BR84"/>
  <c r="AX85"/>
  <c r="DZ85"/>
  <c r="CV85"/>
  <c r="BR86"/>
  <c r="DE86"/>
  <c r="AX88"/>
  <c r="DZ88"/>
  <c r="CV88"/>
  <c r="DY88" s="1"/>
  <c r="EA89"/>
  <c r="BU89"/>
  <c r="CT89"/>
  <c r="DH89" s="1"/>
  <c r="AX89"/>
  <c r="BE60"/>
  <c r="BF60" s="1"/>
  <c r="BE61"/>
  <c r="BF61" s="1"/>
  <c r="BE62"/>
  <c r="BF62" s="1"/>
  <c r="BE63"/>
  <c r="BF63" s="1"/>
  <c r="BE64"/>
  <c r="BE65"/>
  <c r="BE66"/>
  <c r="BE67"/>
  <c r="BF67" s="1"/>
  <c r="BE68"/>
  <c r="BE69"/>
  <c r="DE69"/>
  <c r="CA75"/>
  <c r="AW76"/>
  <c r="AE77"/>
  <c r="AW78"/>
  <c r="AX94"/>
  <c r="DE94"/>
  <c r="AY95"/>
  <c r="AZ95" s="1"/>
  <c r="DG95" s="1"/>
  <c r="AX95"/>
  <c r="BR96"/>
  <c r="CA96"/>
  <c r="BR97"/>
  <c r="CA97"/>
  <c r="BE75"/>
  <c r="BF75" s="1"/>
  <c r="BE76"/>
  <c r="BE77"/>
  <c r="BE78"/>
  <c r="AC79"/>
  <c r="CU79" s="1"/>
  <c r="BE79"/>
  <c r="BF79" s="1"/>
  <c r="DZ79"/>
  <c r="AC80"/>
  <c r="CU80" s="1"/>
  <c r="BE80"/>
  <c r="DZ80"/>
  <c r="AC81"/>
  <c r="CU81" s="1"/>
  <c r="BE81"/>
  <c r="DZ81"/>
  <c r="Y82"/>
  <c r="Y7" s="1"/>
  <c r="AC82"/>
  <c r="CU82" s="1"/>
  <c r="AG82"/>
  <c r="BE82"/>
  <c r="DZ82"/>
  <c r="AC83"/>
  <c r="CU83" s="1"/>
  <c r="BE83"/>
  <c r="BF83" s="1"/>
  <c r="DZ83"/>
  <c r="AC84"/>
  <c r="CU84" s="1"/>
  <c r="BE84"/>
  <c r="DZ84"/>
  <c r="AK85"/>
  <c r="AL85" s="1"/>
  <c r="BR85"/>
  <c r="DY85"/>
  <c r="AO86"/>
  <c r="BE86"/>
  <c r="CV86"/>
  <c r="AB87"/>
  <c r="AE87" s="1"/>
  <c r="AK87"/>
  <c r="BR87"/>
  <c r="AK88"/>
  <c r="AL88" s="1"/>
  <c r="BR88"/>
  <c r="AK89"/>
  <c r="AL89" s="1"/>
  <c r="BE89"/>
  <c r="BF89" s="1"/>
  <c r="BR89"/>
  <c r="CB89" s="1"/>
  <c r="CV89"/>
  <c r="G90"/>
  <c r="AE90"/>
  <c r="AL90"/>
  <c r="DF90" s="1"/>
  <c r="BS90"/>
  <c r="AC91"/>
  <c r="CU91" s="1"/>
  <c r="AL91"/>
  <c r="DF91" s="1"/>
  <c r="BE91"/>
  <c r="BF91" s="1"/>
  <c r="DZ91"/>
  <c r="W92"/>
  <c r="BR92"/>
  <c r="CB92" s="1"/>
  <c r="AC92"/>
  <c r="CU92" s="1"/>
  <c r="AL92"/>
  <c r="DF92" s="1"/>
  <c r="BE92"/>
  <c r="BF92" s="1"/>
  <c r="DZ92"/>
  <c r="W93"/>
  <c r="BR93"/>
  <c r="CB93" s="1"/>
  <c r="AC93"/>
  <c r="CU93" s="1"/>
  <c r="AL93"/>
  <c r="BE93"/>
  <c r="AW91"/>
  <c r="AB91"/>
  <c r="AE91" s="1"/>
  <c r="DZ93"/>
  <c r="CV93"/>
  <c r="DE93"/>
  <c r="BR94"/>
  <c r="CB94" s="1"/>
  <c r="CA94"/>
  <c r="BR95"/>
  <c r="CA95"/>
  <c r="AX96"/>
  <c r="AX97"/>
  <c r="BE85"/>
  <c r="BF85" s="1"/>
  <c r="BE87"/>
  <c r="BE88"/>
  <c r="BF88" s="1"/>
  <c r="DE89"/>
  <c r="AX90"/>
  <c r="CA90"/>
  <c r="BR90"/>
  <c r="CB90" s="1"/>
  <c r="CV90"/>
  <c r="BR91"/>
  <c r="DE91"/>
  <c r="DE92"/>
  <c r="AY93"/>
  <c r="AZ93" s="1"/>
  <c r="DG93" s="1"/>
  <c r="AX101"/>
  <c r="CV101"/>
  <c r="DZ101"/>
  <c r="AX102"/>
  <c r="BR103"/>
  <c r="BU104"/>
  <c r="EA104"/>
  <c r="CT104"/>
  <c r="DH104" s="1"/>
  <c r="AX105"/>
  <c r="W94"/>
  <c r="AC94"/>
  <c r="CU94" s="1"/>
  <c r="BE94"/>
  <c r="DZ94"/>
  <c r="W95"/>
  <c r="AC95"/>
  <c r="CU95" s="1"/>
  <c r="BE95"/>
  <c r="BF95" s="1"/>
  <c r="DZ95"/>
  <c r="AC96"/>
  <c r="CU96" s="1"/>
  <c r="BE96"/>
  <c r="BF96" s="1"/>
  <c r="DZ96"/>
  <c r="W97"/>
  <c r="AC97"/>
  <c r="CU97" s="1"/>
  <c r="BE97"/>
  <c r="BF97" s="1"/>
  <c r="BS97" s="1"/>
  <c r="DZ97"/>
  <c r="CA98"/>
  <c r="CA99"/>
  <c r="CA100"/>
  <c r="BR101"/>
  <c r="BR102"/>
  <c r="DK104"/>
  <c r="CA106"/>
  <c r="AX98"/>
  <c r="CB98" s="1"/>
  <c r="CV98"/>
  <c r="DZ98"/>
  <c r="AX99"/>
  <c r="CB99" s="1"/>
  <c r="CV99"/>
  <c r="DZ99"/>
  <c r="AX100"/>
  <c r="CV100"/>
  <c r="DZ100"/>
  <c r="I102"/>
  <c r="Q102" s="1"/>
  <c r="BX102" s="1"/>
  <c r="G102"/>
  <c r="BU103"/>
  <c r="EA103"/>
  <c r="CT103"/>
  <c r="DH103" s="1"/>
  <c r="BU106"/>
  <c r="EA106"/>
  <c r="EB106" s="1"/>
  <c r="CT106"/>
  <c r="DH106" s="1"/>
  <c r="DK106" s="1"/>
  <c r="AX106"/>
  <c r="DZ106"/>
  <c r="CV106"/>
  <c r="DK103"/>
  <c r="AL98"/>
  <c r="BE98"/>
  <c r="DE98"/>
  <c r="AL99"/>
  <c r="DF99" s="1"/>
  <c r="BE99"/>
  <c r="BF99" s="1"/>
  <c r="DE99"/>
  <c r="AL100"/>
  <c r="BE100"/>
  <c r="BF100" s="1"/>
  <c r="BR100"/>
  <c r="DE100"/>
  <c r="AL101"/>
  <c r="DF101" s="1"/>
  <c r="BE101"/>
  <c r="BF101" s="1"/>
  <c r="DE101"/>
  <c r="AL102"/>
  <c r="DF102" s="1"/>
  <c r="DE102"/>
  <c r="AW103"/>
  <c r="CV103"/>
  <c r="AW104"/>
  <c r="CA104" s="1"/>
  <c r="BR104"/>
  <c r="CV104"/>
  <c r="CV105"/>
  <c r="AK106"/>
  <c r="AL106" s="1"/>
  <c r="BR106"/>
  <c r="AB98"/>
  <c r="AE98" s="1"/>
  <c r="AB99"/>
  <c r="AE99" s="1"/>
  <c r="AB100"/>
  <c r="AE100" s="1"/>
  <c r="AH100"/>
  <c r="AB101"/>
  <c r="AE101" s="1"/>
  <c r="BE102"/>
  <c r="BF102" s="1"/>
  <c r="BE103"/>
  <c r="BF103" s="1"/>
  <c r="BE104"/>
  <c r="BF104" s="1"/>
  <c r="BE105"/>
  <c r="BE106"/>
  <c r="BF106" s="1"/>
  <c r="DN94" i="2"/>
  <c r="DN86"/>
  <c r="DN75"/>
  <c r="DO104"/>
  <c r="DO101"/>
  <c r="DO100"/>
  <c r="DO94"/>
  <c r="DO87"/>
  <c r="DO86"/>
  <c r="DO84"/>
  <c r="DO83"/>
  <c r="DO82"/>
  <c r="DO81"/>
  <c r="DO80"/>
  <c r="DO78"/>
  <c r="DO77"/>
  <c r="DO76"/>
  <c r="DO75"/>
  <c r="DO74"/>
  <c r="DO73"/>
  <c r="DO72"/>
  <c r="DO69"/>
  <c r="DO68"/>
  <c r="DO66"/>
  <c r="DO65"/>
  <c r="DO64"/>
  <c r="DO62"/>
  <c r="DO61"/>
  <c r="DO60"/>
  <c r="DO58"/>
  <c r="DO57"/>
  <c r="DO56"/>
  <c r="DO55"/>
  <c r="DO54"/>
  <c r="DO53"/>
  <c r="DO50"/>
  <c r="DO49"/>
  <c r="DO48"/>
  <c r="DO46"/>
  <c r="DO44"/>
  <c r="DO43"/>
  <c r="DO41"/>
  <c r="DO40"/>
  <c r="DO39"/>
  <c r="DO38"/>
  <c r="DO37"/>
  <c r="DO36"/>
  <c r="DO32"/>
  <c r="DO31"/>
  <c r="DO30"/>
  <c r="DO29"/>
  <c r="DO28"/>
  <c r="DO25"/>
  <c r="DO24"/>
  <c r="DO23"/>
  <c r="DO22"/>
  <c r="DO21"/>
  <c r="DO20"/>
  <c r="DO18"/>
  <c r="DO17"/>
  <c r="CH108"/>
  <c r="BZ108"/>
  <c r="AL108"/>
  <c r="CH107"/>
  <c r="BZ107"/>
  <c r="AL107"/>
  <c r="AK107"/>
  <c r="DO106"/>
  <c r="CZ106"/>
  <c r="CY106"/>
  <c r="S106" s="1"/>
  <c r="CS106"/>
  <c r="CR106"/>
  <c r="CQ106"/>
  <c r="BX106"/>
  <c r="CG106" s="1"/>
  <c r="CH106" s="1"/>
  <c r="BP106"/>
  <c r="BO106"/>
  <c r="BJ106"/>
  <c r="BD106"/>
  <c r="AV106"/>
  <c r="AD106" s="1"/>
  <c r="AU106"/>
  <c r="AC106" s="1"/>
  <c r="CU106" s="1"/>
  <c r="AP106"/>
  <c r="AJ106"/>
  <c r="AB106"/>
  <c r="AA106"/>
  <c r="Z106"/>
  <c r="Y106"/>
  <c r="W106"/>
  <c r="I106"/>
  <c r="H106"/>
  <c r="G106"/>
  <c r="DO105"/>
  <c r="CZ105"/>
  <c r="CY105"/>
  <c r="S105" s="1"/>
  <c r="CS105"/>
  <c r="CR105"/>
  <c r="CQ105"/>
  <c r="BP105"/>
  <c r="BO105"/>
  <c r="BJ105"/>
  <c r="X105" s="1"/>
  <c r="BD105"/>
  <c r="AV105"/>
  <c r="AD105" s="1"/>
  <c r="DZ105" s="1"/>
  <c r="AU105"/>
  <c r="AC105" s="1"/>
  <c r="AS105"/>
  <c r="AA105" s="1"/>
  <c r="AJ105"/>
  <c r="AK105" s="1"/>
  <c r="AB105"/>
  <c r="Z105"/>
  <c r="Y105"/>
  <c r="W105"/>
  <c r="I105"/>
  <c r="H105"/>
  <c r="G105"/>
  <c r="CZ104"/>
  <c r="CY104"/>
  <c r="S104" s="1"/>
  <c r="CS104"/>
  <c r="CR104"/>
  <c r="CQ104"/>
  <c r="BP104"/>
  <c r="BO104"/>
  <c r="BN104"/>
  <c r="BD104"/>
  <c r="AV104"/>
  <c r="AD104" s="1"/>
  <c r="DZ104" s="1"/>
  <c r="AU104"/>
  <c r="AC104" s="1"/>
  <c r="AT104"/>
  <c r="AJ104"/>
  <c r="AK104" s="1"/>
  <c r="AB104"/>
  <c r="AA104"/>
  <c r="Z104"/>
  <c r="Y104"/>
  <c r="X104"/>
  <c r="W104"/>
  <c r="I104"/>
  <c r="H104"/>
  <c r="G104"/>
  <c r="DO103"/>
  <c r="CZ103"/>
  <c r="CY103"/>
  <c r="CS103"/>
  <c r="CR103"/>
  <c r="CQ103"/>
  <c r="BP103"/>
  <c r="BO103"/>
  <c r="BL103"/>
  <c r="BD103"/>
  <c r="AV103"/>
  <c r="AD103" s="1"/>
  <c r="DZ103" s="1"/>
  <c r="AU103"/>
  <c r="AC103" s="1"/>
  <c r="AR103"/>
  <c r="AJ103"/>
  <c r="AK103" s="1"/>
  <c r="AB103"/>
  <c r="AA103"/>
  <c r="Z103"/>
  <c r="Y103"/>
  <c r="X103"/>
  <c r="W103"/>
  <c r="S103"/>
  <c r="I103"/>
  <c r="H103"/>
  <c r="G103"/>
  <c r="DO102"/>
  <c r="CZ102"/>
  <c r="CY102"/>
  <c r="S102" s="1"/>
  <c r="CS102"/>
  <c r="CR102"/>
  <c r="CQ102"/>
  <c r="BP102"/>
  <c r="BO102"/>
  <c r="BD102"/>
  <c r="AV102"/>
  <c r="AU102"/>
  <c r="AJ102"/>
  <c r="AK102" s="1"/>
  <c r="AB102"/>
  <c r="AA102"/>
  <c r="Z102"/>
  <c r="Y102"/>
  <c r="X102"/>
  <c r="W102"/>
  <c r="H102"/>
  <c r="P102" s="1"/>
  <c r="CZ101"/>
  <c r="CY101"/>
  <c r="S101" s="1"/>
  <c r="CS101"/>
  <c r="CR101"/>
  <c r="CQ101"/>
  <c r="BP101"/>
  <c r="BO101"/>
  <c r="BN101"/>
  <c r="BD101"/>
  <c r="AV101"/>
  <c r="AD101" s="1"/>
  <c r="AU101"/>
  <c r="AC101" s="1"/>
  <c r="AT101"/>
  <c r="AJ101"/>
  <c r="AK101" s="1"/>
  <c r="AA101"/>
  <c r="Z101"/>
  <c r="Y101"/>
  <c r="X101"/>
  <c r="W101"/>
  <c r="I101"/>
  <c r="H101"/>
  <c r="G101"/>
  <c r="CZ100"/>
  <c r="CY100"/>
  <c r="S100" s="1"/>
  <c r="CS100"/>
  <c r="CR100"/>
  <c r="CQ100"/>
  <c r="BP100"/>
  <c r="BO100"/>
  <c r="BN100"/>
  <c r="BD100"/>
  <c r="AV100"/>
  <c r="AD100" s="1"/>
  <c r="AU100"/>
  <c r="AC100" s="1"/>
  <c r="AT100"/>
  <c r="AJ100"/>
  <c r="AK100" s="1"/>
  <c r="AA100"/>
  <c r="Z100"/>
  <c r="Y100"/>
  <c r="X100"/>
  <c r="W100"/>
  <c r="I100"/>
  <c r="H100"/>
  <c r="G100"/>
  <c r="DO99"/>
  <c r="CZ99"/>
  <c r="CY99"/>
  <c r="S99" s="1"/>
  <c r="CS99"/>
  <c r="CR99"/>
  <c r="CQ99"/>
  <c r="BP99"/>
  <c r="BO99"/>
  <c r="BN99"/>
  <c r="BD99"/>
  <c r="AV99"/>
  <c r="AD99" s="1"/>
  <c r="AU99"/>
  <c r="AC99" s="1"/>
  <c r="AT99"/>
  <c r="AJ99"/>
  <c r="AK99" s="1"/>
  <c r="AA99"/>
  <c r="Z99"/>
  <c r="Y99"/>
  <c r="X99"/>
  <c r="W99"/>
  <c r="I99"/>
  <c r="H99"/>
  <c r="G99"/>
  <c r="DO98"/>
  <c r="CZ98"/>
  <c r="CY98"/>
  <c r="S98" s="1"/>
  <c r="CS98"/>
  <c r="CR98"/>
  <c r="CQ98"/>
  <c r="BP98"/>
  <c r="BO98"/>
  <c r="BN98"/>
  <c r="BD98"/>
  <c r="AV98"/>
  <c r="AD98" s="1"/>
  <c r="AU98"/>
  <c r="AC98" s="1"/>
  <c r="AT98"/>
  <c r="AJ98"/>
  <c r="AK98" s="1"/>
  <c r="AA98"/>
  <c r="Z98"/>
  <c r="Y98"/>
  <c r="X98"/>
  <c r="W98"/>
  <c r="I98"/>
  <c r="H98"/>
  <c r="G98"/>
  <c r="DO97"/>
  <c r="CZ97"/>
  <c r="CY97"/>
  <c r="CS97"/>
  <c r="CR97"/>
  <c r="CQ97"/>
  <c r="BP97"/>
  <c r="BO97"/>
  <c r="BQ97" s="1"/>
  <c r="BI97"/>
  <c r="BD97"/>
  <c r="AV97"/>
  <c r="AD97" s="1"/>
  <c r="AU97"/>
  <c r="AC97" s="1"/>
  <c r="CU97" s="1"/>
  <c r="AO97"/>
  <c r="AJ97"/>
  <c r="AB97"/>
  <c r="AA97"/>
  <c r="Z97"/>
  <c r="Y97"/>
  <c r="X97"/>
  <c r="W97"/>
  <c r="S97"/>
  <c r="I97"/>
  <c r="H97"/>
  <c r="G97"/>
  <c r="DO96"/>
  <c r="CZ96"/>
  <c r="CY96"/>
  <c r="S96" s="1"/>
  <c r="CS96"/>
  <c r="CR96"/>
  <c r="CQ96"/>
  <c r="BP96"/>
  <c r="BO96"/>
  <c r="BJ96"/>
  <c r="BD96"/>
  <c r="AV96"/>
  <c r="AD96" s="1"/>
  <c r="AU96"/>
  <c r="AC96" s="1"/>
  <c r="AP96"/>
  <c r="AJ96"/>
  <c r="AB96"/>
  <c r="AA96"/>
  <c r="Z96"/>
  <c r="Y96"/>
  <c r="W96"/>
  <c r="I96"/>
  <c r="H96"/>
  <c r="G96"/>
  <c r="DO95"/>
  <c r="CZ95"/>
  <c r="CY95"/>
  <c r="CS95"/>
  <c r="CR95"/>
  <c r="CQ95"/>
  <c r="BP95"/>
  <c r="BO95"/>
  <c r="BI95"/>
  <c r="BD95"/>
  <c r="AV95"/>
  <c r="AD95" s="1"/>
  <c r="AU95"/>
  <c r="AC95" s="1"/>
  <c r="AO95"/>
  <c r="W95" s="1"/>
  <c r="AJ95"/>
  <c r="AB95"/>
  <c r="AA95"/>
  <c r="Z95"/>
  <c r="Y95"/>
  <c r="X95"/>
  <c r="S95"/>
  <c r="I95"/>
  <c r="H95"/>
  <c r="G95"/>
  <c r="CZ94"/>
  <c r="CY94"/>
  <c r="S94" s="1"/>
  <c r="CS94"/>
  <c r="CR94"/>
  <c r="CQ94"/>
  <c r="BP94"/>
  <c r="BO94"/>
  <c r="BI94"/>
  <c r="BD94"/>
  <c r="AV94"/>
  <c r="AD94" s="1"/>
  <c r="AU94"/>
  <c r="AO94"/>
  <c r="AJ94"/>
  <c r="AG94"/>
  <c r="AC94"/>
  <c r="AB94"/>
  <c r="AA94"/>
  <c r="Z94"/>
  <c r="Y94"/>
  <c r="X94"/>
  <c r="I94"/>
  <c r="H94"/>
  <c r="G94"/>
  <c r="DO93"/>
  <c r="CZ93"/>
  <c r="CY93"/>
  <c r="S93" s="1"/>
  <c r="CS93"/>
  <c r="CR93"/>
  <c r="CQ93"/>
  <c r="BP93"/>
  <c r="BO93"/>
  <c r="BI93"/>
  <c r="BD93"/>
  <c r="AV93"/>
  <c r="AD93" s="1"/>
  <c r="AU93"/>
  <c r="AC93" s="1"/>
  <c r="CU93" s="1"/>
  <c r="AO93"/>
  <c r="AJ93"/>
  <c r="AB93"/>
  <c r="AA93"/>
  <c r="Z93"/>
  <c r="Y93"/>
  <c r="X93"/>
  <c r="W93"/>
  <c r="I93"/>
  <c r="H93"/>
  <c r="G93"/>
  <c r="DO92"/>
  <c r="CZ92"/>
  <c r="CY92"/>
  <c r="S92" s="1"/>
  <c r="CS92"/>
  <c r="CR92"/>
  <c r="CQ92"/>
  <c r="BP92"/>
  <c r="BO92"/>
  <c r="BI92"/>
  <c r="BD92"/>
  <c r="AV92"/>
  <c r="AD92" s="1"/>
  <c r="AU92"/>
  <c r="AC92" s="1"/>
  <c r="AO92"/>
  <c r="W92" s="1"/>
  <c r="AJ92"/>
  <c r="AB92"/>
  <c r="AA92"/>
  <c r="Z92"/>
  <c r="Y92"/>
  <c r="X92"/>
  <c r="I92"/>
  <c r="H92"/>
  <c r="G92"/>
  <c r="DO91"/>
  <c r="CZ91"/>
  <c r="CY91"/>
  <c r="S91" s="1"/>
  <c r="CS91"/>
  <c r="CR91"/>
  <c r="CQ91"/>
  <c r="BP91"/>
  <c r="BO91"/>
  <c r="BN91"/>
  <c r="BD91"/>
  <c r="AV91"/>
  <c r="AD91" s="1"/>
  <c r="AU91"/>
  <c r="AC91" s="1"/>
  <c r="AT91"/>
  <c r="AJ91"/>
  <c r="AA91"/>
  <c r="Z91"/>
  <c r="Y91"/>
  <c r="X91"/>
  <c r="W91"/>
  <c r="I91"/>
  <c r="H91"/>
  <c r="G91"/>
  <c r="DO90"/>
  <c r="CZ90"/>
  <c r="CY90"/>
  <c r="CS90"/>
  <c r="CR90"/>
  <c r="CQ90"/>
  <c r="BP90"/>
  <c r="BO90"/>
  <c r="BD90"/>
  <c r="AV90"/>
  <c r="AU90"/>
  <c r="AJ90"/>
  <c r="AB90"/>
  <c r="AA90"/>
  <c r="Z90"/>
  <c r="Y90"/>
  <c r="X90"/>
  <c r="W90"/>
  <c r="S90"/>
  <c r="H90"/>
  <c r="P90" s="1"/>
  <c r="DO89"/>
  <c r="CZ89"/>
  <c r="CY89"/>
  <c r="S89" s="1"/>
  <c r="CS89"/>
  <c r="CR89"/>
  <c r="CQ89"/>
  <c r="BP89"/>
  <c r="BO89"/>
  <c r="BD89"/>
  <c r="AV89"/>
  <c r="AU89"/>
  <c r="AJ89"/>
  <c r="AB89"/>
  <c r="AA89"/>
  <c r="Z89"/>
  <c r="Y89"/>
  <c r="X89"/>
  <c r="W89"/>
  <c r="H89"/>
  <c r="P89" s="1"/>
  <c r="DO88"/>
  <c r="CZ88"/>
  <c r="CY88"/>
  <c r="S88" s="1"/>
  <c r="CS88"/>
  <c r="CR88"/>
  <c r="CQ88"/>
  <c r="BP88"/>
  <c r="BO88"/>
  <c r="BI88"/>
  <c r="BD88"/>
  <c r="AV88"/>
  <c r="AD88" s="1"/>
  <c r="AU88"/>
  <c r="AC88" s="1"/>
  <c r="AO88"/>
  <c r="AJ88"/>
  <c r="AB88"/>
  <c r="AA88"/>
  <c r="Z88"/>
  <c r="Y88"/>
  <c r="X88"/>
  <c r="I88"/>
  <c r="H88"/>
  <c r="G88"/>
  <c r="CZ87"/>
  <c r="CY87"/>
  <c r="S87" s="1"/>
  <c r="CS87"/>
  <c r="CR87"/>
  <c r="CQ87"/>
  <c r="BP87"/>
  <c r="BO87"/>
  <c r="BN87"/>
  <c r="BD87"/>
  <c r="AV87"/>
  <c r="AD87" s="1"/>
  <c r="AU87"/>
  <c r="AC87" s="1"/>
  <c r="AT87"/>
  <c r="AJ87"/>
  <c r="AA87"/>
  <c r="Z87"/>
  <c r="Y87"/>
  <c r="X87"/>
  <c r="W87"/>
  <c r="I87"/>
  <c r="H87"/>
  <c r="G87"/>
  <c r="CZ86"/>
  <c r="CY86"/>
  <c r="S86" s="1"/>
  <c r="CS86"/>
  <c r="CR86"/>
  <c r="CQ86"/>
  <c r="BP86"/>
  <c r="BO86"/>
  <c r="BI86"/>
  <c r="BD86"/>
  <c r="AV86"/>
  <c r="AD86" s="1"/>
  <c r="DZ86" s="1"/>
  <c r="AU86"/>
  <c r="AC86" s="1"/>
  <c r="AJ86"/>
  <c r="AK86" s="1"/>
  <c r="AB86"/>
  <c r="AA86"/>
  <c r="Z86"/>
  <c r="Y86"/>
  <c r="X86"/>
  <c r="I86"/>
  <c r="H86"/>
  <c r="G86"/>
  <c r="DO85"/>
  <c r="CZ85"/>
  <c r="CY85"/>
  <c r="CS85"/>
  <c r="CR85"/>
  <c r="CQ85"/>
  <c r="BP85"/>
  <c r="BO85"/>
  <c r="BI85"/>
  <c r="BD85"/>
  <c r="AV85"/>
  <c r="AD85" s="1"/>
  <c r="AU85"/>
  <c r="AO85"/>
  <c r="AJ85"/>
  <c r="AK85" s="1"/>
  <c r="AB85"/>
  <c r="AA85"/>
  <c r="Z85"/>
  <c r="Y85"/>
  <c r="X85"/>
  <c r="I85"/>
  <c r="H85"/>
  <c r="G85"/>
  <c r="CZ84"/>
  <c r="CY84"/>
  <c r="S84" s="1"/>
  <c r="CS84"/>
  <c r="CR84"/>
  <c r="CQ84"/>
  <c r="BP84"/>
  <c r="BO84"/>
  <c r="BN84"/>
  <c r="BD84"/>
  <c r="AV84"/>
  <c r="AU84"/>
  <c r="AT84"/>
  <c r="AB84" s="1"/>
  <c r="AJ84"/>
  <c r="AK84" s="1"/>
  <c r="AD84"/>
  <c r="DZ84" s="1"/>
  <c r="AA84"/>
  <c r="Z84"/>
  <c r="Y84"/>
  <c r="X84"/>
  <c r="W84"/>
  <c r="I84"/>
  <c r="H84"/>
  <c r="G84"/>
  <c r="CZ83"/>
  <c r="CY83"/>
  <c r="CS83"/>
  <c r="CR83"/>
  <c r="CQ83"/>
  <c r="BP83"/>
  <c r="BO83"/>
  <c r="BJ83"/>
  <c r="BD83"/>
  <c r="AV83"/>
  <c r="AD83" s="1"/>
  <c r="AU83"/>
  <c r="AP83"/>
  <c r="AJ83"/>
  <c r="AK83" s="1"/>
  <c r="AB83"/>
  <c r="AA83"/>
  <c r="Z83"/>
  <c r="Y83"/>
  <c r="X83"/>
  <c r="W83"/>
  <c r="S83"/>
  <c r="I83"/>
  <c r="H83"/>
  <c r="G83"/>
  <c r="CZ82"/>
  <c r="CY82"/>
  <c r="S82" s="1"/>
  <c r="CS82"/>
  <c r="CR82"/>
  <c r="CQ82"/>
  <c r="BP82"/>
  <c r="BO82"/>
  <c r="BK82"/>
  <c r="BD82"/>
  <c r="AV82"/>
  <c r="AD82" s="1"/>
  <c r="AU82"/>
  <c r="AQ82"/>
  <c r="AJ82"/>
  <c r="AK82" s="1"/>
  <c r="AB82"/>
  <c r="AA82"/>
  <c r="Z82"/>
  <c r="X82"/>
  <c r="W82"/>
  <c r="I82"/>
  <c r="H82"/>
  <c r="G82"/>
  <c r="CZ81"/>
  <c r="CY81"/>
  <c r="S81" s="1"/>
  <c r="CS81"/>
  <c r="CR81"/>
  <c r="CQ81"/>
  <c r="BP81"/>
  <c r="BO81"/>
  <c r="BJ81"/>
  <c r="BD81"/>
  <c r="AV81"/>
  <c r="AD81" s="1"/>
  <c r="AU81"/>
  <c r="AC81" s="1"/>
  <c r="AP81"/>
  <c r="AJ81"/>
  <c r="AB81"/>
  <c r="AA81"/>
  <c r="Z81"/>
  <c r="Y81"/>
  <c r="W81"/>
  <c r="I81"/>
  <c r="H81"/>
  <c r="G81"/>
  <c r="CZ80"/>
  <c r="CY80"/>
  <c r="S80" s="1"/>
  <c r="CS80"/>
  <c r="CR80"/>
  <c r="CQ80"/>
  <c r="BP80"/>
  <c r="BO80"/>
  <c r="BJ80"/>
  <c r="BD80"/>
  <c r="AV80"/>
  <c r="AD80" s="1"/>
  <c r="AU80"/>
  <c r="AC80" s="1"/>
  <c r="AP80"/>
  <c r="AJ80"/>
  <c r="AB80"/>
  <c r="AA80"/>
  <c r="Z80"/>
  <c r="Y80"/>
  <c r="W80"/>
  <c r="I80"/>
  <c r="H80"/>
  <c r="G80"/>
  <c r="DO79"/>
  <c r="CZ79"/>
  <c r="CY79"/>
  <c r="S79" s="1"/>
  <c r="CS79"/>
  <c r="CR79"/>
  <c r="CQ79"/>
  <c r="BP79"/>
  <c r="BO79"/>
  <c r="BN79"/>
  <c r="BD79"/>
  <c r="AV79"/>
  <c r="AD79" s="1"/>
  <c r="AU79"/>
  <c r="AC79" s="1"/>
  <c r="AT79"/>
  <c r="AJ79"/>
  <c r="AA79"/>
  <c r="Z79"/>
  <c r="Y79"/>
  <c r="X79"/>
  <c r="W79"/>
  <c r="I79"/>
  <c r="H79"/>
  <c r="G79"/>
  <c r="CZ78"/>
  <c r="CY78"/>
  <c r="S78" s="1"/>
  <c r="CS78"/>
  <c r="CR78"/>
  <c r="CQ78"/>
  <c r="BX78"/>
  <c r="CG78" s="1"/>
  <c r="CH78" s="1"/>
  <c r="BP78"/>
  <c r="BO78"/>
  <c r="BL78"/>
  <c r="BD78"/>
  <c r="AV78"/>
  <c r="AD78" s="1"/>
  <c r="AU78"/>
  <c r="AC78" s="1"/>
  <c r="CU78" s="1"/>
  <c r="AR78"/>
  <c r="AJ78"/>
  <c r="AB78"/>
  <c r="AA78"/>
  <c r="Y78"/>
  <c r="X78"/>
  <c r="W78"/>
  <c r="I78"/>
  <c r="H78"/>
  <c r="G78"/>
  <c r="CZ77"/>
  <c r="CY77"/>
  <c r="S77" s="1"/>
  <c r="CS77"/>
  <c r="CR77"/>
  <c r="CQ77"/>
  <c r="BP77"/>
  <c r="BO77"/>
  <c r="BN77"/>
  <c r="BD77"/>
  <c r="AV77"/>
  <c r="AU77"/>
  <c r="AC77" s="1"/>
  <c r="AT77"/>
  <c r="AJ77"/>
  <c r="AK77" s="1"/>
  <c r="AA77"/>
  <c r="Z77"/>
  <c r="Y77"/>
  <c r="X77"/>
  <c r="W77"/>
  <c r="I77"/>
  <c r="H77"/>
  <c r="G77"/>
  <c r="CZ76"/>
  <c r="CY76"/>
  <c r="CS76"/>
  <c r="CR76"/>
  <c r="CQ76"/>
  <c r="BP76"/>
  <c r="BO76"/>
  <c r="BN76"/>
  <c r="BD76"/>
  <c r="AV76"/>
  <c r="AD76" s="1"/>
  <c r="DZ76" s="1"/>
  <c r="AU76"/>
  <c r="AC76" s="1"/>
  <c r="AT76"/>
  <c r="AJ76"/>
  <c r="AK76" s="1"/>
  <c r="AA76"/>
  <c r="Z76"/>
  <c r="Y76"/>
  <c r="X76"/>
  <c r="W76"/>
  <c r="S76"/>
  <c r="I76"/>
  <c r="H76"/>
  <c r="G76"/>
  <c r="CZ75"/>
  <c r="CY75"/>
  <c r="S75" s="1"/>
  <c r="CS75"/>
  <c r="CR75"/>
  <c r="CQ75"/>
  <c r="BP75"/>
  <c r="BO75"/>
  <c r="BN75"/>
  <c r="BD75"/>
  <c r="AV75"/>
  <c r="AD75" s="1"/>
  <c r="DZ75" s="1"/>
  <c r="AU75"/>
  <c r="AC75" s="1"/>
  <c r="AT75"/>
  <c r="AJ75"/>
  <c r="AK75" s="1"/>
  <c r="AB75"/>
  <c r="AA75"/>
  <c r="Z75"/>
  <c r="Y75"/>
  <c r="X75"/>
  <c r="W75"/>
  <c r="AG75"/>
  <c r="I75"/>
  <c r="H75"/>
  <c r="G75"/>
  <c r="CZ74"/>
  <c r="CY74"/>
  <c r="S74" s="1"/>
  <c r="CS74"/>
  <c r="CR74"/>
  <c r="CQ74"/>
  <c r="BP74"/>
  <c r="BO74"/>
  <c r="BJ74"/>
  <c r="BD74"/>
  <c r="AV74"/>
  <c r="AD74" s="1"/>
  <c r="AU74"/>
  <c r="AP74"/>
  <c r="AJ74"/>
  <c r="AK74" s="1"/>
  <c r="AB74"/>
  <c r="AA74"/>
  <c r="Z74"/>
  <c r="Y74"/>
  <c r="W74"/>
  <c r="I74"/>
  <c r="H74"/>
  <c r="G74"/>
  <c r="CZ73"/>
  <c r="CY73"/>
  <c r="S73" s="1"/>
  <c r="CS73"/>
  <c r="CR73"/>
  <c r="CQ73"/>
  <c r="BP73"/>
  <c r="BO73"/>
  <c r="BN73"/>
  <c r="BD73"/>
  <c r="AV73"/>
  <c r="AU73"/>
  <c r="AC73" s="1"/>
  <c r="AT73"/>
  <c r="AJ73"/>
  <c r="AK73" s="1"/>
  <c r="AA73"/>
  <c r="Z73"/>
  <c r="Y73"/>
  <c r="X73"/>
  <c r="W73"/>
  <c r="I73"/>
  <c r="H73"/>
  <c r="G73"/>
  <c r="CZ72"/>
  <c r="CY72"/>
  <c r="S72" s="1"/>
  <c r="CS72"/>
  <c r="CR72"/>
  <c r="CQ72"/>
  <c r="BP72"/>
  <c r="BO72"/>
  <c r="BN72"/>
  <c r="BD72"/>
  <c r="AV72"/>
  <c r="AD72" s="1"/>
  <c r="AU72"/>
  <c r="AC72" s="1"/>
  <c r="AT72"/>
  <c r="AJ72"/>
  <c r="AA72"/>
  <c r="Z72"/>
  <c r="Y72"/>
  <c r="X72"/>
  <c r="W72"/>
  <c r="I72"/>
  <c r="H72"/>
  <c r="G72"/>
  <c r="DO71"/>
  <c r="CZ71"/>
  <c r="CY71"/>
  <c r="S71" s="1"/>
  <c r="CS71"/>
  <c r="CR71"/>
  <c r="CQ71"/>
  <c r="BP71"/>
  <c r="BO71"/>
  <c r="BJ71"/>
  <c r="BD71"/>
  <c r="AV71"/>
  <c r="AD71" s="1"/>
  <c r="AU71"/>
  <c r="AC71" s="1"/>
  <c r="AP71"/>
  <c r="AJ71"/>
  <c r="AB71"/>
  <c r="AA71"/>
  <c r="Z71"/>
  <c r="Y71"/>
  <c r="W71"/>
  <c r="I71"/>
  <c r="H71"/>
  <c r="G71"/>
  <c r="DO70"/>
  <c r="CZ70"/>
  <c r="CY70"/>
  <c r="S70" s="1"/>
  <c r="CS70"/>
  <c r="CR70"/>
  <c r="CQ70"/>
  <c r="BP70"/>
  <c r="BO70"/>
  <c r="BJ70"/>
  <c r="BD70"/>
  <c r="AV70"/>
  <c r="AD70" s="1"/>
  <c r="AU70"/>
  <c r="AC70" s="1"/>
  <c r="AP70"/>
  <c r="AJ70"/>
  <c r="AB70"/>
  <c r="AA70"/>
  <c r="Z70"/>
  <c r="Y70"/>
  <c r="W70"/>
  <c r="I70"/>
  <c r="H70"/>
  <c r="G70"/>
  <c r="CZ69"/>
  <c r="CY69"/>
  <c r="S69" s="1"/>
  <c r="CS69"/>
  <c r="CR69"/>
  <c r="CQ69"/>
  <c r="BP69"/>
  <c r="BO69"/>
  <c r="BN69"/>
  <c r="BD69"/>
  <c r="AV69"/>
  <c r="AD69" s="1"/>
  <c r="AU69"/>
  <c r="AC69" s="1"/>
  <c r="AT69"/>
  <c r="AJ69"/>
  <c r="AA69"/>
  <c r="Z69"/>
  <c r="Y69"/>
  <c r="X69"/>
  <c r="W69"/>
  <c r="I69"/>
  <c r="H69"/>
  <c r="G69"/>
  <c r="CZ68"/>
  <c r="CY68"/>
  <c r="S68" s="1"/>
  <c r="CS68"/>
  <c r="CR68"/>
  <c r="CQ68"/>
  <c r="BP68"/>
  <c r="BO68"/>
  <c r="BN68"/>
  <c r="BD68"/>
  <c r="AV68"/>
  <c r="AD68" s="1"/>
  <c r="AU68"/>
  <c r="AT68"/>
  <c r="AJ68"/>
  <c r="AK68" s="1"/>
  <c r="AB68"/>
  <c r="AA68"/>
  <c r="Z68"/>
  <c r="Y68"/>
  <c r="X68"/>
  <c r="W68"/>
  <c r="I68"/>
  <c r="H68"/>
  <c r="G68"/>
  <c r="DO67"/>
  <c r="CZ67"/>
  <c r="CY67"/>
  <c r="CS67"/>
  <c r="CR67"/>
  <c r="CQ67"/>
  <c r="BP67"/>
  <c r="BO67"/>
  <c r="BJ67"/>
  <c r="BD67"/>
  <c r="AV67"/>
  <c r="AD67" s="1"/>
  <c r="AU67"/>
  <c r="AP67"/>
  <c r="AJ67"/>
  <c r="AK67" s="1"/>
  <c r="AB67"/>
  <c r="AA67"/>
  <c r="Z67"/>
  <c r="Y67"/>
  <c r="X67"/>
  <c r="W67"/>
  <c r="S67"/>
  <c r="I67"/>
  <c r="H67"/>
  <c r="G67"/>
  <c r="CZ66"/>
  <c r="CY66"/>
  <c r="S66" s="1"/>
  <c r="CS66"/>
  <c r="CR66"/>
  <c r="CQ66"/>
  <c r="BP66"/>
  <c r="BO66"/>
  <c r="BN66"/>
  <c r="BD66"/>
  <c r="AV66"/>
  <c r="AD66" s="1"/>
  <c r="AU66"/>
  <c r="AT66"/>
  <c r="AJ66"/>
  <c r="AK66" s="1"/>
  <c r="AB66"/>
  <c r="AA66"/>
  <c r="Z66"/>
  <c r="Y66"/>
  <c r="X66"/>
  <c r="W66"/>
  <c r="I66"/>
  <c r="H66"/>
  <c r="G66"/>
  <c r="CZ65"/>
  <c r="CY65"/>
  <c r="CS65"/>
  <c r="CR65"/>
  <c r="CQ65"/>
  <c r="BP65"/>
  <c r="BO65"/>
  <c r="BN65"/>
  <c r="BD65"/>
  <c r="AV65"/>
  <c r="AD65" s="1"/>
  <c r="AU65"/>
  <c r="AT65"/>
  <c r="AJ65"/>
  <c r="AK65" s="1"/>
  <c r="AB65"/>
  <c r="AA65"/>
  <c r="Z65"/>
  <c r="Y65"/>
  <c r="X65"/>
  <c r="W65"/>
  <c r="S65"/>
  <c r="I65"/>
  <c r="H65"/>
  <c r="G65"/>
  <c r="CZ64"/>
  <c r="CY64"/>
  <c r="S64" s="1"/>
  <c r="CS64"/>
  <c r="CR64"/>
  <c r="CQ64"/>
  <c r="BP64"/>
  <c r="BO64"/>
  <c r="BN64"/>
  <c r="BD64"/>
  <c r="AV64"/>
  <c r="AD64" s="1"/>
  <c r="AU64"/>
  <c r="AT64"/>
  <c r="AJ64"/>
  <c r="AK64" s="1"/>
  <c r="AB64"/>
  <c r="AA64"/>
  <c r="Z64"/>
  <c r="Y64"/>
  <c r="X64"/>
  <c r="W64"/>
  <c r="I64"/>
  <c r="H64"/>
  <c r="G64"/>
  <c r="DO63"/>
  <c r="CZ63"/>
  <c r="CY63"/>
  <c r="S63" s="1"/>
  <c r="CS63"/>
  <c r="CR63"/>
  <c r="CQ63"/>
  <c r="BP63"/>
  <c r="BO63"/>
  <c r="BK63"/>
  <c r="BD63"/>
  <c r="AV63"/>
  <c r="AD63" s="1"/>
  <c r="AU63"/>
  <c r="AQ63"/>
  <c r="AJ63"/>
  <c r="AK63" s="1"/>
  <c r="AB63"/>
  <c r="AA63"/>
  <c r="Z63"/>
  <c r="X63"/>
  <c r="W63"/>
  <c r="I63"/>
  <c r="H63"/>
  <c r="G63"/>
  <c r="CZ62"/>
  <c r="CY62"/>
  <c r="CS62"/>
  <c r="CR62"/>
  <c r="CQ62"/>
  <c r="BP62"/>
  <c r="BO62"/>
  <c r="BN62"/>
  <c r="BD62"/>
  <c r="AV62"/>
  <c r="AD62" s="1"/>
  <c r="AU62"/>
  <c r="AT62"/>
  <c r="AJ62"/>
  <c r="AK62" s="1"/>
  <c r="AB62"/>
  <c r="AA62"/>
  <c r="Z62"/>
  <c r="Y62"/>
  <c r="X62"/>
  <c r="W62"/>
  <c r="S62"/>
  <c r="I62"/>
  <c r="H62"/>
  <c r="G62"/>
  <c r="CZ61"/>
  <c r="CY61"/>
  <c r="S61" s="1"/>
  <c r="CS61"/>
  <c r="CR61"/>
  <c r="CQ61"/>
  <c r="BP61"/>
  <c r="BO61"/>
  <c r="BJ61"/>
  <c r="BD61"/>
  <c r="AV61"/>
  <c r="AD61" s="1"/>
  <c r="AU61"/>
  <c r="AP61"/>
  <c r="AJ61"/>
  <c r="AK61" s="1"/>
  <c r="AB61"/>
  <c r="AA61"/>
  <c r="Z61"/>
  <c r="Y61"/>
  <c r="X61"/>
  <c r="W61"/>
  <c r="I61"/>
  <c r="H61"/>
  <c r="G61"/>
  <c r="CZ60"/>
  <c r="CY60"/>
  <c r="S60" s="1"/>
  <c r="CS60"/>
  <c r="CR60"/>
  <c r="CQ60"/>
  <c r="BP60"/>
  <c r="BO60"/>
  <c r="BL60"/>
  <c r="BD60"/>
  <c r="AV60"/>
  <c r="AU60"/>
  <c r="AR60"/>
  <c r="Z60" s="1"/>
  <c r="AJ60"/>
  <c r="AK60" s="1"/>
  <c r="AD60"/>
  <c r="AB60"/>
  <c r="AA60"/>
  <c r="Y60"/>
  <c r="X60"/>
  <c r="W60"/>
  <c r="I60"/>
  <c r="H60"/>
  <c r="G60"/>
  <c r="DO59"/>
  <c r="CZ59"/>
  <c r="CY59"/>
  <c r="CS59"/>
  <c r="CR59"/>
  <c r="CQ59"/>
  <c r="BP59"/>
  <c r="BO59"/>
  <c r="BJ59"/>
  <c r="BD59"/>
  <c r="AV59"/>
  <c r="AD59" s="1"/>
  <c r="AU59"/>
  <c r="AC59" s="1"/>
  <c r="AP59"/>
  <c r="AJ59"/>
  <c r="AB59"/>
  <c r="AA59"/>
  <c r="Z59"/>
  <c r="Y59"/>
  <c r="W59"/>
  <c r="S59"/>
  <c r="I59"/>
  <c r="H59"/>
  <c r="G59"/>
  <c r="CZ58"/>
  <c r="CY58"/>
  <c r="S58" s="1"/>
  <c r="CS58"/>
  <c r="CR58"/>
  <c r="CQ58"/>
  <c r="BP58"/>
  <c r="BO58"/>
  <c r="BN58"/>
  <c r="BD58"/>
  <c r="AV58"/>
  <c r="AD58" s="1"/>
  <c r="AU58"/>
  <c r="AC58" s="1"/>
  <c r="AT58"/>
  <c r="AJ58"/>
  <c r="AA58"/>
  <c r="Z58"/>
  <c r="Y58"/>
  <c r="X58"/>
  <c r="W58"/>
  <c r="I58"/>
  <c r="H58"/>
  <c r="G58"/>
  <c r="CZ57"/>
  <c r="CY57"/>
  <c r="CS57"/>
  <c r="CR57"/>
  <c r="CQ57"/>
  <c r="BP57"/>
  <c r="BO57"/>
  <c r="BJ57"/>
  <c r="BD57"/>
  <c r="AV57"/>
  <c r="AD57" s="1"/>
  <c r="AU57"/>
  <c r="AP57"/>
  <c r="AJ57"/>
  <c r="AC57"/>
  <c r="AB57"/>
  <c r="AA57"/>
  <c r="Z57"/>
  <c r="Y57"/>
  <c r="W57"/>
  <c r="S57"/>
  <c r="I57"/>
  <c r="H57"/>
  <c r="G57"/>
  <c r="CZ56"/>
  <c r="CY56"/>
  <c r="S56" s="1"/>
  <c r="CS56"/>
  <c r="CR56"/>
  <c r="CQ56"/>
  <c r="BP56"/>
  <c r="BO56"/>
  <c r="BD56"/>
  <c r="AV56"/>
  <c r="AU56"/>
  <c r="AJ56"/>
  <c r="AK56" s="1"/>
  <c r="AA56"/>
  <c r="Z56"/>
  <c r="Y56"/>
  <c r="X56"/>
  <c r="W56"/>
  <c r="I56"/>
  <c r="H56"/>
  <c r="G56"/>
  <c r="CZ55"/>
  <c r="CY55"/>
  <c r="S55" s="1"/>
  <c r="CS55"/>
  <c r="CR55"/>
  <c r="CQ55"/>
  <c r="BP55"/>
  <c r="BO55"/>
  <c r="BN55"/>
  <c r="BD55"/>
  <c r="AV55"/>
  <c r="AU55"/>
  <c r="AT55"/>
  <c r="AJ55"/>
  <c r="AK55" s="1"/>
  <c r="AA55"/>
  <c r="BE55" s="1"/>
  <c r="Z55"/>
  <c r="Y55"/>
  <c r="X55"/>
  <c r="W55"/>
  <c r="I55"/>
  <c r="H55"/>
  <c r="G55"/>
  <c r="CZ54"/>
  <c r="CY54"/>
  <c r="S54" s="1"/>
  <c r="CS54"/>
  <c r="CR54"/>
  <c r="CQ54"/>
  <c r="BP54"/>
  <c r="BO54"/>
  <c r="BL54"/>
  <c r="BD54"/>
  <c r="AV54"/>
  <c r="AD54" s="1"/>
  <c r="AU54"/>
  <c r="AR54"/>
  <c r="AJ54"/>
  <c r="AK54" s="1"/>
  <c r="AB54"/>
  <c r="AA54"/>
  <c r="Y54"/>
  <c r="X54"/>
  <c r="W54"/>
  <c r="I54"/>
  <c r="H54"/>
  <c r="G54"/>
  <c r="CZ53"/>
  <c r="CY53"/>
  <c r="S53" s="1"/>
  <c r="CS53"/>
  <c r="CR53"/>
  <c r="CQ53"/>
  <c r="BP53"/>
  <c r="BO53"/>
  <c r="BN53"/>
  <c r="BD53"/>
  <c r="AV53"/>
  <c r="AU53"/>
  <c r="AT53"/>
  <c r="AJ53"/>
  <c r="AK53" s="1"/>
  <c r="AA53"/>
  <c r="BE53" s="1"/>
  <c r="Z53"/>
  <c r="Y53"/>
  <c r="X53"/>
  <c r="W53"/>
  <c r="I53"/>
  <c r="H53"/>
  <c r="G53"/>
  <c r="DO52"/>
  <c r="CZ52"/>
  <c r="CY52"/>
  <c r="CS52"/>
  <c r="CR52"/>
  <c r="CQ52"/>
  <c r="BP52"/>
  <c r="BO52"/>
  <c r="BL52"/>
  <c r="BD52"/>
  <c r="AV52"/>
  <c r="AD52" s="1"/>
  <c r="AU52"/>
  <c r="AR52"/>
  <c r="AJ52"/>
  <c r="AK52" s="1"/>
  <c r="AB52"/>
  <c r="AA52"/>
  <c r="Z52"/>
  <c r="Y52"/>
  <c r="X52"/>
  <c r="W52"/>
  <c r="S52"/>
  <c r="I52"/>
  <c r="H52"/>
  <c r="G52"/>
  <c r="DO51"/>
  <c r="CZ51"/>
  <c r="CY51"/>
  <c r="S51" s="1"/>
  <c r="CS51"/>
  <c r="CR51"/>
  <c r="CQ51"/>
  <c r="BP51"/>
  <c r="BO51"/>
  <c r="BJ51"/>
  <c r="BD51"/>
  <c r="AV51"/>
  <c r="AD51" s="1"/>
  <c r="AU51"/>
  <c r="AP51"/>
  <c r="AJ51"/>
  <c r="AK51" s="1"/>
  <c r="AB51"/>
  <c r="AA51"/>
  <c r="Z51"/>
  <c r="Y51"/>
  <c r="X51"/>
  <c r="W51"/>
  <c r="I51"/>
  <c r="H51"/>
  <c r="G51"/>
  <c r="CZ50"/>
  <c r="CY50"/>
  <c r="CS50"/>
  <c r="CR50"/>
  <c r="CQ50"/>
  <c r="BP50"/>
  <c r="BO50"/>
  <c r="BL50"/>
  <c r="BD50"/>
  <c r="AV50"/>
  <c r="AD50" s="1"/>
  <c r="AU50"/>
  <c r="AR50"/>
  <c r="AJ50"/>
  <c r="AK50" s="1"/>
  <c r="AB50"/>
  <c r="AA50"/>
  <c r="Z50"/>
  <c r="Y50"/>
  <c r="X50"/>
  <c r="W50"/>
  <c r="S50"/>
  <c r="I50"/>
  <c r="H50"/>
  <c r="G50"/>
  <c r="CZ49"/>
  <c r="CY49"/>
  <c r="S49" s="1"/>
  <c r="CS49"/>
  <c r="CR49"/>
  <c r="CQ49"/>
  <c r="BP49"/>
  <c r="BO49"/>
  <c r="BN49"/>
  <c r="BD49"/>
  <c r="AV49"/>
  <c r="AD49" s="1"/>
  <c r="AU49"/>
  <c r="AC49" s="1"/>
  <c r="AT49"/>
  <c r="AJ49"/>
  <c r="AA49"/>
  <c r="Z49"/>
  <c r="Y49"/>
  <c r="X49"/>
  <c r="W49"/>
  <c r="I49"/>
  <c r="H49"/>
  <c r="G49"/>
  <c r="CZ48"/>
  <c r="CY48"/>
  <c r="S48" s="1"/>
  <c r="CS48"/>
  <c r="CR48"/>
  <c r="CQ48"/>
  <c r="BP48"/>
  <c r="BO48"/>
  <c r="BJ48"/>
  <c r="BD48"/>
  <c r="AV48"/>
  <c r="AD48" s="1"/>
  <c r="AU48"/>
  <c r="AC48" s="1"/>
  <c r="AP48"/>
  <c r="AJ48"/>
  <c r="AB48"/>
  <c r="AA48"/>
  <c r="Z48"/>
  <c r="Y48"/>
  <c r="W48"/>
  <c r="I48"/>
  <c r="H48"/>
  <c r="G48"/>
  <c r="DO47"/>
  <c r="CZ47"/>
  <c r="CY47"/>
  <c r="S47" s="1"/>
  <c r="CS47"/>
  <c r="CR47"/>
  <c r="CQ47"/>
  <c r="BP47"/>
  <c r="BO47"/>
  <c r="BJ47"/>
  <c r="BD47"/>
  <c r="AV47"/>
  <c r="AD47" s="1"/>
  <c r="AU47"/>
  <c r="AC47" s="1"/>
  <c r="AP47"/>
  <c r="AJ47"/>
  <c r="AB47"/>
  <c r="AA47"/>
  <c r="Z47"/>
  <c r="Y47"/>
  <c r="W47"/>
  <c r="I47"/>
  <c r="H47"/>
  <c r="G47"/>
  <c r="CZ46"/>
  <c r="CY46"/>
  <c r="S46" s="1"/>
  <c r="CS46"/>
  <c r="CR46"/>
  <c r="CQ46"/>
  <c r="BP46"/>
  <c r="BO46"/>
  <c r="BM46"/>
  <c r="BD46"/>
  <c r="AV46"/>
  <c r="AD46" s="1"/>
  <c r="AU46"/>
  <c r="AC46" s="1"/>
  <c r="AS46"/>
  <c r="AA46" s="1"/>
  <c r="AJ46"/>
  <c r="AB46"/>
  <c r="Z46"/>
  <c r="Y46"/>
  <c r="X46"/>
  <c r="W46"/>
  <c r="I46"/>
  <c r="H46"/>
  <c r="G46"/>
  <c r="DO45"/>
  <c r="CZ45"/>
  <c r="CY45"/>
  <c r="S45" s="1"/>
  <c r="CS45"/>
  <c r="CR45"/>
  <c r="CQ45"/>
  <c r="BP45"/>
  <c r="BO45"/>
  <c r="BJ45"/>
  <c r="BD45"/>
  <c r="AV45"/>
  <c r="AD45" s="1"/>
  <c r="AU45"/>
  <c r="AC45" s="1"/>
  <c r="AP45"/>
  <c r="AJ45"/>
  <c r="AB45"/>
  <c r="AA45"/>
  <c r="Z45"/>
  <c r="Y45"/>
  <c r="W45"/>
  <c r="I45"/>
  <c r="H45"/>
  <c r="G45"/>
  <c r="CZ44"/>
  <c r="CY44"/>
  <c r="S44" s="1"/>
  <c r="CS44"/>
  <c r="CR44"/>
  <c r="CQ44"/>
  <c r="BP44"/>
  <c r="BO44"/>
  <c r="BJ44"/>
  <c r="BD44"/>
  <c r="AV44"/>
  <c r="AD44" s="1"/>
  <c r="AU44"/>
  <c r="AC44" s="1"/>
  <c r="AP44"/>
  <c r="AJ44"/>
  <c r="AB44"/>
  <c r="AA44"/>
  <c r="Z44"/>
  <c r="Y44"/>
  <c r="W44"/>
  <c r="I44"/>
  <c r="H44"/>
  <c r="G44"/>
  <c r="CZ43"/>
  <c r="CY43"/>
  <c r="CS43"/>
  <c r="CR43"/>
  <c r="CQ43"/>
  <c r="BP43"/>
  <c r="BO43"/>
  <c r="BJ43"/>
  <c r="BD43"/>
  <c r="AV43"/>
  <c r="AD43" s="1"/>
  <c r="AU43"/>
  <c r="AP43"/>
  <c r="AJ43"/>
  <c r="AK43" s="1"/>
  <c r="AB43"/>
  <c r="AA43"/>
  <c r="Z43"/>
  <c r="Y43"/>
  <c r="X43"/>
  <c r="W43"/>
  <c r="S43"/>
  <c r="I43"/>
  <c r="H43"/>
  <c r="G43"/>
  <c r="DO42"/>
  <c r="CZ42"/>
  <c r="CY42"/>
  <c r="S42" s="1"/>
  <c r="CS42"/>
  <c r="CR42"/>
  <c r="CQ42"/>
  <c r="BP42"/>
  <c r="BO42"/>
  <c r="BN42"/>
  <c r="BD42"/>
  <c r="AV42"/>
  <c r="AD42" s="1"/>
  <c r="AU42"/>
  <c r="AT42"/>
  <c r="AJ42"/>
  <c r="AB42"/>
  <c r="AA42"/>
  <c r="Z42"/>
  <c r="Y42"/>
  <c r="X42"/>
  <c r="W42"/>
  <c r="I42"/>
  <c r="H42"/>
  <c r="G42"/>
  <c r="CZ41"/>
  <c r="CY41"/>
  <c r="CS41"/>
  <c r="CR41"/>
  <c r="CQ41"/>
  <c r="BP41"/>
  <c r="BO41"/>
  <c r="BN41"/>
  <c r="BD41"/>
  <c r="AV41"/>
  <c r="AD41" s="1"/>
  <c r="AU41"/>
  <c r="AT41"/>
  <c r="AJ41"/>
  <c r="AK41" s="1"/>
  <c r="AB41"/>
  <c r="AA41"/>
  <c r="Z41"/>
  <c r="Y41"/>
  <c r="X41"/>
  <c r="W41"/>
  <c r="S41"/>
  <c r="I41"/>
  <c r="H41"/>
  <c r="G41"/>
  <c r="CZ40"/>
  <c r="CY40"/>
  <c r="CS40"/>
  <c r="CR40"/>
  <c r="CQ40"/>
  <c r="BP40"/>
  <c r="BO40"/>
  <c r="BN40"/>
  <c r="BD40"/>
  <c r="AV40"/>
  <c r="AD40" s="1"/>
  <c r="AU40"/>
  <c r="AT40"/>
  <c r="AJ40"/>
  <c r="AK40" s="1"/>
  <c r="AB40"/>
  <c r="AA40"/>
  <c r="Z40"/>
  <c r="Y40"/>
  <c r="X40"/>
  <c r="W40"/>
  <c r="S40"/>
  <c r="I40"/>
  <c r="H40"/>
  <c r="G40"/>
  <c r="CZ39"/>
  <c r="CY39"/>
  <c r="S39" s="1"/>
  <c r="CS39"/>
  <c r="CR39"/>
  <c r="CQ39"/>
  <c r="BP39"/>
  <c r="BO39"/>
  <c r="BN39"/>
  <c r="BD39"/>
  <c r="AV39"/>
  <c r="AD39" s="1"/>
  <c r="AU39"/>
  <c r="AC39" s="1"/>
  <c r="AT39"/>
  <c r="AJ39"/>
  <c r="AA39"/>
  <c r="Z39"/>
  <c r="Y39"/>
  <c r="X39"/>
  <c r="W39"/>
  <c r="I39"/>
  <c r="H39"/>
  <c r="G39"/>
  <c r="CZ38"/>
  <c r="CY38"/>
  <c r="S38" s="1"/>
  <c r="CS38"/>
  <c r="CR38"/>
  <c r="CQ38"/>
  <c r="BP38"/>
  <c r="BO38"/>
  <c r="BJ38"/>
  <c r="BD38"/>
  <c r="AV38"/>
  <c r="AD38" s="1"/>
  <c r="AU38"/>
  <c r="AC38" s="1"/>
  <c r="AP38"/>
  <c r="AJ38"/>
  <c r="AB38"/>
  <c r="AA38"/>
  <c r="Z38"/>
  <c r="Y38"/>
  <c r="W38"/>
  <c r="I38"/>
  <c r="H38"/>
  <c r="G38"/>
  <c r="CZ37"/>
  <c r="CY37"/>
  <c r="S37" s="1"/>
  <c r="CS37"/>
  <c r="CR37"/>
  <c r="CQ37"/>
  <c r="BP37"/>
  <c r="BO37"/>
  <c r="BN37"/>
  <c r="BD37"/>
  <c r="AV37"/>
  <c r="AD37" s="1"/>
  <c r="AU37"/>
  <c r="AC37" s="1"/>
  <c r="AT37"/>
  <c r="AJ37"/>
  <c r="AA37"/>
  <c r="Z37"/>
  <c r="Y37"/>
  <c r="X37"/>
  <c r="W37"/>
  <c r="I37"/>
  <c r="H37"/>
  <c r="G37"/>
  <c r="CZ36"/>
  <c r="CY36"/>
  <c r="S36" s="1"/>
  <c r="CS36"/>
  <c r="CR36"/>
  <c r="CQ36"/>
  <c r="BP36"/>
  <c r="BO36"/>
  <c r="BJ36"/>
  <c r="BD36"/>
  <c r="AV36"/>
  <c r="AD36" s="1"/>
  <c r="AU36"/>
  <c r="AC36" s="1"/>
  <c r="AP36"/>
  <c r="AJ36"/>
  <c r="AB36"/>
  <c r="AA36"/>
  <c r="Z36"/>
  <c r="Y36"/>
  <c r="W36"/>
  <c r="I36"/>
  <c r="H36"/>
  <c r="G36"/>
  <c r="DO35"/>
  <c r="CZ35"/>
  <c r="CY35"/>
  <c r="S35" s="1"/>
  <c r="CS35"/>
  <c r="CR35"/>
  <c r="CQ35"/>
  <c r="BP35"/>
  <c r="BO35"/>
  <c r="BN35"/>
  <c r="BD35"/>
  <c r="AV35"/>
  <c r="AD35" s="1"/>
  <c r="AU35"/>
  <c r="AC35" s="1"/>
  <c r="AT35"/>
  <c r="AJ35"/>
  <c r="AA35"/>
  <c r="Z35"/>
  <c r="Y35"/>
  <c r="X35"/>
  <c r="W35"/>
  <c r="I35"/>
  <c r="H35"/>
  <c r="G35"/>
  <c r="DO34"/>
  <c r="CZ34"/>
  <c r="CY34"/>
  <c r="CS34"/>
  <c r="CR34"/>
  <c r="CQ34"/>
  <c r="BP34"/>
  <c r="BO34"/>
  <c r="BN34"/>
  <c r="BD34"/>
  <c r="AV34"/>
  <c r="AD34" s="1"/>
  <c r="DZ34" s="1"/>
  <c r="AU34"/>
  <c r="AC34" s="1"/>
  <c r="AT34"/>
  <c r="AJ34"/>
  <c r="AK34" s="1"/>
  <c r="AB34"/>
  <c r="AA34"/>
  <c r="Z34"/>
  <c r="Y34"/>
  <c r="X34"/>
  <c r="W34"/>
  <c r="S34"/>
  <c r="I34"/>
  <c r="H34"/>
  <c r="G34"/>
  <c r="DO33"/>
  <c r="CZ33"/>
  <c r="CY33"/>
  <c r="S33" s="1"/>
  <c r="CS33"/>
  <c r="CR33"/>
  <c r="CQ33"/>
  <c r="BP33"/>
  <c r="BO33"/>
  <c r="BJ33"/>
  <c r="BD33"/>
  <c r="AV33"/>
  <c r="AD33" s="1"/>
  <c r="DZ33" s="1"/>
  <c r="AU33"/>
  <c r="AC33" s="1"/>
  <c r="AP33"/>
  <c r="AJ33"/>
  <c r="AB33"/>
  <c r="AA33"/>
  <c r="Z33"/>
  <c r="Y33"/>
  <c r="X33"/>
  <c r="W33"/>
  <c r="I33"/>
  <c r="H33"/>
  <c r="G33"/>
  <c r="CZ32"/>
  <c r="CY32"/>
  <c r="CS32"/>
  <c r="CR32"/>
  <c r="CQ32"/>
  <c r="BP32"/>
  <c r="BO32"/>
  <c r="BJ32"/>
  <c r="BD32"/>
  <c r="AV32"/>
  <c r="AD32" s="1"/>
  <c r="DZ32" s="1"/>
  <c r="AU32"/>
  <c r="AC32" s="1"/>
  <c r="AP32"/>
  <c r="AJ32"/>
  <c r="AK32" s="1"/>
  <c r="AB32"/>
  <c r="AA32"/>
  <c r="Z32"/>
  <c r="Y32"/>
  <c r="X32"/>
  <c r="W32"/>
  <c r="S32"/>
  <c r="I32"/>
  <c r="H32"/>
  <c r="G32"/>
  <c r="CZ31"/>
  <c r="CY31"/>
  <c r="S31" s="1"/>
  <c r="CS31"/>
  <c r="CR31"/>
  <c r="CQ31"/>
  <c r="BP31"/>
  <c r="BO31"/>
  <c r="BN31"/>
  <c r="BD31"/>
  <c r="AV31"/>
  <c r="AD31" s="1"/>
  <c r="DZ31" s="1"/>
  <c r="AU31"/>
  <c r="AC31" s="1"/>
  <c r="AT31"/>
  <c r="AJ31"/>
  <c r="AK31" s="1"/>
  <c r="AB31"/>
  <c r="AA31"/>
  <c r="Z31"/>
  <c r="Y31"/>
  <c r="X31"/>
  <c r="W31"/>
  <c r="I31"/>
  <c r="H31"/>
  <c r="G31"/>
  <c r="CZ30"/>
  <c r="CY30"/>
  <c r="CS30"/>
  <c r="CR30"/>
  <c r="CQ30"/>
  <c r="BP30"/>
  <c r="BO30"/>
  <c r="BJ30"/>
  <c r="BD30"/>
  <c r="AV30"/>
  <c r="AD30" s="1"/>
  <c r="DZ30" s="1"/>
  <c r="AU30"/>
  <c r="AC30" s="1"/>
  <c r="AP30"/>
  <c r="AJ30"/>
  <c r="AK30" s="1"/>
  <c r="AB30"/>
  <c r="AA30"/>
  <c r="Z30"/>
  <c r="Y30"/>
  <c r="X30"/>
  <c r="W30"/>
  <c r="S30"/>
  <c r="I30"/>
  <c r="H30"/>
  <c r="G30"/>
  <c r="CZ29"/>
  <c r="CY29"/>
  <c r="S29" s="1"/>
  <c r="CS29"/>
  <c r="CR29"/>
  <c r="CQ29"/>
  <c r="BX29"/>
  <c r="BP29"/>
  <c r="BO29"/>
  <c r="BJ29"/>
  <c r="BD29"/>
  <c r="AV29"/>
  <c r="AD29" s="1"/>
  <c r="DZ29" s="1"/>
  <c r="AU29"/>
  <c r="AC29" s="1"/>
  <c r="CU29" s="1"/>
  <c r="AP29"/>
  <c r="AJ29"/>
  <c r="AK29" s="1"/>
  <c r="AB29"/>
  <c r="AA29"/>
  <c r="Z29"/>
  <c r="Y29"/>
  <c r="X29"/>
  <c r="W29"/>
  <c r="I29"/>
  <c r="H29"/>
  <c r="G29"/>
  <c r="CZ28"/>
  <c r="CY28"/>
  <c r="S28" s="1"/>
  <c r="CS28"/>
  <c r="CR28"/>
  <c r="CQ28"/>
  <c r="BP28"/>
  <c r="BO28"/>
  <c r="BJ28"/>
  <c r="BD28"/>
  <c r="AV28"/>
  <c r="AD28" s="1"/>
  <c r="DZ28" s="1"/>
  <c r="AU28"/>
  <c r="AC28" s="1"/>
  <c r="AP28"/>
  <c r="AJ28"/>
  <c r="AK28" s="1"/>
  <c r="AB28"/>
  <c r="AA28"/>
  <c r="Z28"/>
  <c r="Y28"/>
  <c r="X28"/>
  <c r="W28"/>
  <c r="I28"/>
  <c r="H28"/>
  <c r="G28"/>
  <c r="DO27"/>
  <c r="CZ27"/>
  <c r="CY27"/>
  <c r="CS27"/>
  <c r="CR27"/>
  <c r="CQ27"/>
  <c r="BP27"/>
  <c r="BO27"/>
  <c r="BJ27"/>
  <c r="BD27"/>
  <c r="AV27"/>
  <c r="AD27" s="1"/>
  <c r="DZ27" s="1"/>
  <c r="AU27"/>
  <c r="AC27" s="1"/>
  <c r="AP27"/>
  <c r="AJ27"/>
  <c r="AK27" s="1"/>
  <c r="AB27"/>
  <c r="AA27"/>
  <c r="Z27"/>
  <c r="Y27"/>
  <c r="X27"/>
  <c r="W27"/>
  <c r="S27"/>
  <c r="I27"/>
  <c r="H27"/>
  <c r="G27"/>
  <c r="DO26"/>
  <c r="CZ26"/>
  <c r="CY26"/>
  <c r="S26" s="1"/>
  <c r="CS26"/>
  <c r="CR26"/>
  <c r="CQ26"/>
  <c r="BP26"/>
  <c r="BO26"/>
  <c r="BD26"/>
  <c r="AV26"/>
  <c r="AU26"/>
  <c r="AJ26"/>
  <c r="AK26" s="1"/>
  <c r="AB26"/>
  <c r="AA26"/>
  <c r="Z26"/>
  <c r="Y26"/>
  <c r="X26"/>
  <c r="W26"/>
  <c r="H26"/>
  <c r="P26" s="1"/>
  <c r="CZ25"/>
  <c r="CY25"/>
  <c r="S25" s="1"/>
  <c r="CS25"/>
  <c r="CR25"/>
  <c r="CQ25"/>
  <c r="BP25"/>
  <c r="BO25"/>
  <c r="BJ25"/>
  <c r="BD25"/>
  <c r="AV25"/>
  <c r="AD25" s="1"/>
  <c r="AU25"/>
  <c r="AC25" s="1"/>
  <c r="AP25"/>
  <c r="AJ25"/>
  <c r="AK25" s="1"/>
  <c r="AB25"/>
  <c r="AA25"/>
  <c r="Z25"/>
  <c r="Y25"/>
  <c r="W25"/>
  <c r="I25"/>
  <c r="H25"/>
  <c r="G25"/>
  <c r="CZ24"/>
  <c r="CY24"/>
  <c r="S24" s="1"/>
  <c r="CS24"/>
  <c r="CR24"/>
  <c r="CQ24"/>
  <c r="BP24"/>
  <c r="BO24"/>
  <c r="BJ24"/>
  <c r="BD24"/>
  <c r="AV24"/>
  <c r="AD24" s="1"/>
  <c r="AU24"/>
  <c r="AC24" s="1"/>
  <c r="AP24"/>
  <c r="AJ24"/>
  <c r="AK24" s="1"/>
  <c r="AB24"/>
  <c r="AA24"/>
  <c r="Z24"/>
  <c r="Y24"/>
  <c r="W24"/>
  <c r="I24"/>
  <c r="H24"/>
  <c r="G24"/>
  <c r="CZ23"/>
  <c r="CY23"/>
  <c r="S23" s="1"/>
  <c r="CS23"/>
  <c r="CR23"/>
  <c r="CQ23"/>
  <c r="BP23"/>
  <c r="BO23"/>
  <c r="BJ23"/>
  <c r="BD23"/>
  <c r="AV23"/>
  <c r="AD23" s="1"/>
  <c r="AU23"/>
  <c r="AC23" s="1"/>
  <c r="AP23"/>
  <c r="AJ23"/>
  <c r="AK23" s="1"/>
  <c r="AB23"/>
  <c r="AA23"/>
  <c r="Z23"/>
  <c r="Y23"/>
  <c r="W23"/>
  <c r="I23"/>
  <c r="H23"/>
  <c r="G23"/>
  <c r="CZ22"/>
  <c r="CY22"/>
  <c r="S22" s="1"/>
  <c r="CS22"/>
  <c r="CR22"/>
  <c r="CQ22"/>
  <c r="BP22"/>
  <c r="BO22"/>
  <c r="BJ22"/>
  <c r="BD22"/>
  <c r="AV22"/>
  <c r="AD22" s="1"/>
  <c r="AU22"/>
  <c r="AC22" s="1"/>
  <c r="AP22"/>
  <c r="AJ22"/>
  <c r="AK22" s="1"/>
  <c r="AB22"/>
  <c r="AA22"/>
  <c r="Z22"/>
  <c r="Y22"/>
  <c r="W22"/>
  <c r="I22"/>
  <c r="H22"/>
  <c r="G22"/>
  <c r="CZ21"/>
  <c r="CY21"/>
  <c r="S21" s="1"/>
  <c r="CS21"/>
  <c r="CR21"/>
  <c r="CQ21"/>
  <c r="BX21"/>
  <c r="CG21" s="1"/>
  <c r="CH21" s="1"/>
  <c r="BP21"/>
  <c r="BO21"/>
  <c r="BJ21"/>
  <c r="BD21"/>
  <c r="AV21"/>
  <c r="AD21" s="1"/>
  <c r="DZ21" s="1"/>
  <c r="AU21"/>
  <c r="AC21" s="1"/>
  <c r="CU21" s="1"/>
  <c r="AP21"/>
  <c r="AJ21"/>
  <c r="AK21" s="1"/>
  <c r="AB21"/>
  <c r="AA21"/>
  <c r="Z21"/>
  <c r="Y21"/>
  <c r="X21"/>
  <c r="W21"/>
  <c r="I21"/>
  <c r="H21"/>
  <c r="G21"/>
  <c r="CZ20"/>
  <c r="CY20"/>
  <c r="CS20"/>
  <c r="CR20"/>
  <c r="CQ20"/>
  <c r="BP20"/>
  <c r="BO20"/>
  <c r="BN20"/>
  <c r="BD20"/>
  <c r="AV20"/>
  <c r="AD20" s="1"/>
  <c r="AU20"/>
  <c r="AC20" s="1"/>
  <c r="AT20"/>
  <c r="AJ20"/>
  <c r="AK20" s="1"/>
  <c r="AB20"/>
  <c r="AA20"/>
  <c r="Z20"/>
  <c r="Y20"/>
  <c r="X20"/>
  <c r="W20"/>
  <c r="S20"/>
  <c r="I20"/>
  <c r="H20"/>
  <c r="G20"/>
  <c r="DO19"/>
  <c r="CZ19"/>
  <c r="CY19"/>
  <c r="S19" s="1"/>
  <c r="CS19"/>
  <c r="CR19"/>
  <c r="CQ19"/>
  <c r="BP19"/>
  <c r="BO19"/>
  <c r="BJ19"/>
  <c r="BD19"/>
  <c r="AV19"/>
  <c r="AD19" s="1"/>
  <c r="AU19"/>
  <c r="AP19"/>
  <c r="AJ19"/>
  <c r="AK19" s="1"/>
  <c r="AB19"/>
  <c r="AA19"/>
  <c r="Z19"/>
  <c r="Y19"/>
  <c r="W19"/>
  <c r="I19"/>
  <c r="H19"/>
  <c r="G19"/>
  <c r="CZ18"/>
  <c r="CY18"/>
  <c r="S18" s="1"/>
  <c r="CS18"/>
  <c r="CR18"/>
  <c r="CQ18"/>
  <c r="BP18"/>
  <c r="BO18"/>
  <c r="BJ18"/>
  <c r="BD18"/>
  <c r="AV18"/>
  <c r="AD18" s="1"/>
  <c r="AU18"/>
  <c r="AC18" s="1"/>
  <c r="AP18"/>
  <c r="X18" s="1"/>
  <c r="AJ18"/>
  <c r="AK18" s="1"/>
  <c r="AB18"/>
  <c r="AA18"/>
  <c r="Z18"/>
  <c r="Y18"/>
  <c r="W18"/>
  <c r="I18"/>
  <c r="H18"/>
  <c r="G18"/>
  <c r="CZ17"/>
  <c r="CY17"/>
  <c r="S17" s="1"/>
  <c r="CS17"/>
  <c r="CR17"/>
  <c r="CQ17"/>
  <c r="BP17"/>
  <c r="BO17"/>
  <c r="BJ17"/>
  <c r="BD17"/>
  <c r="AV17"/>
  <c r="AD17" s="1"/>
  <c r="AU17"/>
  <c r="AC17" s="1"/>
  <c r="AP17"/>
  <c r="AJ17"/>
  <c r="AB17"/>
  <c r="AA17"/>
  <c r="Z17"/>
  <c r="Y17"/>
  <c r="W17"/>
  <c r="I17"/>
  <c r="H17"/>
  <c r="G17"/>
  <c r="DO16"/>
  <c r="CZ16"/>
  <c r="CY16"/>
  <c r="S16" s="1"/>
  <c r="CS16"/>
  <c r="CR16"/>
  <c r="CQ16"/>
  <c r="BP16"/>
  <c r="BO16"/>
  <c r="BJ16"/>
  <c r="BD16"/>
  <c r="AV16"/>
  <c r="AD16" s="1"/>
  <c r="AU16"/>
  <c r="AC16" s="1"/>
  <c r="AP16"/>
  <c r="AJ16"/>
  <c r="AB16"/>
  <c r="AA16"/>
  <c r="Z16"/>
  <c r="Y16"/>
  <c r="W16"/>
  <c r="I16"/>
  <c r="H16"/>
  <c r="G16"/>
  <c r="DO15"/>
  <c r="CZ15"/>
  <c r="CY15"/>
  <c r="S15" s="1"/>
  <c r="CS15"/>
  <c r="CR15"/>
  <c r="CQ15"/>
  <c r="BP15"/>
  <c r="BO15"/>
  <c r="BI15"/>
  <c r="BD15"/>
  <c r="AV15"/>
  <c r="AD15" s="1"/>
  <c r="AU15"/>
  <c r="AC15" s="1"/>
  <c r="AO15"/>
  <c r="AJ15"/>
  <c r="AB15"/>
  <c r="AA15"/>
  <c r="Z15"/>
  <c r="Y15"/>
  <c r="X15"/>
  <c r="I15"/>
  <c r="H15"/>
  <c r="G15"/>
  <c r="DO14"/>
  <c r="CZ14"/>
  <c r="CY14"/>
  <c r="S14" s="1"/>
  <c r="CS14"/>
  <c r="CR14"/>
  <c r="CQ14"/>
  <c r="BP14"/>
  <c r="BO14"/>
  <c r="BN14"/>
  <c r="BD14"/>
  <c r="AV14"/>
  <c r="AD14" s="1"/>
  <c r="AU14"/>
  <c r="AT14"/>
  <c r="AJ14"/>
  <c r="AK14" s="1"/>
  <c r="AB14"/>
  <c r="AA14"/>
  <c r="Z14"/>
  <c r="Y14"/>
  <c r="X14"/>
  <c r="W14"/>
  <c r="I14"/>
  <c r="H14"/>
  <c r="G14"/>
  <c r="DO13"/>
  <c r="CZ13"/>
  <c r="CY13"/>
  <c r="S13" s="1"/>
  <c r="CS13"/>
  <c r="CR13"/>
  <c r="CQ13"/>
  <c r="BP13"/>
  <c r="BO13"/>
  <c r="BJ13"/>
  <c r="BD13"/>
  <c r="AV13"/>
  <c r="AD13" s="1"/>
  <c r="AU13"/>
  <c r="AC13" s="1"/>
  <c r="AP13"/>
  <c r="AJ13"/>
  <c r="AB13"/>
  <c r="AA13"/>
  <c r="Z13"/>
  <c r="Y13"/>
  <c r="W13"/>
  <c r="I13"/>
  <c r="H13"/>
  <c r="G13"/>
  <c r="DO12"/>
  <c r="CZ12"/>
  <c r="CY12"/>
  <c r="CS12"/>
  <c r="CR12"/>
  <c r="CQ12"/>
  <c r="BP12"/>
  <c r="BO12"/>
  <c r="BJ12"/>
  <c r="BD12"/>
  <c r="AV12"/>
  <c r="AD12" s="1"/>
  <c r="AU12"/>
  <c r="AP12"/>
  <c r="AJ12"/>
  <c r="AB12"/>
  <c r="AA12"/>
  <c r="Z12"/>
  <c r="Y12"/>
  <c r="X12"/>
  <c r="W12"/>
  <c r="S12"/>
  <c r="I12"/>
  <c r="H12"/>
  <c r="G12"/>
  <c r="DO11"/>
  <c r="CZ11"/>
  <c r="CY11"/>
  <c r="CS11"/>
  <c r="CR11"/>
  <c r="CQ11"/>
  <c r="BX11"/>
  <c r="CG11" s="1"/>
  <c r="CH11" s="1"/>
  <c r="BP11"/>
  <c r="BO11"/>
  <c r="BJ11"/>
  <c r="BD11"/>
  <c r="AV11"/>
  <c r="AD11" s="1"/>
  <c r="AU11"/>
  <c r="AC11" s="1"/>
  <c r="CU11" s="1"/>
  <c r="AP11"/>
  <c r="AJ11"/>
  <c r="AB11"/>
  <c r="AA11"/>
  <c r="Z11"/>
  <c r="Y11"/>
  <c r="W11"/>
  <c r="S11"/>
  <c r="I11"/>
  <c r="H11"/>
  <c r="G11"/>
  <c r="DO10"/>
  <c r="CZ10"/>
  <c r="CY10"/>
  <c r="S10" s="1"/>
  <c r="CS10"/>
  <c r="CR10"/>
  <c r="CQ10"/>
  <c r="BP10"/>
  <c r="BO10"/>
  <c r="BJ10"/>
  <c r="BD10"/>
  <c r="AV10"/>
  <c r="AD10" s="1"/>
  <c r="AU10"/>
  <c r="AC10" s="1"/>
  <c r="AP10"/>
  <c r="AJ10"/>
  <c r="AB10"/>
  <c r="AA10"/>
  <c r="Z10"/>
  <c r="Y10"/>
  <c r="W10"/>
  <c r="I10"/>
  <c r="H10"/>
  <c r="G10"/>
  <c r="DO9"/>
  <c r="CZ9"/>
  <c r="CY9"/>
  <c r="S9" s="1"/>
  <c r="CS9"/>
  <c r="CR9"/>
  <c r="CQ9"/>
  <c r="BP9"/>
  <c r="BO9"/>
  <c r="BJ9"/>
  <c r="BD9"/>
  <c r="AV9"/>
  <c r="AD9" s="1"/>
  <c r="AU9"/>
  <c r="AP9"/>
  <c r="AJ9"/>
  <c r="AK9" s="1"/>
  <c r="AB9"/>
  <c r="AA9"/>
  <c r="Z9"/>
  <c r="Y9"/>
  <c r="X9"/>
  <c r="W9"/>
  <c r="I9"/>
  <c r="H9"/>
  <c r="G9"/>
  <c r="DO8"/>
  <c r="CZ8"/>
  <c r="CY8"/>
  <c r="CS8"/>
  <c r="CR8"/>
  <c r="CQ8"/>
  <c r="BP8"/>
  <c r="BO8"/>
  <c r="BJ8"/>
  <c r="BD8"/>
  <c r="AV8"/>
  <c r="AD8" s="1"/>
  <c r="AU8"/>
  <c r="AP8"/>
  <c r="AJ8"/>
  <c r="AK8" s="1"/>
  <c r="AB8"/>
  <c r="AA8"/>
  <c r="Z8"/>
  <c r="Y8"/>
  <c r="X8"/>
  <c r="W8"/>
  <c r="S8"/>
  <c r="I8"/>
  <c r="H8"/>
  <c r="G8"/>
  <c r="DD7"/>
  <c r="DC7"/>
  <c r="DB7"/>
  <c r="DA7"/>
  <c r="CX7"/>
  <c r="CW7"/>
  <c r="CP7"/>
  <c r="CO7"/>
  <c r="CN7"/>
  <c r="CM7"/>
  <c r="CL7"/>
  <c r="CK7"/>
  <c r="CJ7"/>
  <c r="CI7"/>
  <c r="CF7"/>
  <c r="CE7"/>
  <c r="BM7"/>
  <c r="BL7"/>
  <c r="BK7"/>
  <c r="BI7"/>
  <c r="BH7"/>
  <c r="BC7"/>
  <c r="AS7"/>
  <c r="AR7"/>
  <c r="AQ7"/>
  <c r="AN7"/>
  <c r="AI7"/>
  <c r="U7"/>
  <c r="CT4"/>
  <c r="CQ4"/>
  <c r="CH108" i="1"/>
  <c r="BZ108"/>
  <c r="AL108"/>
  <c r="AF108"/>
  <c r="CH107"/>
  <c r="BZ107"/>
  <c r="AL107"/>
  <c r="AK107"/>
  <c r="AF107"/>
  <c r="DO106"/>
  <c r="CZ106"/>
  <c r="CY106"/>
  <c r="CS106"/>
  <c r="CR106"/>
  <c r="CQ106"/>
  <c r="DE106" s="1"/>
  <c r="BX106"/>
  <c r="CG106" s="1"/>
  <c r="CH106" s="1"/>
  <c r="BP106"/>
  <c r="BO106"/>
  <c r="BQ106" s="1"/>
  <c r="BJ106"/>
  <c r="BD106"/>
  <c r="AV106"/>
  <c r="AD106" s="1"/>
  <c r="AU106"/>
  <c r="AP106"/>
  <c r="AW106" s="1"/>
  <c r="AJ106"/>
  <c r="AC106"/>
  <c r="CU106" s="1"/>
  <c r="AB106"/>
  <c r="AA106"/>
  <c r="Z106"/>
  <c r="Y106"/>
  <c r="X106"/>
  <c r="W106"/>
  <c r="AE106" s="1"/>
  <c r="AG106"/>
  <c r="S106"/>
  <c r="I106"/>
  <c r="H106"/>
  <c r="G106"/>
  <c r="DO105"/>
  <c r="CZ105"/>
  <c r="CY105"/>
  <c r="CS105"/>
  <c r="CR105"/>
  <c r="CQ105"/>
  <c r="DE105" s="1"/>
  <c r="BP105"/>
  <c r="BO105"/>
  <c r="BJ105"/>
  <c r="BQ105" s="1"/>
  <c r="BD105"/>
  <c r="AV105"/>
  <c r="AU105"/>
  <c r="AC105" s="1"/>
  <c r="CU105" s="1"/>
  <c r="AS105"/>
  <c r="AK105"/>
  <c r="AJ105"/>
  <c r="AL105" s="1"/>
  <c r="DF105" s="1"/>
  <c r="AD105"/>
  <c r="DZ105" s="1"/>
  <c r="AB105"/>
  <c r="AA105"/>
  <c r="Z105"/>
  <c r="Y105"/>
  <c r="X105"/>
  <c r="W105"/>
  <c r="AE105" s="1"/>
  <c r="AG105"/>
  <c r="S105"/>
  <c r="I105"/>
  <c r="H105"/>
  <c r="G105"/>
  <c r="DO104"/>
  <c r="CZ104"/>
  <c r="CY104"/>
  <c r="CS104"/>
  <c r="CR104"/>
  <c r="CQ104"/>
  <c r="DE104" s="1"/>
  <c r="BP104"/>
  <c r="BO104"/>
  <c r="BN104"/>
  <c r="BQ104" s="1"/>
  <c r="BD104"/>
  <c r="AV104"/>
  <c r="AU104"/>
  <c r="AC104" s="1"/>
  <c r="CU104" s="1"/>
  <c r="AT104"/>
  <c r="AK104"/>
  <c r="AJ104"/>
  <c r="AL104" s="1"/>
  <c r="DF104" s="1"/>
  <c r="AD104"/>
  <c r="DZ104" s="1"/>
  <c r="AB104"/>
  <c r="AA104"/>
  <c r="Z104"/>
  <c r="Y104"/>
  <c r="X104"/>
  <c r="W104"/>
  <c r="AE104" s="1"/>
  <c r="AG104"/>
  <c r="S104"/>
  <c r="I104"/>
  <c r="H104"/>
  <c r="G104"/>
  <c r="DO103"/>
  <c r="CZ103"/>
  <c r="CY103"/>
  <c r="CS103"/>
  <c r="CR103"/>
  <c r="CQ103"/>
  <c r="DE103" s="1"/>
  <c r="BP103"/>
  <c r="BO103"/>
  <c r="BL103"/>
  <c r="BQ103" s="1"/>
  <c r="BD103"/>
  <c r="AV103"/>
  <c r="AU103"/>
  <c r="AC103" s="1"/>
  <c r="CU103" s="1"/>
  <c r="AR103"/>
  <c r="AK103"/>
  <c r="AJ103"/>
  <c r="AL103" s="1"/>
  <c r="DF103" s="1"/>
  <c r="AD103"/>
  <c r="DZ103" s="1"/>
  <c r="AB103"/>
  <c r="AA103"/>
  <c r="Z103"/>
  <c r="Y103"/>
  <c r="X103"/>
  <c r="W103"/>
  <c r="AE103" s="1"/>
  <c r="AG103"/>
  <c r="S103"/>
  <c r="I103"/>
  <c r="H103"/>
  <c r="G103"/>
  <c r="DZ102"/>
  <c r="DO102"/>
  <c r="CZ102"/>
  <c r="CY102"/>
  <c r="CS102"/>
  <c r="CR102"/>
  <c r="CQ102"/>
  <c r="BP102"/>
  <c r="BO102"/>
  <c r="BQ102" s="1"/>
  <c r="BD102"/>
  <c r="AV102"/>
  <c r="AU102"/>
  <c r="AW102" s="1"/>
  <c r="AJ102"/>
  <c r="AK102" s="1"/>
  <c r="AD102"/>
  <c r="CV102" s="1"/>
  <c r="AC102"/>
  <c r="CU102" s="1"/>
  <c r="AB102"/>
  <c r="AA102"/>
  <c r="BR102" s="1"/>
  <c r="Z102"/>
  <c r="Y102"/>
  <c r="X102"/>
  <c r="W102"/>
  <c r="AE102" s="1"/>
  <c r="DN102"/>
  <c r="S102"/>
  <c r="H102"/>
  <c r="P102" s="1"/>
  <c r="DO101"/>
  <c r="CZ101"/>
  <c r="CY101"/>
  <c r="CS101"/>
  <c r="CR101"/>
  <c r="CQ101"/>
  <c r="BP101"/>
  <c r="BO101"/>
  <c r="BQ101" s="1"/>
  <c r="BN101"/>
  <c r="BD101"/>
  <c r="AV101"/>
  <c r="AD101" s="1"/>
  <c r="AU101"/>
  <c r="AT101"/>
  <c r="AW101" s="1"/>
  <c r="AJ101"/>
  <c r="AK101" s="1"/>
  <c r="AC101"/>
  <c r="CU101" s="1"/>
  <c r="AA101"/>
  <c r="BR101" s="1"/>
  <c r="Z101"/>
  <c r="Y101"/>
  <c r="X101"/>
  <c r="W101"/>
  <c r="DN101"/>
  <c r="S101"/>
  <c r="I101"/>
  <c r="H101"/>
  <c r="G101"/>
  <c r="DO100"/>
  <c r="CZ100"/>
  <c r="CY100"/>
  <c r="CS100"/>
  <c r="CR100"/>
  <c r="CQ100"/>
  <c r="BP100"/>
  <c r="BO100"/>
  <c r="BQ100" s="1"/>
  <c r="BN100"/>
  <c r="BD100"/>
  <c r="AV100"/>
  <c r="AD100" s="1"/>
  <c r="AU100"/>
  <c r="AT100"/>
  <c r="AW100" s="1"/>
  <c r="AJ100"/>
  <c r="AK100" s="1"/>
  <c r="AC100"/>
  <c r="CU100" s="1"/>
  <c r="AA100"/>
  <c r="BR100" s="1"/>
  <c r="Z100"/>
  <c r="Y100"/>
  <c r="X100"/>
  <c r="W100"/>
  <c r="DN100"/>
  <c r="S100"/>
  <c r="I100"/>
  <c r="H100"/>
  <c r="G100"/>
  <c r="DO99"/>
  <c r="CZ99"/>
  <c r="CY99"/>
  <c r="CS99"/>
  <c r="CR99"/>
  <c r="CQ99"/>
  <c r="BP99"/>
  <c r="BO99"/>
  <c r="BQ99" s="1"/>
  <c r="BN99"/>
  <c r="BD99"/>
  <c r="AV99"/>
  <c r="AD99" s="1"/>
  <c r="AU99"/>
  <c r="AT99"/>
  <c r="AW99" s="1"/>
  <c r="AJ99"/>
  <c r="AK99" s="1"/>
  <c r="AC99"/>
  <c r="CU99" s="1"/>
  <c r="AA99"/>
  <c r="BR99" s="1"/>
  <c r="Z99"/>
  <c r="Y99"/>
  <c r="X99"/>
  <c r="W99"/>
  <c r="DN99"/>
  <c r="S99"/>
  <c r="I99"/>
  <c r="H99"/>
  <c r="G99"/>
  <c r="DO98"/>
  <c r="CZ98"/>
  <c r="CY98"/>
  <c r="CS98"/>
  <c r="CR98"/>
  <c r="CQ98"/>
  <c r="BP98"/>
  <c r="BO98"/>
  <c r="BQ98" s="1"/>
  <c r="BN98"/>
  <c r="BD98"/>
  <c r="AV98"/>
  <c r="AD98" s="1"/>
  <c r="AU98"/>
  <c r="AT98"/>
  <c r="AW98" s="1"/>
  <c r="AJ98"/>
  <c r="AK98" s="1"/>
  <c r="AC98"/>
  <c r="CU98" s="1"/>
  <c r="AA98"/>
  <c r="BR98" s="1"/>
  <c r="Z98"/>
  <c r="Y98"/>
  <c r="X98"/>
  <c r="W98"/>
  <c r="DN98"/>
  <c r="S98"/>
  <c r="I98"/>
  <c r="H98"/>
  <c r="G98"/>
  <c r="DO97"/>
  <c r="CZ97"/>
  <c r="CY97"/>
  <c r="CS97"/>
  <c r="CR97"/>
  <c r="CQ97"/>
  <c r="BP97"/>
  <c r="BO97"/>
  <c r="BI97"/>
  <c r="BQ97" s="1"/>
  <c r="BD97"/>
  <c r="AV97"/>
  <c r="AU97"/>
  <c r="AW97" s="1"/>
  <c r="AO97"/>
  <c r="AK97"/>
  <c r="AJ97"/>
  <c r="AL97" s="1"/>
  <c r="DF97" s="1"/>
  <c r="AD97"/>
  <c r="DZ97" s="1"/>
  <c r="AB97"/>
  <c r="AA97"/>
  <c r="Z97"/>
  <c r="Y97"/>
  <c r="X97"/>
  <c r="DN97"/>
  <c r="S97"/>
  <c r="I97"/>
  <c r="H97"/>
  <c r="G97"/>
  <c r="DO96"/>
  <c r="CZ96"/>
  <c r="CY96"/>
  <c r="CS96"/>
  <c r="CR96"/>
  <c r="CQ96"/>
  <c r="DE96" s="1"/>
  <c r="BP96"/>
  <c r="BO96"/>
  <c r="BJ96"/>
  <c r="BQ96" s="1"/>
  <c r="BD96"/>
  <c r="AV96"/>
  <c r="AU96"/>
  <c r="AW96" s="1"/>
  <c r="AP96"/>
  <c r="AK96"/>
  <c r="AJ96"/>
  <c r="AL96" s="1"/>
  <c r="DF96" s="1"/>
  <c r="AD96"/>
  <c r="CV96" s="1"/>
  <c r="AB96"/>
  <c r="AA96"/>
  <c r="Z96"/>
  <c r="Y96"/>
  <c r="X96"/>
  <c r="W96"/>
  <c r="DN96"/>
  <c r="S96"/>
  <c r="I96"/>
  <c r="H96"/>
  <c r="G96"/>
  <c r="DO95"/>
  <c r="CZ95"/>
  <c r="CY95"/>
  <c r="CS95"/>
  <c r="CR95"/>
  <c r="CQ95"/>
  <c r="DE95" s="1"/>
  <c r="BP95"/>
  <c r="BO95"/>
  <c r="BI95"/>
  <c r="BQ95" s="1"/>
  <c r="BD95"/>
  <c r="AV95"/>
  <c r="AU95"/>
  <c r="AW95" s="1"/>
  <c r="AO95"/>
  <c r="AK95"/>
  <c r="AJ95"/>
  <c r="AL95" s="1"/>
  <c r="DF95" s="1"/>
  <c r="AD95"/>
  <c r="CV95" s="1"/>
  <c r="AB95"/>
  <c r="AA95"/>
  <c r="Z95"/>
  <c r="Y95"/>
  <c r="X95"/>
  <c r="DN95"/>
  <c r="S95"/>
  <c r="I95"/>
  <c r="H95"/>
  <c r="G95"/>
  <c r="DO94"/>
  <c r="CZ94"/>
  <c r="CY94"/>
  <c r="CS94"/>
  <c r="CR94"/>
  <c r="CN94"/>
  <c r="CJ94"/>
  <c r="CQ94" s="1"/>
  <c r="BP94"/>
  <c r="BO94"/>
  <c r="BI94"/>
  <c r="BQ94" s="1"/>
  <c r="BD94"/>
  <c r="AV94"/>
  <c r="AU94"/>
  <c r="AW94" s="1"/>
  <c r="AO94"/>
  <c r="AK94"/>
  <c r="AJ94"/>
  <c r="AD94"/>
  <c r="CV94" s="1"/>
  <c r="AB94"/>
  <c r="AA94"/>
  <c r="Z94"/>
  <c r="Y94"/>
  <c r="X94"/>
  <c r="DN94"/>
  <c r="S94"/>
  <c r="I94"/>
  <c r="H94"/>
  <c r="G94"/>
  <c r="DO93"/>
  <c r="CZ93"/>
  <c r="CY93"/>
  <c r="CS93"/>
  <c r="CR93"/>
  <c r="CQ93"/>
  <c r="DE93" s="1"/>
  <c r="BP93"/>
  <c r="BO93"/>
  <c r="BI93"/>
  <c r="BQ93" s="1"/>
  <c r="BD93"/>
  <c r="AV93"/>
  <c r="AU93"/>
  <c r="AW93" s="1"/>
  <c r="AO93"/>
  <c r="AK93"/>
  <c r="AJ93"/>
  <c r="AL93" s="1"/>
  <c r="AD93"/>
  <c r="CV93" s="1"/>
  <c r="AB93"/>
  <c r="AA93"/>
  <c r="Z93"/>
  <c r="Y93"/>
  <c r="X93"/>
  <c r="DN93"/>
  <c r="S93"/>
  <c r="I93"/>
  <c r="H93"/>
  <c r="G93"/>
  <c r="DO92"/>
  <c r="CZ92"/>
  <c r="CY92"/>
  <c r="CV92"/>
  <c r="CS92"/>
  <c r="CR92"/>
  <c r="CQ92"/>
  <c r="DE92" s="1"/>
  <c r="BP92"/>
  <c r="BO92"/>
  <c r="BI92"/>
  <c r="BD92"/>
  <c r="AV92"/>
  <c r="AU92"/>
  <c r="AC92" s="1"/>
  <c r="CU92" s="1"/>
  <c r="AO92"/>
  <c r="AK92"/>
  <c r="AJ92"/>
  <c r="AL92" s="1"/>
  <c r="AD92"/>
  <c r="DZ92" s="1"/>
  <c r="AB92"/>
  <c r="AA92"/>
  <c r="Z92"/>
  <c r="Y92"/>
  <c r="X92"/>
  <c r="AG92"/>
  <c r="AH92" s="1"/>
  <c r="S92"/>
  <c r="I92"/>
  <c r="H92"/>
  <c r="G92"/>
  <c r="DO91"/>
  <c r="CZ91"/>
  <c r="CY91"/>
  <c r="CV91"/>
  <c r="CS91"/>
  <c r="CR91"/>
  <c r="CQ91"/>
  <c r="DE91" s="1"/>
  <c r="BR91"/>
  <c r="BP91"/>
  <c r="BO91"/>
  <c r="BN91"/>
  <c r="BQ91" s="1"/>
  <c r="BD91"/>
  <c r="AV91"/>
  <c r="AU91"/>
  <c r="AC91" s="1"/>
  <c r="CU91" s="1"/>
  <c r="AT91"/>
  <c r="AK91"/>
  <c r="AJ91"/>
  <c r="AL91" s="1"/>
  <c r="DF91" s="1"/>
  <c r="AD91"/>
  <c r="DZ91" s="1"/>
  <c r="AB91"/>
  <c r="AA91"/>
  <c r="Z91"/>
  <c r="Y91"/>
  <c r="X91"/>
  <c r="W91"/>
  <c r="AG91"/>
  <c r="AM91" s="1"/>
  <c r="BA91" s="1"/>
  <c r="BB91" s="1"/>
  <c r="S91"/>
  <c r="I91"/>
  <c r="H91"/>
  <c r="G91"/>
  <c r="DZ90"/>
  <c r="DO90"/>
  <c r="CZ90"/>
  <c r="CY90"/>
  <c r="CS90"/>
  <c r="CR90"/>
  <c r="CQ90"/>
  <c r="BP90"/>
  <c r="BO90"/>
  <c r="BQ90" s="1"/>
  <c r="BD90"/>
  <c r="AV90"/>
  <c r="AU90"/>
  <c r="AW90" s="1"/>
  <c r="AJ90"/>
  <c r="AK90" s="1"/>
  <c r="AG90"/>
  <c r="AD90"/>
  <c r="CV90" s="1"/>
  <c r="AC90"/>
  <c r="CU90" s="1"/>
  <c r="AB90"/>
  <c r="AA90"/>
  <c r="Z90"/>
  <c r="Y90"/>
  <c r="X90"/>
  <c r="W90"/>
  <c r="AE90" s="1"/>
  <c r="DN90"/>
  <c r="S90"/>
  <c r="H90"/>
  <c r="P90" s="1"/>
  <c r="DO89"/>
  <c r="CZ89"/>
  <c r="CY89"/>
  <c r="CS89"/>
  <c r="CR89"/>
  <c r="CQ89"/>
  <c r="DE89" s="1"/>
  <c r="BP89"/>
  <c r="BO89"/>
  <c r="BQ89" s="1"/>
  <c r="CA89" s="1"/>
  <c r="BD89"/>
  <c r="AV89"/>
  <c r="AU89"/>
  <c r="AW89" s="1"/>
  <c r="AJ89"/>
  <c r="AD89"/>
  <c r="DZ89" s="1"/>
  <c r="AC89"/>
  <c r="CU89" s="1"/>
  <c r="AB89"/>
  <c r="AA89"/>
  <c r="Z89"/>
  <c r="Y89"/>
  <c r="X89"/>
  <c r="W89"/>
  <c r="AE89" s="1"/>
  <c r="DN89"/>
  <c r="S89"/>
  <c r="H89"/>
  <c r="P89" s="1"/>
  <c r="DO88"/>
  <c r="CZ88"/>
  <c r="CY88"/>
  <c r="CS88"/>
  <c r="CR88"/>
  <c r="CQ88"/>
  <c r="DE88" s="1"/>
  <c r="BP88"/>
  <c r="BO88"/>
  <c r="BQ88" s="1"/>
  <c r="CA88" s="1"/>
  <c r="BI88"/>
  <c r="BD88"/>
  <c r="AV88"/>
  <c r="AD88" s="1"/>
  <c r="AU88"/>
  <c r="AO88"/>
  <c r="AW88" s="1"/>
  <c r="AJ88"/>
  <c r="AC88"/>
  <c r="CU88" s="1"/>
  <c r="AB88"/>
  <c r="AA88"/>
  <c r="Z88"/>
  <c r="Y88"/>
  <c r="X88"/>
  <c r="W88"/>
  <c r="AE88" s="1"/>
  <c r="DN88"/>
  <c r="S88"/>
  <c r="I88"/>
  <c r="H88"/>
  <c r="G88"/>
  <c r="DO87"/>
  <c r="CZ87"/>
  <c r="CY87"/>
  <c r="CS87"/>
  <c r="CR87"/>
  <c r="CQ87"/>
  <c r="DE87" s="1"/>
  <c r="BP87"/>
  <c r="BO87"/>
  <c r="BQ87" s="1"/>
  <c r="BN87"/>
  <c r="BD87"/>
  <c r="AV87"/>
  <c r="AD87" s="1"/>
  <c r="AU87"/>
  <c r="AT87"/>
  <c r="AW87" s="1"/>
  <c r="AJ87"/>
  <c r="AC87"/>
  <c r="CU87" s="1"/>
  <c r="AA87"/>
  <c r="Z87"/>
  <c r="Y87"/>
  <c r="X87"/>
  <c r="W87"/>
  <c r="DN87"/>
  <c r="S87"/>
  <c r="I87"/>
  <c r="H87"/>
  <c r="G87"/>
  <c r="DO86"/>
  <c r="CZ86"/>
  <c r="CY86"/>
  <c r="S86" s="1"/>
  <c r="CS86"/>
  <c r="CR86"/>
  <c r="CN86"/>
  <c r="CJ86"/>
  <c r="CQ86" s="1"/>
  <c r="CI86"/>
  <c r="BP86"/>
  <c r="BO86"/>
  <c r="BI86"/>
  <c r="BQ86" s="1"/>
  <c r="BD86"/>
  <c r="AV86"/>
  <c r="AU86"/>
  <c r="AC86" s="1"/>
  <c r="CU86" s="1"/>
  <c r="AK86"/>
  <c r="AJ86"/>
  <c r="AD86"/>
  <c r="DZ86" s="1"/>
  <c r="AB86"/>
  <c r="AA86"/>
  <c r="Z86"/>
  <c r="Y86"/>
  <c r="X86"/>
  <c r="DN86"/>
  <c r="I86"/>
  <c r="H86"/>
  <c r="G86"/>
  <c r="DO85"/>
  <c r="CZ85"/>
  <c r="CY85"/>
  <c r="CS85"/>
  <c r="CR85"/>
  <c r="CQ85"/>
  <c r="DE85" s="1"/>
  <c r="BP85"/>
  <c r="BO85"/>
  <c r="BI85"/>
  <c r="BQ85" s="1"/>
  <c r="BD85"/>
  <c r="AV85"/>
  <c r="AU85"/>
  <c r="AW85" s="1"/>
  <c r="AO85"/>
  <c r="AK85"/>
  <c r="AJ85"/>
  <c r="AL85" s="1"/>
  <c r="DF85" s="1"/>
  <c r="AD85"/>
  <c r="CV85" s="1"/>
  <c r="AB85"/>
  <c r="AA85"/>
  <c r="Z85"/>
  <c r="Y85"/>
  <c r="X85"/>
  <c r="DN85"/>
  <c r="I85"/>
  <c r="H85"/>
  <c r="G85"/>
  <c r="DO84"/>
  <c r="CZ84"/>
  <c r="CY84"/>
  <c r="CS84"/>
  <c r="CR84"/>
  <c r="CQ84"/>
  <c r="BP84"/>
  <c r="BO84"/>
  <c r="BN84"/>
  <c r="BQ84" s="1"/>
  <c r="BD84"/>
  <c r="AV84"/>
  <c r="AU84"/>
  <c r="AW84" s="1"/>
  <c r="AT84"/>
  <c r="AK84"/>
  <c r="AJ84"/>
  <c r="AD84"/>
  <c r="DZ84" s="1"/>
  <c r="AB84"/>
  <c r="AA84"/>
  <c r="Z84"/>
  <c r="Y84"/>
  <c r="X84"/>
  <c r="W84"/>
  <c r="AG84"/>
  <c r="S84"/>
  <c r="I84"/>
  <c r="H84"/>
  <c r="G84"/>
  <c r="DO83"/>
  <c r="CZ83"/>
  <c r="CY83"/>
  <c r="CS83"/>
  <c r="CR83"/>
  <c r="CQ83"/>
  <c r="DE83" s="1"/>
  <c r="BP83"/>
  <c r="BO83"/>
  <c r="BJ83"/>
  <c r="BQ83" s="1"/>
  <c r="BD83"/>
  <c r="AV83"/>
  <c r="AU83"/>
  <c r="AW83" s="1"/>
  <c r="AP83"/>
  <c r="AK83"/>
  <c r="AJ83"/>
  <c r="AL83" s="1"/>
  <c r="DF83" s="1"/>
  <c r="AD83"/>
  <c r="CV83" s="1"/>
  <c r="AB83"/>
  <c r="AA83"/>
  <c r="Z83"/>
  <c r="Y83"/>
  <c r="X83"/>
  <c r="W83"/>
  <c r="DN83"/>
  <c r="S83"/>
  <c r="I83"/>
  <c r="H83"/>
  <c r="G83"/>
  <c r="DO82"/>
  <c r="DN82"/>
  <c r="CZ82"/>
  <c r="CY82"/>
  <c r="CS82"/>
  <c r="CR82"/>
  <c r="CQ82"/>
  <c r="DE82" s="1"/>
  <c r="BP82"/>
  <c r="BO82"/>
  <c r="BK82"/>
  <c r="BQ82" s="1"/>
  <c r="BD82"/>
  <c r="AV82"/>
  <c r="AU82"/>
  <c r="AW82" s="1"/>
  <c r="AQ82"/>
  <c r="AK82"/>
  <c r="AJ82"/>
  <c r="AG82"/>
  <c r="AH82" s="1"/>
  <c r="AD82"/>
  <c r="CV82" s="1"/>
  <c r="AB82"/>
  <c r="AA82"/>
  <c r="Z82"/>
  <c r="X82"/>
  <c r="W82"/>
  <c r="S82"/>
  <c r="I82"/>
  <c r="H82"/>
  <c r="G82"/>
  <c r="DO81"/>
  <c r="CZ81"/>
  <c r="CY81"/>
  <c r="CS81"/>
  <c r="CR81"/>
  <c r="CQ81"/>
  <c r="DE81" s="1"/>
  <c r="BP81"/>
  <c r="BO81"/>
  <c r="BQ81" s="1"/>
  <c r="CA81" s="1"/>
  <c r="BJ81"/>
  <c r="BD81"/>
  <c r="AV81"/>
  <c r="AD81" s="1"/>
  <c r="AU81"/>
  <c r="AP81"/>
  <c r="AW81" s="1"/>
  <c r="AJ81"/>
  <c r="AC81"/>
  <c r="CU81" s="1"/>
  <c r="AB81"/>
  <c r="AA81"/>
  <c r="Z81"/>
  <c r="Y81"/>
  <c r="W81"/>
  <c r="DN81"/>
  <c r="S81"/>
  <c r="I81"/>
  <c r="H81"/>
  <c r="G81"/>
  <c r="DO80"/>
  <c r="CZ80"/>
  <c r="CY80"/>
  <c r="CS80"/>
  <c r="CR80"/>
  <c r="CQ80"/>
  <c r="DE80" s="1"/>
  <c r="BP80"/>
  <c r="BO80"/>
  <c r="BQ80" s="1"/>
  <c r="CA80" s="1"/>
  <c r="BJ80"/>
  <c r="BD80"/>
  <c r="AV80"/>
  <c r="AD80" s="1"/>
  <c r="AU80"/>
  <c r="AP80"/>
  <c r="AW80" s="1"/>
  <c r="AJ80"/>
  <c r="AC80"/>
  <c r="CU80" s="1"/>
  <c r="AB80"/>
  <c r="AA80"/>
  <c r="Z80"/>
  <c r="Y80"/>
  <c r="W80"/>
  <c r="DN80"/>
  <c r="S80"/>
  <c r="I80"/>
  <c r="H80"/>
  <c r="G80"/>
  <c r="DO79"/>
  <c r="CZ79"/>
  <c r="CY79"/>
  <c r="CS79"/>
  <c r="CR79"/>
  <c r="CQ79"/>
  <c r="DE79" s="1"/>
  <c r="BP79"/>
  <c r="BO79"/>
  <c r="BQ79" s="1"/>
  <c r="CA79" s="1"/>
  <c r="BN79"/>
  <c r="BD79"/>
  <c r="AV79"/>
  <c r="AD79" s="1"/>
  <c r="AU79"/>
  <c r="AT79"/>
  <c r="AW79" s="1"/>
  <c r="AJ79"/>
  <c r="AC79"/>
  <c r="CU79" s="1"/>
  <c r="AA79"/>
  <c r="Z79"/>
  <c r="Y79"/>
  <c r="X79"/>
  <c r="W79"/>
  <c r="DN79"/>
  <c r="S79"/>
  <c r="I79"/>
  <c r="H79"/>
  <c r="G79"/>
  <c r="DO78"/>
  <c r="CZ78"/>
  <c r="CY78"/>
  <c r="CS78"/>
  <c r="CR78"/>
  <c r="CQ78"/>
  <c r="DE78" s="1"/>
  <c r="BX78"/>
  <c r="CG78" s="1"/>
  <c r="CH78" s="1"/>
  <c r="BP78"/>
  <c r="BO78"/>
  <c r="BQ78" s="1"/>
  <c r="BL78"/>
  <c r="BD78"/>
  <c r="AV78"/>
  <c r="AD78" s="1"/>
  <c r="AU78"/>
  <c r="AR78"/>
  <c r="AJ78"/>
  <c r="AK78" s="1"/>
  <c r="AC78"/>
  <c r="CU78" s="1"/>
  <c r="AB78"/>
  <c r="AA78"/>
  <c r="Y78"/>
  <c r="X78"/>
  <c r="W78"/>
  <c r="DN78"/>
  <c r="S78"/>
  <c r="I78"/>
  <c r="H78"/>
  <c r="G78"/>
  <c r="DO77"/>
  <c r="DN77"/>
  <c r="CZ77"/>
  <c r="CY77"/>
  <c r="S77" s="1"/>
  <c r="CS77"/>
  <c r="CR77"/>
  <c r="CQ77"/>
  <c r="BP77"/>
  <c r="BO77"/>
  <c r="BQ77" s="1"/>
  <c r="BN77"/>
  <c r="BE77"/>
  <c r="BD77"/>
  <c r="AV77"/>
  <c r="AD77" s="1"/>
  <c r="CV77" s="1"/>
  <c r="AU77"/>
  <c r="AT77"/>
  <c r="AJ77"/>
  <c r="AK77" s="1"/>
  <c r="AG77"/>
  <c r="AC77"/>
  <c r="CU77" s="1"/>
  <c r="AA77"/>
  <c r="Z77"/>
  <c r="Y77"/>
  <c r="X77"/>
  <c r="W77"/>
  <c r="I77"/>
  <c r="H77"/>
  <c r="G77"/>
  <c r="DO76"/>
  <c r="CZ76"/>
  <c r="CY76"/>
  <c r="CS76"/>
  <c r="CR76"/>
  <c r="CQ76"/>
  <c r="BP76"/>
  <c r="BO76"/>
  <c r="BN76"/>
  <c r="BQ76" s="1"/>
  <c r="BR76" s="1"/>
  <c r="BD76"/>
  <c r="AV76"/>
  <c r="AU76"/>
  <c r="AC76" s="1"/>
  <c r="AT76"/>
  <c r="AK76"/>
  <c r="AJ76"/>
  <c r="AD76"/>
  <c r="DZ76" s="1"/>
  <c r="AA76"/>
  <c r="Z76"/>
  <c r="Y76"/>
  <c r="X76"/>
  <c r="W76"/>
  <c r="AG76"/>
  <c r="AH76" s="1"/>
  <c r="S76"/>
  <c r="I76"/>
  <c r="H76"/>
  <c r="G76"/>
  <c r="DO75"/>
  <c r="CZ75"/>
  <c r="CY75"/>
  <c r="CV75"/>
  <c r="CS75"/>
  <c r="CR75"/>
  <c r="CQ75"/>
  <c r="DE75" s="1"/>
  <c r="BR75"/>
  <c r="BP75"/>
  <c r="BO75"/>
  <c r="BN75"/>
  <c r="BQ75" s="1"/>
  <c r="BD75"/>
  <c r="AV75"/>
  <c r="AU75"/>
  <c r="AC75" s="1"/>
  <c r="CU75" s="1"/>
  <c r="AT75"/>
  <c r="AK75"/>
  <c r="AJ75"/>
  <c r="AL75" s="1"/>
  <c r="AD75"/>
  <c r="DZ75" s="1"/>
  <c r="AB75"/>
  <c r="AA75"/>
  <c r="Z75"/>
  <c r="Y75"/>
  <c r="X75"/>
  <c r="W75"/>
  <c r="AG75"/>
  <c r="AM75" s="1"/>
  <c r="BA75" s="1"/>
  <c r="BB75" s="1"/>
  <c r="S75"/>
  <c r="I75"/>
  <c r="H75"/>
  <c r="G75"/>
  <c r="DO74"/>
  <c r="CZ74"/>
  <c r="CY74"/>
  <c r="CS74"/>
  <c r="CR74"/>
  <c r="CQ74"/>
  <c r="DE74" s="1"/>
  <c r="BP74"/>
  <c r="BO74"/>
  <c r="BQ74" s="1"/>
  <c r="BJ74"/>
  <c r="BD74"/>
  <c r="AV74"/>
  <c r="AD74" s="1"/>
  <c r="AU74"/>
  <c r="AP74"/>
  <c r="AJ74"/>
  <c r="AK74" s="1"/>
  <c r="AB74"/>
  <c r="AA74"/>
  <c r="Z74"/>
  <c r="Y74"/>
  <c r="W74"/>
  <c r="AG74"/>
  <c r="S74"/>
  <c r="I74"/>
  <c r="H74"/>
  <c r="G74"/>
  <c r="DO73"/>
  <c r="CZ73"/>
  <c r="CY73"/>
  <c r="CS73"/>
  <c r="CR73"/>
  <c r="CQ73"/>
  <c r="BP73"/>
  <c r="BO73"/>
  <c r="BN73"/>
  <c r="BQ73" s="1"/>
  <c r="BD73"/>
  <c r="AV73"/>
  <c r="AU73"/>
  <c r="AW73" s="1"/>
  <c r="AT73"/>
  <c r="AK73"/>
  <c r="AJ73"/>
  <c r="AD73"/>
  <c r="CV73" s="1"/>
  <c r="AB73"/>
  <c r="AA73"/>
  <c r="Z73"/>
  <c r="Y73"/>
  <c r="X73"/>
  <c r="W73"/>
  <c r="DN73"/>
  <c r="S73"/>
  <c r="I73"/>
  <c r="H73"/>
  <c r="G73"/>
  <c r="DO72"/>
  <c r="CZ72"/>
  <c r="CY72"/>
  <c r="CS72"/>
  <c r="CR72"/>
  <c r="CQ72"/>
  <c r="DE72" s="1"/>
  <c r="BP72"/>
  <c r="BO72"/>
  <c r="BN72"/>
  <c r="BQ72" s="1"/>
  <c r="BD72"/>
  <c r="AV72"/>
  <c r="AU72"/>
  <c r="AW72" s="1"/>
  <c r="AT72"/>
  <c r="AK72"/>
  <c r="AJ72"/>
  <c r="AL72" s="1"/>
  <c r="AD72"/>
  <c r="CV72" s="1"/>
  <c r="AB72"/>
  <c r="AA72"/>
  <c r="Z72"/>
  <c r="Y72"/>
  <c r="X72"/>
  <c r="W72"/>
  <c r="DN72"/>
  <c r="S72"/>
  <c r="I72"/>
  <c r="H72"/>
  <c r="G72"/>
  <c r="DO71"/>
  <c r="CZ71"/>
  <c r="CY71"/>
  <c r="CS71"/>
  <c r="CR71"/>
  <c r="CQ71"/>
  <c r="DE71" s="1"/>
  <c r="BP71"/>
  <c r="BO71"/>
  <c r="BJ71"/>
  <c r="BQ71" s="1"/>
  <c r="BD71"/>
  <c r="AV71"/>
  <c r="AU71"/>
  <c r="AW71" s="1"/>
  <c r="AP71"/>
  <c r="AK71"/>
  <c r="AJ71"/>
  <c r="AL71" s="1"/>
  <c r="DF71" s="1"/>
  <c r="AD71"/>
  <c r="CV71" s="1"/>
  <c r="AB71"/>
  <c r="AA71"/>
  <c r="Z71"/>
  <c r="Y71"/>
  <c r="X71"/>
  <c r="W71"/>
  <c r="DN71"/>
  <c r="S71"/>
  <c r="I71"/>
  <c r="H71"/>
  <c r="G71"/>
  <c r="DO70"/>
  <c r="CZ70"/>
  <c r="CY70"/>
  <c r="CS70"/>
  <c r="CR70"/>
  <c r="CQ70"/>
  <c r="DE70" s="1"/>
  <c r="BP70"/>
  <c r="BO70"/>
  <c r="BJ70"/>
  <c r="BQ70" s="1"/>
  <c r="BD70"/>
  <c r="AV70"/>
  <c r="AU70"/>
  <c r="AW70" s="1"/>
  <c r="AP70"/>
  <c r="AK70"/>
  <c r="AJ70"/>
  <c r="AL70" s="1"/>
  <c r="DF70" s="1"/>
  <c r="AD70"/>
  <c r="CV70" s="1"/>
  <c r="AB70"/>
  <c r="AA70"/>
  <c r="Z70"/>
  <c r="Y70"/>
  <c r="X70"/>
  <c r="W70"/>
  <c r="DN70"/>
  <c r="S70"/>
  <c r="I70"/>
  <c r="H70"/>
  <c r="G70"/>
  <c r="DO69"/>
  <c r="DN69"/>
  <c r="CZ69"/>
  <c r="CY69"/>
  <c r="CS69"/>
  <c r="CR69"/>
  <c r="CQ69"/>
  <c r="DE69" s="1"/>
  <c r="BP69"/>
  <c r="BO69"/>
  <c r="BN69"/>
  <c r="BQ69" s="1"/>
  <c r="BD69"/>
  <c r="AV69"/>
  <c r="AU69"/>
  <c r="AW69" s="1"/>
  <c r="AT69"/>
  <c r="AK69"/>
  <c r="AJ69"/>
  <c r="AG69"/>
  <c r="AH69" s="1"/>
  <c r="AL69" s="1"/>
  <c r="AD69"/>
  <c r="CV69" s="1"/>
  <c r="AB69"/>
  <c r="AA69"/>
  <c r="Z69"/>
  <c r="Y69"/>
  <c r="X69"/>
  <c r="W69"/>
  <c r="S69"/>
  <c r="I69"/>
  <c r="H69"/>
  <c r="G69"/>
  <c r="DO68"/>
  <c r="CZ68"/>
  <c r="CY68"/>
  <c r="CS68"/>
  <c r="CR68"/>
  <c r="CQ68"/>
  <c r="DE68" s="1"/>
  <c r="BP68"/>
  <c r="BO68"/>
  <c r="BQ68" s="1"/>
  <c r="BN68"/>
  <c r="BD68"/>
  <c r="AV68"/>
  <c r="AD68" s="1"/>
  <c r="AU68"/>
  <c r="AT68"/>
  <c r="AW68" s="1"/>
  <c r="AJ68"/>
  <c r="AC68"/>
  <c r="CU68" s="1"/>
  <c r="AA68"/>
  <c r="Z68"/>
  <c r="Y68"/>
  <c r="X68"/>
  <c r="W68"/>
  <c r="DN68"/>
  <c r="S68"/>
  <c r="I68"/>
  <c r="H68"/>
  <c r="G68"/>
  <c r="DO67"/>
  <c r="CZ67"/>
  <c r="CY67"/>
  <c r="CS67"/>
  <c r="CR67"/>
  <c r="CQ67"/>
  <c r="DE67" s="1"/>
  <c r="BP67"/>
  <c r="BO67"/>
  <c r="BQ67" s="1"/>
  <c r="BJ67"/>
  <c r="BD67"/>
  <c r="AV67"/>
  <c r="AD67" s="1"/>
  <c r="AU67"/>
  <c r="AP67"/>
  <c r="AW67" s="1"/>
  <c r="AJ67"/>
  <c r="AC67"/>
  <c r="CU67" s="1"/>
  <c r="AB67"/>
  <c r="AA67"/>
  <c r="Z67"/>
  <c r="Y67"/>
  <c r="W67"/>
  <c r="DN67"/>
  <c r="S67"/>
  <c r="I67"/>
  <c r="H67"/>
  <c r="G67"/>
  <c r="DO66"/>
  <c r="CZ66"/>
  <c r="CY66"/>
  <c r="CS66"/>
  <c r="CR66"/>
  <c r="CQ66"/>
  <c r="DE66" s="1"/>
  <c r="BP66"/>
  <c r="BO66"/>
  <c r="BQ66" s="1"/>
  <c r="BN66"/>
  <c r="BD66"/>
  <c r="AV66"/>
  <c r="AD66" s="1"/>
  <c r="AU66"/>
  <c r="AT66"/>
  <c r="AW66" s="1"/>
  <c r="AJ66"/>
  <c r="AC66"/>
  <c r="CU66" s="1"/>
  <c r="AA66"/>
  <c r="Z66"/>
  <c r="Y66"/>
  <c r="X66"/>
  <c r="W66"/>
  <c r="DN66"/>
  <c r="S66"/>
  <c r="I66"/>
  <c r="H66"/>
  <c r="G66"/>
  <c r="DO65"/>
  <c r="CZ65"/>
  <c r="CY65"/>
  <c r="CS65"/>
  <c r="CR65"/>
  <c r="CQ65"/>
  <c r="DE65" s="1"/>
  <c r="BP65"/>
  <c r="BO65"/>
  <c r="BQ65" s="1"/>
  <c r="BN65"/>
  <c r="BD65"/>
  <c r="AV65"/>
  <c r="AD65" s="1"/>
  <c r="AU65"/>
  <c r="AT65"/>
  <c r="AW65" s="1"/>
  <c r="AJ65"/>
  <c r="AC65"/>
  <c r="CU65" s="1"/>
  <c r="AA65"/>
  <c r="Z65"/>
  <c r="Y65"/>
  <c r="X65"/>
  <c r="W65"/>
  <c r="DN65"/>
  <c r="S65"/>
  <c r="I65"/>
  <c r="H65"/>
  <c r="G65"/>
  <c r="DO64"/>
  <c r="CZ64"/>
  <c r="CY64"/>
  <c r="CS64"/>
  <c r="CR64"/>
  <c r="CQ64"/>
  <c r="DE64" s="1"/>
  <c r="BP64"/>
  <c r="BO64"/>
  <c r="BQ64" s="1"/>
  <c r="BN64"/>
  <c r="BD64"/>
  <c r="AV64"/>
  <c r="AD64" s="1"/>
  <c r="AU64"/>
  <c r="AT64"/>
  <c r="AW64" s="1"/>
  <c r="AJ64"/>
  <c r="AC64"/>
  <c r="CU64" s="1"/>
  <c r="AA64"/>
  <c r="Z64"/>
  <c r="Y64"/>
  <c r="X64"/>
  <c r="W64"/>
  <c r="DN64"/>
  <c r="S64"/>
  <c r="I64"/>
  <c r="H64"/>
  <c r="G64"/>
  <c r="DO63"/>
  <c r="CZ63"/>
  <c r="CY63"/>
  <c r="CS63"/>
  <c r="CR63"/>
  <c r="CQ63"/>
  <c r="DE63" s="1"/>
  <c r="BP63"/>
  <c r="BO63"/>
  <c r="BQ63" s="1"/>
  <c r="BK63"/>
  <c r="BD63"/>
  <c r="AV63"/>
  <c r="AD63" s="1"/>
  <c r="AU63"/>
  <c r="AQ63"/>
  <c r="AW63" s="1"/>
  <c r="AJ63"/>
  <c r="AC63"/>
  <c r="CU63" s="1"/>
  <c r="AB63"/>
  <c r="AA63"/>
  <c r="Z63"/>
  <c r="Y63"/>
  <c r="X63"/>
  <c r="W63"/>
  <c r="AE63" s="1"/>
  <c r="DN63"/>
  <c r="S63"/>
  <c r="I63"/>
  <c r="H63"/>
  <c r="G63"/>
  <c r="DO62"/>
  <c r="CZ62"/>
  <c r="CY62"/>
  <c r="CS62"/>
  <c r="CR62"/>
  <c r="CQ62"/>
  <c r="DE62" s="1"/>
  <c r="BP62"/>
  <c r="BO62"/>
  <c r="BQ62" s="1"/>
  <c r="CA62" s="1"/>
  <c r="BN62"/>
  <c r="BD62"/>
  <c r="AV62"/>
  <c r="AD62" s="1"/>
  <c r="AU62"/>
  <c r="AT62"/>
  <c r="AW62" s="1"/>
  <c r="AJ62"/>
  <c r="AC62"/>
  <c r="CU62" s="1"/>
  <c r="AA62"/>
  <c r="Z62"/>
  <c r="Y62"/>
  <c r="X62"/>
  <c r="W62"/>
  <c r="DN62"/>
  <c r="S62"/>
  <c r="I62"/>
  <c r="H62"/>
  <c r="G62"/>
  <c r="DO61"/>
  <c r="CZ61"/>
  <c r="CY61"/>
  <c r="CS61"/>
  <c r="CR61"/>
  <c r="CQ61"/>
  <c r="DE61" s="1"/>
  <c r="BP61"/>
  <c r="BO61"/>
  <c r="BQ61" s="1"/>
  <c r="CA61" s="1"/>
  <c r="BJ61"/>
  <c r="BD61"/>
  <c r="AV61"/>
  <c r="AD61" s="1"/>
  <c r="AU61"/>
  <c r="AP61"/>
  <c r="AW61" s="1"/>
  <c r="AJ61"/>
  <c r="AC61"/>
  <c r="CU61" s="1"/>
  <c r="AB61"/>
  <c r="AA61"/>
  <c r="Z61"/>
  <c r="Y61"/>
  <c r="W61"/>
  <c r="DN61"/>
  <c r="S61"/>
  <c r="I61"/>
  <c r="H61"/>
  <c r="G61"/>
  <c r="DO60"/>
  <c r="CZ60"/>
  <c r="CY60"/>
  <c r="CS60"/>
  <c r="CR60"/>
  <c r="CQ60"/>
  <c r="DE60" s="1"/>
  <c r="BP60"/>
  <c r="BO60"/>
  <c r="BQ60" s="1"/>
  <c r="CA60" s="1"/>
  <c r="BL60"/>
  <c r="BD60"/>
  <c r="AV60"/>
  <c r="AD60" s="1"/>
  <c r="AU60"/>
  <c r="AR60"/>
  <c r="AW60" s="1"/>
  <c r="AJ60"/>
  <c r="AC60"/>
  <c r="CU60" s="1"/>
  <c r="AB60"/>
  <c r="AA60"/>
  <c r="Y60"/>
  <c r="X60"/>
  <c r="W60"/>
  <c r="DN60"/>
  <c r="S60"/>
  <c r="I60"/>
  <c r="H60"/>
  <c r="G60"/>
  <c r="DO59"/>
  <c r="CZ59"/>
  <c r="CY59"/>
  <c r="CS59"/>
  <c r="CR59"/>
  <c r="CQ59"/>
  <c r="DE59" s="1"/>
  <c r="BP59"/>
  <c r="BO59"/>
  <c r="BJ59"/>
  <c r="BQ59" s="1"/>
  <c r="BD59"/>
  <c r="AV59"/>
  <c r="AU59"/>
  <c r="AW59" s="1"/>
  <c r="AP59"/>
  <c r="AK59"/>
  <c r="AJ59"/>
  <c r="AL59" s="1"/>
  <c r="DF59" s="1"/>
  <c r="AD59"/>
  <c r="CV59" s="1"/>
  <c r="AB59"/>
  <c r="AA59"/>
  <c r="Z59"/>
  <c r="Y59"/>
  <c r="X59"/>
  <c r="W59"/>
  <c r="DN59"/>
  <c r="S59"/>
  <c r="I59"/>
  <c r="H59"/>
  <c r="G59"/>
  <c r="DO58"/>
  <c r="CZ58"/>
  <c r="CY58"/>
  <c r="CS58"/>
  <c r="CR58"/>
  <c r="CQ58"/>
  <c r="DE58" s="1"/>
  <c r="BP58"/>
  <c r="BO58"/>
  <c r="BN58"/>
  <c r="BQ58" s="1"/>
  <c r="BD58"/>
  <c r="AV58"/>
  <c r="AU58"/>
  <c r="AW58" s="1"/>
  <c r="AT58"/>
  <c r="AK58"/>
  <c r="AJ58"/>
  <c r="AD58"/>
  <c r="CV58" s="1"/>
  <c r="AB58"/>
  <c r="AA58"/>
  <c r="Z58"/>
  <c r="Y58"/>
  <c r="X58"/>
  <c r="W58"/>
  <c r="DN58"/>
  <c r="S58"/>
  <c r="I58"/>
  <c r="H58"/>
  <c r="G58"/>
  <c r="DO57"/>
  <c r="CZ57"/>
  <c r="CY57"/>
  <c r="CS57"/>
  <c r="CR57"/>
  <c r="CQ57"/>
  <c r="DE57" s="1"/>
  <c r="BP57"/>
  <c r="BO57"/>
  <c r="BJ57"/>
  <c r="BQ57" s="1"/>
  <c r="BD57"/>
  <c r="AV57"/>
  <c r="AU57"/>
  <c r="AW57" s="1"/>
  <c r="AP57"/>
  <c r="AK57"/>
  <c r="AJ57"/>
  <c r="AL57" s="1"/>
  <c r="AD57"/>
  <c r="CV57" s="1"/>
  <c r="AB57"/>
  <c r="AA57"/>
  <c r="Z57"/>
  <c r="Y57"/>
  <c r="X57"/>
  <c r="W57"/>
  <c r="DN57"/>
  <c r="S57"/>
  <c r="I57"/>
  <c r="H57"/>
  <c r="G57"/>
  <c r="DO56"/>
  <c r="CZ56"/>
  <c r="CY56"/>
  <c r="CS56"/>
  <c r="CR56"/>
  <c r="CQ56"/>
  <c r="BP56"/>
  <c r="BO56"/>
  <c r="BQ56"/>
  <c r="BR56" s="1"/>
  <c r="BD56"/>
  <c r="AV56"/>
  <c r="AU56"/>
  <c r="AC56" s="1"/>
  <c r="AK56"/>
  <c r="AJ56"/>
  <c r="AD56"/>
  <c r="DZ56" s="1"/>
  <c r="AA56"/>
  <c r="Z56"/>
  <c r="Y56"/>
  <c r="X56"/>
  <c r="W56"/>
  <c r="AG56"/>
  <c r="AH56" s="1"/>
  <c r="S56"/>
  <c r="I56"/>
  <c r="H56"/>
  <c r="G56"/>
  <c r="DO55"/>
  <c r="CZ55"/>
  <c r="CY55"/>
  <c r="CV55"/>
  <c r="CS55"/>
  <c r="CR55"/>
  <c r="CQ55"/>
  <c r="DE55" s="1"/>
  <c r="BR55"/>
  <c r="BP55"/>
  <c r="BO55"/>
  <c r="BN55"/>
  <c r="BQ55" s="1"/>
  <c r="BD55"/>
  <c r="AV55"/>
  <c r="AU55"/>
  <c r="AC55" s="1"/>
  <c r="CU55" s="1"/>
  <c r="AT55"/>
  <c r="AK55"/>
  <c r="AJ55"/>
  <c r="AD55"/>
  <c r="DZ55" s="1"/>
  <c r="AB55"/>
  <c r="AA55"/>
  <c r="Z55"/>
  <c r="Y55"/>
  <c r="X55"/>
  <c r="W55"/>
  <c r="AG55"/>
  <c r="S55"/>
  <c r="I55"/>
  <c r="H55"/>
  <c r="G55"/>
  <c r="DO54"/>
  <c r="CZ54"/>
  <c r="CY54"/>
  <c r="CS54"/>
  <c r="CR54"/>
  <c r="CQ54"/>
  <c r="BP54"/>
  <c r="BO54"/>
  <c r="BL54"/>
  <c r="BQ54" s="1"/>
  <c r="BR54" s="1"/>
  <c r="BD54"/>
  <c r="AV54"/>
  <c r="AU54"/>
  <c r="AC54" s="1"/>
  <c r="AR54"/>
  <c r="AK54"/>
  <c r="AJ54"/>
  <c r="AD54"/>
  <c r="DZ54" s="1"/>
  <c r="AB54"/>
  <c r="AA54"/>
  <c r="Y54"/>
  <c r="X54"/>
  <c r="W54"/>
  <c r="AG54"/>
  <c r="AH54" s="1"/>
  <c r="S54"/>
  <c r="I54"/>
  <c r="H54"/>
  <c r="G54"/>
  <c r="DO53"/>
  <c r="CZ53"/>
  <c r="CY53"/>
  <c r="CS53"/>
  <c r="CR53"/>
  <c r="CQ53"/>
  <c r="DE53" s="1"/>
  <c r="BR53"/>
  <c r="BP53"/>
  <c r="BO53"/>
  <c r="BN53"/>
  <c r="BQ53" s="1"/>
  <c r="BD53"/>
  <c r="AV53"/>
  <c r="AU53"/>
  <c r="AW53" s="1"/>
  <c r="AT53"/>
  <c r="AK53"/>
  <c r="AJ53"/>
  <c r="AL53" s="1"/>
  <c r="DF53" s="1"/>
  <c r="AD53"/>
  <c r="DZ53" s="1"/>
  <c r="AB53"/>
  <c r="AA53"/>
  <c r="Z53"/>
  <c r="Y53"/>
  <c r="X53"/>
  <c r="W53"/>
  <c r="DN53"/>
  <c r="S53"/>
  <c r="I53"/>
  <c r="H53"/>
  <c r="G53"/>
  <c r="DO52"/>
  <c r="CZ52"/>
  <c r="CY52"/>
  <c r="CS52"/>
  <c r="CR52"/>
  <c r="CQ52"/>
  <c r="DE52" s="1"/>
  <c r="BP52"/>
  <c r="BO52"/>
  <c r="BL52"/>
  <c r="BQ52" s="1"/>
  <c r="BD52"/>
  <c r="AV52"/>
  <c r="AU52"/>
  <c r="AW52" s="1"/>
  <c r="AR52"/>
  <c r="AK52"/>
  <c r="AJ52"/>
  <c r="AL52" s="1"/>
  <c r="AD52"/>
  <c r="CV52" s="1"/>
  <c r="AB52"/>
  <c r="AA52"/>
  <c r="Z52"/>
  <c r="Y52"/>
  <c r="X52"/>
  <c r="W52"/>
  <c r="DN52"/>
  <c r="S52"/>
  <c r="I52"/>
  <c r="H52"/>
  <c r="G52"/>
  <c r="DO51"/>
  <c r="CZ51"/>
  <c r="CY51"/>
  <c r="CS51"/>
  <c r="CR51"/>
  <c r="CQ51"/>
  <c r="DE51" s="1"/>
  <c r="BP51"/>
  <c r="BO51"/>
  <c r="BJ51"/>
  <c r="BQ51" s="1"/>
  <c r="BD51"/>
  <c r="AV51"/>
  <c r="AU51"/>
  <c r="AW51" s="1"/>
  <c r="AP51"/>
  <c r="AK51"/>
  <c r="AJ51"/>
  <c r="AL51" s="1"/>
  <c r="AD51"/>
  <c r="CV51" s="1"/>
  <c r="AB51"/>
  <c r="AA51"/>
  <c r="Z51"/>
  <c r="Y51"/>
  <c r="X51"/>
  <c r="W51"/>
  <c r="DN51"/>
  <c r="S51"/>
  <c r="I51"/>
  <c r="H51"/>
  <c r="G51"/>
  <c r="DO50"/>
  <c r="CZ50"/>
  <c r="CY50"/>
  <c r="CS50"/>
  <c r="CR50"/>
  <c r="CQ50"/>
  <c r="DE50" s="1"/>
  <c r="BP50"/>
  <c r="BO50"/>
  <c r="BL50"/>
  <c r="BQ50" s="1"/>
  <c r="BD50"/>
  <c r="AV50"/>
  <c r="AU50"/>
  <c r="AW50" s="1"/>
  <c r="AR50"/>
  <c r="AK50"/>
  <c r="AJ50"/>
  <c r="AD50"/>
  <c r="CV50" s="1"/>
  <c r="AB50"/>
  <c r="AA50"/>
  <c r="Z50"/>
  <c r="Y50"/>
  <c r="X50"/>
  <c r="W50"/>
  <c r="DN50"/>
  <c r="S50"/>
  <c r="I50"/>
  <c r="H50"/>
  <c r="G50"/>
  <c r="DO49"/>
  <c r="CZ49"/>
  <c r="CY49"/>
  <c r="CS49"/>
  <c r="CR49"/>
  <c r="CQ49"/>
  <c r="BP49"/>
  <c r="BO49"/>
  <c r="BQ49" s="1"/>
  <c r="BN49"/>
  <c r="BD49"/>
  <c r="AV49"/>
  <c r="AD49" s="1"/>
  <c r="AU49"/>
  <c r="AT49"/>
  <c r="AW49" s="1"/>
  <c r="AJ49"/>
  <c r="AC49"/>
  <c r="CU49" s="1"/>
  <c r="AA49"/>
  <c r="Z49"/>
  <c r="Y49"/>
  <c r="X49"/>
  <c r="W49"/>
  <c r="AG49"/>
  <c r="S49"/>
  <c r="I49"/>
  <c r="H49"/>
  <c r="G49"/>
  <c r="DO48"/>
  <c r="CZ48"/>
  <c r="CY48"/>
  <c r="CS48"/>
  <c r="CR48"/>
  <c r="CQ48"/>
  <c r="DE48" s="1"/>
  <c r="BP48"/>
  <c r="BO48"/>
  <c r="BQ48" s="1"/>
  <c r="BJ48"/>
  <c r="BD48"/>
  <c r="AV48"/>
  <c r="AD48" s="1"/>
  <c r="AU48"/>
  <c r="AP48"/>
  <c r="AW48" s="1"/>
  <c r="AJ48"/>
  <c r="AC48"/>
  <c r="CU48" s="1"/>
  <c r="AB48"/>
  <c r="AA48"/>
  <c r="Z48"/>
  <c r="Y48"/>
  <c r="W48"/>
  <c r="DN48"/>
  <c r="S48"/>
  <c r="I48"/>
  <c r="H48"/>
  <c r="G48"/>
  <c r="DO47"/>
  <c r="CZ47"/>
  <c r="CY47"/>
  <c r="CS47"/>
  <c r="CR47"/>
  <c r="CQ47"/>
  <c r="DE47" s="1"/>
  <c r="BP47"/>
  <c r="BO47"/>
  <c r="BQ47" s="1"/>
  <c r="BJ47"/>
  <c r="BD47"/>
  <c r="AV47"/>
  <c r="AD47" s="1"/>
  <c r="AU47"/>
  <c r="AP47"/>
  <c r="AW47" s="1"/>
  <c r="AJ47"/>
  <c r="AC47"/>
  <c r="CU47" s="1"/>
  <c r="AB47"/>
  <c r="AA47"/>
  <c r="Z47"/>
  <c r="Y47"/>
  <c r="W47"/>
  <c r="DN47"/>
  <c r="S47"/>
  <c r="I47"/>
  <c r="H47"/>
  <c r="G47"/>
  <c r="DO46"/>
  <c r="CZ46"/>
  <c r="CY46"/>
  <c r="CS46"/>
  <c r="CR46"/>
  <c r="CQ46"/>
  <c r="DE46" s="1"/>
  <c r="BP46"/>
  <c r="BO46"/>
  <c r="BQ46" s="1"/>
  <c r="BM46"/>
  <c r="BD46"/>
  <c r="AV46"/>
  <c r="AD46" s="1"/>
  <c r="AU46"/>
  <c r="AS46"/>
  <c r="AW46" s="1"/>
  <c r="AJ46"/>
  <c r="AC46"/>
  <c r="CU46" s="1"/>
  <c r="AB46"/>
  <c r="AA46"/>
  <c r="Z46"/>
  <c r="Y46"/>
  <c r="X46"/>
  <c r="W46"/>
  <c r="AE46" s="1"/>
  <c r="DN46"/>
  <c r="S46"/>
  <c r="I46"/>
  <c r="H46"/>
  <c r="G46"/>
  <c r="DO45"/>
  <c r="CZ45"/>
  <c r="CY45"/>
  <c r="CS45"/>
  <c r="CR45"/>
  <c r="CQ45"/>
  <c r="DE45" s="1"/>
  <c r="BP45"/>
  <c r="BO45"/>
  <c r="BQ45" s="1"/>
  <c r="CA45" s="1"/>
  <c r="BJ45"/>
  <c r="BD45"/>
  <c r="AV45"/>
  <c r="AD45" s="1"/>
  <c r="AU45"/>
  <c r="AP45"/>
  <c r="AW45" s="1"/>
  <c r="AJ45"/>
  <c r="AC45"/>
  <c r="CU45" s="1"/>
  <c r="AB45"/>
  <c r="AA45"/>
  <c r="Z45"/>
  <c r="Y45"/>
  <c r="W45"/>
  <c r="DN45"/>
  <c r="S45"/>
  <c r="I45"/>
  <c r="H45"/>
  <c r="G45"/>
  <c r="DO44"/>
  <c r="DN44"/>
  <c r="CZ44"/>
  <c r="CY44"/>
  <c r="S44" s="1"/>
  <c r="CS44"/>
  <c r="CR44"/>
  <c r="CQ44"/>
  <c r="DE44" s="1"/>
  <c r="BP44"/>
  <c r="BO44"/>
  <c r="BQ44" s="1"/>
  <c r="BJ44"/>
  <c r="BD44"/>
  <c r="AV44"/>
  <c r="AD44" s="1"/>
  <c r="AU44"/>
  <c r="AP44"/>
  <c r="AW44" s="1"/>
  <c r="AJ44"/>
  <c r="AG44"/>
  <c r="AC44"/>
  <c r="CU44" s="1"/>
  <c r="AB44"/>
  <c r="AA44"/>
  <c r="Z44"/>
  <c r="Y44"/>
  <c r="W44"/>
  <c r="I44"/>
  <c r="H44"/>
  <c r="G44"/>
  <c r="DO43"/>
  <c r="CZ43"/>
  <c r="CY43"/>
  <c r="CS43"/>
  <c r="CR43"/>
  <c r="CQ43"/>
  <c r="DE43" s="1"/>
  <c r="BP43"/>
  <c r="BO43"/>
  <c r="BJ43"/>
  <c r="BQ43" s="1"/>
  <c r="BD43"/>
  <c r="AV43"/>
  <c r="AU43"/>
  <c r="AW43" s="1"/>
  <c r="AP43"/>
  <c r="AK43"/>
  <c r="AJ43"/>
  <c r="AD43"/>
  <c r="CV43" s="1"/>
  <c r="AB43"/>
  <c r="AA43"/>
  <c r="Z43"/>
  <c r="Y43"/>
  <c r="X43"/>
  <c r="W43"/>
  <c r="DN43"/>
  <c r="S43"/>
  <c r="I43"/>
  <c r="H43"/>
  <c r="G43"/>
  <c r="DO42"/>
  <c r="CZ42"/>
  <c r="CY42"/>
  <c r="CS42"/>
  <c r="CR42"/>
  <c r="CQ42"/>
  <c r="DE42" s="1"/>
  <c r="BP42"/>
  <c r="BO42"/>
  <c r="BN42"/>
  <c r="BQ42" s="1"/>
  <c r="BD42"/>
  <c r="AV42"/>
  <c r="AU42"/>
  <c r="AW42" s="1"/>
  <c r="AT42"/>
  <c r="AK42"/>
  <c r="AJ42"/>
  <c r="AL42" s="1"/>
  <c r="AD42"/>
  <c r="CV42" s="1"/>
  <c r="AB42"/>
  <c r="AA42"/>
  <c r="Z42"/>
  <c r="Y42"/>
  <c r="X42"/>
  <c r="W42"/>
  <c r="DN42"/>
  <c r="S42"/>
  <c r="I42"/>
  <c r="H42"/>
  <c r="G42"/>
  <c r="DO41"/>
  <c r="CZ41"/>
  <c r="CY41"/>
  <c r="CS41"/>
  <c r="CR41"/>
  <c r="CQ41"/>
  <c r="DE41" s="1"/>
  <c r="BP41"/>
  <c r="BO41"/>
  <c r="BN41"/>
  <c r="BQ41" s="1"/>
  <c r="BD41"/>
  <c r="AV41"/>
  <c r="AU41"/>
  <c r="AW41" s="1"/>
  <c r="AT41"/>
  <c r="AK41"/>
  <c r="AJ41"/>
  <c r="AL41" s="1"/>
  <c r="AD41"/>
  <c r="CV41" s="1"/>
  <c r="AB41"/>
  <c r="AA41"/>
  <c r="Z41"/>
  <c r="Y41"/>
  <c r="X41"/>
  <c r="W41"/>
  <c r="DN41"/>
  <c r="S41"/>
  <c r="I41"/>
  <c r="H41"/>
  <c r="G41"/>
  <c r="DO40"/>
  <c r="DN40"/>
  <c r="CZ40"/>
  <c r="CY40"/>
  <c r="CS40"/>
  <c r="CR40"/>
  <c r="CQ40"/>
  <c r="DE40" s="1"/>
  <c r="BP40"/>
  <c r="BO40"/>
  <c r="BN40"/>
  <c r="BQ40" s="1"/>
  <c r="BD40"/>
  <c r="AV40"/>
  <c r="AU40"/>
  <c r="AW40" s="1"/>
  <c r="AT40"/>
  <c r="AK40"/>
  <c r="AJ40"/>
  <c r="AL40" s="1"/>
  <c r="AG40"/>
  <c r="AH40" s="1"/>
  <c r="AD40"/>
  <c r="CV40" s="1"/>
  <c r="AB40"/>
  <c r="AA40"/>
  <c r="Z40"/>
  <c r="Y40"/>
  <c r="X40"/>
  <c r="W40"/>
  <c r="S40"/>
  <c r="I40"/>
  <c r="H40"/>
  <c r="G40"/>
  <c r="DO39"/>
  <c r="CZ39"/>
  <c r="CY39"/>
  <c r="CS39"/>
  <c r="CR39"/>
  <c r="CQ39"/>
  <c r="DE39" s="1"/>
  <c r="BP39"/>
  <c r="BO39"/>
  <c r="BQ39" s="1"/>
  <c r="CA39" s="1"/>
  <c r="BN39"/>
  <c r="BD39"/>
  <c r="AV39"/>
  <c r="AD39" s="1"/>
  <c r="AU39"/>
  <c r="AT39"/>
  <c r="AW39" s="1"/>
  <c r="AJ39"/>
  <c r="AC39"/>
  <c r="CU39" s="1"/>
  <c r="AA39"/>
  <c r="Z39"/>
  <c r="Y39"/>
  <c r="X39"/>
  <c r="W39"/>
  <c r="DN39"/>
  <c r="S39"/>
  <c r="I39"/>
  <c r="H39"/>
  <c r="G39"/>
  <c r="DO38"/>
  <c r="CZ38"/>
  <c r="CY38"/>
  <c r="CS38"/>
  <c r="CR38"/>
  <c r="CQ38"/>
  <c r="DE38" s="1"/>
  <c r="BP38"/>
  <c r="BO38"/>
  <c r="BQ38" s="1"/>
  <c r="CA38" s="1"/>
  <c r="BJ38"/>
  <c r="BD38"/>
  <c r="AV38"/>
  <c r="AD38" s="1"/>
  <c r="AU38"/>
  <c r="AP38"/>
  <c r="AW38" s="1"/>
  <c r="AJ38"/>
  <c r="AC38"/>
  <c r="CU38" s="1"/>
  <c r="AB38"/>
  <c r="AA38"/>
  <c r="Z38"/>
  <c r="Y38"/>
  <c r="W38"/>
  <c r="DN38"/>
  <c r="S38"/>
  <c r="I38"/>
  <c r="H38"/>
  <c r="G38"/>
  <c r="DO37"/>
  <c r="CZ37"/>
  <c r="CY37"/>
  <c r="CS37"/>
  <c r="CR37"/>
  <c r="CQ37"/>
  <c r="DE37" s="1"/>
  <c r="BP37"/>
  <c r="BO37"/>
  <c r="BQ37" s="1"/>
  <c r="CA37" s="1"/>
  <c r="BN37"/>
  <c r="BD37"/>
  <c r="AV37"/>
  <c r="AD37" s="1"/>
  <c r="AU37"/>
  <c r="AT37"/>
  <c r="AW37" s="1"/>
  <c r="AJ37"/>
  <c r="AC37"/>
  <c r="CU37" s="1"/>
  <c r="AA37"/>
  <c r="Z37"/>
  <c r="Y37"/>
  <c r="X37"/>
  <c r="W37"/>
  <c r="DN37"/>
  <c r="S37"/>
  <c r="I37"/>
  <c r="H37"/>
  <c r="G37"/>
  <c r="DO36"/>
  <c r="CZ36"/>
  <c r="CY36"/>
  <c r="CS36"/>
  <c r="CR36"/>
  <c r="CQ36"/>
  <c r="DE36" s="1"/>
  <c r="BP36"/>
  <c r="BO36"/>
  <c r="BQ36" s="1"/>
  <c r="CA36" s="1"/>
  <c r="BJ36"/>
  <c r="BD36"/>
  <c r="AV36"/>
  <c r="AD36" s="1"/>
  <c r="AU36"/>
  <c r="AP36"/>
  <c r="AW36" s="1"/>
  <c r="AJ36"/>
  <c r="AC36"/>
  <c r="CU36" s="1"/>
  <c r="AB36"/>
  <c r="AA36"/>
  <c r="Z36"/>
  <c r="Y36"/>
  <c r="W36"/>
  <c r="DN36"/>
  <c r="S36"/>
  <c r="I36"/>
  <c r="H36"/>
  <c r="G36"/>
  <c r="DO35"/>
  <c r="CZ35"/>
  <c r="CY35"/>
  <c r="CS35"/>
  <c r="CR35"/>
  <c r="CQ35"/>
  <c r="DE35" s="1"/>
  <c r="BP35"/>
  <c r="BO35"/>
  <c r="BQ35" s="1"/>
  <c r="CA35" s="1"/>
  <c r="BN35"/>
  <c r="BD35"/>
  <c r="AV35"/>
  <c r="AD35" s="1"/>
  <c r="AU35"/>
  <c r="AT35"/>
  <c r="AW35" s="1"/>
  <c r="AJ35"/>
  <c r="AC35"/>
  <c r="CU35" s="1"/>
  <c r="AA35"/>
  <c r="Z35"/>
  <c r="Y35"/>
  <c r="X35"/>
  <c r="W35"/>
  <c r="DN35"/>
  <c r="S35"/>
  <c r="I35"/>
  <c r="H35"/>
  <c r="G35"/>
  <c r="DO34"/>
  <c r="CZ34"/>
  <c r="CY34"/>
  <c r="CS34"/>
  <c r="CR34"/>
  <c r="CQ34"/>
  <c r="DE34" s="1"/>
  <c r="BP34"/>
  <c r="BO34"/>
  <c r="BQ34" s="1"/>
  <c r="CA34" s="1"/>
  <c r="BN34"/>
  <c r="BD34"/>
  <c r="AV34"/>
  <c r="AD34" s="1"/>
  <c r="AU34"/>
  <c r="AT34"/>
  <c r="AW34" s="1"/>
  <c r="AJ34"/>
  <c r="AC34"/>
  <c r="CU34" s="1"/>
  <c r="AA34"/>
  <c r="Z34"/>
  <c r="Y34"/>
  <c r="X34"/>
  <c r="W34"/>
  <c r="DN34"/>
  <c r="S34"/>
  <c r="I34"/>
  <c r="H34"/>
  <c r="G34"/>
  <c r="DO33"/>
  <c r="CZ33"/>
  <c r="CY33"/>
  <c r="CS33"/>
  <c r="CR33"/>
  <c r="CQ33"/>
  <c r="DE33" s="1"/>
  <c r="BP33"/>
  <c r="BO33"/>
  <c r="BQ33" s="1"/>
  <c r="CA33" s="1"/>
  <c r="BJ33"/>
  <c r="BD33"/>
  <c r="AV33"/>
  <c r="AD33" s="1"/>
  <c r="AU33"/>
  <c r="AP33"/>
  <c r="AW33" s="1"/>
  <c r="AJ33"/>
  <c r="AC33"/>
  <c r="CU33" s="1"/>
  <c r="AB33"/>
  <c r="AA33"/>
  <c r="Z33"/>
  <c r="Y33"/>
  <c r="W33"/>
  <c r="DN33"/>
  <c r="S33"/>
  <c r="I33"/>
  <c r="H33"/>
  <c r="G33"/>
  <c r="DO32"/>
  <c r="CZ32"/>
  <c r="CY32"/>
  <c r="CS32"/>
  <c r="CR32"/>
  <c r="CQ32"/>
  <c r="DE32" s="1"/>
  <c r="BP32"/>
  <c r="BO32"/>
  <c r="BQ32" s="1"/>
  <c r="CA32" s="1"/>
  <c r="BJ32"/>
  <c r="BD32"/>
  <c r="AV32"/>
  <c r="AD32" s="1"/>
  <c r="AU32"/>
  <c r="AP32"/>
  <c r="AW32" s="1"/>
  <c r="AJ32"/>
  <c r="AC32"/>
  <c r="CU32" s="1"/>
  <c r="AB32"/>
  <c r="AA32"/>
  <c r="Z32"/>
  <c r="Y32"/>
  <c r="W32"/>
  <c r="DN32"/>
  <c r="S32"/>
  <c r="I32"/>
  <c r="H32"/>
  <c r="G32"/>
  <c r="DO31"/>
  <c r="CZ31"/>
  <c r="CY31"/>
  <c r="CS31"/>
  <c r="CR31"/>
  <c r="CQ31"/>
  <c r="DE31" s="1"/>
  <c r="BP31"/>
  <c r="BO31"/>
  <c r="BQ31" s="1"/>
  <c r="CA31" s="1"/>
  <c r="BN31"/>
  <c r="BD31"/>
  <c r="AV31"/>
  <c r="AD31" s="1"/>
  <c r="AU31"/>
  <c r="AT31"/>
  <c r="AW31" s="1"/>
  <c r="AJ31"/>
  <c r="AC31"/>
  <c r="CU31" s="1"/>
  <c r="AA31"/>
  <c r="Z31"/>
  <c r="Y31"/>
  <c r="X31"/>
  <c r="W31"/>
  <c r="DN31"/>
  <c r="S31"/>
  <c r="I31"/>
  <c r="H31"/>
  <c r="G31"/>
  <c r="DO30"/>
  <c r="CZ30"/>
  <c r="CY30"/>
  <c r="CS30"/>
  <c r="CR30"/>
  <c r="CQ30"/>
  <c r="DE30" s="1"/>
  <c r="BP30"/>
  <c r="BO30"/>
  <c r="BQ30" s="1"/>
  <c r="CA30" s="1"/>
  <c r="BJ30"/>
  <c r="BD30"/>
  <c r="AV30"/>
  <c r="AD30" s="1"/>
  <c r="AU30"/>
  <c r="AP30"/>
  <c r="AW30" s="1"/>
  <c r="AJ30"/>
  <c r="AC30"/>
  <c r="CU30" s="1"/>
  <c r="AB30"/>
  <c r="AA30"/>
  <c r="Z30"/>
  <c r="Y30"/>
  <c r="W30"/>
  <c r="DN30"/>
  <c r="S30"/>
  <c r="I30"/>
  <c r="H30"/>
  <c r="G30"/>
  <c r="DO29"/>
  <c r="CZ29"/>
  <c r="CY29"/>
  <c r="CS29"/>
  <c r="CR29"/>
  <c r="CQ29"/>
  <c r="DE29" s="1"/>
  <c r="BX29"/>
  <c r="CG29" s="1"/>
  <c r="CH29" s="1"/>
  <c r="BP29"/>
  <c r="BO29"/>
  <c r="BQ29" s="1"/>
  <c r="CA29" s="1"/>
  <c r="BJ29"/>
  <c r="BD29"/>
  <c r="AV29"/>
  <c r="AD29" s="1"/>
  <c r="AU29"/>
  <c r="AP29"/>
  <c r="AW29" s="1"/>
  <c r="AJ29"/>
  <c r="AC29"/>
  <c r="CU29" s="1"/>
  <c r="AB29"/>
  <c r="AA29"/>
  <c r="Z29"/>
  <c r="Y29"/>
  <c r="W29"/>
  <c r="DN29"/>
  <c r="S29"/>
  <c r="I29"/>
  <c r="H29"/>
  <c r="G29"/>
  <c r="DO28"/>
  <c r="CZ28"/>
  <c r="CY28"/>
  <c r="CS28"/>
  <c r="CR28"/>
  <c r="CN28"/>
  <c r="CJ28"/>
  <c r="CQ28" s="1"/>
  <c r="BP28"/>
  <c r="BO28"/>
  <c r="BQ28" s="1"/>
  <c r="BJ28"/>
  <c r="BD28"/>
  <c r="AV28"/>
  <c r="AD28" s="1"/>
  <c r="AU28"/>
  <c r="AP28"/>
  <c r="AW28" s="1"/>
  <c r="AJ28"/>
  <c r="AC28"/>
  <c r="CU28" s="1"/>
  <c r="AB28"/>
  <c r="AA28"/>
  <c r="Z28"/>
  <c r="Y28"/>
  <c r="W28"/>
  <c r="DN28"/>
  <c r="S28"/>
  <c r="I28"/>
  <c r="H28"/>
  <c r="G28"/>
  <c r="DO27"/>
  <c r="CZ27"/>
  <c r="CY27"/>
  <c r="CS27"/>
  <c r="CR27"/>
  <c r="CQ27"/>
  <c r="DE27" s="1"/>
  <c r="BP27"/>
  <c r="BO27"/>
  <c r="BQ27" s="1"/>
  <c r="BJ27"/>
  <c r="BD27"/>
  <c r="AV27"/>
  <c r="AD27" s="1"/>
  <c r="AU27"/>
  <c r="AP27"/>
  <c r="AW27" s="1"/>
  <c r="AJ27"/>
  <c r="AC27"/>
  <c r="CU27" s="1"/>
  <c r="AB27"/>
  <c r="AA27"/>
  <c r="Z27"/>
  <c r="Y27"/>
  <c r="W27"/>
  <c r="DN27"/>
  <c r="S27"/>
  <c r="I27"/>
  <c r="H27"/>
  <c r="G27"/>
  <c r="DO26"/>
  <c r="CZ26"/>
  <c r="CY26"/>
  <c r="CS26"/>
  <c r="CR26"/>
  <c r="CQ26"/>
  <c r="DE26" s="1"/>
  <c r="BP26"/>
  <c r="BO26"/>
  <c r="BQ26" s="1"/>
  <c r="BE26"/>
  <c r="BD26"/>
  <c r="BF26" s="1"/>
  <c r="AV26"/>
  <c r="AU26"/>
  <c r="AW26" s="1"/>
  <c r="AK26"/>
  <c r="AJ26"/>
  <c r="AL26" s="1"/>
  <c r="DF26" s="1"/>
  <c r="AD26"/>
  <c r="CV26" s="1"/>
  <c r="AC26"/>
  <c r="CU26" s="1"/>
  <c r="AB26"/>
  <c r="AA26"/>
  <c r="BS26" s="1"/>
  <c r="Z26"/>
  <c r="Y26"/>
  <c r="X26"/>
  <c r="W26"/>
  <c r="AE26" s="1"/>
  <c r="DN26"/>
  <c r="S26"/>
  <c r="H26"/>
  <c r="P26" s="1"/>
  <c r="DO25"/>
  <c r="CZ25"/>
  <c r="CY25"/>
  <c r="CS25"/>
  <c r="CR25"/>
  <c r="CQ25"/>
  <c r="DE25" s="1"/>
  <c r="BP25"/>
  <c r="BO25"/>
  <c r="BJ25"/>
  <c r="BQ25" s="1"/>
  <c r="BD25"/>
  <c r="AV25"/>
  <c r="AU25"/>
  <c r="AW25" s="1"/>
  <c r="AP25"/>
  <c r="AK25"/>
  <c r="AJ25"/>
  <c r="AL25" s="1"/>
  <c r="AD25"/>
  <c r="CV25" s="1"/>
  <c r="AB25"/>
  <c r="AA25"/>
  <c r="Z25"/>
  <c r="Y25"/>
  <c r="X25"/>
  <c r="W25"/>
  <c r="DN25"/>
  <c r="S25"/>
  <c r="I25"/>
  <c r="H25"/>
  <c r="G25"/>
  <c r="DO24"/>
  <c r="CZ24"/>
  <c r="CY24"/>
  <c r="CS24"/>
  <c r="CR24"/>
  <c r="CN24"/>
  <c r="CJ24"/>
  <c r="CQ24" s="1"/>
  <c r="BP24"/>
  <c r="BO24"/>
  <c r="BJ24"/>
  <c r="BQ24" s="1"/>
  <c r="BD24"/>
  <c r="AV24"/>
  <c r="AU24"/>
  <c r="AW24" s="1"/>
  <c r="AP24"/>
  <c r="AK24"/>
  <c r="AJ24"/>
  <c r="AD24"/>
  <c r="CV24" s="1"/>
  <c r="AB24"/>
  <c r="AA24"/>
  <c r="Z24"/>
  <c r="Y24"/>
  <c r="X24"/>
  <c r="W24"/>
  <c r="DN24"/>
  <c r="S24"/>
  <c r="I24"/>
  <c r="H24"/>
  <c r="G24"/>
  <c r="DO23"/>
  <c r="CZ23"/>
  <c r="CY23"/>
  <c r="CS23"/>
  <c r="CR23"/>
  <c r="CQ23"/>
  <c r="DE23" s="1"/>
  <c r="BP23"/>
  <c r="BO23"/>
  <c r="BJ23"/>
  <c r="BQ23" s="1"/>
  <c r="BD23"/>
  <c r="AV23"/>
  <c r="AU23"/>
  <c r="AW23" s="1"/>
  <c r="AP23"/>
  <c r="AK23"/>
  <c r="AJ23"/>
  <c r="AL23" s="1"/>
  <c r="AD23"/>
  <c r="AB23"/>
  <c r="AA23"/>
  <c r="Z23"/>
  <c r="Y23"/>
  <c r="X23"/>
  <c r="W23"/>
  <c r="S23"/>
  <c r="I23"/>
  <c r="H23"/>
  <c r="G23"/>
  <c r="DO22"/>
  <c r="CZ22"/>
  <c r="CY22"/>
  <c r="CS22"/>
  <c r="CR22"/>
  <c r="CQ22"/>
  <c r="BP22"/>
  <c r="BO22"/>
  <c r="BJ22"/>
  <c r="BQ22" s="1"/>
  <c r="BD22"/>
  <c r="AV22"/>
  <c r="AU22"/>
  <c r="AC22" s="1"/>
  <c r="AP22"/>
  <c r="AK22"/>
  <c r="AJ22"/>
  <c r="AD22"/>
  <c r="DZ22" s="1"/>
  <c r="AB22"/>
  <c r="AA22"/>
  <c r="Z22"/>
  <c r="Y22"/>
  <c r="W22"/>
  <c r="AG22"/>
  <c r="AH22" s="1"/>
  <c r="S22"/>
  <c r="I22"/>
  <c r="H22"/>
  <c r="G22"/>
  <c r="DO21"/>
  <c r="CZ21"/>
  <c r="CY21"/>
  <c r="CS21"/>
  <c r="CR21"/>
  <c r="CQ21"/>
  <c r="DE21" s="1"/>
  <c r="BX21"/>
  <c r="CG21" s="1"/>
  <c r="CH21" s="1"/>
  <c r="BP21"/>
  <c r="BO21"/>
  <c r="BQ21" s="1"/>
  <c r="CA21" s="1"/>
  <c r="BJ21"/>
  <c r="BD21"/>
  <c r="AV21"/>
  <c r="AD21" s="1"/>
  <c r="AU21"/>
  <c r="AP21"/>
  <c r="AW21" s="1"/>
  <c r="AJ21"/>
  <c r="AK21" s="1"/>
  <c r="AC21"/>
  <c r="CU21" s="1"/>
  <c r="AB21"/>
  <c r="AA21"/>
  <c r="Z21"/>
  <c r="Y21"/>
  <c r="W21"/>
  <c r="AG21"/>
  <c r="S21"/>
  <c r="I21"/>
  <c r="H21"/>
  <c r="G21"/>
  <c r="DO20"/>
  <c r="CZ20"/>
  <c r="CY20"/>
  <c r="CS20"/>
  <c r="CR20"/>
  <c r="CQ20"/>
  <c r="BP20"/>
  <c r="BO20"/>
  <c r="BQ20" s="1"/>
  <c r="CA20" s="1"/>
  <c r="BN20"/>
  <c r="BD20"/>
  <c r="AV20"/>
  <c r="AD20" s="1"/>
  <c r="AU20"/>
  <c r="AT20"/>
  <c r="AW20" s="1"/>
  <c r="AJ20"/>
  <c r="AK20" s="1"/>
  <c r="AC20"/>
  <c r="CU20" s="1"/>
  <c r="AA20"/>
  <c r="Z20"/>
  <c r="Y20"/>
  <c r="X20"/>
  <c r="W20"/>
  <c r="DN20"/>
  <c r="S20"/>
  <c r="I20"/>
  <c r="H20"/>
  <c r="G20"/>
  <c r="DO19"/>
  <c r="CZ19"/>
  <c r="CY19"/>
  <c r="CS19"/>
  <c r="CR19"/>
  <c r="CQ19"/>
  <c r="DE19" s="1"/>
  <c r="BP19"/>
  <c r="BO19"/>
  <c r="BJ19"/>
  <c r="BQ19" s="1"/>
  <c r="BD19"/>
  <c r="AV19"/>
  <c r="AU19"/>
  <c r="AC19" s="1"/>
  <c r="AP19"/>
  <c r="AK19"/>
  <c r="AJ19"/>
  <c r="AL19" s="1"/>
  <c r="AD19"/>
  <c r="DZ19" s="1"/>
  <c r="AB19"/>
  <c r="AA19"/>
  <c r="Z19"/>
  <c r="Y19"/>
  <c r="X19"/>
  <c r="W19"/>
  <c r="AE19" s="1"/>
  <c r="AG19"/>
  <c r="S19"/>
  <c r="I19"/>
  <c r="H19"/>
  <c r="G19"/>
  <c r="DO18"/>
  <c r="CZ18"/>
  <c r="CY18"/>
  <c r="CS18"/>
  <c r="CR18"/>
  <c r="CJ18"/>
  <c r="CQ18" s="1"/>
  <c r="BP18"/>
  <c r="BO18"/>
  <c r="BQ18" s="1"/>
  <c r="CA18" s="1"/>
  <c r="BJ18"/>
  <c r="BD18"/>
  <c r="AV18"/>
  <c r="AD18" s="1"/>
  <c r="AU18"/>
  <c r="AP18"/>
  <c r="AW18" s="1"/>
  <c r="AJ18"/>
  <c r="AK18" s="1"/>
  <c r="AC18"/>
  <c r="CU18" s="1"/>
  <c r="AB18"/>
  <c r="AA18"/>
  <c r="BR18" s="1"/>
  <c r="Z18"/>
  <c r="Y18"/>
  <c r="W18"/>
  <c r="DN18"/>
  <c r="S18"/>
  <c r="I18"/>
  <c r="H18"/>
  <c r="G18"/>
  <c r="DO17"/>
  <c r="CZ17"/>
  <c r="CY17"/>
  <c r="CS17"/>
  <c r="CR17"/>
  <c r="CN17"/>
  <c r="CJ17"/>
  <c r="CQ17" s="1"/>
  <c r="BP17"/>
  <c r="BO17"/>
  <c r="BQ17" s="1"/>
  <c r="BJ17"/>
  <c r="BD17"/>
  <c r="AV17"/>
  <c r="AD17" s="1"/>
  <c r="AU17"/>
  <c r="AP17"/>
  <c r="AW17" s="1"/>
  <c r="AJ17"/>
  <c r="AK17" s="1"/>
  <c r="AG17"/>
  <c r="AC17"/>
  <c r="CU17" s="1"/>
  <c r="AB17"/>
  <c r="AA17"/>
  <c r="BR17" s="1"/>
  <c r="Z17"/>
  <c r="Y17"/>
  <c r="W17"/>
  <c r="DN17"/>
  <c r="S17"/>
  <c r="I17"/>
  <c r="H17"/>
  <c r="G17"/>
  <c r="DO16"/>
  <c r="CZ16"/>
  <c r="CY16"/>
  <c r="CS16"/>
  <c r="CR16"/>
  <c r="CQ16"/>
  <c r="BP16"/>
  <c r="BO16"/>
  <c r="BQ16" s="1"/>
  <c r="BJ16"/>
  <c r="BD16"/>
  <c r="AV16"/>
  <c r="AD16" s="1"/>
  <c r="AU16"/>
  <c r="AP16"/>
  <c r="AW16" s="1"/>
  <c r="AJ16"/>
  <c r="AK16" s="1"/>
  <c r="AG16"/>
  <c r="AC16"/>
  <c r="CU16" s="1"/>
  <c r="AB16"/>
  <c r="AA16"/>
  <c r="BR16" s="1"/>
  <c r="Z16"/>
  <c r="Y16"/>
  <c r="W16"/>
  <c r="DN16"/>
  <c r="S16"/>
  <c r="I16"/>
  <c r="H16"/>
  <c r="G16"/>
  <c r="DO15"/>
  <c r="CZ15"/>
  <c r="CY15"/>
  <c r="CS15"/>
  <c r="CR15"/>
  <c r="CQ15"/>
  <c r="BP15"/>
  <c r="BO15"/>
  <c r="BQ15" s="1"/>
  <c r="BI15"/>
  <c r="BD15"/>
  <c r="AV15"/>
  <c r="AD15" s="1"/>
  <c r="AU15"/>
  <c r="AO15"/>
  <c r="AW15" s="1"/>
  <c r="AJ15"/>
  <c r="AK15" s="1"/>
  <c r="AC15"/>
  <c r="CU15" s="1"/>
  <c r="AB15"/>
  <c r="AA15"/>
  <c r="BR15" s="1"/>
  <c r="Z15"/>
  <c r="Y15"/>
  <c r="X15"/>
  <c r="W15"/>
  <c r="AE15" s="1"/>
  <c r="DN15"/>
  <c r="S15"/>
  <c r="I15"/>
  <c r="H15"/>
  <c r="G15"/>
  <c r="DO14"/>
  <c r="CZ14"/>
  <c r="CY14"/>
  <c r="CS14"/>
  <c r="CR14"/>
  <c r="CQ14"/>
  <c r="DE14" s="1"/>
  <c r="BP14"/>
  <c r="BO14"/>
  <c r="BQ14" s="1"/>
  <c r="BN14"/>
  <c r="BD14"/>
  <c r="AV14"/>
  <c r="AD14" s="1"/>
  <c r="AU14"/>
  <c r="AT14"/>
  <c r="AW14" s="1"/>
  <c r="AJ14"/>
  <c r="AC14"/>
  <c r="CU14" s="1"/>
  <c r="AA14"/>
  <c r="Z14"/>
  <c r="Y14"/>
  <c r="X14"/>
  <c r="W14"/>
  <c r="AG14"/>
  <c r="S14"/>
  <c r="I14"/>
  <c r="H14"/>
  <c r="G14"/>
  <c r="DO13"/>
  <c r="CZ13"/>
  <c r="CY13"/>
  <c r="CS13"/>
  <c r="CR13"/>
  <c r="CQ13"/>
  <c r="BP13"/>
  <c r="BO13"/>
  <c r="BQ13" s="1"/>
  <c r="CA13" s="1"/>
  <c r="BJ13"/>
  <c r="BD13"/>
  <c r="AV13"/>
  <c r="AD13" s="1"/>
  <c r="AU13"/>
  <c r="AP13"/>
  <c r="AW13" s="1"/>
  <c r="AJ13"/>
  <c r="AK13" s="1"/>
  <c r="AC13"/>
  <c r="CU13" s="1"/>
  <c r="AB13"/>
  <c r="AA13"/>
  <c r="Z13"/>
  <c r="Y13"/>
  <c r="X13"/>
  <c r="W13"/>
  <c r="AE13" s="1"/>
  <c r="DN13"/>
  <c r="S13"/>
  <c r="I13"/>
  <c r="H13"/>
  <c r="G13"/>
  <c r="DO12"/>
  <c r="CZ12"/>
  <c r="CY12"/>
  <c r="CS12"/>
  <c r="CR12"/>
  <c r="CQ12"/>
  <c r="DE12" s="1"/>
  <c r="BP12"/>
  <c r="BO12"/>
  <c r="BQ12" s="1"/>
  <c r="CA12" s="1"/>
  <c r="BJ12"/>
  <c r="BD12"/>
  <c r="AV12"/>
  <c r="AD12" s="1"/>
  <c r="AU12"/>
  <c r="AP12"/>
  <c r="AW12" s="1"/>
  <c r="AJ12"/>
  <c r="AC12"/>
  <c r="CU12" s="1"/>
  <c r="AB12"/>
  <c r="AA12"/>
  <c r="Z12"/>
  <c r="Y12"/>
  <c r="X12"/>
  <c r="W12"/>
  <c r="AE12" s="1"/>
  <c r="AG12"/>
  <c r="S12"/>
  <c r="I12"/>
  <c r="H12"/>
  <c r="G12"/>
  <c r="DO11"/>
  <c r="CZ11"/>
  <c r="CY11"/>
  <c r="CS11"/>
  <c r="CR11"/>
  <c r="CQ11"/>
  <c r="BX11"/>
  <c r="CG11" s="1"/>
  <c r="CH11" s="1"/>
  <c r="BP11"/>
  <c r="BO11"/>
  <c r="BQ11" s="1"/>
  <c r="CA11" s="1"/>
  <c r="BJ11"/>
  <c r="BD11"/>
  <c r="AV11"/>
  <c r="AU11"/>
  <c r="AP11"/>
  <c r="AW11" s="1"/>
  <c r="AJ11"/>
  <c r="AK11" s="1"/>
  <c r="AD11"/>
  <c r="DZ11" s="1"/>
  <c r="AC11"/>
  <c r="CU11" s="1"/>
  <c r="AB11"/>
  <c r="AA11"/>
  <c r="BR11" s="1"/>
  <c r="Z11"/>
  <c r="Y11"/>
  <c r="X11"/>
  <c r="W11"/>
  <c r="AE11" s="1"/>
  <c r="AG11"/>
  <c r="S11"/>
  <c r="I11"/>
  <c r="H11"/>
  <c r="G11"/>
  <c r="DO10"/>
  <c r="CZ10"/>
  <c r="CY10"/>
  <c r="CS10"/>
  <c r="CR10"/>
  <c r="CQ10"/>
  <c r="BP10"/>
  <c r="BO10"/>
  <c r="BJ10"/>
  <c r="BQ10" s="1"/>
  <c r="CA10" s="1"/>
  <c r="BD10"/>
  <c r="AV10"/>
  <c r="AU10"/>
  <c r="AW10" s="1"/>
  <c r="AP10"/>
  <c r="AK10"/>
  <c r="AJ10"/>
  <c r="AD10"/>
  <c r="CV10" s="1"/>
  <c r="AC10"/>
  <c r="CU10" s="1"/>
  <c r="AB10"/>
  <c r="AA10"/>
  <c r="BR10" s="1"/>
  <c r="Z10"/>
  <c r="Y10"/>
  <c r="X10"/>
  <c r="W10"/>
  <c r="AE10" s="1"/>
  <c r="DN10"/>
  <c r="S10"/>
  <c r="I10"/>
  <c r="H10"/>
  <c r="G10"/>
  <c r="DO9"/>
  <c r="CZ9"/>
  <c r="CY9"/>
  <c r="CS9"/>
  <c r="CR9"/>
  <c r="CQ9"/>
  <c r="DE9" s="1"/>
  <c r="BP9"/>
  <c r="BO9"/>
  <c r="BQ9" s="1"/>
  <c r="BJ9"/>
  <c r="BD9"/>
  <c r="AV9"/>
  <c r="AD9" s="1"/>
  <c r="AU9"/>
  <c r="AP9"/>
  <c r="AW9" s="1"/>
  <c r="AJ9"/>
  <c r="AC9"/>
  <c r="CU9" s="1"/>
  <c r="AB9"/>
  <c r="AA9"/>
  <c r="Z9"/>
  <c r="Y9"/>
  <c r="W9"/>
  <c r="DN9"/>
  <c r="S9"/>
  <c r="I9"/>
  <c r="H9"/>
  <c r="G9"/>
  <c r="DO8"/>
  <c r="DO160" s="1"/>
  <c r="CZ8"/>
  <c r="CY8"/>
  <c r="CS8"/>
  <c r="CR8"/>
  <c r="CQ8"/>
  <c r="DE8" s="1"/>
  <c r="BP8"/>
  <c r="BO8"/>
  <c r="BQ8" s="1"/>
  <c r="BJ8"/>
  <c r="BD8"/>
  <c r="AV8"/>
  <c r="AD8" s="1"/>
  <c r="AU8"/>
  <c r="AP8"/>
  <c r="AW8" s="1"/>
  <c r="AJ8"/>
  <c r="AC8"/>
  <c r="CU8" s="1"/>
  <c r="AB8"/>
  <c r="AA8"/>
  <c r="Z8"/>
  <c r="Y8"/>
  <c r="W8"/>
  <c r="DN8"/>
  <c r="S8"/>
  <c r="I8"/>
  <c r="H8"/>
  <c r="G8"/>
  <c r="DD7"/>
  <c r="DC7"/>
  <c r="DB7"/>
  <c r="DA7"/>
  <c r="CZ7"/>
  <c r="CY7"/>
  <c r="CX7"/>
  <c r="CW7"/>
  <c r="CS7"/>
  <c r="CR7"/>
  <c r="CP7"/>
  <c r="CO7"/>
  <c r="CN7"/>
  <c r="CM7"/>
  <c r="CL7"/>
  <c r="CK7"/>
  <c r="CJ7"/>
  <c r="CI7"/>
  <c r="CF7"/>
  <c r="CE7"/>
  <c r="BP7"/>
  <c r="BO7"/>
  <c r="BN7"/>
  <c r="BM7"/>
  <c r="BL7"/>
  <c r="BK7"/>
  <c r="BJ7"/>
  <c r="BI7"/>
  <c r="BH7"/>
  <c r="BD7"/>
  <c r="BC7"/>
  <c r="AV7"/>
  <c r="AU7"/>
  <c r="AT7"/>
  <c r="AS7"/>
  <c r="AR7"/>
  <c r="AQ7"/>
  <c r="AP7"/>
  <c r="AN7"/>
  <c r="AJ7"/>
  <c r="AI7"/>
  <c r="AA7"/>
  <c r="U7"/>
  <c r="T7"/>
  <c r="S7"/>
  <c r="CT4"/>
  <c r="CQ4"/>
  <c r="AF107" i="21" l="1"/>
  <c r="AF107" i="22"/>
  <c r="AF108"/>
  <c r="AF108" i="21"/>
  <c r="AG50" i="15"/>
  <c r="DN50"/>
  <c r="DN38"/>
  <c r="AG38"/>
  <c r="AG44"/>
  <c r="DN44"/>
  <c r="DN106" i="12"/>
  <c r="AG106"/>
  <c r="DW100"/>
  <c r="DN106" i="22"/>
  <c r="AG106"/>
  <c r="DN106" i="21"/>
  <c r="AG106"/>
  <c r="DM32" i="22"/>
  <c r="DX32" s="1"/>
  <c r="EF32"/>
  <c r="DJ7"/>
  <c r="DM8"/>
  <c r="DM7" s="1"/>
  <c r="EF8"/>
  <c r="DX8"/>
  <c r="DK7"/>
  <c r="BW7"/>
  <c r="CD7"/>
  <c r="T30" i="19"/>
  <c r="T13"/>
  <c r="AG29" i="21"/>
  <c r="AG24"/>
  <c r="AG81"/>
  <c r="AG25"/>
  <c r="AG82"/>
  <c r="DJ29"/>
  <c r="DK7"/>
  <c r="DJ86"/>
  <c r="BW71"/>
  <c r="DJ71"/>
  <c r="CD71"/>
  <c r="DM61"/>
  <c r="DX61" s="1"/>
  <c r="EF61"/>
  <c r="BW100"/>
  <c r="DJ100"/>
  <c r="CD100"/>
  <c r="DM32"/>
  <c r="DX32" s="1"/>
  <c r="EF32"/>
  <c r="AG13" i="19"/>
  <c r="AG30"/>
  <c r="DH90" i="15"/>
  <c r="DK90" s="1"/>
  <c r="DX90" s="1"/>
  <c r="DY90"/>
  <c r="DW32"/>
  <c r="DM27" i="19"/>
  <c r="EF27"/>
  <c r="DM70"/>
  <c r="DX70" s="1"/>
  <c r="EF70"/>
  <c r="EF20"/>
  <c r="DM20"/>
  <c r="DX20" s="1"/>
  <c r="DM35"/>
  <c r="DX35" s="1"/>
  <c r="EF35"/>
  <c r="DM51"/>
  <c r="DX51" s="1"/>
  <c r="EF51"/>
  <c r="DM63"/>
  <c r="DX63" s="1"/>
  <c r="EF63"/>
  <c r="DM79"/>
  <c r="DX79" s="1"/>
  <c r="EF79"/>
  <c r="DM103"/>
  <c r="DX103" s="1"/>
  <c r="EF103"/>
  <c r="DM16"/>
  <c r="DX16" s="1"/>
  <c r="EF16"/>
  <c r="DM56"/>
  <c r="DX56" s="1"/>
  <c r="EF56"/>
  <c r="DM85"/>
  <c r="DX85" s="1"/>
  <c r="EF85"/>
  <c r="DM75"/>
  <c r="DX75" s="1"/>
  <c r="EF75"/>
  <c r="DM38"/>
  <c r="DX38" s="1"/>
  <c r="EF38"/>
  <c r="DM48"/>
  <c r="DX48" s="1"/>
  <c r="EF48"/>
  <c r="DM54"/>
  <c r="DX54" s="1"/>
  <c r="EF54"/>
  <c r="EF61"/>
  <c r="DM61"/>
  <c r="DX61" s="1"/>
  <c r="DM72"/>
  <c r="DX72" s="1"/>
  <c r="EF72"/>
  <c r="EF99"/>
  <c r="DM99"/>
  <c r="DX99" s="1"/>
  <c r="DK7"/>
  <c r="DM37"/>
  <c r="DX37" s="1"/>
  <c r="EF37"/>
  <c r="DM41"/>
  <c r="DX41" s="1"/>
  <c r="EF41"/>
  <c r="EF25"/>
  <c r="DM25"/>
  <c r="DX25" s="1"/>
  <c r="DM67"/>
  <c r="DX67" s="1"/>
  <c r="EF67"/>
  <c r="DJ32"/>
  <c r="CD32"/>
  <c r="BW32"/>
  <c r="DM62"/>
  <c r="DX62" s="1"/>
  <c r="EF62"/>
  <c r="DM65"/>
  <c r="DX65" s="1"/>
  <c r="EF65"/>
  <c r="DM88"/>
  <c r="DX88" s="1"/>
  <c r="EF88"/>
  <c r="DM104"/>
  <c r="DX104" s="1"/>
  <c r="EF104"/>
  <c r="DX27"/>
  <c r="EF106"/>
  <c r="DM106"/>
  <c r="DX106" s="1"/>
  <c r="DM47"/>
  <c r="DX47" s="1"/>
  <c r="EF47"/>
  <c r="EF98"/>
  <c r="DM98"/>
  <c r="DX98" s="1"/>
  <c r="DM91"/>
  <c r="DX91" s="1"/>
  <c r="EF91"/>
  <c r="DM45"/>
  <c r="DX45" s="1"/>
  <c r="EF45"/>
  <c r="DM52"/>
  <c r="DX52" s="1"/>
  <c r="EF52"/>
  <c r="DM57"/>
  <c r="DX57" s="1"/>
  <c r="EF57"/>
  <c r="DM92"/>
  <c r="DX92" s="1"/>
  <c r="EF92"/>
  <c r="DM95"/>
  <c r="DX95" s="1"/>
  <c r="EF95"/>
  <c r="DM39"/>
  <c r="DX39" s="1"/>
  <c r="EF39"/>
  <c r="DM101"/>
  <c r="DX101" s="1"/>
  <c r="EF101"/>
  <c r="DM83"/>
  <c r="DX83" s="1"/>
  <c r="EF83"/>
  <c r="DM34"/>
  <c r="DX34" s="1"/>
  <c r="EF34"/>
  <c r="DM31"/>
  <c r="DX31" s="1"/>
  <c r="EF31"/>
  <c r="DM97"/>
  <c r="DX97" s="1"/>
  <c r="EF97"/>
  <c r="DX14"/>
  <c r="DH7"/>
  <c r="DH100" i="15"/>
  <c r="DK100" s="1"/>
  <c r="DY100"/>
  <c r="DH26"/>
  <c r="DK26" s="1"/>
  <c r="DX26" s="1"/>
  <c r="DY26"/>
  <c r="EF104"/>
  <c r="DH102"/>
  <c r="DK102" s="1"/>
  <c r="DY102"/>
  <c r="DH10"/>
  <c r="DK10" s="1"/>
  <c r="DY10"/>
  <c r="BW54"/>
  <c r="DJ54"/>
  <c r="CD54"/>
  <c r="BW47"/>
  <c r="DJ47"/>
  <c r="CD47"/>
  <c r="BW37"/>
  <c r="DJ37"/>
  <c r="CD37"/>
  <c r="BW31"/>
  <c r="DJ31"/>
  <c r="CD31"/>
  <c r="DK8"/>
  <c r="BW67"/>
  <c r="DJ67"/>
  <c r="CD67"/>
  <c r="BW53"/>
  <c r="DJ53"/>
  <c r="CD53"/>
  <c r="BW48"/>
  <c r="DJ48"/>
  <c r="CD48"/>
  <c r="BW16"/>
  <c r="DJ16"/>
  <c r="CD16"/>
  <c r="DJ12"/>
  <c r="DM12" s="1"/>
  <c r="CD12"/>
  <c r="BW12"/>
  <c r="DH91"/>
  <c r="DK91" s="1"/>
  <c r="DY91"/>
  <c r="BW75"/>
  <c r="DJ75"/>
  <c r="CD75"/>
  <c r="DH32"/>
  <c r="DK32" s="1"/>
  <c r="DY32"/>
  <c r="DH39"/>
  <c r="DK39" s="1"/>
  <c r="DY39"/>
  <c r="DH14"/>
  <c r="DK14" s="1"/>
  <c r="DY14"/>
  <c r="DH12"/>
  <c r="DK12" s="1"/>
  <c r="DX12" s="1"/>
  <c r="DY12"/>
  <c r="DH85"/>
  <c r="DK85" s="1"/>
  <c r="DY85"/>
  <c r="DH50"/>
  <c r="DK50" s="1"/>
  <c r="DY50"/>
  <c r="DH23"/>
  <c r="DK23" s="1"/>
  <c r="DY23"/>
  <c r="BT32"/>
  <c r="CC32"/>
  <c r="BW102"/>
  <c r="DJ102"/>
  <c r="DM102" s="1"/>
  <c r="DX102" s="1"/>
  <c r="CD102"/>
  <c r="BW62"/>
  <c r="DJ62"/>
  <c r="CD62"/>
  <c r="BW59"/>
  <c r="DJ59"/>
  <c r="DM59" s="1"/>
  <c r="DX59" s="1"/>
  <c r="CD59"/>
  <c r="DI55"/>
  <c r="DL55" s="1"/>
  <c r="BY55"/>
  <c r="BZ55" s="1"/>
  <c r="BX55"/>
  <c r="BV55"/>
  <c r="BS55"/>
  <c r="DW55"/>
  <c r="BW35"/>
  <c r="DJ35"/>
  <c r="CD35"/>
  <c r="BW27"/>
  <c r="DJ27"/>
  <c r="CD27"/>
  <c r="DJ103"/>
  <c r="CD103"/>
  <c r="BW103"/>
  <c r="BW71"/>
  <c r="DJ71"/>
  <c r="CD71"/>
  <c r="BW56"/>
  <c r="DJ56"/>
  <c r="CD56"/>
  <c r="BW51"/>
  <c r="DJ51"/>
  <c r="CD51"/>
  <c r="DJ20"/>
  <c r="CD20"/>
  <c r="BW20"/>
  <c r="EB32"/>
  <c r="EC32" s="1"/>
  <c r="CG32"/>
  <c r="CH32" s="1"/>
  <c r="DH93"/>
  <c r="DK93" s="1"/>
  <c r="DY93"/>
  <c r="DJ25"/>
  <c r="CD25"/>
  <c r="BW25"/>
  <c r="DH31"/>
  <c r="DK31" s="1"/>
  <c r="DY31"/>
  <c r="DH20"/>
  <c r="DK20" s="1"/>
  <c r="DY20"/>
  <c r="EB8"/>
  <c r="CG8"/>
  <c r="EC8"/>
  <c r="BX10"/>
  <c r="BV10"/>
  <c r="DI10"/>
  <c r="BY10"/>
  <c r="BZ10" s="1"/>
  <c r="BS10"/>
  <c r="DL10"/>
  <c r="DM98"/>
  <c r="DX98" s="1"/>
  <c r="DJ91"/>
  <c r="CD91"/>
  <c r="BW91"/>
  <c r="DJ88"/>
  <c r="CD88"/>
  <c r="BW88"/>
  <c r="BW70"/>
  <c r="DJ70"/>
  <c r="CD70"/>
  <c r="BW57"/>
  <c r="DJ57"/>
  <c r="CD57"/>
  <c r="DJ41"/>
  <c r="CD41"/>
  <c r="BW41"/>
  <c r="DJ39"/>
  <c r="CD39"/>
  <c r="BW39"/>
  <c r="DI13"/>
  <c r="DL13" s="1"/>
  <c r="BY13"/>
  <c r="BZ13" s="1"/>
  <c r="BX13"/>
  <c r="BV13"/>
  <c r="DW13" s="1"/>
  <c r="BS13"/>
  <c r="DG8"/>
  <c r="BW106"/>
  <c r="DJ106"/>
  <c r="CD106"/>
  <c r="BW63"/>
  <c r="DJ63"/>
  <c r="CD63"/>
  <c r="DM85"/>
  <c r="EF85"/>
  <c r="BW96"/>
  <c r="DJ96"/>
  <c r="CD96"/>
  <c r="DH40"/>
  <c r="DK40" s="1"/>
  <c r="DY40"/>
  <c r="DH18"/>
  <c r="DK18" s="1"/>
  <c r="DY18"/>
  <c r="DH11"/>
  <c r="DK11" s="1"/>
  <c r="DY11"/>
  <c r="BW79"/>
  <c r="DJ79"/>
  <c r="CD79"/>
  <c r="DJ72"/>
  <c r="CD72"/>
  <c r="BW72"/>
  <c r="BW52"/>
  <c r="DJ52"/>
  <c r="CD52"/>
  <c r="BW45"/>
  <c r="DJ45"/>
  <c r="CD45"/>
  <c r="DJ42"/>
  <c r="CD42"/>
  <c r="BW42"/>
  <c r="DJ38"/>
  <c r="CD38"/>
  <c r="BW38"/>
  <c r="DI30"/>
  <c r="DL30" s="1"/>
  <c r="BY30"/>
  <c r="BZ30" s="1"/>
  <c r="BX30"/>
  <c r="BV30"/>
  <c r="DW30" s="1"/>
  <c r="BS30"/>
  <c r="BW9"/>
  <c r="DJ9"/>
  <c r="DM9" s="1"/>
  <c r="DX9" s="1"/>
  <c r="CD9"/>
  <c r="BW101"/>
  <c r="DJ101"/>
  <c r="CD101"/>
  <c r="BW97"/>
  <c r="DJ97"/>
  <c r="CD97"/>
  <c r="EF92"/>
  <c r="DM92"/>
  <c r="DX92" s="1"/>
  <c r="DJ83"/>
  <c r="CD83"/>
  <c r="BW83"/>
  <c r="BW65"/>
  <c r="DJ65"/>
  <c r="CD65"/>
  <c r="BW34"/>
  <c r="DJ34"/>
  <c r="CD34"/>
  <c r="DJ14"/>
  <c r="DM14" s="1"/>
  <c r="CD14"/>
  <c r="BW14"/>
  <c r="DH88"/>
  <c r="DK88" s="1"/>
  <c r="DY88"/>
  <c r="DH82"/>
  <c r="DK82" s="1"/>
  <c r="DY82"/>
  <c r="DH83"/>
  <c r="DK83" s="1"/>
  <c r="DY83"/>
  <c r="DH60"/>
  <c r="DK60" s="1"/>
  <c r="DY60"/>
  <c r="DH42"/>
  <c r="DK42" s="1"/>
  <c r="DY42"/>
  <c r="DH41"/>
  <c r="DK41" s="1"/>
  <c r="DY41"/>
  <c r="DH38"/>
  <c r="DK38" s="1"/>
  <c r="DY38"/>
  <c r="BW100"/>
  <c r="DJ100"/>
  <c r="CD100"/>
  <c r="BW95"/>
  <c r="DJ95"/>
  <c r="CD95"/>
  <c r="DH87"/>
  <c r="DK87" s="1"/>
  <c r="DY87"/>
  <c r="DH49"/>
  <c r="DK49" s="1"/>
  <c r="DY49"/>
  <c r="DH43"/>
  <c r="DK43" s="1"/>
  <c r="DY43"/>
  <c r="DH22"/>
  <c r="DK22" s="1"/>
  <c r="DY22"/>
  <c r="CC8"/>
  <c r="BT8"/>
  <c r="BZ8"/>
  <c r="CT7"/>
  <c r="CQ6" s="1"/>
  <c r="DX104"/>
  <c r="BU7"/>
  <c r="BG55"/>
  <c r="BG10"/>
  <c r="DH21" i="12"/>
  <c r="DK21" s="1"/>
  <c r="DY21"/>
  <c r="DH85"/>
  <c r="DK85" s="1"/>
  <c r="DY85"/>
  <c r="CB49"/>
  <c r="DL62"/>
  <c r="EA46"/>
  <c r="CT46"/>
  <c r="BU46"/>
  <c r="EA90"/>
  <c r="EB90" s="1"/>
  <c r="EC90" s="1"/>
  <c r="BU90"/>
  <c r="DW90" s="1"/>
  <c r="CT90"/>
  <c r="CA7"/>
  <c r="BB82"/>
  <c r="BF82" s="1"/>
  <c r="DW82" s="1"/>
  <c r="BB84"/>
  <c r="BF84" s="1"/>
  <c r="DH8"/>
  <c r="DY8"/>
  <c r="CC20"/>
  <c r="BT20"/>
  <c r="BT48"/>
  <c r="CC48"/>
  <c r="EA66"/>
  <c r="CT66"/>
  <c r="BU66"/>
  <c r="BT32"/>
  <c r="CC32"/>
  <c r="EA84"/>
  <c r="CT84"/>
  <c r="BU84"/>
  <c r="CC106"/>
  <c r="BT106"/>
  <c r="AZ8"/>
  <c r="EB20"/>
  <c r="EC20" s="1"/>
  <c r="CG20"/>
  <c r="CH20" s="1"/>
  <c r="BT34"/>
  <c r="CC34"/>
  <c r="EC34"/>
  <c r="EB34"/>
  <c r="CG34"/>
  <c r="CH34" s="1"/>
  <c r="DY40"/>
  <c r="DH40"/>
  <c r="DK40" s="1"/>
  <c r="EB45"/>
  <c r="EC45" s="1"/>
  <c r="CG45"/>
  <c r="CH45" s="1"/>
  <c r="EB48"/>
  <c r="EC48" s="1"/>
  <c r="CG48"/>
  <c r="CH48" s="1"/>
  <c r="DY52"/>
  <c r="DH52"/>
  <c r="DK52" s="1"/>
  <c r="DY54"/>
  <c r="DH54"/>
  <c r="DK54" s="1"/>
  <c r="EC56"/>
  <c r="CG56"/>
  <c r="CH56" s="1"/>
  <c r="EB56"/>
  <c r="DJ56"/>
  <c r="CD56"/>
  <c r="BW56"/>
  <c r="EB59"/>
  <c r="EC59" s="1"/>
  <c r="CG59"/>
  <c r="CH59" s="1"/>
  <c r="EC65"/>
  <c r="EB65"/>
  <c r="CG65"/>
  <c r="CH65" s="1"/>
  <c r="DH69"/>
  <c r="DK69" s="1"/>
  <c r="DY69"/>
  <c r="DH75"/>
  <c r="DK75" s="1"/>
  <c r="DY75"/>
  <c r="EB72"/>
  <c r="EC72" s="1"/>
  <c r="CG72"/>
  <c r="CH72" s="1"/>
  <c r="DH91"/>
  <c r="DK91" s="1"/>
  <c r="DY91"/>
  <c r="DH94"/>
  <c r="DK94" s="1"/>
  <c r="DY94"/>
  <c r="EA92"/>
  <c r="CT92"/>
  <c r="BU92"/>
  <c r="DW92" s="1"/>
  <c r="EB100"/>
  <c r="EC100" s="1"/>
  <c r="CG100"/>
  <c r="CH100" s="1"/>
  <c r="DH104"/>
  <c r="DK104" s="1"/>
  <c r="DY104"/>
  <c r="EA14"/>
  <c r="CT14"/>
  <c r="BU14"/>
  <c r="DW14" s="1"/>
  <c r="BB49"/>
  <c r="BF49" s="1"/>
  <c r="CC54"/>
  <c r="BT54"/>
  <c r="BT59"/>
  <c r="CC59"/>
  <c r="BT65"/>
  <c r="CC65"/>
  <c r="EA80"/>
  <c r="CT80"/>
  <c r="BU80"/>
  <c r="EF56"/>
  <c r="DM56"/>
  <c r="DI8"/>
  <c r="BY8"/>
  <c r="BV8"/>
  <c r="BX8"/>
  <c r="BS8"/>
  <c r="DY38"/>
  <c r="DH38"/>
  <c r="DK38" s="1"/>
  <c r="DY42"/>
  <c r="DH42"/>
  <c r="DK42" s="1"/>
  <c r="EB44"/>
  <c r="EC44" s="1"/>
  <c r="CG44"/>
  <c r="CH44" s="1"/>
  <c r="DY50"/>
  <c r="DH50"/>
  <c r="DK50" s="1"/>
  <c r="EB38"/>
  <c r="EC38" s="1"/>
  <c r="CG38"/>
  <c r="CH38" s="1"/>
  <c r="EB42"/>
  <c r="CG42"/>
  <c r="CH42" s="1"/>
  <c r="EC42"/>
  <c r="EB52"/>
  <c r="EC52" s="1"/>
  <c r="CG52"/>
  <c r="CH52" s="1"/>
  <c r="EB54"/>
  <c r="EC54" s="1"/>
  <c r="CG54"/>
  <c r="CH54" s="1"/>
  <c r="DH60"/>
  <c r="DK60" s="1"/>
  <c r="DY60"/>
  <c r="DH28"/>
  <c r="DK28" s="1"/>
  <c r="DY28"/>
  <c r="BT16"/>
  <c r="CC16"/>
  <c r="DH23"/>
  <c r="DK23" s="1"/>
  <c r="DY23"/>
  <c r="DH29"/>
  <c r="DK29" s="1"/>
  <c r="DY29"/>
  <c r="DH30"/>
  <c r="DK30" s="1"/>
  <c r="DY30"/>
  <c r="DH36"/>
  <c r="DK36" s="1"/>
  <c r="DY36"/>
  <c r="DH44"/>
  <c r="DK44" s="1"/>
  <c r="DY44"/>
  <c r="DH45"/>
  <c r="DK45" s="1"/>
  <c r="DY45"/>
  <c r="DJ27"/>
  <c r="EF27" s="1"/>
  <c r="CD27"/>
  <c r="BW27"/>
  <c r="BT35"/>
  <c r="CC35"/>
  <c r="EC35"/>
  <c r="CG35"/>
  <c r="CH35" s="1"/>
  <c r="EB35"/>
  <c r="DH53"/>
  <c r="DK53" s="1"/>
  <c r="DY53"/>
  <c r="CG31"/>
  <c r="CH31" s="1"/>
  <c r="EB31"/>
  <c r="EC31" s="1"/>
  <c r="CC37"/>
  <c r="BT37"/>
  <c r="EB51"/>
  <c r="EC51" s="1"/>
  <c r="CG51"/>
  <c r="CH51" s="1"/>
  <c r="DH71"/>
  <c r="DK71" s="1"/>
  <c r="DY71"/>
  <c r="DH72"/>
  <c r="DK72" s="1"/>
  <c r="DY72"/>
  <c r="DH74"/>
  <c r="DK74" s="1"/>
  <c r="DY74"/>
  <c r="CC70"/>
  <c r="BT70"/>
  <c r="EB70"/>
  <c r="CG70"/>
  <c r="CH70" s="1"/>
  <c r="EC70"/>
  <c r="CC75"/>
  <c r="BT75"/>
  <c r="EB75"/>
  <c r="CG75"/>
  <c r="CH75" s="1"/>
  <c r="EC75"/>
  <c r="CC88"/>
  <c r="BT88"/>
  <c r="EB88"/>
  <c r="EC88" s="1"/>
  <c r="CG88"/>
  <c r="CH88" s="1"/>
  <c r="BT95"/>
  <c r="CC95"/>
  <c r="EB95"/>
  <c r="EC95" s="1"/>
  <c r="CG95"/>
  <c r="CH95" s="1"/>
  <c r="BT99"/>
  <c r="CC99"/>
  <c r="CG99"/>
  <c r="CH99" s="1"/>
  <c r="DH106"/>
  <c r="DK106" s="1"/>
  <c r="DY106"/>
  <c r="CC101"/>
  <c r="BT101"/>
  <c r="CG101"/>
  <c r="CH101" s="1"/>
  <c r="EB101"/>
  <c r="EC101" s="1"/>
  <c r="EB104"/>
  <c r="EC104" s="1"/>
  <c r="CG104"/>
  <c r="CH104" s="1"/>
  <c r="DH49"/>
  <c r="DK49" s="1"/>
  <c r="DY49"/>
  <c r="DI50"/>
  <c r="BY50"/>
  <c r="BZ50" s="1"/>
  <c r="BX50"/>
  <c r="BV50"/>
  <c r="BS50"/>
  <c r="EC12"/>
  <c r="EB12"/>
  <c r="CG12"/>
  <c r="CH12" s="1"/>
  <c r="EC14"/>
  <c r="EB14"/>
  <c r="CG14"/>
  <c r="CH14" s="1"/>
  <c r="DH11"/>
  <c r="DK11" s="1"/>
  <c r="DY11"/>
  <c r="DH12"/>
  <c r="DK12" s="1"/>
  <c r="DY12"/>
  <c r="DH16"/>
  <c r="DK16" s="1"/>
  <c r="DY16"/>
  <c r="DH22"/>
  <c r="DK22" s="1"/>
  <c r="DY22"/>
  <c r="DH25"/>
  <c r="DK25" s="1"/>
  <c r="DY25"/>
  <c r="DH51"/>
  <c r="DK51" s="1"/>
  <c r="DY51"/>
  <c r="DH55"/>
  <c r="DK55" s="1"/>
  <c r="DY55"/>
  <c r="BT57"/>
  <c r="CC57"/>
  <c r="EB57"/>
  <c r="EC57" s="1"/>
  <c r="CG57"/>
  <c r="CH57" s="1"/>
  <c r="EB25"/>
  <c r="CG25"/>
  <c r="CH25" s="1"/>
  <c r="EC25"/>
  <c r="CC39"/>
  <c r="BT39"/>
  <c r="EB41"/>
  <c r="CG41"/>
  <c r="CH41" s="1"/>
  <c r="EC41"/>
  <c r="CC53"/>
  <c r="BT53"/>
  <c r="DH61"/>
  <c r="DK61" s="1"/>
  <c r="DY61"/>
  <c r="DH62"/>
  <c r="DK62" s="1"/>
  <c r="DY62"/>
  <c r="DH64"/>
  <c r="DK64" s="1"/>
  <c r="DY64"/>
  <c r="CC62"/>
  <c r="BT62"/>
  <c r="EB62"/>
  <c r="CG62"/>
  <c r="CH62" s="1"/>
  <c r="EC62"/>
  <c r="BT83"/>
  <c r="CC83"/>
  <c r="CG83"/>
  <c r="CH83" s="1"/>
  <c r="CC98"/>
  <c r="BT98"/>
  <c r="EB98"/>
  <c r="EC98" s="1"/>
  <c r="CG98"/>
  <c r="CH98" s="1"/>
  <c r="CC103"/>
  <c r="BT103"/>
  <c r="EB103"/>
  <c r="EC103" s="1"/>
  <c r="CG103"/>
  <c r="CH103" s="1"/>
  <c r="CC42"/>
  <c r="DW38"/>
  <c r="DW89"/>
  <c r="DW45"/>
  <c r="DL63"/>
  <c r="DW101"/>
  <c r="DW106"/>
  <c r="DW12"/>
  <c r="CC45"/>
  <c r="CC72"/>
  <c r="DL75"/>
  <c r="DL88"/>
  <c r="DL90"/>
  <c r="BB19"/>
  <c r="BF19" s="1"/>
  <c r="CC9"/>
  <c r="BT9"/>
  <c r="CC26"/>
  <c r="BT26"/>
  <c r="BB61"/>
  <c r="BF61" s="1"/>
  <c r="EA83"/>
  <c r="EB83" s="1"/>
  <c r="EC83" s="1"/>
  <c r="CT83"/>
  <c r="BU83"/>
  <c r="DW83" s="1"/>
  <c r="BT89"/>
  <c r="CC89"/>
  <c r="EA99"/>
  <c r="EB99" s="1"/>
  <c r="EC99" s="1"/>
  <c r="CT99"/>
  <c r="BU99"/>
  <c r="DW99" s="1"/>
  <c r="DH56"/>
  <c r="DK56" s="1"/>
  <c r="DX56" s="1"/>
  <c r="DY56"/>
  <c r="EB9"/>
  <c r="CG9"/>
  <c r="CH9" s="1"/>
  <c r="EC9"/>
  <c r="EB27"/>
  <c r="EC27" s="1"/>
  <c r="CG27"/>
  <c r="CH27" s="1"/>
  <c r="DH31"/>
  <c r="DK31" s="1"/>
  <c r="DY31"/>
  <c r="EB32"/>
  <c r="EC32" s="1"/>
  <c r="CG32"/>
  <c r="CH32" s="1"/>
  <c r="DH37"/>
  <c r="DK37" s="1"/>
  <c r="DY37"/>
  <c r="BW38"/>
  <c r="DJ38"/>
  <c r="DM38" s="1"/>
  <c r="CD38"/>
  <c r="BW42"/>
  <c r="DJ42"/>
  <c r="EF42" s="1"/>
  <c r="CD42"/>
  <c r="DH65"/>
  <c r="DK65" s="1"/>
  <c r="DY65"/>
  <c r="DH67"/>
  <c r="DK67" s="1"/>
  <c r="DY67"/>
  <c r="DH73"/>
  <c r="DK73" s="1"/>
  <c r="DY73"/>
  <c r="EB91"/>
  <c r="EC91" s="1"/>
  <c r="CG91"/>
  <c r="CH91" s="1"/>
  <c r="DH98"/>
  <c r="DK98" s="1"/>
  <c r="DY98"/>
  <c r="DH100"/>
  <c r="DK100" s="1"/>
  <c r="DY100"/>
  <c r="EA10"/>
  <c r="CT10"/>
  <c r="BU10"/>
  <c r="AE7"/>
  <c r="BT44"/>
  <c r="CC44"/>
  <c r="EA68"/>
  <c r="CT68"/>
  <c r="BU68"/>
  <c r="BB33"/>
  <c r="BF33" s="1"/>
  <c r="BG33" s="1"/>
  <c r="CC52"/>
  <c r="BT52"/>
  <c r="BT67"/>
  <c r="BU78"/>
  <c r="EA78"/>
  <c r="EB78" s="1"/>
  <c r="EC78" s="1"/>
  <c r="CT78"/>
  <c r="EA82"/>
  <c r="CT82"/>
  <c r="BU82"/>
  <c r="EA81"/>
  <c r="CT81"/>
  <c r="BU81"/>
  <c r="BB8"/>
  <c r="BG8"/>
  <c r="T8" i="15" s="1"/>
  <c r="DH58" i="12"/>
  <c r="DK58" s="1"/>
  <c r="DY58"/>
  <c r="EF38"/>
  <c r="DF82"/>
  <c r="AY82"/>
  <c r="AZ82" s="1"/>
  <c r="DG82" s="1"/>
  <c r="DF84"/>
  <c r="AY84"/>
  <c r="AZ84" s="1"/>
  <c r="DG84" s="1"/>
  <c r="DH89"/>
  <c r="DK89" s="1"/>
  <c r="DY89"/>
  <c r="DH24"/>
  <c r="DK24" s="1"/>
  <c r="DY24"/>
  <c r="EB16"/>
  <c r="EC16" s="1"/>
  <c r="CG16"/>
  <c r="CH16" s="1"/>
  <c r="DH39"/>
  <c r="DK39" s="1"/>
  <c r="DY39"/>
  <c r="DH41"/>
  <c r="DK41" s="1"/>
  <c r="DY41"/>
  <c r="DH43"/>
  <c r="DK43" s="1"/>
  <c r="DY43"/>
  <c r="BT47"/>
  <c r="CC47"/>
  <c r="CG47"/>
  <c r="CH47" s="1"/>
  <c r="EB47"/>
  <c r="EC47" s="1"/>
  <c r="DH59"/>
  <c r="DK59" s="1"/>
  <c r="DY59"/>
  <c r="CC31"/>
  <c r="BT31"/>
  <c r="EB37"/>
  <c r="EC37" s="1"/>
  <c r="CG37"/>
  <c r="CH37" s="1"/>
  <c r="CC51"/>
  <c r="BT51"/>
  <c r="DH70"/>
  <c r="DK70" s="1"/>
  <c r="DY70"/>
  <c r="CC63"/>
  <c r="BT63"/>
  <c r="EB63"/>
  <c r="CG63"/>
  <c r="CH63" s="1"/>
  <c r="EC63"/>
  <c r="DH87"/>
  <c r="DK87" s="1"/>
  <c r="DY87"/>
  <c r="CC79"/>
  <c r="BT79"/>
  <c r="EB79"/>
  <c r="CG79"/>
  <c r="CH79" s="1"/>
  <c r="EC79"/>
  <c r="CC90"/>
  <c r="BT90"/>
  <c r="BT92"/>
  <c r="CC92"/>
  <c r="EB92"/>
  <c r="EC92" s="1"/>
  <c r="CG92"/>
  <c r="CH92" s="1"/>
  <c r="BT97"/>
  <c r="CC97"/>
  <c r="EB97"/>
  <c r="EC97" s="1"/>
  <c r="CG97"/>
  <c r="CH97" s="1"/>
  <c r="DH101"/>
  <c r="DK101" s="1"/>
  <c r="DY101"/>
  <c r="DH103"/>
  <c r="DK103" s="1"/>
  <c r="DY103"/>
  <c r="DH105"/>
  <c r="DK105" s="1"/>
  <c r="DY105"/>
  <c r="CC104"/>
  <c r="BT104"/>
  <c r="DH47"/>
  <c r="DK47" s="1"/>
  <c r="DY47"/>
  <c r="DH33"/>
  <c r="DK33" s="1"/>
  <c r="DY33"/>
  <c r="DH35"/>
  <c r="DK35" s="1"/>
  <c r="DY35"/>
  <c r="DH27"/>
  <c r="DK27" s="1"/>
  <c r="DY27"/>
  <c r="DH34"/>
  <c r="DK34" s="1"/>
  <c r="DY34"/>
  <c r="DH48"/>
  <c r="DK48" s="1"/>
  <c r="DY48"/>
  <c r="BT12"/>
  <c r="CC12"/>
  <c r="BT14"/>
  <c r="CC14"/>
  <c r="BT22"/>
  <c r="DJ45"/>
  <c r="EF45" s="1"/>
  <c r="CD45"/>
  <c r="BW45"/>
  <c r="DH57"/>
  <c r="DK57" s="1"/>
  <c r="DY57"/>
  <c r="CC25"/>
  <c r="BT25"/>
  <c r="EB39"/>
  <c r="EC39" s="1"/>
  <c r="CG39"/>
  <c r="CH39" s="1"/>
  <c r="CC41"/>
  <c r="BT41"/>
  <c r="EB53"/>
  <c r="EC53" s="1"/>
  <c r="CG53"/>
  <c r="CH53" s="1"/>
  <c r="CC71"/>
  <c r="BT71"/>
  <c r="CG71"/>
  <c r="CH71" s="1"/>
  <c r="EB71"/>
  <c r="EC71" s="1"/>
  <c r="DJ72"/>
  <c r="EF72" s="1"/>
  <c r="CD72"/>
  <c r="BW72"/>
  <c r="DH76"/>
  <c r="DK76" s="1"/>
  <c r="DY76"/>
  <c r="DH77"/>
  <c r="DK77" s="1"/>
  <c r="DY77"/>
  <c r="DH79"/>
  <c r="DK79" s="1"/>
  <c r="DY79"/>
  <c r="CC85"/>
  <c r="BT85"/>
  <c r="EB85"/>
  <c r="CG85"/>
  <c r="CH85" s="1"/>
  <c r="EC85"/>
  <c r="DJ91"/>
  <c r="CD91"/>
  <c r="BW91"/>
  <c r="BT96"/>
  <c r="CC96"/>
  <c r="EC96"/>
  <c r="EB96"/>
  <c r="CG96"/>
  <c r="CH96" s="1"/>
  <c r="DJ100"/>
  <c r="CD100"/>
  <c r="BW100"/>
  <c r="DL50"/>
  <c r="AX7"/>
  <c r="CB26"/>
  <c r="CB7" s="1"/>
  <c r="DL72"/>
  <c r="CC27"/>
  <c r="DW59"/>
  <c r="DL106"/>
  <c r="DW47"/>
  <c r="DW35"/>
  <c r="DW27"/>
  <c r="DW34"/>
  <c r="DW48"/>
  <c r="DW79"/>
  <c r="EA26" i="9"/>
  <c r="EB26" s="1"/>
  <c r="EC26" s="1"/>
  <c r="BU26"/>
  <c r="DW26" s="1"/>
  <c r="CT26"/>
  <c r="AM93"/>
  <c r="BA93" s="1"/>
  <c r="BB93" s="1"/>
  <c r="BF93" s="1"/>
  <c r="BG93" s="1"/>
  <c r="T93" i="12" s="1"/>
  <c r="AX7" i="9"/>
  <c r="CT89"/>
  <c r="BU89"/>
  <c r="DW89" s="1"/>
  <c r="EA89"/>
  <c r="EB89" s="1"/>
  <c r="EC89" s="1"/>
  <c r="AY93"/>
  <c r="AZ93" s="1"/>
  <c r="DG93" s="1"/>
  <c r="CA7"/>
  <c r="DL41"/>
  <c r="DL56"/>
  <c r="DL75"/>
  <c r="DW92"/>
  <c r="DW83"/>
  <c r="EA32"/>
  <c r="BU32"/>
  <c r="DW32" s="1"/>
  <c r="CT32"/>
  <c r="CT102"/>
  <c r="BU102"/>
  <c r="DW102" s="1"/>
  <c r="EA102"/>
  <c r="EB102" s="1"/>
  <c r="EC102" s="1"/>
  <c r="DL42"/>
  <c r="BB80"/>
  <c r="BF80" s="1"/>
  <c r="BG80" s="1"/>
  <c r="T80" i="12" s="1"/>
  <c r="CG37" i="9"/>
  <c r="CH37" s="1"/>
  <c r="EA11"/>
  <c r="EB11" s="1"/>
  <c r="CT11"/>
  <c r="BU11"/>
  <c r="EA24"/>
  <c r="CT24"/>
  <c r="BU24"/>
  <c r="EA34"/>
  <c r="EB34" s="1"/>
  <c r="CT34"/>
  <c r="BU34"/>
  <c r="DW34" s="1"/>
  <c r="EA38"/>
  <c r="CT38"/>
  <c r="BU38"/>
  <c r="DW38" s="1"/>
  <c r="EA44"/>
  <c r="EB44" s="1"/>
  <c r="EC44" s="1"/>
  <c r="CT44"/>
  <c r="BU44"/>
  <c r="EA48"/>
  <c r="CT48"/>
  <c r="BU48"/>
  <c r="DW48" s="1"/>
  <c r="EA28"/>
  <c r="CT28"/>
  <c r="BU28"/>
  <c r="EA35"/>
  <c r="CT35"/>
  <c r="BU35"/>
  <c r="DW35" s="1"/>
  <c r="EA39"/>
  <c r="CT39"/>
  <c r="BU39"/>
  <c r="DW39" s="1"/>
  <c r="EA57"/>
  <c r="CT57"/>
  <c r="BU57"/>
  <c r="EA79"/>
  <c r="EB79" s="1"/>
  <c r="CT79"/>
  <c r="BU79"/>
  <c r="DW79" s="1"/>
  <c r="EA90"/>
  <c r="EB90" s="1"/>
  <c r="EC90" s="1"/>
  <c r="CT90"/>
  <c r="BU90"/>
  <c r="DW90" s="1"/>
  <c r="BB101"/>
  <c r="BG101"/>
  <c r="DH42"/>
  <c r="DK42" s="1"/>
  <c r="DY42"/>
  <c r="DH65"/>
  <c r="DK65" s="1"/>
  <c r="DY65"/>
  <c r="DH67"/>
  <c r="DK67" s="1"/>
  <c r="DY67"/>
  <c r="DH56"/>
  <c r="DK56" s="1"/>
  <c r="DY56"/>
  <c r="DH60"/>
  <c r="DK60" s="1"/>
  <c r="DY60"/>
  <c r="DH62"/>
  <c r="DK62" s="1"/>
  <c r="DY62"/>
  <c r="DH75"/>
  <c r="DK75" s="1"/>
  <c r="DY75"/>
  <c r="DH77"/>
  <c r="DK77" s="1"/>
  <c r="DY77"/>
  <c r="EB97"/>
  <c r="EC97" s="1"/>
  <c r="CG97"/>
  <c r="CH97" s="1"/>
  <c r="DH91"/>
  <c r="DK91" s="1"/>
  <c r="DY91"/>
  <c r="DH98"/>
  <c r="DK98" s="1"/>
  <c r="DY98"/>
  <c r="EA12"/>
  <c r="CT12"/>
  <c r="BU12"/>
  <c r="DW12" s="1"/>
  <c r="EA10"/>
  <c r="CT10"/>
  <c r="BU10"/>
  <c r="DW8"/>
  <c r="DF8"/>
  <c r="AY8"/>
  <c r="AM8"/>
  <c r="EA25"/>
  <c r="CT25"/>
  <c r="BU25"/>
  <c r="EA30"/>
  <c r="CT30"/>
  <c r="BU30"/>
  <c r="EA70"/>
  <c r="EB70" s="1"/>
  <c r="CT70"/>
  <c r="BU70"/>
  <c r="DW70" s="1"/>
  <c r="EA80"/>
  <c r="CT80"/>
  <c r="BU80"/>
  <c r="EA96"/>
  <c r="CT96"/>
  <c r="BU96"/>
  <c r="DW96" s="1"/>
  <c r="EA94"/>
  <c r="CT94"/>
  <c r="BU94"/>
  <c r="DY22"/>
  <c r="DH22"/>
  <c r="DK22" s="1"/>
  <c r="DH21"/>
  <c r="DK21" s="1"/>
  <c r="DY21"/>
  <c r="DH54"/>
  <c r="DK54" s="1"/>
  <c r="DY54"/>
  <c r="DY55"/>
  <c r="DH55"/>
  <c r="DK55" s="1"/>
  <c r="EA85"/>
  <c r="EB85" s="1"/>
  <c r="CT85"/>
  <c r="BU85"/>
  <c r="DW85" s="1"/>
  <c r="DH92"/>
  <c r="DK92" s="1"/>
  <c r="DY92"/>
  <c r="DH9"/>
  <c r="DK9" s="1"/>
  <c r="DY9"/>
  <c r="CG44"/>
  <c r="CH44" s="1"/>
  <c r="CC42"/>
  <c r="BT42"/>
  <c r="EB42"/>
  <c r="CG42"/>
  <c r="CH42" s="1"/>
  <c r="EC42"/>
  <c r="CC54"/>
  <c r="BT54"/>
  <c r="EB54"/>
  <c r="EC54" s="1"/>
  <c r="CG54"/>
  <c r="CH54" s="1"/>
  <c r="CC56"/>
  <c r="BT56"/>
  <c r="EC56"/>
  <c r="EB56"/>
  <c r="CG56"/>
  <c r="CH56" s="1"/>
  <c r="DH64"/>
  <c r="DK64" s="1"/>
  <c r="DY64"/>
  <c r="DH66"/>
  <c r="DK66" s="1"/>
  <c r="DY66"/>
  <c r="DH68"/>
  <c r="DK68" s="1"/>
  <c r="DY68"/>
  <c r="CC75"/>
  <c r="BT75"/>
  <c r="EB75"/>
  <c r="CG75"/>
  <c r="CH75" s="1"/>
  <c r="EC75"/>
  <c r="BT85"/>
  <c r="CC85"/>
  <c r="EC85"/>
  <c r="CG85"/>
  <c r="CH85" s="1"/>
  <c r="DJ97"/>
  <c r="CD97"/>
  <c r="BW97"/>
  <c r="BT95"/>
  <c r="CC95"/>
  <c r="CG95"/>
  <c r="CH95" s="1"/>
  <c r="BT101"/>
  <c r="CC101"/>
  <c r="EB101"/>
  <c r="EC101" s="1"/>
  <c r="CG101"/>
  <c r="CH101" s="1"/>
  <c r="CC98"/>
  <c r="BT98"/>
  <c r="EB98"/>
  <c r="EC98" s="1"/>
  <c r="CG98"/>
  <c r="CH98" s="1"/>
  <c r="CC103"/>
  <c r="BT103"/>
  <c r="EB103"/>
  <c r="EC103" s="1"/>
  <c r="CG103"/>
  <c r="CH103" s="1"/>
  <c r="BT14"/>
  <c r="CC14"/>
  <c r="EC14"/>
  <c r="CG14"/>
  <c r="CH14" s="1"/>
  <c r="DH16"/>
  <c r="DK16" s="1"/>
  <c r="DY16"/>
  <c r="DH17"/>
  <c r="DK17" s="1"/>
  <c r="DY17"/>
  <c r="DH18"/>
  <c r="DK18" s="1"/>
  <c r="DY18"/>
  <c r="DH19"/>
  <c r="DK19" s="1"/>
  <c r="DY19"/>
  <c r="CG20"/>
  <c r="CH20" s="1"/>
  <c r="CC16"/>
  <c r="BT16"/>
  <c r="EB16"/>
  <c r="EC16" s="1"/>
  <c r="CG16"/>
  <c r="CH16" s="1"/>
  <c r="BT25"/>
  <c r="CC25"/>
  <c r="EC25"/>
  <c r="EB25"/>
  <c r="CG25"/>
  <c r="CH25" s="1"/>
  <c r="DH27"/>
  <c r="DK27" s="1"/>
  <c r="DY27"/>
  <c r="BT34"/>
  <c r="CC34"/>
  <c r="EC34"/>
  <c r="CG34"/>
  <c r="CH34" s="1"/>
  <c r="BT37"/>
  <c r="BT39"/>
  <c r="CC39"/>
  <c r="EB39"/>
  <c r="EC39" s="1"/>
  <c r="CG39"/>
  <c r="CH39" s="1"/>
  <c r="DH41"/>
  <c r="DK41" s="1"/>
  <c r="DY41"/>
  <c r="DH43"/>
  <c r="DK43" s="1"/>
  <c r="DY43"/>
  <c r="BT48"/>
  <c r="CC48"/>
  <c r="EB48"/>
  <c r="EC48" s="1"/>
  <c r="CG48"/>
  <c r="CH48" s="1"/>
  <c r="BT51"/>
  <c r="CC51"/>
  <c r="CG51"/>
  <c r="CH51" s="1"/>
  <c r="CG52"/>
  <c r="CH52" s="1"/>
  <c r="DH53"/>
  <c r="DK53" s="1"/>
  <c r="DY53"/>
  <c r="CC41"/>
  <c r="BT41"/>
  <c r="EB41"/>
  <c r="CG41"/>
  <c r="CH41" s="1"/>
  <c r="EC41"/>
  <c r="CC47"/>
  <c r="BT47"/>
  <c r="EB47"/>
  <c r="EC47" s="1"/>
  <c r="CG47"/>
  <c r="CH47" s="1"/>
  <c r="EB57"/>
  <c r="EC57" s="1"/>
  <c r="CG57"/>
  <c r="CH57" s="1"/>
  <c r="BT70"/>
  <c r="CC70"/>
  <c r="EC70"/>
  <c r="CG70"/>
  <c r="CH70" s="1"/>
  <c r="CC63"/>
  <c r="BT63"/>
  <c r="EB63"/>
  <c r="CG63"/>
  <c r="CH63" s="1"/>
  <c r="EC63"/>
  <c r="BT90"/>
  <c r="CC90"/>
  <c r="CC83"/>
  <c r="BT83"/>
  <c r="EB83"/>
  <c r="EC83" s="1"/>
  <c r="CG83"/>
  <c r="CH83" s="1"/>
  <c r="EB91"/>
  <c r="EC91" s="1"/>
  <c r="CG91"/>
  <c r="CH91" s="1"/>
  <c r="CC104"/>
  <c r="BT104"/>
  <c r="EB104"/>
  <c r="EC104" s="1"/>
  <c r="CG104"/>
  <c r="CH104" s="1"/>
  <c r="BR7"/>
  <c r="AM31"/>
  <c r="BA31" s="1"/>
  <c r="AM37"/>
  <c r="BA37" s="1"/>
  <c r="BY31"/>
  <c r="BZ31" s="1"/>
  <c r="DW27"/>
  <c r="DL61"/>
  <c r="CC106"/>
  <c r="DI8"/>
  <c r="BY8"/>
  <c r="BX8"/>
  <c r="BV8"/>
  <c r="BS8"/>
  <c r="BU20"/>
  <c r="DW20" s="1"/>
  <c r="EA20"/>
  <c r="EB20" s="1"/>
  <c r="EC20" s="1"/>
  <c r="CT20"/>
  <c r="EA29"/>
  <c r="EB29" s="1"/>
  <c r="CT29"/>
  <c r="BU29"/>
  <c r="EA36"/>
  <c r="CT36"/>
  <c r="BU36"/>
  <c r="BU40"/>
  <c r="EA40"/>
  <c r="CT40"/>
  <c r="EA45"/>
  <c r="CT45"/>
  <c r="BU45"/>
  <c r="DW45" s="1"/>
  <c r="EA49"/>
  <c r="CT49"/>
  <c r="BU49"/>
  <c r="EA33"/>
  <c r="CT33"/>
  <c r="BU33"/>
  <c r="DW33" s="1"/>
  <c r="EA37"/>
  <c r="EB37" s="1"/>
  <c r="EC37" s="1"/>
  <c r="CT37"/>
  <c r="BU37"/>
  <c r="EA52"/>
  <c r="EB52" s="1"/>
  <c r="EC52" s="1"/>
  <c r="CT52"/>
  <c r="BU52"/>
  <c r="EA59"/>
  <c r="EB59" s="1"/>
  <c r="EC59" s="1"/>
  <c r="CT59"/>
  <c r="BU59"/>
  <c r="DW59" s="1"/>
  <c r="EA71"/>
  <c r="CT71"/>
  <c r="BU71"/>
  <c r="DW71" s="1"/>
  <c r="EA81"/>
  <c r="CT81"/>
  <c r="BU81"/>
  <c r="EA87"/>
  <c r="CT87"/>
  <c r="BU87"/>
  <c r="DH23"/>
  <c r="DK23" s="1"/>
  <c r="DY23"/>
  <c r="DH58"/>
  <c r="DK58" s="1"/>
  <c r="DY58"/>
  <c r="DY76"/>
  <c r="DH76"/>
  <c r="DK76" s="1"/>
  <c r="DH78"/>
  <c r="DK78" s="1"/>
  <c r="DY78"/>
  <c r="DH93"/>
  <c r="DK93" s="1"/>
  <c r="DY93"/>
  <c r="DF80"/>
  <c r="AY80"/>
  <c r="AZ80" s="1"/>
  <c r="DG80" s="1"/>
  <c r="DH97"/>
  <c r="DK97" s="1"/>
  <c r="DY97"/>
  <c r="BU8"/>
  <c r="AE7"/>
  <c r="EA8"/>
  <c r="CT8"/>
  <c r="EA14"/>
  <c r="EB14" s="1"/>
  <c r="CT14"/>
  <c r="BU14"/>
  <c r="DW14" s="1"/>
  <c r="EA51"/>
  <c r="EB51" s="1"/>
  <c r="EC51" s="1"/>
  <c r="CT51"/>
  <c r="BU51"/>
  <c r="EA31"/>
  <c r="CT31"/>
  <c r="BU31"/>
  <c r="DW31" s="1"/>
  <c r="EA50"/>
  <c r="CT50"/>
  <c r="BU50"/>
  <c r="EA73"/>
  <c r="CT73"/>
  <c r="BU73"/>
  <c r="EA69"/>
  <c r="CT69"/>
  <c r="BU69"/>
  <c r="EA72"/>
  <c r="CT72"/>
  <c r="BU72"/>
  <c r="EA88"/>
  <c r="EB88" s="1"/>
  <c r="EC88" s="1"/>
  <c r="CT88"/>
  <c r="BU88"/>
  <c r="DW88" s="1"/>
  <c r="EA95"/>
  <c r="EB95" s="1"/>
  <c r="EC95" s="1"/>
  <c r="CT95"/>
  <c r="BU95"/>
  <c r="DW95" s="1"/>
  <c r="DF31"/>
  <c r="DL31" s="1"/>
  <c r="AY31"/>
  <c r="AZ31" s="1"/>
  <c r="DG31" s="1"/>
  <c r="DF37"/>
  <c r="DL37" s="1"/>
  <c r="AY37"/>
  <c r="AZ37" s="1"/>
  <c r="DG37" s="1"/>
  <c r="DY74"/>
  <c r="DH74"/>
  <c r="DK74" s="1"/>
  <c r="DH86"/>
  <c r="DK86" s="1"/>
  <c r="DY86"/>
  <c r="BB15"/>
  <c r="BF15" s="1"/>
  <c r="BG15" s="1"/>
  <c r="T15" i="12" s="1"/>
  <c r="BB18" i="9"/>
  <c r="BF18" s="1"/>
  <c r="BG18" s="1"/>
  <c r="T18" i="12" s="1"/>
  <c r="BT44" i="9"/>
  <c r="CC44"/>
  <c r="CC9"/>
  <c r="BT9"/>
  <c r="EB9"/>
  <c r="CG9"/>
  <c r="CH9" s="1"/>
  <c r="EC9"/>
  <c r="BT31"/>
  <c r="BT45"/>
  <c r="CC45"/>
  <c r="EB45"/>
  <c r="EC45" s="1"/>
  <c r="CG45"/>
  <c r="CH45" s="1"/>
  <c r="DH47"/>
  <c r="DK47" s="1"/>
  <c r="DY47"/>
  <c r="CC27"/>
  <c r="BT27"/>
  <c r="EB27"/>
  <c r="EC27" s="1"/>
  <c r="CG27"/>
  <c r="CH27" s="1"/>
  <c r="CC53"/>
  <c r="BT53"/>
  <c r="CG53"/>
  <c r="CH53" s="1"/>
  <c r="EB53"/>
  <c r="EC53" s="1"/>
  <c r="CC62"/>
  <c r="BT62"/>
  <c r="EB62"/>
  <c r="CG62"/>
  <c r="CH62" s="1"/>
  <c r="EC62"/>
  <c r="CC92"/>
  <c r="BT92"/>
  <c r="EB92"/>
  <c r="EC92" s="1"/>
  <c r="CG92"/>
  <c r="CH92" s="1"/>
  <c r="BT96"/>
  <c r="CC96"/>
  <c r="EC96"/>
  <c r="EB96"/>
  <c r="CG96"/>
  <c r="CH96" s="1"/>
  <c r="DH100"/>
  <c r="DK100" s="1"/>
  <c r="DY100"/>
  <c r="DH101"/>
  <c r="DK101" s="1"/>
  <c r="DY101"/>
  <c r="BT12"/>
  <c r="CC12"/>
  <c r="EC12"/>
  <c r="EB12"/>
  <c r="CG12"/>
  <c r="CH12" s="1"/>
  <c r="DH13"/>
  <c r="DK13" s="1"/>
  <c r="DY13"/>
  <c r="CC20"/>
  <c r="BT20"/>
  <c r="BT33"/>
  <c r="CC33"/>
  <c r="EB33"/>
  <c r="EC33" s="1"/>
  <c r="CG33"/>
  <c r="CH33" s="1"/>
  <c r="BT35"/>
  <c r="CC35"/>
  <c r="EC35"/>
  <c r="EB35"/>
  <c r="CG35"/>
  <c r="CH35" s="1"/>
  <c r="BT38"/>
  <c r="CC38"/>
  <c r="EB38"/>
  <c r="EC38" s="1"/>
  <c r="CG38"/>
  <c r="CH38" s="1"/>
  <c r="BT52"/>
  <c r="CC52"/>
  <c r="CC32"/>
  <c r="BT32"/>
  <c r="CG32"/>
  <c r="CH32" s="1"/>
  <c r="EB32"/>
  <c r="EC32" s="1"/>
  <c r="BT57"/>
  <c r="CC57"/>
  <c r="BT59"/>
  <c r="CC59"/>
  <c r="CG59"/>
  <c r="CH59" s="1"/>
  <c r="DH61"/>
  <c r="DK61" s="1"/>
  <c r="DY61"/>
  <c r="BT71"/>
  <c r="CC71"/>
  <c r="EB71"/>
  <c r="EC71" s="1"/>
  <c r="CG71"/>
  <c r="CH71" s="1"/>
  <c r="BT72"/>
  <c r="CC72"/>
  <c r="EB72"/>
  <c r="EC72" s="1"/>
  <c r="CG72"/>
  <c r="CH72" s="1"/>
  <c r="CC61"/>
  <c r="BT61"/>
  <c r="EB61"/>
  <c r="CG61"/>
  <c r="CH61" s="1"/>
  <c r="EC61"/>
  <c r="CC67"/>
  <c r="BT67"/>
  <c r="EB67"/>
  <c r="CG67"/>
  <c r="CH67" s="1"/>
  <c r="EC67"/>
  <c r="BT79"/>
  <c r="CC79"/>
  <c r="EC79"/>
  <c r="CG79"/>
  <c r="CH79" s="1"/>
  <c r="DH83"/>
  <c r="DK83" s="1"/>
  <c r="DY83"/>
  <c r="DH84"/>
  <c r="DK84" s="1"/>
  <c r="DY84"/>
  <c r="BT88"/>
  <c r="CC88"/>
  <c r="CG88"/>
  <c r="CH88" s="1"/>
  <c r="CC91"/>
  <c r="BT91"/>
  <c r="BW106"/>
  <c r="DJ106"/>
  <c r="DM106" s="1"/>
  <c r="DX106" s="1"/>
  <c r="CD106"/>
  <c r="BT100"/>
  <c r="CC100"/>
  <c r="EB100"/>
  <c r="EC100" s="1"/>
  <c r="CG100"/>
  <c r="CH100" s="1"/>
  <c r="CC99"/>
  <c r="BT99"/>
  <c r="EB99"/>
  <c r="EC99" s="1"/>
  <c r="CG99"/>
  <c r="CH99" s="1"/>
  <c r="BT102"/>
  <c r="CC102"/>
  <c r="CB7"/>
  <c r="DW97"/>
  <c r="BX31"/>
  <c r="DW101"/>
  <c r="DL27"/>
  <c r="BY37"/>
  <c r="BZ37" s="1"/>
  <c r="BV37"/>
  <c r="DW53"/>
  <c r="CB32" i="5"/>
  <c r="CB69"/>
  <c r="AE97"/>
  <c r="AE24"/>
  <c r="CB106"/>
  <c r="CB101"/>
  <c r="CA19"/>
  <c r="CB29"/>
  <c r="BR105"/>
  <c r="AP7" i="2"/>
  <c r="BP7"/>
  <c r="CU25"/>
  <c r="CA87" i="5"/>
  <c r="CB87"/>
  <c r="BF86"/>
  <c r="CB68"/>
  <c r="CA68"/>
  <c r="AX66"/>
  <c r="CB66" s="1"/>
  <c r="CB36"/>
  <c r="CA17"/>
  <c r="AX10"/>
  <c r="BJ7" i="2"/>
  <c r="BQ31"/>
  <c r="CU71"/>
  <c r="CU87"/>
  <c r="AE93"/>
  <c r="AF93" s="1"/>
  <c r="AW94"/>
  <c r="CU95"/>
  <c r="BQ95"/>
  <c r="CB28" i="5"/>
  <c r="CA18"/>
  <c r="DY106"/>
  <c r="CB100"/>
  <c r="DY89"/>
  <c r="DY63"/>
  <c r="CB61"/>
  <c r="CB10"/>
  <c r="CV26"/>
  <c r="DY26" s="1"/>
  <c r="CA15"/>
  <c r="CA12"/>
  <c r="BQ7"/>
  <c r="AY16"/>
  <c r="AZ16" s="1"/>
  <c r="DG16" s="1"/>
  <c r="DI100"/>
  <c r="BS100"/>
  <c r="BT100" s="1"/>
  <c r="DF27"/>
  <c r="AY27"/>
  <c r="AZ27" s="1"/>
  <c r="DG27" s="1"/>
  <c r="CA67"/>
  <c r="AE102"/>
  <c r="BF39"/>
  <c r="BS39" s="1"/>
  <c r="BF35"/>
  <c r="BS35" s="1"/>
  <c r="BF52"/>
  <c r="BS52" s="1"/>
  <c r="BF41"/>
  <c r="BS41" s="1"/>
  <c r="BF37"/>
  <c r="BS37" s="1"/>
  <c r="BF33"/>
  <c r="BS33" s="1"/>
  <c r="BS71"/>
  <c r="CB17"/>
  <c r="CB15"/>
  <c r="BF98"/>
  <c r="BS98" s="1"/>
  <c r="BT98" s="1"/>
  <c r="BF54"/>
  <c r="BS54" s="1"/>
  <c r="AY90"/>
  <c r="AZ90" s="1"/>
  <c r="DG90" s="1"/>
  <c r="AM77"/>
  <c r="BA77" s="1"/>
  <c r="BB77" s="1"/>
  <c r="BF77" s="1"/>
  <c r="AY48"/>
  <c r="AZ48" s="1"/>
  <c r="DG48" s="1"/>
  <c r="AY41"/>
  <c r="AZ41" s="1"/>
  <c r="DG41" s="1"/>
  <c r="AY39"/>
  <c r="AZ39" s="1"/>
  <c r="DG39" s="1"/>
  <c r="AY33"/>
  <c r="AZ33" s="1"/>
  <c r="DG33" s="1"/>
  <c r="DF25"/>
  <c r="DW23"/>
  <c r="BS23"/>
  <c r="DF97"/>
  <c r="AY97"/>
  <c r="AZ97" s="1"/>
  <c r="DG97" s="1"/>
  <c r="AY51"/>
  <c r="AZ51" s="1"/>
  <c r="DG51" s="1"/>
  <c r="DF51"/>
  <c r="DF47"/>
  <c r="AY47"/>
  <c r="AZ47" s="1"/>
  <c r="DG47" s="1"/>
  <c r="DF38"/>
  <c r="AY38"/>
  <c r="AZ38" s="1"/>
  <c r="DG38" s="1"/>
  <c r="DF15"/>
  <c r="AY15"/>
  <c r="AZ15" s="1"/>
  <c r="DG15" s="1"/>
  <c r="DF103"/>
  <c r="DF96"/>
  <c r="AY96"/>
  <c r="AZ96" s="1"/>
  <c r="DG96" s="1"/>
  <c r="DF59"/>
  <c r="AY59"/>
  <c r="AZ59" s="1"/>
  <c r="DG59" s="1"/>
  <c r="DF53"/>
  <c r="AY53"/>
  <c r="AZ53" s="1"/>
  <c r="DG53" s="1"/>
  <c r="AY42"/>
  <c r="AZ42" s="1"/>
  <c r="DG42" s="1"/>
  <c r="DF42"/>
  <c r="DF34"/>
  <c r="AY34"/>
  <c r="AZ34" s="1"/>
  <c r="DG34" s="1"/>
  <c r="DF19"/>
  <c r="AY19"/>
  <c r="AZ19" s="1"/>
  <c r="DG19" s="1"/>
  <c r="DF8"/>
  <c r="DW8"/>
  <c r="AY8"/>
  <c r="AE94"/>
  <c r="CB95"/>
  <c r="CB88"/>
  <c r="CB97"/>
  <c r="CB96"/>
  <c r="AE80"/>
  <c r="CB84"/>
  <c r="CB81"/>
  <c r="AL69"/>
  <c r="AY69" s="1"/>
  <c r="AZ69" s="1"/>
  <c r="DG69" s="1"/>
  <c r="AE54"/>
  <c r="AE52"/>
  <c r="AE41"/>
  <c r="AE39"/>
  <c r="AE37"/>
  <c r="AE35"/>
  <c r="AE33"/>
  <c r="AE22"/>
  <c r="CT22" s="1"/>
  <c r="CV7"/>
  <c r="CB13"/>
  <c r="AE105"/>
  <c r="CA21"/>
  <c r="AY99"/>
  <c r="AZ99" s="1"/>
  <c r="DG99" s="1"/>
  <c r="AE71"/>
  <c r="AE31"/>
  <c r="AE18"/>
  <c r="CA93"/>
  <c r="DI106"/>
  <c r="BY106"/>
  <c r="BZ106" s="1"/>
  <c r="BV106"/>
  <c r="BS106"/>
  <c r="DI104"/>
  <c r="DL104" s="1"/>
  <c r="BY104"/>
  <c r="BZ104" s="1"/>
  <c r="BX104"/>
  <c r="BV104"/>
  <c r="BS104"/>
  <c r="BV102"/>
  <c r="DI102"/>
  <c r="DL102" s="1"/>
  <c r="BY102"/>
  <c r="BZ102" s="1"/>
  <c r="BS102"/>
  <c r="DF106"/>
  <c r="AY106"/>
  <c r="AZ106" s="1"/>
  <c r="DG106" s="1"/>
  <c r="BX99"/>
  <c r="BV99"/>
  <c r="DI99"/>
  <c r="BY99"/>
  <c r="BZ99" s="1"/>
  <c r="BS99"/>
  <c r="DI88"/>
  <c r="BY88"/>
  <c r="BZ88" s="1"/>
  <c r="BX88"/>
  <c r="BV88"/>
  <c r="BS88"/>
  <c r="DI85"/>
  <c r="BY85"/>
  <c r="BZ85" s="1"/>
  <c r="BX85"/>
  <c r="BV85"/>
  <c r="DW85" s="1"/>
  <c r="BS85"/>
  <c r="EA91"/>
  <c r="CT91"/>
  <c r="BU91"/>
  <c r="DI89"/>
  <c r="BY89"/>
  <c r="BZ89" s="1"/>
  <c r="BV89"/>
  <c r="BS89"/>
  <c r="BU87"/>
  <c r="EA87"/>
  <c r="CT87"/>
  <c r="DI86"/>
  <c r="BX86"/>
  <c r="BV86"/>
  <c r="BY86"/>
  <c r="BZ86" s="1"/>
  <c r="DW86"/>
  <c r="BS86"/>
  <c r="BG86"/>
  <c r="T86" i="9" s="1"/>
  <c r="DF85" i="5"/>
  <c r="DL85" s="1"/>
  <c r="AY85"/>
  <c r="AZ85" s="1"/>
  <c r="DG85" s="1"/>
  <c r="BX79"/>
  <c r="BV79"/>
  <c r="DI79"/>
  <c r="DL79" s="1"/>
  <c r="BY79"/>
  <c r="BZ79" s="1"/>
  <c r="BS79"/>
  <c r="DI75"/>
  <c r="BY75"/>
  <c r="BZ75" s="1"/>
  <c r="BX75"/>
  <c r="BV75"/>
  <c r="BS75"/>
  <c r="DI67"/>
  <c r="BY67"/>
  <c r="BZ67" s="1"/>
  <c r="BX67"/>
  <c r="BV67"/>
  <c r="BS67"/>
  <c r="DI63"/>
  <c r="BY63"/>
  <c r="BZ63" s="1"/>
  <c r="BX63"/>
  <c r="BV63"/>
  <c r="BS63"/>
  <c r="DI61"/>
  <c r="BY61"/>
  <c r="BZ61" s="1"/>
  <c r="BX61"/>
  <c r="BV61"/>
  <c r="BS61"/>
  <c r="DF69"/>
  <c r="DW63"/>
  <c r="DF63"/>
  <c r="AY63"/>
  <c r="AZ63" s="1"/>
  <c r="DG63" s="1"/>
  <c r="BX57"/>
  <c r="BV57"/>
  <c r="DI57"/>
  <c r="BY57"/>
  <c r="BZ57" s="1"/>
  <c r="BS57"/>
  <c r="BT71"/>
  <c r="CC71"/>
  <c r="BX27"/>
  <c r="BV27"/>
  <c r="DI27"/>
  <c r="DL27" s="1"/>
  <c r="BY27"/>
  <c r="BZ27" s="1"/>
  <c r="BS27"/>
  <c r="DF26"/>
  <c r="AY26"/>
  <c r="AZ26" s="1"/>
  <c r="DG26" s="1"/>
  <c r="DI14"/>
  <c r="BY14"/>
  <c r="BZ14" s="1"/>
  <c r="BX14"/>
  <c r="BV14"/>
  <c r="BS14"/>
  <c r="EA22"/>
  <c r="BU22"/>
  <c r="EA21"/>
  <c r="EB21" s="1"/>
  <c r="EC21" s="1"/>
  <c r="CT21"/>
  <c r="BU21"/>
  <c r="DF20"/>
  <c r="AY20"/>
  <c r="AZ20" s="1"/>
  <c r="DG20" s="1"/>
  <c r="BU20"/>
  <c r="EA20"/>
  <c r="CT20"/>
  <c r="BX16"/>
  <c r="BV16"/>
  <c r="DI16"/>
  <c r="BY16"/>
  <c r="BZ16" s="1"/>
  <c r="DW16"/>
  <c r="BS16"/>
  <c r="DI103"/>
  <c r="BY103"/>
  <c r="BZ103" s="1"/>
  <c r="BX103"/>
  <c r="BV103"/>
  <c r="DW103" s="1"/>
  <c r="BS103"/>
  <c r="EA100"/>
  <c r="CT100"/>
  <c r="BU100"/>
  <c r="EA99"/>
  <c r="CT99"/>
  <c r="BU99"/>
  <c r="BX101"/>
  <c r="BV101"/>
  <c r="DI101"/>
  <c r="BY101"/>
  <c r="BZ101" s="1"/>
  <c r="BS101"/>
  <c r="BX96"/>
  <c r="BV96"/>
  <c r="DI96"/>
  <c r="DL96" s="1"/>
  <c r="BY96"/>
  <c r="BZ96" s="1"/>
  <c r="BS96"/>
  <c r="BX95"/>
  <c r="BV95"/>
  <c r="DI95"/>
  <c r="DL95" s="1"/>
  <c r="BY95"/>
  <c r="BZ95" s="1"/>
  <c r="BS95"/>
  <c r="BT97"/>
  <c r="CC97"/>
  <c r="DF89"/>
  <c r="AY89"/>
  <c r="AZ89" s="1"/>
  <c r="DG89" s="1"/>
  <c r="DF88"/>
  <c r="AY88"/>
  <c r="AZ88" s="1"/>
  <c r="DG88" s="1"/>
  <c r="BX83"/>
  <c r="BV83"/>
  <c r="DI83"/>
  <c r="DL83" s="1"/>
  <c r="BY83"/>
  <c r="BZ83" s="1"/>
  <c r="BS83"/>
  <c r="DI62"/>
  <c r="BY62"/>
  <c r="BZ62" s="1"/>
  <c r="BX62"/>
  <c r="BV62"/>
  <c r="BS62"/>
  <c r="DI60"/>
  <c r="BY60"/>
  <c r="BZ60" s="1"/>
  <c r="BX60"/>
  <c r="BV60"/>
  <c r="BS60"/>
  <c r="BX72"/>
  <c r="BV72"/>
  <c r="DI72"/>
  <c r="BY72"/>
  <c r="BZ72" s="1"/>
  <c r="BS72"/>
  <c r="DW72"/>
  <c r="BX70"/>
  <c r="BV70"/>
  <c r="DI70"/>
  <c r="DL70" s="1"/>
  <c r="BY70"/>
  <c r="BZ70" s="1"/>
  <c r="BS70"/>
  <c r="EA69"/>
  <c r="BU69"/>
  <c r="CT69"/>
  <c r="BU68"/>
  <c r="EA68"/>
  <c r="CT68"/>
  <c r="DW67"/>
  <c r="DF67"/>
  <c r="DL67" s="1"/>
  <c r="AY67"/>
  <c r="AZ67" s="1"/>
  <c r="DG67" s="1"/>
  <c r="BU67"/>
  <c r="EA67"/>
  <c r="CT67"/>
  <c r="BU65"/>
  <c r="EA65"/>
  <c r="CT65"/>
  <c r="DW62"/>
  <c r="DF62"/>
  <c r="AY62"/>
  <c r="AZ62" s="1"/>
  <c r="DG62" s="1"/>
  <c r="BU62"/>
  <c r="EA62"/>
  <c r="CT62"/>
  <c r="DF61"/>
  <c r="DL61" s="1"/>
  <c r="AY61"/>
  <c r="AZ61" s="1"/>
  <c r="DG61" s="1"/>
  <c r="DW60"/>
  <c r="DF60"/>
  <c r="AY60"/>
  <c r="AZ60" s="1"/>
  <c r="DG60" s="1"/>
  <c r="BX59"/>
  <c r="BV59"/>
  <c r="DI59"/>
  <c r="DL59" s="1"/>
  <c r="BY59"/>
  <c r="BZ59" s="1"/>
  <c r="BS59"/>
  <c r="CT74"/>
  <c r="DY74" s="1"/>
  <c r="BU55"/>
  <c r="EA55"/>
  <c r="CT55"/>
  <c r="BX53"/>
  <c r="BV53"/>
  <c r="DI53"/>
  <c r="DL53" s="1"/>
  <c r="BY53"/>
  <c r="BZ53" s="1"/>
  <c r="BS53"/>
  <c r="BX51"/>
  <c r="BV51"/>
  <c r="DI51"/>
  <c r="BY51"/>
  <c r="BZ51" s="1"/>
  <c r="BS51"/>
  <c r="DW51"/>
  <c r="BX48"/>
  <c r="BV48"/>
  <c r="DI48"/>
  <c r="DL48" s="1"/>
  <c r="BY48"/>
  <c r="BZ48" s="1"/>
  <c r="BS48"/>
  <c r="BX47"/>
  <c r="BV47"/>
  <c r="DI47"/>
  <c r="DL47" s="1"/>
  <c r="BY47"/>
  <c r="BZ47" s="1"/>
  <c r="BS47"/>
  <c r="BX45"/>
  <c r="BV45"/>
  <c r="DI45"/>
  <c r="DL45" s="1"/>
  <c r="BY45"/>
  <c r="BZ45" s="1"/>
  <c r="BS45"/>
  <c r="BX42"/>
  <c r="BV42"/>
  <c r="DI42"/>
  <c r="DL42" s="1"/>
  <c r="BY42"/>
  <c r="BZ42" s="1"/>
  <c r="BS42"/>
  <c r="DW42"/>
  <c r="BX38"/>
  <c r="BV38"/>
  <c r="DI38"/>
  <c r="DL38" s="1"/>
  <c r="BY38"/>
  <c r="BZ38" s="1"/>
  <c r="BS38"/>
  <c r="BX34"/>
  <c r="BV34"/>
  <c r="DI34"/>
  <c r="DL34" s="1"/>
  <c r="BY34"/>
  <c r="BZ34" s="1"/>
  <c r="BS34"/>
  <c r="DI32"/>
  <c r="BS32"/>
  <c r="DI26"/>
  <c r="BY26"/>
  <c r="BZ26" s="1"/>
  <c r="BV26"/>
  <c r="BS26"/>
  <c r="BX25"/>
  <c r="BV25"/>
  <c r="DI25"/>
  <c r="BY25"/>
  <c r="BZ25" s="1"/>
  <c r="BS25"/>
  <c r="DW25"/>
  <c r="DI20"/>
  <c r="BY20"/>
  <c r="BZ20" s="1"/>
  <c r="BX20"/>
  <c r="BV20"/>
  <c r="BS20"/>
  <c r="DI12"/>
  <c r="BY12"/>
  <c r="BZ12" s="1"/>
  <c r="BX12"/>
  <c r="BV12"/>
  <c r="BS12"/>
  <c r="EA24"/>
  <c r="CT24"/>
  <c r="BU24"/>
  <c r="DF14"/>
  <c r="DL14" s="1"/>
  <c r="AY14"/>
  <c r="AZ14" s="1"/>
  <c r="DG14" s="1"/>
  <c r="DF12"/>
  <c r="DL12" s="1"/>
  <c r="AY12"/>
  <c r="AZ12" s="1"/>
  <c r="DG12" s="1"/>
  <c r="BU12"/>
  <c r="EA12"/>
  <c r="CT12"/>
  <c r="BU11"/>
  <c r="EA11"/>
  <c r="EB11" s="1"/>
  <c r="CT11"/>
  <c r="BU10"/>
  <c r="EA10"/>
  <c r="CT10"/>
  <c r="BX9"/>
  <c r="BV9"/>
  <c r="DI9"/>
  <c r="DL9" s="1"/>
  <c r="BY9"/>
  <c r="BZ9" s="1"/>
  <c r="BS9"/>
  <c r="EA8"/>
  <c r="BU8"/>
  <c r="AX104"/>
  <c r="AY104"/>
  <c r="AZ104" s="1"/>
  <c r="DG104" s="1"/>
  <c r="DJ100"/>
  <c r="BX91"/>
  <c r="BV91"/>
  <c r="DI91"/>
  <c r="BY91"/>
  <c r="BZ91" s="1"/>
  <c r="AY91"/>
  <c r="AZ91" s="1"/>
  <c r="DG91" s="1"/>
  <c r="AX91"/>
  <c r="DF93"/>
  <c r="DI90"/>
  <c r="DL90" s="1"/>
  <c r="BY90"/>
  <c r="BZ90" s="1"/>
  <c r="BV90"/>
  <c r="BU90"/>
  <c r="EA90"/>
  <c r="EB90" s="1"/>
  <c r="EC90" s="1"/>
  <c r="CT90"/>
  <c r="AW86"/>
  <c r="W86"/>
  <c r="AE86" s="1"/>
  <c r="AO7"/>
  <c r="AH82"/>
  <c r="AL82" s="1"/>
  <c r="AM82" s="1"/>
  <c r="BA82" s="1"/>
  <c r="AH78"/>
  <c r="AL78" s="1"/>
  <c r="DF78" s="1"/>
  <c r="AX77"/>
  <c r="CB77" s="1"/>
  <c r="AY77"/>
  <c r="AZ77" s="1"/>
  <c r="DG77" s="1"/>
  <c r="BU76"/>
  <c r="EA76"/>
  <c r="CT76"/>
  <c r="AX75"/>
  <c r="CB75" s="1"/>
  <c r="AY75"/>
  <c r="AZ75" s="1"/>
  <c r="DG75" s="1"/>
  <c r="DW75"/>
  <c r="DF75"/>
  <c r="BU75"/>
  <c r="EA75"/>
  <c r="CT75"/>
  <c r="EA57"/>
  <c r="CT57"/>
  <c r="BU57"/>
  <c r="AX56"/>
  <c r="CB56" s="1"/>
  <c r="AX57"/>
  <c r="AY57"/>
  <c r="AZ57" s="1"/>
  <c r="DG57" s="1"/>
  <c r="AX55"/>
  <c r="CB55" s="1"/>
  <c r="AM53"/>
  <c r="BA53" s="1"/>
  <c r="AH53"/>
  <c r="AH44"/>
  <c r="AL44" s="1"/>
  <c r="AM44" s="1"/>
  <c r="BA44" s="1"/>
  <c r="AH40"/>
  <c r="AL40" s="1"/>
  <c r="AM40" s="1"/>
  <c r="BA40" s="1"/>
  <c r="AH28"/>
  <c r="AL28" s="1"/>
  <c r="AM28" s="1"/>
  <c r="BA28" s="1"/>
  <c r="EB26"/>
  <c r="EC26" s="1"/>
  <c r="CG26"/>
  <c r="CH26" s="1"/>
  <c r="AX24"/>
  <c r="AY22"/>
  <c r="AZ22" s="1"/>
  <c r="DG22" s="1"/>
  <c r="AX22"/>
  <c r="AE15"/>
  <c r="W7"/>
  <c r="CB105"/>
  <c r="DL99"/>
  <c r="DY104"/>
  <c r="DY103"/>
  <c r="CB102"/>
  <c r="AE95"/>
  <c r="AY102"/>
  <c r="AZ102" s="1"/>
  <c r="DG102" s="1"/>
  <c r="AE96"/>
  <c r="AY92"/>
  <c r="AZ92" s="1"/>
  <c r="DG92" s="1"/>
  <c r="DK89"/>
  <c r="AE92"/>
  <c r="CB85"/>
  <c r="AE83"/>
  <c r="CB74"/>
  <c r="DW89"/>
  <c r="CA91"/>
  <c r="AE84"/>
  <c r="CB62"/>
  <c r="CB60"/>
  <c r="DL86"/>
  <c r="CB83"/>
  <c r="CB80"/>
  <c r="CA74"/>
  <c r="AE73"/>
  <c r="DL72"/>
  <c r="AE72"/>
  <c r="AE70"/>
  <c r="AE59"/>
  <c r="CA56"/>
  <c r="CB73"/>
  <c r="CB71"/>
  <c r="CB58"/>
  <c r="AE50"/>
  <c r="AE48"/>
  <c r="AE45"/>
  <c r="AE43"/>
  <c r="AE27"/>
  <c r="AE53"/>
  <c r="AE40"/>
  <c r="AE38"/>
  <c r="AE36"/>
  <c r="AE34"/>
  <c r="AE32"/>
  <c r="AE30"/>
  <c r="AE28"/>
  <c r="CB24"/>
  <c r="CB18"/>
  <c r="CA22"/>
  <c r="AE19"/>
  <c r="AE17"/>
  <c r="AE13"/>
  <c r="AE16"/>
  <c r="DL16"/>
  <c r="CB9"/>
  <c r="AX103"/>
  <c r="CB103" s="1"/>
  <c r="AY103"/>
  <c r="AZ103" s="1"/>
  <c r="DG103" s="1"/>
  <c r="DF100"/>
  <c r="DL100" s="1"/>
  <c r="BY100"/>
  <c r="BZ100" s="1"/>
  <c r="BX100"/>
  <c r="BV100"/>
  <c r="DW98"/>
  <c r="DF98"/>
  <c r="CG102"/>
  <c r="CH102" s="1"/>
  <c r="EA101"/>
  <c r="CT101"/>
  <c r="BU101"/>
  <c r="DW101" s="1"/>
  <c r="BX98"/>
  <c r="BV98"/>
  <c r="DI98"/>
  <c r="BY98"/>
  <c r="BZ98" s="1"/>
  <c r="EA98"/>
  <c r="CT98"/>
  <c r="BU98"/>
  <c r="EA97"/>
  <c r="CT97"/>
  <c r="BU97"/>
  <c r="EA94"/>
  <c r="CT94"/>
  <c r="BU94"/>
  <c r="BX97"/>
  <c r="BV97"/>
  <c r="DI97"/>
  <c r="DL97" s="1"/>
  <c r="BY97"/>
  <c r="BZ97" s="1"/>
  <c r="BX92"/>
  <c r="BV92"/>
  <c r="DI92"/>
  <c r="BY92"/>
  <c r="BZ92" s="1"/>
  <c r="CC90"/>
  <c r="BT90"/>
  <c r="EA80"/>
  <c r="CT80"/>
  <c r="BU80"/>
  <c r="AX78"/>
  <c r="CB78" s="1"/>
  <c r="BU77"/>
  <c r="EA77"/>
  <c r="CT77"/>
  <c r="AX76"/>
  <c r="CB76" s="1"/>
  <c r="EA78"/>
  <c r="EB78" s="1"/>
  <c r="EC78" s="1"/>
  <c r="BU78"/>
  <c r="CT78"/>
  <c r="EB89"/>
  <c r="EC89" s="1"/>
  <c r="CG89"/>
  <c r="CH89" s="1"/>
  <c r="BX71"/>
  <c r="BV71"/>
  <c r="DI71"/>
  <c r="DL71" s="1"/>
  <c r="BY71"/>
  <c r="BZ71" s="1"/>
  <c r="EA71"/>
  <c r="CT71"/>
  <c r="BU71"/>
  <c r="BU61"/>
  <c r="EA61"/>
  <c r="CT61"/>
  <c r="BU66"/>
  <c r="EA66"/>
  <c r="CT66"/>
  <c r="BU64"/>
  <c r="EA64"/>
  <c r="CT64"/>
  <c r="DW57"/>
  <c r="DF57"/>
  <c r="BU56"/>
  <c r="EA56"/>
  <c r="CT56"/>
  <c r="AM54"/>
  <c r="BA54" s="1"/>
  <c r="AH54"/>
  <c r="AM48"/>
  <c r="BA48" s="1"/>
  <c r="AH48"/>
  <c r="AH46"/>
  <c r="AL46" s="1"/>
  <c r="AM46" s="1"/>
  <c r="BA46" s="1"/>
  <c r="BB46" s="1"/>
  <c r="BR46"/>
  <c r="CB46" s="1"/>
  <c r="BE46"/>
  <c r="BF46" s="1"/>
  <c r="AA7"/>
  <c r="DI54"/>
  <c r="DL54" s="1"/>
  <c r="BX54"/>
  <c r="BV54"/>
  <c r="BY54"/>
  <c r="BZ54" s="1"/>
  <c r="CT54"/>
  <c r="EA54"/>
  <c r="BU54"/>
  <c r="BX52"/>
  <c r="BV52"/>
  <c r="DI52"/>
  <c r="DL52" s="1"/>
  <c r="BY52"/>
  <c r="BZ52" s="1"/>
  <c r="EA52"/>
  <c r="CT52"/>
  <c r="BU52"/>
  <c r="BX41"/>
  <c r="BV41"/>
  <c r="DI41"/>
  <c r="DL41" s="1"/>
  <c r="BY41"/>
  <c r="BZ41" s="1"/>
  <c r="EA41"/>
  <c r="CT41"/>
  <c r="BU41"/>
  <c r="BX39"/>
  <c r="BV39"/>
  <c r="DI39"/>
  <c r="DL39" s="1"/>
  <c r="BY39"/>
  <c r="BZ39" s="1"/>
  <c r="EA39"/>
  <c r="CT39"/>
  <c r="BU39"/>
  <c r="DI37"/>
  <c r="EA37"/>
  <c r="CT37"/>
  <c r="BU37"/>
  <c r="BX35"/>
  <c r="BV35"/>
  <c r="DI35"/>
  <c r="DL35" s="1"/>
  <c r="BY35"/>
  <c r="BZ35" s="1"/>
  <c r="EA35"/>
  <c r="CT35"/>
  <c r="BU35"/>
  <c r="BX33"/>
  <c r="BV33"/>
  <c r="DI33"/>
  <c r="DL33" s="1"/>
  <c r="BY33"/>
  <c r="BZ33" s="1"/>
  <c r="EA33"/>
  <c r="CT33"/>
  <c r="BU33"/>
  <c r="EA31"/>
  <c r="CT31"/>
  <c r="BU31"/>
  <c r="BT23"/>
  <c r="BX23"/>
  <c r="BV23"/>
  <c r="DI23"/>
  <c r="DL23" s="1"/>
  <c r="BY23"/>
  <c r="BZ23" s="1"/>
  <c r="CU8"/>
  <c r="CU7" s="1"/>
  <c r="AC7"/>
  <c r="AY25"/>
  <c r="AZ25" s="1"/>
  <c r="DG25" s="1"/>
  <c r="AX25"/>
  <c r="AY23"/>
  <c r="AZ23" s="1"/>
  <c r="DG23" s="1"/>
  <c r="AX23"/>
  <c r="EA25"/>
  <c r="CT25"/>
  <c r="BU25"/>
  <c r="EA23"/>
  <c r="CT23"/>
  <c r="BU23"/>
  <c r="CB8"/>
  <c r="EA18"/>
  <c r="CT18"/>
  <c r="BU18"/>
  <c r="AZ8"/>
  <c r="CB104"/>
  <c r="DL101"/>
  <c r="AM100"/>
  <c r="BA100" s="1"/>
  <c r="DW106"/>
  <c r="AY100"/>
  <c r="AY98"/>
  <c r="AZ98" s="1"/>
  <c r="DG98" s="1"/>
  <c r="EC106"/>
  <c r="DW104"/>
  <c r="CA103"/>
  <c r="AY101"/>
  <c r="AZ101" s="1"/>
  <c r="DG101" s="1"/>
  <c r="CB91"/>
  <c r="AE93"/>
  <c r="AF93" s="1"/>
  <c r="AF93" i="9" s="1"/>
  <c r="AF93" i="12" s="1"/>
  <c r="AF93" i="15" s="1"/>
  <c r="AF93" i="19" s="1"/>
  <c r="BS92" i="5"/>
  <c r="DL92"/>
  <c r="DL91"/>
  <c r="AE82"/>
  <c r="BS91"/>
  <c r="AE81"/>
  <c r="AE79"/>
  <c r="CA78"/>
  <c r="CA76"/>
  <c r="DW88"/>
  <c r="AE60"/>
  <c r="AE58"/>
  <c r="CB57"/>
  <c r="CB25"/>
  <c r="DL51"/>
  <c r="DL25"/>
  <c r="AE51"/>
  <c r="AE49"/>
  <c r="AE47"/>
  <c r="AE46"/>
  <c r="AE44"/>
  <c r="AF44" s="1"/>
  <c r="AF44" i="9" s="1"/>
  <c r="AE42" i="5"/>
  <c r="AE29"/>
  <c r="CB22"/>
  <c r="AB7"/>
  <c r="AK7"/>
  <c r="X7"/>
  <c r="BE7"/>
  <c r="CB54"/>
  <c r="DW54"/>
  <c r="CB52"/>
  <c r="DW52"/>
  <c r="CB50"/>
  <c r="CB48"/>
  <c r="CB45"/>
  <c r="CB43"/>
  <c r="CB41"/>
  <c r="DW41"/>
  <c r="CB39"/>
  <c r="CB37"/>
  <c r="CB35"/>
  <c r="CB33"/>
  <c r="CB31"/>
  <c r="CB27"/>
  <c r="DW26"/>
  <c r="BF8"/>
  <c r="CA24"/>
  <c r="AE14"/>
  <c r="AE9"/>
  <c r="CB16"/>
  <c r="DE7"/>
  <c r="AW7"/>
  <c r="CB19"/>
  <c r="CU70" i="2"/>
  <c r="CU72"/>
  <c r="CU80"/>
  <c r="CU81"/>
  <c r="DE81"/>
  <c r="AW82"/>
  <c r="DE82"/>
  <c r="CV83"/>
  <c r="CU23"/>
  <c r="CU24"/>
  <c r="AE32"/>
  <c r="AF32" s="1"/>
  <c r="CU32"/>
  <c r="DE32"/>
  <c r="AE34"/>
  <c r="AF34" s="1"/>
  <c r="CU34"/>
  <c r="DE34"/>
  <c r="CU37"/>
  <c r="CU98"/>
  <c r="BQ11"/>
  <c r="BQ18"/>
  <c r="CU44"/>
  <c r="CU79"/>
  <c r="CU86"/>
  <c r="CU46"/>
  <c r="CU47"/>
  <c r="AB53"/>
  <c r="AD90"/>
  <c r="CV90" s="1"/>
  <c r="BQ90"/>
  <c r="BN7"/>
  <c r="CU22"/>
  <c r="BQ22"/>
  <c r="BR22" s="1"/>
  <c r="CU36"/>
  <c r="DE36"/>
  <c r="CU39"/>
  <c r="CV40"/>
  <c r="AE46"/>
  <c r="AF46" s="1"/>
  <c r="CV62"/>
  <c r="CV67"/>
  <c r="CU73"/>
  <c r="BO7"/>
  <c r="CS7"/>
  <c r="CZ7"/>
  <c r="CV9"/>
  <c r="AE27"/>
  <c r="AF27" s="1"/>
  <c r="CU27"/>
  <c r="DE27"/>
  <c r="CU35"/>
  <c r="BQ35"/>
  <c r="DE35"/>
  <c r="CU38"/>
  <c r="BQ38"/>
  <c r="DE38"/>
  <c r="AW40"/>
  <c r="DE40"/>
  <c r="CV41"/>
  <c r="CV42"/>
  <c r="BQ42"/>
  <c r="CV43"/>
  <c r="DE46"/>
  <c r="CV50"/>
  <c r="CV51"/>
  <c r="BQ51"/>
  <c r="CV52"/>
  <c r="AD53"/>
  <c r="CV53" s="1"/>
  <c r="BQ53"/>
  <c r="CV54"/>
  <c r="AC56"/>
  <c r="AW58"/>
  <c r="CV60"/>
  <c r="CV63"/>
  <c r="CV65"/>
  <c r="CV66"/>
  <c r="BQ66"/>
  <c r="AW67"/>
  <c r="DE67"/>
  <c r="CV68"/>
  <c r="BQ68"/>
  <c r="AW69"/>
  <c r="AW96"/>
  <c r="AW102"/>
  <c r="AD102"/>
  <c r="BQ76"/>
  <c r="CU77"/>
  <c r="DE78"/>
  <c r="CU88"/>
  <c r="AW89"/>
  <c r="AD89"/>
  <c r="DZ89" s="1"/>
  <c r="CU91"/>
  <c r="BQ93"/>
  <c r="AW98"/>
  <c r="AW99"/>
  <c r="BQ46"/>
  <c r="BQ36"/>
  <c r="BD7"/>
  <c r="AJ7"/>
  <c r="AT7"/>
  <c r="BQ81"/>
  <c r="AD26"/>
  <c r="CV26" s="1"/>
  <c r="AW60"/>
  <c r="DE60"/>
  <c r="BQ70"/>
  <c r="DE70"/>
  <c r="BQ71"/>
  <c r="DE71"/>
  <c r="BQ72"/>
  <c r="BE77"/>
  <c r="AE92"/>
  <c r="AF92" s="1"/>
  <c r="S7"/>
  <c r="CV14"/>
  <c r="AW15"/>
  <c r="AW16"/>
  <c r="AW17"/>
  <c r="AE20"/>
  <c r="AF20" s="1"/>
  <c r="CU20"/>
  <c r="DE20"/>
  <c r="BQ21"/>
  <c r="BQ23"/>
  <c r="BR23" s="1"/>
  <c r="BQ25"/>
  <c r="BR25" s="1"/>
  <c r="BQ28"/>
  <c r="AE29"/>
  <c r="AF29" s="1"/>
  <c r="AE30"/>
  <c r="AF30" s="1"/>
  <c r="CU30"/>
  <c r="DE30"/>
  <c r="BQ33"/>
  <c r="BQ37"/>
  <c r="DE37"/>
  <c r="BQ39"/>
  <c r="DE39"/>
  <c r="AW41"/>
  <c r="DE41"/>
  <c r="AW43"/>
  <c r="DE43"/>
  <c r="BQ44"/>
  <c r="DE44"/>
  <c r="AW45"/>
  <c r="AW49"/>
  <c r="AW50"/>
  <c r="DE50"/>
  <c r="AW52"/>
  <c r="DE52"/>
  <c r="AD56"/>
  <c r="AW57"/>
  <c r="AW59"/>
  <c r="CV61"/>
  <c r="BQ61"/>
  <c r="AW62"/>
  <c r="DE62"/>
  <c r="AW63"/>
  <c r="DE63"/>
  <c r="CV64"/>
  <c r="BQ64"/>
  <c r="AW65"/>
  <c r="DE65"/>
  <c r="BE73"/>
  <c r="BQ79"/>
  <c r="DE79"/>
  <c r="BQ80"/>
  <c r="DE80"/>
  <c r="AW83"/>
  <c r="DE83"/>
  <c r="CV85"/>
  <c r="BQ87"/>
  <c r="DE87"/>
  <c r="BR90"/>
  <c r="AC90"/>
  <c r="CU90" s="1"/>
  <c r="AE95"/>
  <c r="AF95" s="1"/>
  <c r="AE97"/>
  <c r="AF97" s="1"/>
  <c r="BQ24"/>
  <c r="BR24" s="1"/>
  <c r="AM92" i="1"/>
  <c r="BA92" s="1"/>
  <c r="BB92" s="1"/>
  <c r="AG9"/>
  <c r="AL82"/>
  <c r="AG87"/>
  <c r="AG28"/>
  <c r="AG101"/>
  <c r="AG102"/>
  <c r="AG8"/>
  <c r="AG29"/>
  <c r="AG30"/>
  <c r="AG31"/>
  <c r="AG32"/>
  <c r="AG33"/>
  <c r="AG34"/>
  <c r="AG35"/>
  <c r="AG36"/>
  <c r="AG37"/>
  <c r="AG38"/>
  <c r="AG39"/>
  <c r="AG46"/>
  <c r="AG47"/>
  <c r="AG48"/>
  <c r="DN54"/>
  <c r="AG63"/>
  <c r="AG64"/>
  <c r="AG65"/>
  <c r="AG66"/>
  <c r="AG67"/>
  <c r="AG68"/>
  <c r="DN76"/>
  <c r="AG99"/>
  <c r="AG100"/>
  <c r="AG18"/>
  <c r="AG20"/>
  <c r="DN22"/>
  <c r="AG27"/>
  <c r="AG45"/>
  <c r="DN56"/>
  <c r="AG60"/>
  <c r="AG61"/>
  <c r="AG62"/>
  <c r="AG78"/>
  <c r="AG79"/>
  <c r="AG80"/>
  <c r="AG81"/>
  <c r="AG88"/>
  <c r="AG89"/>
  <c r="CY7" i="2"/>
  <c r="BR76"/>
  <c r="AA7"/>
  <c r="BQ105"/>
  <c r="AW106"/>
  <c r="AV7"/>
  <c r="CV8"/>
  <c r="BQ8"/>
  <c r="CR7"/>
  <c r="AW9"/>
  <c r="DE9"/>
  <c r="CU10"/>
  <c r="BQ10"/>
  <c r="DE10"/>
  <c r="CV12"/>
  <c r="BQ12"/>
  <c r="AW13"/>
  <c r="AW14"/>
  <c r="DE14"/>
  <c r="CU18"/>
  <c r="CV19"/>
  <c r="BQ26"/>
  <c r="CU45"/>
  <c r="AW47"/>
  <c r="AW48"/>
  <c r="AD55"/>
  <c r="CV55" s="1"/>
  <c r="BQ55"/>
  <c r="CU75"/>
  <c r="BQ78"/>
  <c r="CV82"/>
  <c r="BQ84"/>
  <c r="AW85"/>
  <c r="DE85"/>
  <c r="AW88"/>
  <c r="AC89"/>
  <c r="CU89" s="1"/>
  <c r="AW90"/>
  <c r="AW91"/>
  <c r="CU92"/>
  <c r="BQ92"/>
  <c r="DE92"/>
  <c r="AW93"/>
  <c r="W94"/>
  <c r="AE94" s="1"/>
  <c r="AF94" s="1"/>
  <c r="CU94"/>
  <c r="AW95"/>
  <c r="CU96"/>
  <c r="AW97"/>
  <c r="CU99"/>
  <c r="AW100"/>
  <c r="AW101"/>
  <c r="AC102"/>
  <c r="CU102" s="1"/>
  <c r="BQ103"/>
  <c r="AE104"/>
  <c r="AF104" s="1"/>
  <c r="CU104"/>
  <c r="DE104"/>
  <c r="CV102"/>
  <c r="DZ102"/>
  <c r="CV18"/>
  <c r="DZ18"/>
  <c r="AE18"/>
  <c r="EA18" s="1"/>
  <c r="DZ26"/>
  <c r="BQ47"/>
  <c r="CA47" s="1"/>
  <c r="DE47"/>
  <c r="CU48"/>
  <c r="BQ48"/>
  <c r="DE48"/>
  <c r="CU49"/>
  <c r="BQ49"/>
  <c r="CA49" s="1"/>
  <c r="BQ50"/>
  <c r="AW51"/>
  <c r="DE51"/>
  <c r="AL52"/>
  <c r="AY52" s="1"/>
  <c r="AZ52" s="1"/>
  <c r="DG52" s="1"/>
  <c r="BQ52"/>
  <c r="AC53"/>
  <c r="CU53" s="1"/>
  <c r="BQ54"/>
  <c r="AC55"/>
  <c r="CU55" s="1"/>
  <c r="CU56"/>
  <c r="BQ56"/>
  <c r="DE56"/>
  <c r="CU57"/>
  <c r="BQ57"/>
  <c r="DE57"/>
  <c r="CU58"/>
  <c r="BQ58"/>
  <c r="CA58" s="1"/>
  <c r="DE58"/>
  <c r="CU59"/>
  <c r="BQ59"/>
  <c r="CA59" s="1"/>
  <c r="DE59"/>
  <c r="AL60"/>
  <c r="BQ60"/>
  <c r="AW61"/>
  <c r="DE61"/>
  <c r="AL62"/>
  <c r="BQ62"/>
  <c r="AL63"/>
  <c r="BQ63"/>
  <c r="AW64"/>
  <c r="DE64"/>
  <c r="BQ65"/>
  <c r="AW66"/>
  <c r="DE66"/>
  <c r="AL67"/>
  <c r="BQ67"/>
  <c r="AW68"/>
  <c r="DE68"/>
  <c r="CU69"/>
  <c r="BQ69"/>
  <c r="CA69" s="1"/>
  <c r="DE69"/>
  <c r="AW70"/>
  <c r="AW71"/>
  <c r="AW72"/>
  <c r="AD73"/>
  <c r="BQ73"/>
  <c r="BQ74"/>
  <c r="DE74"/>
  <c r="AL75"/>
  <c r="AM75" s="1"/>
  <c r="BA75" s="1"/>
  <c r="BB75" s="1"/>
  <c r="BQ75"/>
  <c r="BR75" s="1"/>
  <c r="DE75"/>
  <c r="AD77"/>
  <c r="BQ77"/>
  <c r="AW78"/>
  <c r="AW79"/>
  <c r="AW80"/>
  <c r="AW81"/>
  <c r="BQ94"/>
  <c r="CA94" s="1"/>
  <c r="BQ98"/>
  <c r="BQ99"/>
  <c r="CU100"/>
  <c r="BQ100"/>
  <c r="CU101"/>
  <c r="BQ101"/>
  <c r="BQ102"/>
  <c r="AE103"/>
  <c r="AF103" s="1"/>
  <c r="CU103"/>
  <c r="DE103"/>
  <c r="AL104"/>
  <c r="DF104" s="1"/>
  <c r="BQ104"/>
  <c r="AE105"/>
  <c r="AF105" s="1"/>
  <c r="CU105"/>
  <c r="DE105"/>
  <c r="X106"/>
  <c r="BQ106"/>
  <c r="DE106"/>
  <c r="AW8"/>
  <c r="CA8" s="1"/>
  <c r="DE8"/>
  <c r="AL9"/>
  <c r="DF9" s="1"/>
  <c r="BQ9"/>
  <c r="AW10"/>
  <c r="AX10" s="1"/>
  <c r="AW11"/>
  <c r="AK12"/>
  <c r="AL12" s="1"/>
  <c r="AW12"/>
  <c r="DE12"/>
  <c r="CU13"/>
  <c r="BQ13"/>
  <c r="CA13" s="1"/>
  <c r="DE13"/>
  <c r="AL14"/>
  <c r="DF14" s="1"/>
  <c r="BQ14"/>
  <c r="W15"/>
  <c r="AE15" s="1"/>
  <c r="CU15"/>
  <c r="BQ15"/>
  <c r="CA15" s="1"/>
  <c r="DE15"/>
  <c r="CU16"/>
  <c r="BQ16"/>
  <c r="CA16" s="1"/>
  <c r="DE16"/>
  <c r="CU17"/>
  <c r="BQ17"/>
  <c r="CA17" s="1"/>
  <c r="AW18"/>
  <c r="AX18" s="1"/>
  <c r="BQ19"/>
  <c r="BQ20"/>
  <c r="AE21"/>
  <c r="AW22"/>
  <c r="CA22" s="1"/>
  <c r="AW23"/>
  <c r="CA23" s="1"/>
  <c r="AW24"/>
  <c r="AW25"/>
  <c r="BR26"/>
  <c r="AC26"/>
  <c r="CU26" s="1"/>
  <c r="AW26"/>
  <c r="AL27"/>
  <c r="DF27" s="1"/>
  <c r="BQ27"/>
  <c r="AE28"/>
  <c r="CU28"/>
  <c r="BQ29"/>
  <c r="BR29" s="1"/>
  <c r="DE29"/>
  <c r="BQ30"/>
  <c r="BR30" s="1"/>
  <c r="AE31"/>
  <c r="AF31" s="1"/>
  <c r="CU31"/>
  <c r="CT31" s="1"/>
  <c r="DH31" s="1"/>
  <c r="DK31" s="1"/>
  <c r="DE31"/>
  <c r="AL32"/>
  <c r="DF32" s="1"/>
  <c r="BQ32"/>
  <c r="AE33"/>
  <c r="AK33"/>
  <c r="AL33" s="1"/>
  <c r="CU33"/>
  <c r="DE33"/>
  <c r="AL34"/>
  <c r="DF34" s="1"/>
  <c r="BQ34"/>
  <c r="AW35"/>
  <c r="CA35" s="1"/>
  <c r="AW36"/>
  <c r="CA36" s="1"/>
  <c r="AW37"/>
  <c r="CA37" s="1"/>
  <c r="AW38"/>
  <c r="CA38" s="1"/>
  <c r="AW39"/>
  <c r="CA39" s="1"/>
  <c r="BQ40"/>
  <c r="AL41"/>
  <c r="DF41" s="1"/>
  <c r="BQ41"/>
  <c r="AK42"/>
  <c r="AL42" s="1"/>
  <c r="AW42"/>
  <c r="DE42"/>
  <c r="BQ43"/>
  <c r="AW44"/>
  <c r="CA44" s="1"/>
  <c r="BQ45"/>
  <c r="DE45"/>
  <c r="AW46"/>
  <c r="CA46" s="1"/>
  <c r="AL51"/>
  <c r="DF51" s="1"/>
  <c r="AL53"/>
  <c r="DF53" s="1"/>
  <c r="DZ55"/>
  <c r="AL61"/>
  <c r="DF61" s="1"/>
  <c r="CV75"/>
  <c r="BQ82"/>
  <c r="AL83"/>
  <c r="DF83" s="1"/>
  <c r="BQ83"/>
  <c r="AW84"/>
  <c r="AL85"/>
  <c r="DF85" s="1"/>
  <c r="BQ85"/>
  <c r="BQ86"/>
  <c r="AW87"/>
  <c r="CA87" s="1"/>
  <c r="W88"/>
  <c r="AE88" s="1"/>
  <c r="AF88" s="1"/>
  <c r="AF88" i="5" s="1"/>
  <c r="AF88" i="9" s="1"/>
  <c r="AF88" i="12" s="1"/>
  <c r="AF88" i="15" s="1"/>
  <c r="AF88" i="19" s="1"/>
  <c r="BQ88" i="2"/>
  <c r="DE88"/>
  <c r="BQ89"/>
  <c r="AK90"/>
  <c r="AL90" s="1"/>
  <c r="BQ91"/>
  <c r="DE91"/>
  <c r="AW92"/>
  <c r="CA92" s="1"/>
  <c r="DE93"/>
  <c r="CA95"/>
  <c r="DE95"/>
  <c r="BQ96"/>
  <c r="CA96" s="1"/>
  <c r="DE96"/>
  <c r="BR98"/>
  <c r="BR99"/>
  <c r="BR100"/>
  <c r="BR101"/>
  <c r="BR102"/>
  <c r="AL103"/>
  <c r="DF103" s="1"/>
  <c r="AL105"/>
  <c r="DF105" s="1"/>
  <c r="AE106"/>
  <c r="AF106" s="1"/>
  <c r="AF106" i="5" s="1"/>
  <c r="AF106" i="9" s="1"/>
  <c r="AF106" i="12" s="1"/>
  <c r="AF106" i="15" s="1"/>
  <c r="AF106" i="19" s="1"/>
  <c r="AX8" i="2"/>
  <c r="BR9"/>
  <c r="CA9"/>
  <c r="DZ10"/>
  <c r="AD7"/>
  <c r="CV10"/>
  <c r="AX11"/>
  <c r="DZ11"/>
  <c r="CV11"/>
  <c r="AX12"/>
  <c r="BR14"/>
  <c r="CA14"/>
  <c r="BU15"/>
  <c r="DE17"/>
  <c r="CQ7"/>
  <c r="BR8"/>
  <c r="AX9"/>
  <c r="BR12"/>
  <c r="CA12"/>
  <c r="AX13"/>
  <c r="DZ13"/>
  <c r="CV13"/>
  <c r="AX14"/>
  <c r="AX15"/>
  <c r="DZ15"/>
  <c r="CV15"/>
  <c r="AX16"/>
  <c r="DZ16"/>
  <c r="CV16"/>
  <c r="AX17"/>
  <c r="DZ17"/>
  <c r="CV17"/>
  <c r="CA11"/>
  <c r="EC11" s="1"/>
  <c r="BR20"/>
  <c r="AX22"/>
  <c r="CV22"/>
  <c r="DZ22"/>
  <c r="CV23"/>
  <c r="DZ23"/>
  <c r="AX24"/>
  <c r="CV24"/>
  <c r="DZ24"/>
  <c r="I26"/>
  <c r="Q26" s="1"/>
  <c r="BX26" s="1"/>
  <c r="G26"/>
  <c r="BU27"/>
  <c r="EA27"/>
  <c r="CT27"/>
  <c r="DH27" s="1"/>
  <c r="DK27" s="1"/>
  <c r="BR28"/>
  <c r="BU31"/>
  <c r="EA31"/>
  <c r="BR32"/>
  <c r="BR34"/>
  <c r="DZ35"/>
  <c r="CV35"/>
  <c r="AX36"/>
  <c r="DZ36"/>
  <c r="CV36"/>
  <c r="DZ37"/>
  <c r="CV37"/>
  <c r="AX38"/>
  <c r="DZ38"/>
  <c r="CV38"/>
  <c r="DZ39"/>
  <c r="CV39"/>
  <c r="BR40"/>
  <c r="CA40"/>
  <c r="BR41"/>
  <c r="CA41"/>
  <c r="AX42"/>
  <c r="BR43"/>
  <c r="CA43"/>
  <c r="DZ44"/>
  <c r="CV44"/>
  <c r="AX46"/>
  <c r="DZ46"/>
  <c r="CV46"/>
  <c r="AX47"/>
  <c r="DZ47"/>
  <c r="CV47"/>
  <c r="AX48"/>
  <c r="DZ48"/>
  <c r="CV48"/>
  <c r="AX49"/>
  <c r="DZ49"/>
  <c r="CV49"/>
  <c r="AX50"/>
  <c r="BR51"/>
  <c r="CA51"/>
  <c r="AX52"/>
  <c r="AU7"/>
  <c r="AC8"/>
  <c r="BE8"/>
  <c r="DO160"/>
  <c r="DZ8"/>
  <c r="AC9"/>
  <c r="CU9" s="1"/>
  <c r="BE9"/>
  <c r="BF9" s="1"/>
  <c r="DZ9"/>
  <c r="X10"/>
  <c r="AE10" s="1"/>
  <c r="AF10" s="1"/>
  <c r="AK10"/>
  <c r="BR10"/>
  <c r="X11"/>
  <c r="AE11" s="1"/>
  <c r="AF11" s="1"/>
  <c r="AF11" i="5" s="1"/>
  <c r="AF11" i="9" s="1"/>
  <c r="AF11" i="12" s="1"/>
  <c r="AF11" i="15" s="1"/>
  <c r="AF11" i="19" s="1"/>
  <c r="AK11" i="2"/>
  <c r="BR11"/>
  <c r="CB11" s="1"/>
  <c r="AC12"/>
  <c r="CU12" s="1"/>
  <c r="BE12"/>
  <c r="BF12" s="1"/>
  <c r="DZ12"/>
  <c r="X13"/>
  <c r="AE13" s="1"/>
  <c r="AF13" s="1"/>
  <c r="AK13"/>
  <c r="BR13"/>
  <c r="AC14"/>
  <c r="CU14" s="1"/>
  <c r="BE14"/>
  <c r="BF14" s="1"/>
  <c r="DZ14"/>
  <c r="AK15"/>
  <c r="AL15" s="1"/>
  <c r="BR15"/>
  <c r="X16"/>
  <c r="AE16" s="1"/>
  <c r="AF16" s="1"/>
  <c r="AK16"/>
  <c r="AL16" s="1"/>
  <c r="BR16"/>
  <c r="CB16" s="1"/>
  <c r="X17"/>
  <c r="AE17" s="1"/>
  <c r="AF17" s="1"/>
  <c r="AK17"/>
  <c r="BR17"/>
  <c r="CA18"/>
  <c r="DE18"/>
  <c r="BR19"/>
  <c r="AC19"/>
  <c r="CU19" s="1"/>
  <c r="AL19"/>
  <c r="BE19"/>
  <c r="DZ19"/>
  <c r="CA25"/>
  <c r="CA26"/>
  <c r="CA45"/>
  <c r="BE18"/>
  <c r="AW19"/>
  <c r="X19"/>
  <c r="BU20"/>
  <c r="EA20"/>
  <c r="CT20"/>
  <c r="DH20" s="1"/>
  <c r="DK20" s="1"/>
  <c r="DZ20"/>
  <c r="CV20"/>
  <c r="BR21"/>
  <c r="DE24"/>
  <c r="AX25"/>
  <c r="CV25"/>
  <c r="DZ25"/>
  <c r="AX26"/>
  <c r="CB26" s="1"/>
  <c r="BR27"/>
  <c r="BU28"/>
  <c r="DE28"/>
  <c r="BU29"/>
  <c r="EA29"/>
  <c r="CT29"/>
  <c r="DH29" s="1"/>
  <c r="DK29" s="1"/>
  <c r="BU30"/>
  <c r="EA30"/>
  <c r="CT30"/>
  <c r="DH30" s="1"/>
  <c r="DK30" s="1"/>
  <c r="BR31"/>
  <c r="BU32"/>
  <c r="EA32"/>
  <c r="CT32"/>
  <c r="DH32" s="1"/>
  <c r="DK32" s="1"/>
  <c r="BR33"/>
  <c r="BU34"/>
  <c r="EA34"/>
  <c r="CT34"/>
  <c r="DH34" s="1"/>
  <c r="DK34" s="1"/>
  <c r="AX40"/>
  <c r="AY41"/>
  <c r="AZ41" s="1"/>
  <c r="DG41" s="1"/>
  <c r="AX41"/>
  <c r="BR42"/>
  <c r="CA42"/>
  <c r="AX43"/>
  <c r="AX45"/>
  <c r="DZ45"/>
  <c r="CV45"/>
  <c r="BU46"/>
  <c r="EA46"/>
  <c r="CT46"/>
  <c r="DH46" s="1"/>
  <c r="DK46" s="1"/>
  <c r="BR50"/>
  <c r="CA50"/>
  <c r="AY51"/>
  <c r="AZ51" s="1"/>
  <c r="DG51" s="1"/>
  <c r="AX51"/>
  <c r="DF52"/>
  <c r="BR52"/>
  <c r="CA52"/>
  <c r="BE10"/>
  <c r="BE11"/>
  <c r="DE11"/>
  <c r="BE13"/>
  <c r="BE15"/>
  <c r="BF15" s="1"/>
  <c r="BE16"/>
  <c r="BF16" s="1"/>
  <c r="BE17"/>
  <c r="BR18"/>
  <c r="BF19"/>
  <c r="BS19" s="1"/>
  <c r="DE19"/>
  <c r="EB29"/>
  <c r="AW55"/>
  <c r="CA55" s="1"/>
  <c r="AB55"/>
  <c r="AX57"/>
  <c r="DZ57"/>
  <c r="CV57"/>
  <c r="AX58"/>
  <c r="DZ58"/>
  <c r="CV58"/>
  <c r="AX59"/>
  <c r="DZ59"/>
  <c r="CV59"/>
  <c r="AY60"/>
  <c r="AZ60" s="1"/>
  <c r="DG60" s="1"/>
  <c r="AX60"/>
  <c r="BR61"/>
  <c r="CA61"/>
  <c r="AY62"/>
  <c r="AZ62" s="1"/>
  <c r="DG62" s="1"/>
  <c r="AX62"/>
  <c r="AY63"/>
  <c r="AZ63" s="1"/>
  <c r="DG63" s="1"/>
  <c r="AX63"/>
  <c r="BR64"/>
  <c r="CA64"/>
  <c r="AX65"/>
  <c r="BR66"/>
  <c r="CA66"/>
  <c r="AY67"/>
  <c r="AZ67" s="1"/>
  <c r="DG67" s="1"/>
  <c r="AX67"/>
  <c r="BR68"/>
  <c r="CA68"/>
  <c r="AX69"/>
  <c r="DZ69"/>
  <c r="CV69"/>
  <c r="AW20"/>
  <c r="CA20" s="1"/>
  <c r="AW21"/>
  <c r="CV21"/>
  <c r="BE22"/>
  <c r="BF22" s="1"/>
  <c r="DE22"/>
  <c r="AL23"/>
  <c r="BE23"/>
  <c r="BF23" s="1"/>
  <c r="DE23"/>
  <c r="BE24"/>
  <c r="AL25"/>
  <c r="AY25" s="1"/>
  <c r="AZ25" s="1"/>
  <c r="DG25" s="1"/>
  <c r="BE25"/>
  <c r="BF25" s="1"/>
  <c r="DE25"/>
  <c r="AL26"/>
  <c r="DF26" s="1"/>
  <c r="DE26"/>
  <c r="AW27"/>
  <c r="CA27" s="1"/>
  <c r="CV27"/>
  <c r="DY27" s="1"/>
  <c r="AW28"/>
  <c r="CV28"/>
  <c r="AW29"/>
  <c r="CA29" s="1"/>
  <c r="EC29" s="1"/>
  <c r="CV29"/>
  <c r="AW30"/>
  <c r="CA30" s="1"/>
  <c r="CV30"/>
  <c r="AW31"/>
  <c r="CV31"/>
  <c r="AW32"/>
  <c r="CA32" s="1"/>
  <c r="CV32"/>
  <c r="AW33"/>
  <c r="CV33"/>
  <c r="AW34"/>
  <c r="CA34" s="1"/>
  <c r="CV34"/>
  <c r="AB35"/>
  <c r="AK35"/>
  <c r="AL35" s="1"/>
  <c r="BR35"/>
  <c r="X36"/>
  <c r="AE36" s="1"/>
  <c r="AF36" s="1"/>
  <c r="AK36"/>
  <c r="BR36"/>
  <c r="CB36" s="1"/>
  <c r="AB37"/>
  <c r="AK37"/>
  <c r="AL37" s="1"/>
  <c r="BR37"/>
  <c r="X38"/>
  <c r="AE38" s="1"/>
  <c r="AF38" s="1"/>
  <c r="AK38"/>
  <c r="AL38" s="1"/>
  <c r="BR38"/>
  <c r="CB38" s="1"/>
  <c r="AB39"/>
  <c r="AE39" s="1"/>
  <c r="AF39" s="1"/>
  <c r="AK39"/>
  <c r="AL39" s="1"/>
  <c r="BR39"/>
  <c r="AC40"/>
  <c r="CU40" s="1"/>
  <c r="BE40"/>
  <c r="DZ40"/>
  <c r="AC41"/>
  <c r="CU41" s="1"/>
  <c r="BE41"/>
  <c r="BF41" s="1"/>
  <c r="DZ41"/>
  <c r="AC42"/>
  <c r="CU42" s="1"/>
  <c r="BE42"/>
  <c r="BF42" s="1"/>
  <c r="DZ42"/>
  <c r="AC43"/>
  <c r="CU43" s="1"/>
  <c r="BE43"/>
  <c r="DZ43"/>
  <c r="X44"/>
  <c r="AE44" s="1"/>
  <c r="AF44" s="1"/>
  <c r="AK44"/>
  <c r="BR44"/>
  <c r="X45"/>
  <c r="AE45" s="1"/>
  <c r="AF45" s="1"/>
  <c r="AK45"/>
  <c r="AL45" s="1"/>
  <c r="BR45"/>
  <c r="CB45" s="1"/>
  <c r="AK46"/>
  <c r="BR46"/>
  <c r="DY46"/>
  <c r="X47"/>
  <c r="AE47" s="1"/>
  <c r="AF47" s="1"/>
  <c r="AK47"/>
  <c r="AL47" s="1"/>
  <c r="BR47"/>
  <c r="CB47" s="1"/>
  <c r="X48"/>
  <c r="AE48" s="1"/>
  <c r="AF48" s="1"/>
  <c r="AK48"/>
  <c r="AL48" s="1"/>
  <c r="BR48"/>
  <c r="CB48" s="1"/>
  <c r="AB49"/>
  <c r="AK49"/>
  <c r="BR49"/>
  <c r="CB49" s="1"/>
  <c r="AC50"/>
  <c r="CU50" s="1"/>
  <c r="BE50"/>
  <c r="DZ50"/>
  <c r="AC51"/>
  <c r="CU51" s="1"/>
  <c r="BE51"/>
  <c r="BF51" s="1"/>
  <c r="DZ51"/>
  <c r="AC52"/>
  <c r="CU52" s="1"/>
  <c r="BE52"/>
  <c r="BF52" s="1"/>
  <c r="DZ52"/>
  <c r="BR53"/>
  <c r="AW53"/>
  <c r="CA53" s="1"/>
  <c r="BF53"/>
  <c r="DE53"/>
  <c r="BR54"/>
  <c r="AC54"/>
  <c r="CU54" s="1"/>
  <c r="AL54"/>
  <c r="BE54"/>
  <c r="BF54" s="1"/>
  <c r="BS54" s="1"/>
  <c r="DZ54"/>
  <c r="BR55"/>
  <c r="DE55"/>
  <c r="CA70"/>
  <c r="CA71"/>
  <c r="CA72"/>
  <c r="AW54"/>
  <c r="Z54"/>
  <c r="BE56"/>
  <c r="BR56"/>
  <c r="AW56"/>
  <c r="CA56" s="1"/>
  <c r="AB56"/>
  <c r="AE56" s="1"/>
  <c r="AF56" s="1"/>
  <c r="DZ56"/>
  <c r="CV56"/>
  <c r="DF60"/>
  <c r="BR60"/>
  <c r="CB60" s="1"/>
  <c r="CA60"/>
  <c r="AY61"/>
  <c r="AZ61" s="1"/>
  <c r="DG61" s="1"/>
  <c r="AX61"/>
  <c r="DF62"/>
  <c r="BR62"/>
  <c r="CA62"/>
  <c r="DF63"/>
  <c r="BR63"/>
  <c r="CB63" s="1"/>
  <c r="CA63"/>
  <c r="AX64"/>
  <c r="BR65"/>
  <c r="CB65" s="1"/>
  <c r="CA65"/>
  <c r="AX66"/>
  <c r="DF67"/>
  <c r="BR67"/>
  <c r="CB67" s="1"/>
  <c r="CA67"/>
  <c r="AX68"/>
  <c r="AX70"/>
  <c r="DZ70"/>
  <c r="CV70"/>
  <c r="AX71"/>
  <c r="DZ71"/>
  <c r="CV71"/>
  <c r="AX72"/>
  <c r="CV72"/>
  <c r="DZ72"/>
  <c r="BE20"/>
  <c r="BF20" s="1"/>
  <c r="BE21"/>
  <c r="DE21"/>
  <c r="X22"/>
  <c r="AE22" s="1"/>
  <c r="AF22" s="1"/>
  <c r="X23"/>
  <c r="AE23" s="1"/>
  <c r="AF23" s="1"/>
  <c r="X24"/>
  <c r="AE24" s="1"/>
  <c r="AF24" s="1"/>
  <c r="X25"/>
  <c r="AE25" s="1"/>
  <c r="AF25" s="1"/>
  <c r="BE26"/>
  <c r="BF26" s="1"/>
  <c r="BE27"/>
  <c r="BF27" s="1"/>
  <c r="BE28"/>
  <c r="BE29"/>
  <c r="CG29"/>
  <c r="CH29" s="1"/>
  <c r="BE30"/>
  <c r="BE31"/>
  <c r="BE32"/>
  <c r="BF32" s="1"/>
  <c r="BE33"/>
  <c r="BF33" s="1"/>
  <c r="BE34"/>
  <c r="BF34" s="1"/>
  <c r="BE35"/>
  <c r="BF35" s="1"/>
  <c r="BE36"/>
  <c r="BE37"/>
  <c r="BF37" s="1"/>
  <c r="BE38"/>
  <c r="BF38" s="1"/>
  <c r="BE39"/>
  <c r="BF39" s="1"/>
  <c r="BE44"/>
  <c r="BE45"/>
  <c r="BF45" s="1"/>
  <c r="BE46"/>
  <c r="BE47"/>
  <c r="BF47" s="1"/>
  <c r="BE48"/>
  <c r="BF48" s="1"/>
  <c r="BE49"/>
  <c r="DE49"/>
  <c r="DZ53"/>
  <c r="DE54"/>
  <c r="AW73"/>
  <c r="AB73"/>
  <c r="AE73" s="1"/>
  <c r="AF73" s="1"/>
  <c r="AW77"/>
  <c r="CA77" s="1"/>
  <c r="AB77"/>
  <c r="AE77" s="1"/>
  <c r="AF77" s="1"/>
  <c r="AF77" i="5" s="1"/>
  <c r="AF77" i="9" s="1"/>
  <c r="AF77" i="12" s="1"/>
  <c r="AF77" i="15" s="1"/>
  <c r="AF77" i="19" s="1"/>
  <c r="DZ77" i="2"/>
  <c r="CV77"/>
  <c r="BR82"/>
  <c r="CA82"/>
  <c r="BR83"/>
  <c r="CA83"/>
  <c r="AX84"/>
  <c r="BR85"/>
  <c r="CA85"/>
  <c r="BR86"/>
  <c r="DE86"/>
  <c r="AX87"/>
  <c r="DZ87"/>
  <c r="CV87"/>
  <c r="BU88"/>
  <c r="EA88"/>
  <c r="CT88"/>
  <c r="DH88" s="1"/>
  <c r="DK88" s="1"/>
  <c r="I89"/>
  <c r="Q89" s="1"/>
  <c r="BX89" s="1"/>
  <c r="G89"/>
  <c r="X57"/>
  <c r="AE57" s="1"/>
  <c r="AF57" s="1"/>
  <c r="AF57" i="5" s="1"/>
  <c r="AF57" i="9" s="1"/>
  <c r="AF57" i="12" s="1"/>
  <c r="AF57" i="15" s="1"/>
  <c r="AF57" i="19" s="1"/>
  <c r="AK57" i="2"/>
  <c r="AL57" s="1"/>
  <c r="BR57"/>
  <c r="CB57" s="1"/>
  <c r="AB58"/>
  <c r="AK58"/>
  <c r="BR58"/>
  <c r="CB58" s="1"/>
  <c r="X59"/>
  <c r="AE59" s="1"/>
  <c r="AF59" s="1"/>
  <c r="AK59"/>
  <c r="AL59" s="1"/>
  <c r="BR59"/>
  <c r="CB59" s="1"/>
  <c r="AC60"/>
  <c r="CU60" s="1"/>
  <c r="BE60"/>
  <c r="BF60" s="1"/>
  <c r="DZ60"/>
  <c r="AC61"/>
  <c r="CU61" s="1"/>
  <c r="BE61"/>
  <c r="BF61" s="1"/>
  <c r="DZ61"/>
  <c r="AC62"/>
  <c r="CU62" s="1"/>
  <c r="BE62"/>
  <c r="BF62" s="1"/>
  <c r="DZ62"/>
  <c r="Y63"/>
  <c r="AC63"/>
  <c r="CU63" s="1"/>
  <c r="BE63"/>
  <c r="BF63" s="1"/>
  <c r="DZ63"/>
  <c r="AC64"/>
  <c r="CU64" s="1"/>
  <c r="BE64"/>
  <c r="DZ64"/>
  <c r="AC65"/>
  <c r="CU65" s="1"/>
  <c r="BE65"/>
  <c r="DZ65"/>
  <c r="AC66"/>
  <c r="CU66" s="1"/>
  <c r="BE66"/>
  <c r="DZ66"/>
  <c r="AC67"/>
  <c r="CU67" s="1"/>
  <c r="BE67"/>
  <c r="BF67" s="1"/>
  <c r="DZ67"/>
  <c r="AC68"/>
  <c r="CU68" s="1"/>
  <c r="BE68"/>
  <c r="DZ68"/>
  <c r="AB69"/>
  <c r="AE69" s="1"/>
  <c r="AF69" s="1"/>
  <c r="AF69" i="5" s="1"/>
  <c r="AF69" i="9" s="1"/>
  <c r="AF69" i="12" s="1"/>
  <c r="AF69" i="15" s="1"/>
  <c r="AF69" i="19" s="1"/>
  <c r="AK69" i="2"/>
  <c r="BR69"/>
  <c r="CB69" s="1"/>
  <c r="X70"/>
  <c r="AE70" s="1"/>
  <c r="AF70" s="1"/>
  <c r="AK70"/>
  <c r="AL70" s="1"/>
  <c r="BR70"/>
  <c r="X71"/>
  <c r="AE71" s="1"/>
  <c r="AF71" s="1"/>
  <c r="AK71"/>
  <c r="AL71" s="1"/>
  <c r="BR71"/>
  <c r="AB72"/>
  <c r="AK72"/>
  <c r="AL72" s="1"/>
  <c r="BR72"/>
  <c r="BR73"/>
  <c r="DE73"/>
  <c r="BR74"/>
  <c r="AC74"/>
  <c r="CU74" s="1"/>
  <c r="BE74"/>
  <c r="AE75"/>
  <c r="AF75" s="1"/>
  <c r="AF75" i="5" s="1"/>
  <c r="AF75" i="9" s="1"/>
  <c r="AF75" i="12" s="1"/>
  <c r="AF75" i="15" s="1"/>
  <c r="AF75" i="19" s="1"/>
  <c r="AH75" i="2"/>
  <c r="AB76"/>
  <c r="CU76"/>
  <c r="AW76"/>
  <c r="CA76" s="1"/>
  <c r="DE76"/>
  <c r="CV76"/>
  <c r="BR77"/>
  <c r="DE77"/>
  <c r="CA78"/>
  <c r="CA79"/>
  <c r="CA80"/>
  <c r="CA81"/>
  <c r="CA88"/>
  <c r="CA89"/>
  <c r="AW74"/>
  <c r="X74"/>
  <c r="DZ74"/>
  <c r="CV74"/>
  <c r="AX78"/>
  <c r="DZ78"/>
  <c r="CV78"/>
  <c r="AX79"/>
  <c r="DZ79"/>
  <c r="CV79"/>
  <c r="AX80"/>
  <c r="DZ80"/>
  <c r="CV80"/>
  <c r="AX81"/>
  <c r="DZ81"/>
  <c r="CV81"/>
  <c r="AX82"/>
  <c r="AY83"/>
  <c r="AZ83" s="1"/>
  <c r="DG83" s="1"/>
  <c r="AX83"/>
  <c r="BR84"/>
  <c r="CA84"/>
  <c r="AY85"/>
  <c r="AZ85" s="1"/>
  <c r="DG85" s="1"/>
  <c r="AX85"/>
  <c r="AX88"/>
  <c r="DZ88"/>
  <c r="CV88"/>
  <c r="AX89"/>
  <c r="BE57"/>
  <c r="BF57" s="1"/>
  <c r="BE58"/>
  <c r="BE59"/>
  <c r="BF59" s="1"/>
  <c r="BE69"/>
  <c r="BE70"/>
  <c r="BF70" s="1"/>
  <c r="BE71"/>
  <c r="BF71" s="1"/>
  <c r="BE72"/>
  <c r="BF72" s="1"/>
  <c r="DE72"/>
  <c r="AW75"/>
  <c r="CA75" s="1"/>
  <c r="AE76"/>
  <c r="AF76" s="1"/>
  <c r="AF76" i="5" s="1"/>
  <c r="AF76" i="9" s="1"/>
  <c r="AF76" i="12" s="1"/>
  <c r="AF76" i="15" s="1"/>
  <c r="AF76" i="19" s="1"/>
  <c r="I90" i="2"/>
  <c r="Q90" s="1"/>
  <c r="BX90" s="1"/>
  <c r="G90"/>
  <c r="AX92"/>
  <c r="DZ92"/>
  <c r="CV92"/>
  <c r="BU93"/>
  <c r="EA93"/>
  <c r="CT93"/>
  <c r="DH93" s="1"/>
  <c r="DK93" s="1"/>
  <c r="AX94"/>
  <c r="DZ94"/>
  <c r="CV94"/>
  <c r="AX95"/>
  <c r="DZ95"/>
  <c r="CV95"/>
  <c r="AX96"/>
  <c r="DZ96"/>
  <c r="CV96"/>
  <c r="EA97"/>
  <c r="BU97"/>
  <c r="CT97"/>
  <c r="DH97" s="1"/>
  <c r="BE75"/>
  <c r="BF75" s="1"/>
  <c r="DW75" s="1"/>
  <c r="BE76"/>
  <c r="Z78"/>
  <c r="AE78" s="1"/>
  <c r="AF78" s="1"/>
  <c r="AK78"/>
  <c r="BR78"/>
  <c r="AB79"/>
  <c r="AK79"/>
  <c r="AL79" s="1"/>
  <c r="BR79"/>
  <c r="X80"/>
  <c r="AE80" s="1"/>
  <c r="AF80" s="1"/>
  <c r="AK80"/>
  <c r="BR80"/>
  <c r="X81"/>
  <c r="AE81" s="1"/>
  <c r="AF81" s="1"/>
  <c r="AK81"/>
  <c r="BR81"/>
  <c r="Y82"/>
  <c r="AC82"/>
  <c r="CU82" s="1"/>
  <c r="BE82"/>
  <c r="DZ82"/>
  <c r="AC83"/>
  <c r="CU83" s="1"/>
  <c r="BE83"/>
  <c r="BF83" s="1"/>
  <c r="DZ83"/>
  <c r="AC84"/>
  <c r="CU84" s="1"/>
  <c r="BE84"/>
  <c r="DE84"/>
  <c r="W85"/>
  <c r="AC85"/>
  <c r="CU85" s="1"/>
  <c r="BE85"/>
  <c r="BF85" s="1"/>
  <c r="DZ85"/>
  <c r="AG86"/>
  <c r="AO86"/>
  <c r="BE86"/>
  <c r="CV86"/>
  <c r="AB87"/>
  <c r="AK87"/>
  <c r="BR87"/>
  <c r="CB87" s="1"/>
  <c r="AK88"/>
  <c r="AL88" s="1"/>
  <c r="BR88"/>
  <c r="CB88" s="1"/>
  <c r="AK89"/>
  <c r="AL89" s="1"/>
  <c r="BE89"/>
  <c r="BF89" s="1"/>
  <c r="BR89"/>
  <c r="CB89" s="1"/>
  <c r="CV89"/>
  <c r="CA90"/>
  <c r="CA91"/>
  <c r="CA93"/>
  <c r="CA97"/>
  <c r="AX90"/>
  <c r="CB90" s="1"/>
  <c r="AX91"/>
  <c r="DZ91"/>
  <c r="CV91"/>
  <c r="BU92"/>
  <c r="EA92"/>
  <c r="CT92"/>
  <c r="DH92" s="1"/>
  <c r="DK92" s="1"/>
  <c r="AX93"/>
  <c r="DZ93"/>
  <c r="CV93"/>
  <c r="DY93" s="1"/>
  <c r="BU94"/>
  <c r="EA94"/>
  <c r="CT94"/>
  <c r="DH94" s="1"/>
  <c r="DE94"/>
  <c r="BU95"/>
  <c r="EA95"/>
  <c r="CT95"/>
  <c r="DH95" s="1"/>
  <c r="DK95" s="1"/>
  <c r="AX97"/>
  <c r="DZ97"/>
  <c r="CV97"/>
  <c r="BE78"/>
  <c r="BE79"/>
  <c r="BF79" s="1"/>
  <c r="BE80"/>
  <c r="BE81"/>
  <c r="CV84"/>
  <c r="BE87"/>
  <c r="BE88"/>
  <c r="BF88" s="1"/>
  <c r="DE89"/>
  <c r="I102"/>
  <c r="Q102" s="1"/>
  <c r="BX102" s="1"/>
  <c r="G102"/>
  <c r="BU103"/>
  <c r="EA103"/>
  <c r="CT103"/>
  <c r="DH103" s="1"/>
  <c r="DK103" s="1"/>
  <c r="BR104"/>
  <c r="BU105"/>
  <c r="EA105"/>
  <c r="CT105"/>
  <c r="DH105" s="1"/>
  <c r="DE90"/>
  <c r="DZ90"/>
  <c r="AB91"/>
  <c r="AK91"/>
  <c r="AL91" s="1"/>
  <c r="BR91"/>
  <c r="AK92"/>
  <c r="AL92" s="1"/>
  <c r="BR92"/>
  <c r="AK93"/>
  <c r="AL93" s="1"/>
  <c r="BR93"/>
  <c r="AH94"/>
  <c r="AK94"/>
  <c r="BR94"/>
  <c r="AK95"/>
  <c r="AL95" s="1"/>
  <c r="BR95"/>
  <c r="X96"/>
  <c r="AE96" s="1"/>
  <c r="AF96" s="1"/>
  <c r="AK96"/>
  <c r="AL96" s="1"/>
  <c r="BR96"/>
  <c r="CB96" s="1"/>
  <c r="AK97"/>
  <c r="AL97" s="1"/>
  <c r="BR97"/>
  <c r="CA98"/>
  <c r="CA99"/>
  <c r="CA100"/>
  <c r="CA101"/>
  <c r="CA102"/>
  <c r="DK105"/>
  <c r="CA106"/>
  <c r="AX98"/>
  <c r="CB98" s="1"/>
  <c r="CV98"/>
  <c r="DZ98"/>
  <c r="AX99"/>
  <c r="CB99" s="1"/>
  <c r="CV99"/>
  <c r="DZ99"/>
  <c r="AX100"/>
  <c r="CB100" s="1"/>
  <c r="CV100"/>
  <c r="DZ100"/>
  <c r="AX101"/>
  <c r="CB101" s="1"/>
  <c r="CV101"/>
  <c r="DZ101"/>
  <c r="AX102"/>
  <c r="CB102" s="1"/>
  <c r="BR103"/>
  <c r="BU104"/>
  <c r="EA104"/>
  <c r="CT104"/>
  <c r="DH104" s="1"/>
  <c r="DK104" s="1"/>
  <c r="BR105"/>
  <c r="BU106"/>
  <c r="EA106"/>
  <c r="EB106" s="1"/>
  <c r="CT106"/>
  <c r="DH106" s="1"/>
  <c r="DK106" s="1"/>
  <c r="AX106"/>
  <c r="DZ106"/>
  <c r="CV106"/>
  <c r="BE90"/>
  <c r="BF90" s="1"/>
  <c r="BE91"/>
  <c r="BF91" s="1"/>
  <c r="BE92"/>
  <c r="BF92" s="1"/>
  <c r="BE93"/>
  <c r="BF93" s="1"/>
  <c r="BE94"/>
  <c r="BE95"/>
  <c r="BF95" s="1"/>
  <c r="BE96"/>
  <c r="BF96" s="1"/>
  <c r="BE97"/>
  <c r="BF97" s="1"/>
  <c r="DE97"/>
  <c r="DK97" s="1"/>
  <c r="AL98"/>
  <c r="BE98"/>
  <c r="BF98" s="1"/>
  <c r="DE98"/>
  <c r="AL99"/>
  <c r="DF99" s="1"/>
  <c r="BE99"/>
  <c r="BF99" s="1"/>
  <c r="DE99"/>
  <c r="BE100"/>
  <c r="DE100"/>
  <c r="AL101"/>
  <c r="DF101" s="1"/>
  <c r="BE101"/>
  <c r="BF101" s="1"/>
  <c r="DE101"/>
  <c r="AL102"/>
  <c r="DF102" s="1"/>
  <c r="DE102"/>
  <c r="AW103"/>
  <c r="CA103" s="1"/>
  <c r="CV103"/>
  <c r="DY103" s="1"/>
  <c r="AW104"/>
  <c r="CV104"/>
  <c r="AW105"/>
  <c r="CA105" s="1"/>
  <c r="CV105"/>
  <c r="AK106"/>
  <c r="AL106" s="1"/>
  <c r="BR106"/>
  <c r="AB98"/>
  <c r="AB99"/>
  <c r="AB100"/>
  <c r="AB101"/>
  <c r="BE102"/>
  <c r="BF102" s="1"/>
  <c r="BE103"/>
  <c r="BF103" s="1"/>
  <c r="BE104"/>
  <c r="BF104" s="1"/>
  <c r="BE105"/>
  <c r="BF105" s="1"/>
  <c r="BE106"/>
  <c r="BF106" s="1"/>
  <c r="BS106" s="1"/>
  <c r="CA8" i="1"/>
  <c r="AX10"/>
  <c r="AH11"/>
  <c r="AX11"/>
  <c r="BU12"/>
  <c r="EA12"/>
  <c r="CT12"/>
  <c r="DH12" s="1"/>
  <c r="AF12"/>
  <c r="AX12"/>
  <c r="DZ12"/>
  <c r="CV12"/>
  <c r="EA13"/>
  <c r="CT13"/>
  <c r="DH13" s="1"/>
  <c r="AF13"/>
  <c r="BU13"/>
  <c r="AX13"/>
  <c r="CV13"/>
  <c r="DZ13"/>
  <c r="CQ7"/>
  <c r="DE17"/>
  <c r="AX18"/>
  <c r="DZ18"/>
  <c r="CV18"/>
  <c r="AM19"/>
  <c r="BA19" s="1"/>
  <c r="BB19" s="1"/>
  <c r="AH19"/>
  <c r="DF19"/>
  <c r="BR19"/>
  <c r="AX20"/>
  <c r="CV20"/>
  <c r="DZ20"/>
  <c r="CA9"/>
  <c r="BR13"/>
  <c r="CB13" s="1"/>
  <c r="CA14"/>
  <c r="CA15"/>
  <c r="CA16"/>
  <c r="CA17"/>
  <c r="BR20"/>
  <c r="CB20" s="1"/>
  <c r="AX8"/>
  <c r="DZ8"/>
  <c r="CV8"/>
  <c r="AD7"/>
  <c r="AX9"/>
  <c r="DZ9"/>
  <c r="CV9"/>
  <c r="EA10"/>
  <c r="CT10"/>
  <c r="DH10" s="1"/>
  <c r="AF10"/>
  <c r="BU10"/>
  <c r="CT11"/>
  <c r="DH11" s="1"/>
  <c r="AF11"/>
  <c r="EA11"/>
  <c r="BU11"/>
  <c r="AH12"/>
  <c r="AH14"/>
  <c r="AX14"/>
  <c r="DZ14"/>
  <c r="CV14"/>
  <c r="EA15"/>
  <c r="CT15"/>
  <c r="DH15" s="1"/>
  <c r="AF15"/>
  <c r="BU15"/>
  <c r="AX15"/>
  <c r="CV15"/>
  <c r="DZ15"/>
  <c r="AX16"/>
  <c r="CB16" s="1"/>
  <c r="CV16"/>
  <c r="DZ16"/>
  <c r="AX17"/>
  <c r="CB17" s="1"/>
  <c r="CV17"/>
  <c r="DZ17"/>
  <c r="DE18"/>
  <c r="BU19"/>
  <c r="EA19"/>
  <c r="AF19"/>
  <c r="CU19"/>
  <c r="CU7" s="1"/>
  <c r="AH21"/>
  <c r="DZ21"/>
  <c r="CV21"/>
  <c r="CB10"/>
  <c r="CB11"/>
  <c r="EB11"/>
  <c r="DK12"/>
  <c r="DY13"/>
  <c r="CB15"/>
  <c r="CB18"/>
  <c r="DN23"/>
  <c r="AG23"/>
  <c r="DF23"/>
  <c r="BR23"/>
  <c r="CA23"/>
  <c r="AX24"/>
  <c r="DE24"/>
  <c r="AY25"/>
  <c r="AZ25" s="1"/>
  <c r="DG25" s="1"/>
  <c r="AX25"/>
  <c r="I26"/>
  <c r="Q26" s="1"/>
  <c r="BX26" s="1"/>
  <c r="G26"/>
  <c r="AX27"/>
  <c r="DZ27"/>
  <c r="CV27"/>
  <c r="AX28"/>
  <c r="DZ28"/>
  <c r="CV28"/>
  <c r="AY40"/>
  <c r="AZ40" s="1"/>
  <c r="DG40" s="1"/>
  <c r="AX40"/>
  <c r="AY41"/>
  <c r="AZ41" s="1"/>
  <c r="DG41" s="1"/>
  <c r="AX41"/>
  <c r="DF42"/>
  <c r="BR42"/>
  <c r="CA42"/>
  <c r="AX43"/>
  <c r="AX45"/>
  <c r="DZ45"/>
  <c r="CV45"/>
  <c r="BU46"/>
  <c r="EA46"/>
  <c r="CT46"/>
  <c r="DH46" s="1"/>
  <c r="AF46"/>
  <c r="BR50"/>
  <c r="CA50"/>
  <c r="AY51"/>
  <c r="AZ51" s="1"/>
  <c r="DG51" s="1"/>
  <c r="AX51"/>
  <c r="DF52"/>
  <c r="BR52"/>
  <c r="CA52"/>
  <c r="AX53"/>
  <c r="AY53"/>
  <c r="AZ53" s="1"/>
  <c r="DG53" s="1"/>
  <c r="X8"/>
  <c r="AH8"/>
  <c r="AK8"/>
  <c r="BR8"/>
  <c r="X9"/>
  <c r="AE9" s="1"/>
  <c r="AH9"/>
  <c r="AK9"/>
  <c r="AL9" s="1"/>
  <c r="BR9"/>
  <c r="CB9" s="1"/>
  <c r="AG10"/>
  <c r="BE10"/>
  <c r="DE10"/>
  <c r="DK10" s="1"/>
  <c r="DZ10"/>
  <c r="AL11"/>
  <c r="DF11" s="1"/>
  <c r="BE11"/>
  <c r="BF11" s="1"/>
  <c r="DE11"/>
  <c r="DK11" s="1"/>
  <c r="EC11"/>
  <c r="AK12"/>
  <c r="AL12" s="1"/>
  <c r="BR12"/>
  <c r="CB12" s="1"/>
  <c r="DN12"/>
  <c r="DY12"/>
  <c r="AG13"/>
  <c r="BE13"/>
  <c r="DE13"/>
  <c r="DK13" s="1"/>
  <c r="AB14"/>
  <c r="AK14"/>
  <c r="AL14" s="1"/>
  <c r="BR14"/>
  <c r="CB14" s="1"/>
  <c r="DN14"/>
  <c r="AG15"/>
  <c r="AL15"/>
  <c r="DF15" s="1"/>
  <c r="BE15"/>
  <c r="BF15" s="1"/>
  <c r="DE15"/>
  <c r="DK15" s="1"/>
  <c r="AL16"/>
  <c r="BE16"/>
  <c r="BF16" s="1"/>
  <c r="DE16"/>
  <c r="BE17"/>
  <c r="BE18"/>
  <c r="BF18" s="1"/>
  <c r="AW19"/>
  <c r="CV19"/>
  <c r="DN19"/>
  <c r="BE20"/>
  <c r="BF20" s="1"/>
  <c r="DE20"/>
  <c r="BR21"/>
  <c r="EC29"/>
  <c r="CA44"/>
  <c r="CA46"/>
  <c r="DK46"/>
  <c r="CA47"/>
  <c r="CA48"/>
  <c r="CA49"/>
  <c r="CB53"/>
  <c r="CV23"/>
  <c r="DZ23"/>
  <c r="AY23"/>
  <c r="AZ23" s="1"/>
  <c r="DG23" s="1"/>
  <c r="AX23"/>
  <c r="BR24"/>
  <c r="CB24" s="1"/>
  <c r="CA24"/>
  <c r="DF25"/>
  <c r="BR25"/>
  <c r="CB25" s="1"/>
  <c r="CA25"/>
  <c r="EA26"/>
  <c r="CT26"/>
  <c r="DH26" s="1"/>
  <c r="AF26"/>
  <c r="BU26"/>
  <c r="BT26"/>
  <c r="AX26"/>
  <c r="AY26"/>
  <c r="AZ26" s="1"/>
  <c r="DG26" s="1"/>
  <c r="BV26"/>
  <c r="DI26"/>
  <c r="DL26" s="1"/>
  <c r="BY26"/>
  <c r="BZ26" s="1"/>
  <c r="BR26"/>
  <c r="CA26"/>
  <c r="DE28"/>
  <c r="AX29"/>
  <c r="DZ29"/>
  <c r="CV29"/>
  <c r="AX30"/>
  <c r="DZ30"/>
  <c r="CV30"/>
  <c r="AX31"/>
  <c r="DZ31"/>
  <c r="CV31"/>
  <c r="AX32"/>
  <c r="DZ32"/>
  <c r="CV32"/>
  <c r="AX33"/>
  <c r="DZ33"/>
  <c r="CV33"/>
  <c r="AX34"/>
  <c r="DZ34"/>
  <c r="CV34"/>
  <c r="AX35"/>
  <c r="DZ35"/>
  <c r="CV35"/>
  <c r="AX36"/>
  <c r="DZ36"/>
  <c r="CV36"/>
  <c r="AX37"/>
  <c r="DZ37"/>
  <c r="CV37"/>
  <c r="AX38"/>
  <c r="DZ38"/>
  <c r="CV38"/>
  <c r="AX39"/>
  <c r="DZ39"/>
  <c r="CV39"/>
  <c r="DF40"/>
  <c r="AM40"/>
  <c r="BA40" s="1"/>
  <c r="BB40" s="1"/>
  <c r="BF40" s="1"/>
  <c r="BR40"/>
  <c r="CB40" s="1"/>
  <c r="CA40"/>
  <c r="DF41"/>
  <c r="BR41"/>
  <c r="CB41" s="1"/>
  <c r="CA41"/>
  <c r="AY42"/>
  <c r="AZ42" s="1"/>
  <c r="DG42" s="1"/>
  <c r="AX42"/>
  <c r="BR43"/>
  <c r="CB43" s="1"/>
  <c r="CA43"/>
  <c r="AX44"/>
  <c r="DZ44"/>
  <c r="CV44"/>
  <c r="AX46"/>
  <c r="DZ46"/>
  <c r="CV46"/>
  <c r="AX47"/>
  <c r="DZ47"/>
  <c r="CV47"/>
  <c r="AX48"/>
  <c r="DZ48"/>
  <c r="CV48"/>
  <c r="AX49"/>
  <c r="DZ49"/>
  <c r="CV49"/>
  <c r="AX50"/>
  <c r="DF51"/>
  <c r="BR51"/>
  <c r="CB51" s="1"/>
  <c r="CA51"/>
  <c r="AY52"/>
  <c r="AZ52" s="1"/>
  <c r="DG52" s="1"/>
  <c r="AX52"/>
  <c r="BE8"/>
  <c r="BE9"/>
  <c r="BF9" s="1"/>
  <c r="CV11"/>
  <c r="DY11" s="1"/>
  <c r="BE12"/>
  <c r="BF12" s="1"/>
  <c r="BE14"/>
  <c r="BF14" s="1"/>
  <c r="X16"/>
  <c r="AE16" s="1"/>
  <c r="AH16"/>
  <c r="X17"/>
  <c r="AE17" s="1"/>
  <c r="AH17"/>
  <c r="AL17" s="1"/>
  <c r="X18"/>
  <c r="AE18" s="1"/>
  <c r="AH18"/>
  <c r="AL18" s="1"/>
  <c r="BE19"/>
  <c r="BF19" s="1"/>
  <c r="AB20"/>
  <c r="AE20" s="1"/>
  <c r="AH20"/>
  <c r="AL20" s="1"/>
  <c r="X21"/>
  <c r="AE21" s="1"/>
  <c r="AL21"/>
  <c r="DF21" s="1"/>
  <c r="AX21"/>
  <c r="BE21"/>
  <c r="X22"/>
  <c r="AE22" s="1"/>
  <c r="AL22"/>
  <c r="DF22" s="1"/>
  <c r="CU22"/>
  <c r="AW22"/>
  <c r="BR22"/>
  <c r="DE22"/>
  <c r="CV22"/>
  <c r="DK26"/>
  <c r="CA27"/>
  <c r="CA28"/>
  <c r="BE53"/>
  <c r="BF53" s="1"/>
  <c r="DF57"/>
  <c r="BR57"/>
  <c r="CA57"/>
  <c r="AX58"/>
  <c r="BR59"/>
  <c r="CA59"/>
  <c r="AX60"/>
  <c r="DZ60"/>
  <c r="CV60"/>
  <c r="AX61"/>
  <c r="DZ61"/>
  <c r="CV61"/>
  <c r="AX62"/>
  <c r="DZ62"/>
  <c r="CV62"/>
  <c r="BU63"/>
  <c r="EA63"/>
  <c r="CT63"/>
  <c r="DH63" s="1"/>
  <c r="AF63"/>
  <c r="AY69"/>
  <c r="AZ69" s="1"/>
  <c r="DG69" s="1"/>
  <c r="AX69"/>
  <c r="AY70"/>
  <c r="AZ70" s="1"/>
  <c r="DG70" s="1"/>
  <c r="AX70"/>
  <c r="BR71"/>
  <c r="CA71"/>
  <c r="AY72"/>
  <c r="AZ72" s="1"/>
  <c r="DG72" s="1"/>
  <c r="AX72"/>
  <c r="BR73"/>
  <c r="CA73"/>
  <c r="BE22"/>
  <c r="BF22" s="1"/>
  <c r="AC23"/>
  <c r="CU23" s="1"/>
  <c r="BE23"/>
  <c r="BF23" s="1"/>
  <c r="AC24"/>
  <c r="CU24" s="1"/>
  <c r="AG24"/>
  <c r="BE24"/>
  <c r="DZ24"/>
  <c r="AC25"/>
  <c r="CU25" s="1"/>
  <c r="AG25"/>
  <c r="BE25"/>
  <c r="BF25" s="1"/>
  <c r="DZ25"/>
  <c r="AG26"/>
  <c r="DZ26"/>
  <c r="X27"/>
  <c r="AE27" s="1"/>
  <c r="AH27"/>
  <c r="AK27"/>
  <c r="AL27" s="1"/>
  <c r="BR27"/>
  <c r="CB27" s="1"/>
  <c r="X28"/>
  <c r="AE28" s="1"/>
  <c r="AH28"/>
  <c r="AL28" s="1"/>
  <c r="AK28"/>
  <c r="BR28"/>
  <c r="CB28" s="1"/>
  <c r="X29"/>
  <c r="AE29" s="1"/>
  <c r="AH29"/>
  <c r="AL29" s="1"/>
  <c r="AK29"/>
  <c r="BR29"/>
  <c r="CB29" s="1"/>
  <c r="X30"/>
  <c r="AE30" s="1"/>
  <c r="AH30"/>
  <c r="AL30" s="1"/>
  <c r="AK30"/>
  <c r="BR30"/>
  <c r="CB30" s="1"/>
  <c r="AB31"/>
  <c r="AE31" s="1"/>
  <c r="AH31"/>
  <c r="AL31" s="1"/>
  <c r="AK31"/>
  <c r="BR31"/>
  <c r="CB31" s="1"/>
  <c r="X32"/>
  <c r="AE32" s="1"/>
  <c r="AH32"/>
  <c r="AK32"/>
  <c r="AL32" s="1"/>
  <c r="BR32"/>
  <c r="CB32" s="1"/>
  <c r="X33"/>
  <c r="AE33" s="1"/>
  <c r="AH33"/>
  <c r="AK33"/>
  <c r="AL33" s="1"/>
  <c r="BR33"/>
  <c r="CB33" s="1"/>
  <c r="AB34"/>
  <c r="AE34" s="1"/>
  <c r="AH34"/>
  <c r="AK34"/>
  <c r="AL34" s="1"/>
  <c r="BR34"/>
  <c r="CB34" s="1"/>
  <c r="AB35"/>
  <c r="AE35" s="1"/>
  <c r="AH35"/>
  <c r="AK35"/>
  <c r="AL35" s="1"/>
  <c r="BR35"/>
  <c r="CB35" s="1"/>
  <c r="X36"/>
  <c r="AE36" s="1"/>
  <c r="AH36"/>
  <c r="AL36" s="1"/>
  <c r="AK36"/>
  <c r="BR36"/>
  <c r="CB36" s="1"/>
  <c r="AB37"/>
  <c r="AE37" s="1"/>
  <c r="AH37"/>
  <c r="AK37"/>
  <c r="AL37" s="1"/>
  <c r="BR37"/>
  <c r="CB37" s="1"/>
  <c r="X38"/>
  <c r="AE38" s="1"/>
  <c r="AH38"/>
  <c r="AK38"/>
  <c r="AL38" s="1"/>
  <c r="BR38"/>
  <c r="CB38" s="1"/>
  <c r="AB39"/>
  <c r="AE39" s="1"/>
  <c r="AH39"/>
  <c r="AK39"/>
  <c r="AL39" s="1"/>
  <c r="BR39"/>
  <c r="CB39" s="1"/>
  <c r="AC40"/>
  <c r="CU40" s="1"/>
  <c r="BE40"/>
  <c r="DZ40"/>
  <c r="AC41"/>
  <c r="CU41" s="1"/>
  <c r="AG41"/>
  <c r="BE41"/>
  <c r="BF41" s="1"/>
  <c r="DZ41"/>
  <c r="AC42"/>
  <c r="CU42" s="1"/>
  <c r="AG42"/>
  <c r="BE42"/>
  <c r="BF42" s="1"/>
  <c r="DZ42"/>
  <c r="AC43"/>
  <c r="CU43" s="1"/>
  <c r="AG43"/>
  <c r="BE43"/>
  <c r="DZ43"/>
  <c r="X44"/>
  <c r="AE44" s="1"/>
  <c r="AH44"/>
  <c r="AL44" s="1"/>
  <c r="AK44"/>
  <c r="BR44"/>
  <c r="CB44" s="1"/>
  <c r="X45"/>
  <c r="AE45" s="1"/>
  <c r="AH45"/>
  <c r="AK45"/>
  <c r="AL45" s="1"/>
  <c r="BR45"/>
  <c r="CB45" s="1"/>
  <c r="AH46"/>
  <c r="AL46" s="1"/>
  <c r="AK46"/>
  <c r="BR46"/>
  <c r="CB46" s="1"/>
  <c r="DY46"/>
  <c r="X47"/>
  <c r="AE47" s="1"/>
  <c r="AH47"/>
  <c r="AK47"/>
  <c r="AL47" s="1"/>
  <c r="BR47"/>
  <c r="CB47" s="1"/>
  <c r="X48"/>
  <c r="AE48" s="1"/>
  <c r="AH48"/>
  <c r="AK48"/>
  <c r="AL48" s="1"/>
  <c r="BR48"/>
  <c r="CB48" s="1"/>
  <c r="AB49"/>
  <c r="AE49" s="1"/>
  <c r="AH49"/>
  <c r="AL49" s="1"/>
  <c r="AK49"/>
  <c r="BR49"/>
  <c r="CB49" s="1"/>
  <c r="AC50"/>
  <c r="CU50" s="1"/>
  <c r="AG50"/>
  <c r="BE50"/>
  <c r="DZ50"/>
  <c r="AC51"/>
  <c r="CU51" s="1"/>
  <c r="AG51"/>
  <c r="BE51"/>
  <c r="BF51" s="1"/>
  <c r="DZ51"/>
  <c r="AC52"/>
  <c r="CU52" s="1"/>
  <c r="AG52"/>
  <c r="BE52"/>
  <c r="BF52" s="1"/>
  <c r="DZ52"/>
  <c r="AC53"/>
  <c r="CU53" s="1"/>
  <c r="AG53"/>
  <c r="CA53"/>
  <c r="Z54"/>
  <c r="AL54"/>
  <c r="AM54" s="1"/>
  <c r="BA54" s="1"/>
  <c r="CU54"/>
  <c r="AW54"/>
  <c r="DE54"/>
  <c r="CV54"/>
  <c r="AE55"/>
  <c r="AH55"/>
  <c r="DN55"/>
  <c r="AB56"/>
  <c r="AL56"/>
  <c r="CU56"/>
  <c r="AW56"/>
  <c r="DE56"/>
  <c r="CV56"/>
  <c r="CA63"/>
  <c r="DK63"/>
  <c r="CA64"/>
  <c r="CA65"/>
  <c r="CA66"/>
  <c r="CA67"/>
  <c r="CA68"/>
  <c r="AY57"/>
  <c r="AZ57" s="1"/>
  <c r="DG57" s="1"/>
  <c r="AX57"/>
  <c r="BR58"/>
  <c r="CB58" s="1"/>
  <c r="CA58"/>
  <c r="AY59"/>
  <c r="AZ59" s="1"/>
  <c r="DG59" s="1"/>
  <c r="AX59"/>
  <c r="AX63"/>
  <c r="DZ63"/>
  <c r="CV63"/>
  <c r="AX64"/>
  <c r="DZ64"/>
  <c r="CV64"/>
  <c r="AX65"/>
  <c r="DZ65"/>
  <c r="CV65"/>
  <c r="AX66"/>
  <c r="DZ66"/>
  <c r="CV66"/>
  <c r="AX67"/>
  <c r="DZ67"/>
  <c r="CV67"/>
  <c r="AX68"/>
  <c r="DZ68"/>
  <c r="CV68"/>
  <c r="DF69"/>
  <c r="AM69"/>
  <c r="BA69" s="1"/>
  <c r="BB69" s="1"/>
  <c r="BF69" s="1"/>
  <c r="BR69"/>
  <c r="CB69" s="1"/>
  <c r="CA69"/>
  <c r="BR70"/>
  <c r="CB70" s="1"/>
  <c r="CA70"/>
  <c r="AY71"/>
  <c r="AZ71" s="1"/>
  <c r="DG71" s="1"/>
  <c r="AX71"/>
  <c r="DF72"/>
  <c r="BR72"/>
  <c r="CB72" s="1"/>
  <c r="CA72"/>
  <c r="AX73"/>
  <c r="BE27"/>
  <c r="BF27" s="1"/>
  <c r="BE28"/>
  <c r="BE29"/>
  <c r="BE30"/>
  <c r="BE31"/>
  <c r="BF31" s="1"/>
  <c r="BE32"/>
  <c r="BF32" s="1"/>
  <c r="BE33"/>
  <c r="BF33" s="1"/>
  <c r="BE34"/>
  <c r="BF34" s="1"/>
  <c r="BE35"/>
  <c r="BF35" s="1"/>
  <c r="BE36"/>
  <c r="BE37"/>
  <c r="BF37" s="1"/>
  <c r="BE38"/>
  <c r="BF38" s="1"/>
  <c r="BE39"/>
  <c r="BF39" s="1"/>
  <c r="BE44"/>
  <c r="BE45"/>
  <c r="BF45" s="1"/>
  <c r="BE46"/>
  <c r="BE47"/>
  <c r="BF47" s="1"/>
  <c r="BE48"/>
  <c r="BF48" s="1"/>
  <c r="BE49"/>
  <c r="DE49"/>
  <c r="CV53"/>
  <c r="AE54"/>
  <c r="CA54"/>
  <c r="AL55"/>
  <c r="AW55"/>
  <c r="AE56"/>
  <c r="CA56"/>
  <c r="AH74"/>
  <c r="AW77"/>
  <c r="CA77" s="1"/>
  <c r="AB77"/>
  <c r="AE77" s="1"/>
  <c r="AW78"/>
  <c r="Z78"/>
  <c r="AE78" s="1"/>
  <c r="DZ78"/>
  <c r="CV78"/>
  <c r="AX79"/>
  <c r="DZ79"/>
  <c r="CV79"/>
  <c r="AX80"/>
  <c r="DZ80"/>
  <c r="CV80"/>
  <c r="AX81"/>
  <c r="DZ81"/>
  <c r="CV81"/>
  <c r="AY82"/>
  <c r="AZ82" s="1"/>
  <c r="DG82" s="1"/>
  <c r="AX82"/>
  <c r="AY83"/>
  <c r="AZ83" s="1"/>
  <c r="DG83" s="1"/>
  <c r="AX83"/>
  <c r="AH84"/>
  <c r="BR84"/>
  <c r="CA84"/>
  <c r="AY85"/>
  <c r="AZ85" s="1"/>
  <c r="DG85" s="1"/>
  <c r="AX85"/>
  <c r="AX88"/>
  <c r="DZ88"/>
  <c r="CV88"/>
  <c r="EA89"/>
  <c r="BU89"/>
  <c r="CT89"/>
  <c r="DH89" s="1"/>
  <c r="AF89"/>
  <c r="AX89"/>
  <c r="I90"/>
  <c r="Q90" s="1"/>
  <c r="BX90" s="1"/>
  <c r="G90"/>
  <c r="BE54"/>
  <c r="BF54" s="1"/>
  <c r="BE55"/>
  <c r="BE56"/>
  <c r="AC57"/>
  <c r="CU57" s="1"/>
  <c r="AG57"/>
  <c r="BE57"/>
  <c r="BF57" s="1"/>
  <c r="DZ57"/>
  <c r="AC58"/>
  <c r="CU58" s="1"/>
  <c r="AG58"/>
  <c r="BE58"/>
  <c r="DZ58"/>
  <c r="AC59"/>
  <c r="CU59" s="1"/>
  <c r="AG59"/>
  <c r="BE59"/>
  <c r="BF59" s="1"/>
  <c r="DZ59"/>
  <c r="Z60"/>
  <c r="AE60" s="1"/>
  <c r="AH60"/>
  <c r="AK60"/>
  <c r="AL60" s="1"/>
  <c r="BR60"/>
  <c r="CB60" s="1"/>
  <c r="X61"/>
  <c r="AE61" s="1"/>
  <c r="AH61"/>
  <c r="AK61"/>
  <c r="AL61" s="1"/>
  <c r="BR61"/>
  <c r="CB61" s="1"/>
  <c r="AB62"/>
  <c r="AE62" s="1"/>
  <c r="AH62"/>
  <c r="AK62"/>
  <c r="AL62" s="1"/>
  <c r="BR62"/>
  <c r="CB62" s="1"/>
  <c r="AH63"/>
  <c r="AK63"/>
  <c r="AL63" s="1"/>
  <c r="BR63"/>
  <c r="CB63" s="1"/>
  <c r="DY63"/>
  <c r="AB64"/>
  <c r="AE64" s="1"/>
  <c r="AH64"/>
  <c r="AL64" s="1"/>
  <c r="AK64"/>
  <c r="BR64"/>
  <c r="CB64" s="1"/>
  <c r="AB65"/>
  <c r="AE65" s="1"/>
  <c r="AH65"/>
  <c r="AL65" s="1"/>
  <c r="AK65"/>
  <c r="BR65"/>
  <c r="CB65" s="1"/>
  <c r="AB66"/>
  <c r="AE66" s="1"/>
  <c r="AH66"/>
  <c r="AL66" s="1"/>
  <c r="AK66"/>
  <c r="BR66"/>
  <c r="CB66" s="1"/>
  <c r="X67"/>
  <c r="AE67" s="1"/>
  <c r="AH67"/>
  <c r="AK67"/>
  <c r="AL67" s="1"/>
  <c r="BR67"/>
  <c r="CB67" s="1"/>
  <c r="AB68"/>
  <c r="AE68" s="1"/>
  <c r="AH68"/>
  <c r="AL68" s="1"/>
  <c r="AK68"/>
  <c r="BR68"/>
  <c r="CB68" s="1"/>
  <c r="AC69"/>
  <c r="CU69" s="1"/>
  <c r="BE69"/>
  <c r="DZ69"/>
  <c r="AC70"/>
  <c r="CU70" s="1"/>
  <c r="AG70"/>
  <c r="BE70"/>
  <c r="BF70" s="1"/>
  <c r="DZ70"/>
  <c r="AC71"/>
  <c r="CU71" s="1"/>
  <c r="AG71"/>
  <c r="BE71"/>
  <c r="BF71" s="1"/>
  <c r="DZ71"/>
  <c r="AC72"/>
  <c r="CU72" s="1"/>
  <c r="AG72"/>
  <c r="BE72"/>
  <c r="BF72" s="1"/>
  <c r="DZ72"/>
  <c r="AC73"/>
  <c r="CU73" s="1"/>
  <c r="AG73"/>
  <c r="BE73"/>
  <c r="DE73"/>
  <c r="BR74"/>
  <c r="AC74"/>
  <c r="CU74" s="1"/>
  <c r="AL74"/>
  <c r="BE74"/>
  <c r="AE75"/>
  <c r="AH75"/>
  <c r="DF75"/>
  <c r="DN75"/>
  <c r="AB76"/>
  <c r="AL76"/>
  <c r="CU76"/>
  <c r="AW76"/>
  <c r="DE76"/>
  <c r="CV76"/>
  <c r="BR77"/>
  <c r="DE77"/>
  <c r="DZ77"/>
  <c r="AL84"/>
  <c r="DF84" s="1"/>
  <c r="CA87"/>
  <c r="CA90"/>
  <c r="AW74"/>
  <c r="X74"/>
  <c r="AE74" s="1"/>
  <c r="DZ74"/>
  <c r="CV74"/>
  <c r="AH77"/>
  <c r="AL77" s="1"/>
  <c r="DF77" s="1"/>
  <c r="BE78"/>
  <c r="BR78"/>
  <c r="AH78"/>
  <c r="AL78" s="1"/>
  <c r="DF78" s="1"/>
  <c r="DF82"/>
  <c r="AM82"/>
  <c r="BA82" s="1"/>
  <c r="BB82" s="1"/>
  <c r="BF82" s="1"/>
  <c r="BR82"/>
  <c r="CB82" s="1"/>
  <c r="CA82"/>
  <c r="BR83"/>
  <c r="CB83" s="1"/>
  <c r="CA83"/>
  <c r="AY84"/>
  <c r="AZ84" s="1"/>
  <c r="DG84" s="1"/>
  <c r="AX84"/>
  <c r="BR85"/>
  <c r="CB85" s="1"/>
  <c r="CA85"/>
  <c r="BR86"/>
  <c r="DE86"/>
  <c r="AX87"/>
  <c r="DZ87"/>
  <c r="CV87"/>
  <c r="BU88"/>
  <c r="EA88"/>
  <c r="CT88"/>
  <c r="DH88" s="1"/>
  <c r="AF88"/>
  <c r="I89"/>
  <c r="Q89" s="1"/>
  <c r="BX89" s="1"/>
  <c r="G89"/>
  <c r="EA90"/>
  <c r="CT90"/>
  <c r="DH90" s="1"/>
  <c r="AF90"/>
  <c r="BU90"/>
  <c r="AX90"/>
  <c r="BE60"/>
  <c r="BF60" s="1"/>
  <c r="BE61"/>
  <c r="BF61" s="1"/>
  <c r="BE62"/>
  <c r="BF62" s="1"/>
  <c r="BE63"/>
  <c r="BF63" s="1"/>
  <c r="BE64"/>
  <c r="BE65"/>
  <c r="BE66"/>
  <c r="BE67"/>
  <c r="BF67" s="1"/>
  <c r="BE68"/>
  <c r="DZ73"/>
  <c r="BF74"/>
  <c r="AW75"/>
  <c r="AE76"/>
  <c r="CA76"/>
  <c r="CA78"/>
  <c r="DK88"/>
  <c r="DK89"/>
  <c r="AH90"/>
  <c r="BQ92"/>
  <c r="W92"/>
  <c r="AE92" s="1"/>
  <c r="DF93"/>
  <c r="BR93"/>
  <c r="CA93"/>
  <c r="BR94"/>
  <c r="CA94"/>
  <c r="AY95"/>
  <c r="AZ95" s="1"/>
  <c r="DG95" s="1"/>
  <c r="AX95"/>
  <c r="BR96"/>
  <c r="CA96"/>
  <c r="BR97"/>
  <c r="CA97"/>
  <c r="BE75"/>
  <c r="BF75" s="1"/>
  <c r="BG75" s="1"/>
  <c r="BE76"/>
  <c r="AB79"/>
  <c r="AE79" s="1"/>
  <c r="AH79"/>
  <c r="AK79"/>
  <c r="AL79" s="1"/>
  <c r="BR79"/>
  <c r="CB79" s="1"/>
  <c r="X80"/>
  <c r="AE80" s="1"/>
  <c r="AH80"/>
  <c r="AL80" s="1"/>
  <c r="AK80"/>
  <c r="BR80"/>
  <c r="CB80" s="1"/>
  <c r="X81"/>
  <c r="AE81" s="1"/>
  <c r="AH81"/>
  <c r="AL81" s="1"/>
  <c r="AK81"/>
  <c r="BR81"/>
  <c r="CB81" s="1"/>
  <c r="Y82"/>
  <c r="Y7" s="1"/>
  <c r="AC82"/>
  <c r="CU82" s="1"/>
  <c r="BE82"/>
  <c r="DZ82"/>
  <c r="AC83"/>
  <c r="CU83" s="1"/>
  <c r="AG83"/>
  <c r="BE83"/>
  <c r="BF83" s="1"/>
  <c r="DZ83"/>
  <c r="AC84"/>
  <c r="CU84" s="1"/>
  <c r="BE84"/>
  <c r="DE84"/>
  <c r="W85"/>
  <c r="AC85"/>
  <c r="CU85" s="1"/>
  <c r="AG85"/>
  <c r="BE85"/>
  <c r="BF85" s="1"/>
  <c r="DZ85"/>
  <c r="AG86"/>
  <c r="AO86"/>
  <c r="BE86"/>
  <c r="CV86"/>
  <c r="AB87"/>
  <c r="AE87" s="1"/>
  <c r="AH87"/>
  <c r="AL87" s="1"/>
  <c r="AK87"/>
  <c r="BR87"/>
  <c r="CB87" s="1"/>
  <c r="AH88"/>
  <c r="AK88"/>
  <c r="AL88" s="1"/>
  <c r="BR88"/>
  <c r="CB88" s="1"/>
  <c r="DY88"/>
  <c r="AH89"/>
  <c r="AK89"/>
  <c r="AL89" s="1"/>
  <c r="BE89"/>
  <c r="BF89" s="1"/>
  <c r="BR89"/>
  <c r="CB89" s="1"/>
  <c r="CV89"/>
  <c r="DY89" s="1"/>
  <c r="AL90"/>
  <c r="DF90" s="1"/>
  <c r="DY90"/>
  <c r="DE90"/>
  <c r="DK90" s="1"/>
  <c r="AE91"/>
  <c r="AH91"/>
  <c r="DN91"/>
  <c r="DF92"/>
  <c r="DN92"/>
  <c r="BR90"/>
  <c r="CB90" s="1"/>
  <c r="BE90"/>
  <c r="BF90" s="1"/>
  <c r="BS90" s="1"/>
  <c r="AY93"/>
  <c r="AZ93" s="1"/>
  <c r="DG93" s="1"/>
  <c r="AX93"/>
  <c r="AX94"/>
  <c r="DE94"/>
  <c r="BR95"/>
  <c r="CB95" s="1"/>
  <c r="CA95"/>
  <c r="AY96"/>
  <c r="AZ96" s="1"/>
  <c r="DG96" s="1"/>
  <c r="AX96"/>
  <c r="AY97"/>
  <c r="AZ97" s="1"/>
  <c r="DG97" s="1"/>
  <c r="AX97"/>
  <c r="BE79"/>
  <c r="BF79" s="1"/>
  <c r="BE80"/>
  <c r="BE81"/>
  <c r="CV84"/>
  <c r="BE87"/>
  <c r="BE88"/>
  <c r="BF88" s="1"/>
  <c r="AW91"/>
  <c r="AW92"/>
  <c r="I102"/>
  <c r="Q102" s="1"/>
  <c r="BX102" s="1"/>
  <c r="G102"/>
  <c r="BU103"/>
  <c r="EA103"/>
  <c r="CT103"/>
  <c r="DH103" s="1"/>
  <c r="AF103"/>
  <c r="AM104"/>
  <c r="BA104" s="1"/>
  <c r="BB104" s="1"/>
  <c r="AH104"/>
  <c r="BR104"/>
  <c r="BU105"/>
  <c r="EA105"/>
  <c r="CT105"/>
  <c r="DH105" s="1"/>
  <c r="AF105"/>
  <c r="AH106"/>
  <c r="BE91"/>
  <c r="BF91" s="1"/>
  <c r="BG91" s="1"/>
  <c r="BE92"/>
  <c r="BF92" s="1"/>
  <c r="BG92" s="1"/>
  <c r="W93"/>
  <c r="AE93" s="1"/>
  <c r="AC93"/>
  <c r="CU93" s="1"/>
  <c r="AG93"/>
  <c r="BE93"/>
  <c r="BF93" s="1"/>
  <c r="DZ93"/>
  <c r="W94"/>
  <c r="AE94" s="1"/>
  <c r="AC94"/>
  <c r="CU94" s="1"/>
  <c r="AG94"/>
  <c r="BE94"/>
  <c r="DZ94"/>
  <c r="W95"/>
  <c r="AE95" s="1"/>
  <c r="AC95"/>
  <c r="CU95" s="1"/>
  <c r="AG95"/>
  <c r="BE95"/>
  <c r="BF95" s="1"/>
  <c r="DZ95"/>
  <c r="AC96"/>
  <c r="CU96" s="1"/>
  <c r="AG96"/>
  <c r="BE96"/>
  <c r="BF96" s="1"/>
  <c r="DZ96"/>
  <c r="W97"/>
  <c r="AC97"/>
  <c r="CU97" s="1"/>
  <c r="AG97"/>
  <c r="BE97"/>
  <c r="BF97" s="1"/>
  <c r="DE97"/>
  <c r="CA98"/>
  <c r="CA99"/>
  <c r="CA100"/>
  <c r="CA101"/>
  <c r="CA102"/>
  <c r="DK103"/>
  <c r="DK105"/>
  <c r="CA106"/>
  <c r="AX98"/>
  <c r="CB98" s="1"/>
  <c r="CV98"/>
  <c r="DZ98"/>
  <c r="AX99"/>
  <c r="CV99"/>
  <c r="DZ99"/>
  <c r="AX100"/>
  <c r="CV100"/>
  <c r="DZ100"/>
  <c r="AX101"/>
  <c r="CV101"/>
  <c r="DZ101"/>
  <c r="EA102"/>
  <c r="CT102"/>
  <c r="DH102" s="1"/>
  <c r="AF102"/>
  <c r="BU102"/>
  <c r="AX102"/>
  <c r="AM103"/>
  <c r="BA103" s="1"/>
  <c r="BB103" s="1"/>
  <c r="AH103"/>
  <c r="BR103"/>
  <c r="BU104"/>
  <c r="EA104"/>
  <c r="CT104"/>
  <c r="DH104" s="1"/>
  <c r="AF104"/>
  <c r="AM105"/>
  <c r="BA105" s="1"/>
  <c r="BB105" s="1"/>
  <c r="AH105"/>
  <c r="BU106"/>
  <c r="EA106"/>
  <c r="EB106" s="1"/>
  <c r="EC106" s="1"/>
  <c r="CT106"/>
  <c r="DH106" s="1"/>
  <c r="DK106" s="1"/>
  <c r="AF106"/>
  <c r="AX106"/>
  <c r="DZ106"/>
  <c r="CV106"/>
  <c r="CV97"/>
  <c r="CB99"/>
  <c r="CB100"/>
  <c r="CB101"/>
  <c r="CB102"/>
  <c r="DK104"/>
  <c r="AG98"/>
  <c r="AL98"/>
  <c r="BE98"/>
  <c r="BF98" s="1"/>
  <c r="DE98"/>
  <c r="AL99"/>
  <c r="DF99" s="1"/>
  <c r="BE99"/>
  <c r="BF99" s="1"/>
  <c r="DE99"/>
  <c r="AL100"/>
  <c r="DF100" s="1"/>
  <c r="BE100"/>
  <c r="BF100" s="1"/>
  <c r="DE100"/>
  <c r="AL101"/>
  <c r="DF101" s="1"/>
  <c r="BE101"/>
  <c r="BF101" s="1"/>
  <c r="DE101"/>
  <c r="AL102"/>
  <c r="DF102" s="1"/>
  <c r="DE102"/>
  <c r="DK102" s="1"/>
  <c r="AW103"/>
  <c r="CV103"/>
  <c r="DY103" s="1"/>
  <c r="DN103"/>
  <c r="AW104"/>
  <c r="CV104"/>
  <c r="DN104"/>
  <c r="AW105"/>
  <c r="BR105"/>
  <c r="CV105"/>
  <c r="DN105"/>
  <c r="DY105"/>
  <c r="AK106"/>
  <c r="AL106" s="1"/>
  <c r="BR106"/>
  <c r="CB106" s="1"/>
  <c r="DN106"/>
  <c r="DY106"/>
  <c r="AB98"/>
  <c r="AE98" s="1"/>
  <c r="AB99"/>
  <c r="AE99" s="1"/>
  <c r="AH99"/>
  <c r="AB100"/>
  <c r="AE100" s="1"/>
  <c r="AH100"/>
  <c r="AB101"/>
  <c r="AE101" s="1"/>
  <c r="AH101"/>
  <c r="AH102"/>
  <c r="BE102"/>
  <c r="BF102" s="1"/>
  <c r="BE103"/>
  <c r="BF103" s="1"/>
  <c r="BE104"/>
  <c r="BF104" s="1"/>
  <c r="BE105"/>
  <c r="BF105" s="1"/>
  <c r="BE106"/>
  <c r="BF106" s="1"/>
  <c r="AF69" i="21" l="1"/>
  <c r="AF69" i="22"/>
  <c r="AF88"/>
  <c r="AF88" i="21"/>
  <c r="DN93" i="12"/>
  <c r="AG93"/>
  <c r="AF57" i="21"/>
  <c r="AF57" i="22"/>
  <c r="AF11" i="21"/>
  <c r="AF11" i="22"/>
  <c r="AF106" i="21"/>
  <c r="AF106" i="22"/>
  <c r="DN86" i="9"/>
  <c r="AG86"/>
  <c r="DN15" i="12"/>
  <c r="AG15"/>
  <c r="DN80"/>
  <c r="AG80"/>
  <c r="AH106"/>
  <c r="AM106"/>
  <c r="BA106" s="1"/>
  <c r="AH44" i="15"/>
  <c r="AL44" s="1"/>
  <c r="AM44"/>
  <c r="BA44" s="1"/>
  <c r="AH50"/>
  <c r="AL50" s="1"/>
  <c r="AM50"/>
  <c r="BA50" s="1"/>
  <c r="AF76" i="22"/>
  <c r="AF76" i="21"/>
  <c r="AF75"/>
  <c r="AF75" i="22"/>
  <c r="AF77" i="21"/>
  <c r="AF77" i="22"/>
  <c r="AF93" i="21"/>
  <c r="AF93" i="22"/>
  <c r="DN18" i="12"/>
  <c r="AG18"/>
  <c r="AG8" i="15"/>
  <c r="DN8"/>
  <c r="AH38"/>
  <c r="AM38"/>
  <c r="BA38" s="1"/>
  <c r="DL57" i="5"/>
  <c r="DW61"/>
  <c r="DL75"/>
  <c r="DL62"/>
  <c r="DL88"/>
  <c r="DW99"/>
  <c r="DL103"/>
  <c r="AH106" i="21"/>
  <c r="AM106"/>
  <c r="BA106" s="1"/>
  <c r="AH106" i="22"/>
  <c r="AM106"/>
  <c r="BA106" s="1"/>
  <c r="T10" i="19"/>
  <c r="AG73" i="21"/>
  <c r="AG44"/>
  <c r="T55" i="19"/>
  <c r="AG19" i="21"/>
  <c r="AH82"/>
  <c r="AL82" s="1"/>
  <c r="AM82" s="1"/>
  <c r="BA82" s="1"/>
  <c r="AH25"/>
  <c r="AM25"/>
  <c r="BA25" s="1"/>
  <c r="AH81"/>
  <c r="AL81" s="1"/>
  <c r="AH24"/>
  <c r="AL24" s="1"/>
  <c r="AH29"/>
  <c r="AL29" s="1"/>
  <c r="DM100"/>
  <c r="DX100" s="1"/>
  <c r="EF100"/>
  <c r="DM71"/>
  <c r="DX71" s="1"/>
  <c r="EF71"/>
  <c r="AG10" i="19"/>
  <c r="AG55"/>
  <c r="AH30"/>
  <c r="AL30" s="1"/>
  <c r="AM30" s="1"/>
  <c r="BA30" s="1"/>
  <c r="BB30" s="1"/>
  <c r="BF30" s="1"/>
  <c r="AH13"/>
  <c r="AL13" s="1"/>
  <c r="AM13" s="1"/>
  <c r="BA13" s="1"/>
  <c r="DM32"/>
  <c r="DX32" s="1"/>
  <c r="EF32"/>
  <c r="T33" i="15"/>
  <c r="BW8"/>
  <c r="DJ8"/>
  <c r="CD8"/>
  <c r="EF95"/>
  <c r="DM95"/>
  <c r="DX95" s="1"/>
  <c r="DM101"/>
  <c r="DX101" s="1"/>
  <c r="EF101"/>
  <c r="CC30"/>
  <c r="BT30"/>
  <c r="EB30"/>
  <c r="EC30" s="1"/>
  <c r="CG30"/>
  <c r="CH30" s="1"/>
  <c r="DM38"/>
  <c r="EF38"/>
  <c r="EF52"/>
  <c r="DM52"/>
  <c r="DX52" s="1"/>
  <c r="DM72"/>
  <c r="DX72" s="1"/>
  <c r="EF72"/>
  <c r="EF79"/>
  <c r="DM79"/>
  <c r="DX79" s="1"/>
  <c r="DM96"/>
  <c r="DX96" s="1"/>
  <c r="EF96"/>
  <c r="EF63"/>
  <c r="DM63"/>
  <c r="DX63" s="1"/>
  <c r="EF8"/>
  <c r="DM8"/>
  <c r="DM41"/>
  <c r="EF41"/>
  <c r="EF70"/>
  <c r="DM70"/>
  <c r="DX70" s="1"/>
  <c r="EF91"/>
  <c r="DM91"/>
  <c r="BT10"/>
  <c r="CC10"/>
  <c r="EC10"/>
  <c r="EB10"/>
  <c r="CG10"/>
  <c r="CH10" s="1"/>
  <c r="DM25"/>
  <c r="DX25" s="1"/>
  <c r="EF25"/>
  <c r="EF56"/>
  <c r="DM56"/>
  <c r="DX56" s="1"/>
  <c r="EF27"/>
  <c r="DM27"/>
  <c r="DX27" s="1"/>
  <c r="CC55"/>
  <c r="BT55"/>
  <c r="EB55"/>
  <c r="CG55"/>
  <c r="CH55" s="1"/>
  <c r="EC55"/>
  <c r="EF53"/>
  <c r="DM53"/>
  <c r="DX53" s="1"/>
  <c r="DM31"/>
  <c r="DX31" s="1"/>
  <c r="EF31"/>
  <c r="EF47"/>
  <c r="DM47"/>
  <c r="DX47" s="1"/>
  <c r="DX38"/>
  <c r="DX41"/>
  <c r="DX91"/>
  <c r="DH7"/>
  <c r="EF100"/>
  <c r="DM100"/>
  <c r="DX100" s="1"/>
  <c r="DM34"/>
  <c r="DX34" s="1"/>
  <c r="EF34"/>
  <c r="DM65"/>
  <c r="DX65" s="1"/>
  <c r="EF65"/>
  <c r="DM83"/>
  <c r="DX83" s="1"/>
  <c r="EF83"/>
  <c r="EF97"/>
  <c r="DM97"/>
  <c r="DX97" s="1"/>
  <c r="DM42"/>
  <c r="DX42" s="1"/>
  <c r="EF42"/>
  <c r="EF45"/>
  <c r="DM45"/>
  <c r="DX45" s="1"/>
  <c r="DM106"/>
  <c r="DX106" s="1"/>
  <c r="EF106"/>
  <c r="CC13"/>
  <c r="BT13"/>
  <c r="EB13"/>
  <c r="CG13"/>
  <c r="CH13" s="1"/>
  <c r="EC13"/>
  <c r="DM39"/>
  <c r="EF39"/>
  <c r="EF57"/>
  <c r="DM57"/>
  <c r="DX57" s="1"/>
  <c r="DM88"/>
  <c r="DX88" s="1"/>
  <c r="EF88"/>
  <c r="CH8"/>
  <c r="DM20"/>
  <c r="EF20"/>
  <c r="EF51"/>
  <c r="DM51"/>
  <c r="DX51" s="1"/>
  <c r="DM71"/>
  <c r="DX71" s="1"/>
  <c r="EF71"/>
  <c r="DM103"/>
  <c r="DX103" s="1"/>
  <c r="EF103"/>
  <c r="EF35"/>
  <c r="DM35"/>
  <c r="DX35" s="1"/>
  <c r="EF62"/>
  <c r="DM62"/>
  <c r="DX62" s="1"/>
  <c r="DJ32"/>
  <c r="CD32"/>
  <c r="BW32"/>
  <c r="EF75"/>
  <c r="DM75"/>
  <c r="DX75" s="1"/>
  <c r="EF16"/>
  <c r="DM16"/>
  <c r="DX16" s="1"/>
  <c r="EF48"/>
  <c r="DM48"/>
  <c r="DX48" s="1"/>
  <c r="EF67"/>
  <c r="DM67"/>
  <c r="DX67" s="1"/>
  <c r="DX8"/>
  <c r="DK7"/>
  <c r="DM37"/>
  <c r="DX37" s="1"/>
  <c r="EF37"/>
  <c r="DM54"/>
  <c r="DX54" s="1"/>
  <c r="EF54"/>
  <c r="DX20"/>
  <c r="DX85"/>
  <c r="DX14"/>
  <c r="DX39"/>
  <c r="BX33" i="12"/>
  <c r="DI33"/>
  <c r="DL33" s="1"/>
  <c r="BS33"/>
  <c r="BV33"/>
  <c r="DW33" s="1"/>
  <c r="BY33"/>
  <c r="BZ33" s="1"/>
  <c r="DI61"/>
  <c r="DL61" s="1"/>
  <c r="BX61"/>
  <c r="BS61"/>
  <c r="BY61"/>
  <c r="BZ61" s="1"/>
  <c r="BV61"/>
  <c r="DW61" s="1"/>
  <c r="BG61"/>
  <c r="T101"/>
  <c r="DH90"/>
  <c r="DK90" s="1"/>
  <c r="DY90"/>
  <c r="DH46"/>
  <c r="DK46" s="1"/>
  <c r="DY46"/>
  <c r="DM42"/>
  <c r="DJ96"/>
  <c r="CD96"/>
  <c r="BW96"/>
  <c r="DJ71"/>
  <c r="BW71"/>
  <c r="CD71"/>
  <c r="BW41"/>
  <c r="CD41"/>
  <c r="DJ41"/>
  <c r="BW25"/>
  <c r="CD25"/>
  <c r="DJ25"/>
  <c r="BW104"/>
  <c r="DJ104"/>
  <c r="CD104"/>
  <c r="BW90"/>
  <c r="DJ90"/>
  <c r="DM90" s="1"/>
  <c r="CD90"/>
  <c r="BW63"/>
  <c r="DJ63"/>
  <c r="CD63"/>
  <c r="BW51"/>
  <c r="CD51"/>
  <c r="DJ51"/>
  <c r="BW31"/>
  <c r="CD31"/>
  <c r="DJ31"/>
  <c r="DH78"/>
  <c r="DK78" s="1"/>
  <c r="DY78"/>
  <c r="DJ67"/>
  <c r="DJ44"/>
  <c r="CD44"/>
  <c r="BW44"/>
  <c r="DH10"/>
  <c r="DK10" s="1"/>
  <c r="DY10"/>
  <c r="DH99"/>
  <c r="DK99" s="1"/>
  <c r="DY99"/>
  <c r="DH83"/>
  <c r="DK83" s="1"/>
  <c r="DY83"/>
  <c r="BW26"/>
  <c r="CD26"/>
  <c r="DJ26"/>
  <c r="DM26" s="1"/>
  <c r="DX26" s="1"/>
  <c r="DI19"/>
  <c r="DL19" s="1"/>
  <c r="BY19"/>
  <c r="BZ19" s="1"/>
  <c r="BV19"/>
  <c r="BX19"/>
  <c r="BS19"/>
  <c r="DW19"/>
  <c r="DJ83"/>
  <c r="CD83"/>
  <c r="BW83"/>
  <c r="BW62"/>
  <c r="DJ62"/>
  <c r="CD62"/>
  <c r="BW53"/>
  <c r="CD53"/>
  <c r="DJ53"/>
  <c r="CC50"/>
  <c r="BT50"/>
  <c r="EB50"/>
  <c r="EC50" s="1"/>
  <c r="CG50"/>
  <c r="CH50" s="1"/>
  <c r="DJ101"/>
  <c r="BW101"/>
  <c r="CD101"/>
  <c r="BW88"/>
  <c r="DJ88"/>
  <c r="CD88"/>
  <c r="BW37"/>
  <c r="CD37"/>
  <c r="DJ37"/>
  <c r="DJ16"/>
  <c r="CD16"/>
  <c r="BW16"/>
  <c r="EB8"/>
  <c r="CG8"/>
  <c r="EC8"/>
  <c r="DL8"/>
  <c r="DJ65"/>
  <c r="CD65"/>
  <c r="BW65"/>
  <c r="DJ59"/>
  <c r="DM59" s="1"/>
  <c r="CD59"/>
  <c r="BW59"/>
  <c r="BX49"/>
  <c r="BV49"/>
  <c r="DW49" s="1"/>
  <c r="DI49"/>
  <c r="DL49" s="1"/>
  <c r="BY49"/>
  <c r="BZ49" s="1"/>
  <c r="BS49"/>
  <c r="BW106"/>
  <c r="DJ106"/>
  <c r="CD106"/>
  <c r="DH84"/>
  <c r="DK84" s="1"/>
  <c r="DY84"/>
  <c r="DH66"/>
  <c r="DK66" s="1"/>
  <c r="DY66"/>
  <c r="BW20"/>
  <c r="DJ20"/>
  <c r="CD20"/>
  <c r="BX84"/>
  <c r="BV84"/>
  <c r="DW84" s="1"/>
  <c r="DI84"/>
  <c r="DL84" s="1"/>
  <c r="BY84"/>
  <c r="BZ84" s="1"/>
  <c r="BS84"/>
  <c r="BX82"/>
  <c r="BV82"/>
  <c r="DI82"/>
  <c r="DL82" s="1"/>
  <c r="BY82"/>
  <c r="BZ82" s="1"/>
  <c r="BS82"/>
  <c r="BU7"/>
  <c r="DM45"/>
  <c r="DX45" s="1"/>
  <c r="DM27"/>
  <c r="DM72"/>
  <c r="DX72" s="1"/>
  <c r="CT7"/>
  <c r="CQ6" s="1"/>
  <c r="DM100"/>
  <c r="DX100" s="1"/>
  <c r="EF100"/>
  <c r="DM91"/>
  <c r="DX91" s="1"/>
  <c r="EF91"/>
  <c r="BW85"/>
  <c r="DJ85"/>
  <c r="CD85"/>
  <c r="DJ22"/>
  <c r="DJ14"/>
  <c r="DM14" s="1"/>
  <c r="CD14"/>
  <c r="BW14"/>
  <c r="DJ12"/>
  <c r="DM12" s="1"/>
  <c r="CD12"/>
  <c r="BW12"/>
  <c r="DJ97"/>
  <c r="CD97"/>
  <c r="BW97"/>
  <c r="DJ92"/>
  <c r="CD92"/>
  <c r="BW92"/>
  <c r="BW79"/>
  <c r="DJ79"/>
  <c r="CD79"/>
  <c r="DJ47"/>
  <c r="CD47"/>
  <c r="BW47"/>
  <c r="DH81"/>
  <c r="DK81" s="1"/>
  <c r="DY81"/>
  <c r="DH82"/>
  <c r="DK82" s="1"/>
  <c r="DY82"/>
  <c r="BW52"/>
  <c r="DJ52"/>
  <c r="CD52"/>
  <c r="DH68"/>
  <c r="DK68" s="1"/>
  <c r="DY68"/>
  <c r="DJ89"/>
  <c r="DM89" s="1"/>
  <c r="DX89" s="1"/>
  <c r="CD89"/>
  <c r="BW89"/>
  <c r="BW9"/>
  <c r="CD9"/>
  <c r="DJ9"/>
  <c r="DM9" s="1"/>
  <c r="DX9" s="1"/>
  <c r="BW103"/>
  <c r="DJ103"/>
  <c r="CD103"/>
  <c r="DJ98"/>
  <c r="CD98"/>
  <c r="BW98"/>
  <c r="BW39"/>
  <c r="CD39"/>
  <c r="DJ39"/>
  <c r="DJ57"/>
  <c r="CD57"/>
  <c r="BW57"/>
  <c r="DJ99"/>
  <c r="CD99"/>
  <c r="BW99"/>
  <c r="DJ95"/>
  <c r="CD95"/>
  <c r="BW95"/>
  <c r="BW75"/>
  <c r="DJ75"/>
  <c r="CD75"/>
  <c r="BW70"/>
  <c r="DJ70"/>
  <c r="CD70"/>
  <c r="DJ35"/>
  <c r="CD35"/>
  <c r="BW35"/>
  <c r="CC8"/>
  <c r="BT8"/>
  <c r="BZ8"/>
  <c r="DH80"/>
  <c r="DK80" s="1"/>
  <c r="DY80"/>
  <c r="BW54"/>
  <c r="DJ54"/>
  <c r="CD54"/>
  <c r="DH14"/>
  <c r="DK14" s="1"/>
  <c r="DX14" s="1"/>
  <c r="DY14"/>
  <c r="DH92"/>
  <c r="DK92" s="1"/>
  <c r="DY92"/>
  <c r="DJ34"/>
  <c r="CD34"/>
  <c r="BW34"/>
  <c r="DG8"/>
  <c r="DJ32"/>
  <c r="CD32"/>
  <c r="BW32"/>
  <c r="DJ48"/>
  <c r="CD48"/>
  <c r="BW48"/>
  <c r="DK8"/>
  <c r="DX27"/>
  <c r="DX59"/>
  <c r="BG19"/>
  <c r="T19" i="15" s="1"/>
  <c r="DX90" i="12"/>
  <c r="DX12"/>
  <c r="DX42"/>
  <c r="DX38"/>
  <c r="BG49"/>
  <c r="T49" i="15" s="1"/>
  <c r="BG84" i="12"/>
  <c r="T84" i="15" s="1"/>
  <c r="BG82" i="12"/>
  <c r="T82" i="15" s="1"/>
  <c r="DH26" i="9"/>
  <c r="DK26" s="1"/>
  <c r="DX26" s="1"/>
  <c r="DY26"/>
  <c r="DH89"/>
  <c r="DK89" s="1"/>
  <c r="DX89" s="1"/>
  <c r="DY89"/>
  <c r="DH32"/>
  <c r="DK32" s="1"/>
  <c r="DY32"/>
  <c r="DH102"/>
  <c r="DK102" s="1"/>
  <c r="DY102"/>
  <c r="EB31"/>
  <c r="EC31" s="1"/>
  <c r="CG31"/>
  <c r="CH31" s="1"/>
  <c r="BW99"/>
  <c r="DJ99"/>
  <c r="CD99"/>
  <c r="DJ88"/>
  <c r="CD88"/>
  <c r="BW88"/>
  <c r="BW61"/>
  <c r="DJ61"/>
  <c r="CD61"/>
  <c r="DJ32"/>
  <c r="BW32"/>
  <c r="CD32"/>
  <c r="DJ35"/>
  <c r="CD35"/>
  <c r="BW35"/>
  <c r="DJ33"/>
  <c r="CD33"/>
  <c r="BW33"/>
  <c r="DJ96"/>
  <c r="CD96"/>
  <c r="BW96"/>
  <c r="BW62"/>
  <c r="DJ62"/>
  <c r="CD62"/>
  <c r="DJ53"/>
  <c r="BW53"/>
  <c r="CD53"/>
  <c r="BW27"/>
  <c r="DJ27"/>
  <c r="CD27"/>
  <c r="DJ44"/>
  <c r="CD44"/>
  <c r="BW44"/>
  <c r="DI18"/>
  <c r="DL18" s="1"/>
  <c r="BY18"/>
  <c r="BZ18" s="1"/>
  <c r="BX18"/>
  <c r="BV18"/>
  <c r="BS18"/>
  <c r="DW18"/>
  <c r="DI15"/>
  <c r="DL15" s="1"/>
  <c r="BY15"/>
  <c r="BZ15" s="1"/>
  <c r="BX15"/>
  <c r="BV15"/>
  <c r="DW15" s="1"/>
  <c r="BS15"/>
  <c r="DH95"/>
  <c r="DK95" s="1"/>
  <c r="DY95"/>
  <c r="DH88"/>
  <c r="DK88" s="1"/>
  <c r="DY88"/>
  <c r="DH72"/>
  <c r="DK72" s="1"/>
  <c r="DY72"/>
  <c r="DH69"/>
  <c r="DK69" s="1"/>
  <c r="DY69"/>
  <c r="DH73"/>
  <c r="DK73" s="1"/>
  <c r="DY73"/>
  <c r="DH50"/>
  <c r="DK50" s="1"/>
  <c r="DY50"/>
  <c r="DH31"/>
  <c r="DK31" s="1"/>
  <c r="DY31"/>
  <c r="DH51"/>
  <c r="DK51" s="1"/>
  <c r="DY51"/>
  <c r="DH14"/>
  <c r="DK14" s="1"/>
  <c r="DY14"/>
  <c r="DH40"/>
  <c r="DK40" s="1"/>
  <c r="DY40"/>
  <c r="EB8"/>
  <c r="CG8"/>
  <c r="EC8"/>
  <c r="BB31"/>
  <c r="BG31"/>
  <c r="T31" i="12" s="1"/>
  <c r="DJ90" i="9"/>
  <c r="DM90" s="1"/>
  <c r="CD90"/>
  <c r="BW90"/>
  <c r="BW63"/>
  <c r="DJ63"/>
  <c r="CD63"/>
  <c r="DJ70"/>
  <c r="CD70"/>
  <c r="BW70"/>
  <c r="BW41"/>
  <c r="DJ41"/>
  <c r="CD41"/>
  <c r="DJ34"/>
  <c r="CD34"/>
  <c r="BW34"/>
  <c r="BW103"/>
  <c r="DJ103"/>
  <c r="CD103"/>
  <c r="BW98"/>
  <c r="DJ98"/>
  <c r="CD98"/>
  <c r="DM97"/>
  <c r="DX97" s="1"/>
  <c r="EF97"/>
  <c r="BW56"/>
  <c r="DJ56"/>
  <c r="CD56"/>
  <c r="BW54"/>
  <c r="DJ54"/>
  <c r="CD54"/>
  <c r="DH85"/>
  <c r="DK85" s="1"/>
  <c r="DY85"/>
  <c r="DH94"/>
  <c r="DK94" s="1"/>
  <c r="DY94"/>
  <c r="DH96"/>
  <c r="DK96" s="1"/>
  <c r="DY96"/>
  <c r="DH80"/>
  <c r="DK80" s="1"/>
  <c r="DY80"/>
  <c r="DH70"/>
  <c r="DK70" s="1"/>
  <c r="DY70"/>
  <c r="DH30"/>
  <c r="DK30" s="1"/>
  <c r="DY30"/>
  <c r="DH25"/>
  <c r="DK25" s="1"/>
  <c r="DY25"/>
  <c r="BA8"/>
  <c r="DI93"/>
  <c r="DL93" s="1"/>
  <c r="BY93"/>
  <c r="BZ93" s="1"/>
  <c r="BV93"/>
  <c r="BX93"/>
  <c r="BS93"/>
  <c r="DW93"/>
  <c r="BX80"/>
  <c r="BV80"/>
  <c r="DW80" s="1"/>
  <c r="DI80"/>
  <c r="BY80"/>
  <c r="BZ80" s="1"/>
  <c r="BS80"/>
  <c r="CC31"/>
  <c r="BU7"/>
  <c r="DL80"/>
  <c r="CC37"/>
  <c r="EF106"/>
  <c r="DJ102"/>
  <c r="DM102" s="1"/>
  <c r="DX102" s="1"/>
  <c r="CD102"/>
  <c r="BW102"/>
  <c r="DJ100"/>
  <c r="CD100"/>
  <c r="BW100"/>
  <c r="BW91"/>
  <c r="DJ91"/>
  <c r="CD91"/>
  <c r="DJ79"/>
  <c r="CD79"/>
  <c r="BW79"/>
  <c r="BW67"/>
  <c r="DJ67"/>
  <c r="CD67"/>
  <c r="DJ72"/>
  <c r="CD72"/>
  <c r="BW72"/>
  <c r="DJ71"/>
  <c r="CD71"/>
  <c r="BW71"/>
  <c r="DJ59"/>
  <c r="DM59" s="1"/>
  <c r="CD59"/>
  <c r="BW59"/>
  <c r="DJ57"/>
  <c r="CD57"/>
  <c r="BW57"/>
  <c r="DJ52"/>
  <c r="CD52"/>
  <c r="BW52"/>
  <c r="DJ38"/>
  <c r="CD38"/>
  <c r="BW38"/>
  <c r="BW20"/>
  <c r="CD20"/>
  <c r="DJ20"/>
  <c r="DJ12"/>
  <c r="DM12" s="1"/>
  <c r="CD12"/>
  <c r="BW12"/>
  <c r="BW92"/>
  <c r="DJ92"/>
  <c r="CD92"/>
  <c r="DJ45"/>
  <c r="CD45"/>
  <c r="BW45"/>
  <c r="DJ31"/>
  <c r="DM31" s="1"/>
  <c r="CD31"/>
  <c r="BW31"/>
  <c r="BW9"/>
  <c r="DJ9"/>
  <c r="DM9" s="1"/>
  <c r="DX9" s="1"/>
  <c r="CD9"/>
  <c r="EF31"/>
  <c r="DH8"/>
  <c r="CT7"/>
  <c r="CQ6" s="1"/>
  <c r="DY8"/>
  <c r="DH87"/>
  <c r="DK87" s="1"/>
  <c r="DY87"/>
  <c r="DH81"/>
  <c r="DK81" s="1"/>
  <c r="DY81"/>
  <c r="DH71"/>
  <c r="DK71" s="1"/>
  <c r="DY71"/>
  <c r="DH59"/>
  <c r="DK59" s="1"/>
  <c r="DX59" s="1"/>
  <c r="DY59"/>
  <c r="DH52"/>
  <c r="DK52" s="1"/>
  <c r="DY52"/>
  <c r="DH37"/>
  <c r="DK37" s="1"/>
  <c r="DY37"/>
  <c r="DH33"/>
  <c r="DK33" s="1"/>
  <c r="DY33"/>
  <c r="DH49"/>
  <c r="DK49" s="1"/>
  <c r="DY49"/>
  <c r="DH45"/>
  <c r="DK45" s="1"/>
  <c r="DY45"/>
  <c r="DH36"/>
  <c r="DK36" s="1"/>
  <c r="DY36"/>
  <c r="DH29"/>
  <c r="DK29" s="1"/>
  <c r="DY29"/>
  <c r="DY20"/>
  <c r="DH20"/>
  <c r="DK20" s="1"/>
  <c r="CC8"/>
  <c r="BT8"/>
  <c r="BZ8"/>
  <c r="BB37"/>
  <c r="BG37"/>
  <c r="T37" i="12" s="1"/>
  <c r="BW104" i="9"/>
  <c r="DJ104"/>
  <c r="CD104"/>
  <c r="BW83"/>
  <c r="DJ83"/>
  <c r="CD83"/>
  <c r="BW47"/>
  <c r="DJ47"/>
  <c r="CD47"/>
  <c r="DJ51"/>
  <c r="CD51"/>
  <c r="BW51"/>
  <c r="DJ48"/>
  <c r="CD48"/>
  <c r="BW48"/>
  <c r="DJ39"/>
  <c r="CD39"/>
  <c r="BW39"/>
  <c r="DJ37"/>
  <c r="DM37" s="1"/>
  <c r="CD37"/>
  <c r="BW37"/>
  <c r="DJ25"/>
  <c r="CD25"/>
  <c r="BW25"/>
  <c r="BW16"/>
  <c r="DJ16"/>
  <c r="CD16"/>
  <c r="DJ14"/>
  <c r="DM14" s="1"/>
  <c r="CD14"/>
  <c r="BW14"/>
  <c r="DJ101"/>
  <c r="CD101"/>
  <c r="BW101"/>
  <c r="DJ95"/>
  <c r="CD95"/>
  <c r="BW95"/>
  <c r="DJ85"/>
  <c r="CD85"/>
  <c r="BW85"/>
  <c r="BW75"/>
  <c r="DJ75"/>
  <c r="CD75"/>
  <c r="BW42"/>
  <c r="DJ42"/>
  <c r="CD42"/>
  <c r="AZ8"/>
  <c r="DL8"/>
  <c r="DH10"/>
  <c r="DK10" s="1"/>
  <c r="DY10"/>
  <c r="DH12"/>
  <c r="DK12" s="1"/>
  <c r="DX12" s="1"/>
  <c r="DY12"/>
  <c r="DH90"/>
  <c r="DK90" s="1"/>
  <c r="DX90" s="1"/>
  <c r="DY90"/>
  <c r="DH79"/>
  <c r="DK79" s="1"/>
  <c r="DY79"/>
  <c r="DH57"/>
  <c r="DK57" s="1"/>
  <c r="DY57"/>
  <c r="DH39"/>
  <c r="DK39" s="1"/>
  <c r="DY39"/>
  <c r="DH35"/>
  <c r="DK35" s="1"/>
  <c r="DY35"/>
  <c r="DH28"/>
  <c r="DK28" s="1"/>
  <c r="DY28"/>
  <c r="DH48"/>
  <c r="DK48" s="1"/>
  <c r="DY48"/>
  <c r="DH44"/>
  <c r="DK44" s="1"/>
  <c r="DY44"/>
  <c r="DH38"/>
  <c r="DK38" s="1"/>
  <c r="DY38"/>
  <c r="DH34"/>
  <c r="DK34" s="1"/>
  <c r="DY34"/>
  <c r="DH24"/>
  <c r="DK24" s="1"/>
  <c r="DY24"/>
  <c r="DH11"/>
  <c r="DK11" s="1"/>
  <c r="DY11"/>
  <c r="DW37"/>
  <c r="AM69" i="5"/>
  <c r="BA69" s="1"/>
  <c r="CB94" i="2"/>
  <c r="CB72"/>
  <c r="CB70"/>
  <c r="CB62"/>
  <c r="CA24"/>
  <c r="BR7" i="5"/>
  <c r="AE100" i="2"/>
  <c r="AF100" s="1"/>
  <c r="AE98"/>
  <c r="AF98" s="1"/>
  <c r="AE91"/>
  <c r="AF91" s="1"/>
  <c r="AF91" i="5" s="1"/>
  <c r="AF91" i="9" s="1"/>
  <c r="AF91" i="12" s="1"/>
  <c r="AF91" i="15" s="1"/>
  <c r="AF91" i="19" s="1"/>
  <c r="AE87" i="2"/>
  <c r="AF87" s="1"/>
  <c r="AF87" i="5" s="1"/>
  <c r="AF87" i="9" s="1"/>
  <c r="AF87" i="12" s="1"/>
  <c r="AF87" i="15" s="1"/>
  <c r="AF87" i="19" s="1"/>
  <c r="AE58" i="2"/>
  <c r="AF58" s="1"/>
  <c r="BU33"/>
  <c r="AF33"/>
  <c r="EA28"/>
  <c r="AF28"/>
  <c r="EA21"/>
  <c r="EB21" s="1"/>
  <c r="EC21" s="1"/>
  <c r="AF21"/>
  <c r="EA15"/>
  <c r="AF15"/>
  <c r="AF15" i="5" s="1"/>
  <c r="AF15" i="9" s="1"/>
  <c r="AF15" i="12" s="1"/>
  <c r="AF15" i="15" s="1"/>
  <c r="AF15" i="19" s="1"/>
  <c r="CT18" i="2"/>
  <c r="AF18"/>
  <c r="AF18" i="5" s="1"/>
  <c r="AF18" i="9" s="1"/>
  <c r="AF18" i="12" s="1"/>
  <c r="AF18" i="15" s="1"/>
  <c r="AF18" i="19" s="1"/>
  <c r="DK94" i="2"/>
  <c r="DY31"/>
  <c r="AF29" i="5"/>
  <c r="AF29" i="9" s="1"/>
  <c r="AF29" i="12" s="1"/>
  <c r="AF29" i="15" s="1"/>
  <c r="AF29" i="19" s="1"/>
  <c r="AF47" i="5"/>
  <c r="AF47" i="9" s="1"/>
  <c r="AF47" i="12" s="1"/>
  <c r="AF47" i="15" s="1"/>
  <c r="AF47" i="19" s="1"/>
  <c r="AF58" i="5"/>
  <c r="AF58" i="9" s="1"/>
  <c r="AF58" i="12" s="1"/>
  <c r="AF58" i="15" s="1"/>
  <c r="AF58" i="19" s="1"/>
  <c r="AF13" i="5"/>
  <c r="AF13" i="9" s="1"/>
  <c r="AF13" i="12" s="1"/>
  <c r="AF13" i="15" s="1"/>
  <c r="AF13" i="19" s="1"/>
  <c r="AF30" i="5"/>
  <c r="AF30" i="9" s="1"/>
  <c r="AF30" i="12" s="1"/>
  <c r="AF30" i="15" s="1"/>
  <c r="AF30" i="19" s="1"/>
  <c r="AF34" i="5"/>
  <c r="AF34" i="9" s="1"/>
  <c r="AF34" i="12" s="1"/>
  <c r="AF34" i="15" s="1"/>
  <c r="AF34" i="19" s="1"/>
  <c r="AF38" i="5"/>
  <c r="AF38" i="9" s="1"/>
  <c r="AF38" i="12" s="1"/>
  <c r="AF38" i="15" s="1"/>
  <c r="AF38" i="19" s="1"/>
  <c r="AF48" i="5"/>
  <c r="AF48" i="9" s="1"/>
  <c r="AF48" i="12" s="1"/>
  <c r="AF48" i="15" s="1"/>
  <c r="AF48" i="19" s="1"/>
  <c r="AF70" i="5"/>
  <c r="AF70" i="9" s="1"/>
  <c r="AF70" i="12" s="1"/>
  <c r="AF70" i="15" s="1"/>
  <c r="AF70" i="19" s="1"/>
  <c r="AF73" i="5"/>
  <c r="AF73" i="9" s="1"/>
  <c r="AF73" i="12" s="1"/>
  <c r="AF73" i="15" s="1"/>
  <c r="AF73" i="19" s="1"/>
  <c r="AF92" i="5"/>
  <c r="AF92" i="9" s="1"/>
  <c r="AF92" i="12" s="1"/>
  <c r="AF92" i="15" s="1"/>
  <c r="AF92" i="19" s="1"/>
  <c r="AF71" i="5"/>
  <c r="AF71" i="9" s="1"/>
  <c r="AF71" i="12" s="1"/>
  <c r="AF71" i="15" s="1"/>
  <c r="AF71" i="19" s="1"/>
  <c r="AF105" i="5"/>
  <c r="AF105" i="9" s="1"/>
  <c r="AF105" i="12" s="1"/>
  <c r="AF105" i="15" s="1"/>
  <c r="AF105" i="19" s="1"/>
  <c r="AF33" i="5"/>
  <c r="AF33" i="9" s="1"/>
  <c r="AF33" i="12" s="1"/>
  <c r="AF33" i="15" s="1"/>
  <c r="AF33" i="19" s="1"/>
  <c r="AF94" i="5"/>
  <c r="AF94" i="9" s="1"/>
  <c r="AF94" i="12" s="1"/>
  <c r="AF94" i="15" s="1"/>
  <c r="AF94" i="19" s="1"/>
  <c r="AF25" i="5"/>
  <c r="AF25" i="9" s="1"/>
  <c r="AF25" i="12" s="1"/>
  <c r="AF25" i="15" s="1"/>
  <c r="AF25" i="19" s="1"/>
  <c r="AF97" i="5"/>
  <c r="AF97" i="9" s="1"/>
  <c r="AF97" i="12" s="1"/>
  <c r="AF97" i="15" s="1"/>
  <c r="AF97" i="19" s="1"/>
  <c r="AF103" i="5"/>
  <c r="AF103" i="9" s="1"/>
  <c r="AF103" i="12" s="1"/>
  <c r="AF103" i="15" s="1"/>
  <c r="AF103" i="19" s="1"/>
  <c r="AF23" i="5"/>
  <c r="AF23" i="9" s="1"/>
  <c r="AF23" i="12" s="1"/>
  <c r="AF23" i="15" s="1"/>
  <c r="AF23" i="19" s="1"/>
  <c r="AF10" i="5"/>
  <c r="AF10" i="9" s="1"/>
  <c r="AF10" i="12" s="1"/>
  <c r="AF10" i="15" s="1"/>
  <c r="AF10" i="19" s="1"/>
  <c r="AF78" i="5"/>
  <c r="AF78" i="9" s="1"/>
  <c r="AF78" i="12" s="1"/>
  <c r="AF78" i="15" s="1"/>
  <c r="AF78" i="19" s="1"/>
  <c r="AE101" i="2"/>
  <c r="AF101" s="1"/>
  <c r="AE99"/>
  <c r="AF99" s="1"/>
  <c r="AE79"/>
  <c r="AF79" s="1"/>
  <c r="AE72"/>
  <c r="AF72" s="1"/>
  <c r="AF72" i="5" s="1"/>
  <c r="AF72" i="9" s="1"/>
  <c r="AF72" i="12" s="1"/>
  <c r="AF72" i="15" s="1"/>
  <c r="AF72" i="19" s="1"/>
  <c r="AE49" i="2"/>
  <c r="AF49" s="1"/>
  <c r="AE37"/>
  <c r="AF37" s="1"/>
  <c r="AE55"/>
  <c r="AF55" s="1"/>
  <c r="CB52"/>
  <c r="AX39"/>
  <c r="CB39" s="1"/>
  <c r="AX37"/>
  <c r="CB37" s="1"/>
  <c r="AX35"/>
  <c r="CB35" s="1"/>
  <c r="EA33"/>
  <c r="BU21"/>
  <c r="CA57"/>
  <c r="AF46" i="5"/>
  <c r="AF46" i="9" s="1"/>
  <c r="AF46" i="12" s="1"/>
  <c r="AF46" i="15" s="1"/>
  <c r="AF46" i="19" s="1"/>
  <c r="AF81" i="5"/>
  <c r="AF81" i="9" s="1"/>
  <c r="AF81" i="12" s="1"/>
  <c r="AF81" i="15" s="1"/>
  <c r="AF81" i="19" s="1"/>
  <c r="AF16" i="5"/>
  <c r="AF16" i="9" s="1"/>
  <c r="AF16" i="12" s="1"/>
  <c r="AF16" i="15" s="1"/>
  <c r="AF16" i="19" s="1"/>
  <c r="AF17" i="5"/>
  <c r="AF17" i="9" s="1"/>
  <c r="AF17" i="12" s="1"/>
  <c r="AF17" i="15" s="1"/>
  <c r="AF17" i="19" s="1"/>
  <c r="AF28" i="5"/>
  <c r="AF28" i="9" s="1"/>
  <c r="AF28" i="12" s="1"/>
  <c r="AF28" i="15" s="1"/>
  <c r="AF28" i="19" s="1"/>
  <c r="AF32" i="5"/>
  <c r="AF32" i="9" s="1"/>
  <c r="AF32" i="12" s="1"/>
  <c r="AF32" i="15" s="1"/>
  <c r="AF32" i="19" s="1"/>
  <c r="AF36" i="5"/>
  <c r="AF36" i="9" s="1"/>
  <c r="AF36" i="12" s="1"/>
  <c r="AF36" i="15" s="1"/>
  <c r="AF36" i="19" s="1"/>
  <c r="AF27" i="5"/>
  <c r="AF27" i="9" s="1"/>
  <c r="AF27" i="12" s="1"/>
  <c r="AF27" i="15" s="1"/>
  <c r="AF27" i="19" s="1"/>
  <c r="AF45" i="5"/>
  <c r="AF45" i="9" s="1"/>
  <c r="AF45" i="12" s="1"/>
  <c r="AF45" i="15" s="1"/>
  <c r="AF45" i="19" s="1"/>
  <c r="AF59" i="5"/>
  <c r="AF59" i="9" s="1"/>
  <c r="AF59" i="12" s="1"/>
  <c r="AF59" i="15" s="1"/>
  <c r="AF59" i="19" s="1"/>
  <c r="AF96" i="5"/>
  <c r="AF96" i="9" s="1"/>
  <c r="AF96" i="12" s="1"/>
  <c r="AF96" i="15" s="1"/>
  <c r="AF96" i="19" s="1"/>
  <c r="AF95" i="5"/>
  <c r="AF95" i="9" s="1"/>
  <c r="AF95" i="12" s="1"/>
  <c r="AF95" i="15" s="1"/>
  <c r="AF95" i="19" s="1"/>
  <c r="AF31" i="5"/>
  <c r="AF31" i="9" s="1"/>
  <c r="AF31" i="12" s="1"/>
  <c r="AF31" i="15" s="1"/>
  <c r="AF31" i="19" s="1"/>
  <c r="AF22" i="5"/>
  <c r="AF22" i="9" s="1"/>
  <c r="AF22" i="12" s="1"/>
  <c r="AF22" i="15" s="1"/>
  <c r="AF22" i="19" s="1"/>
  <c r="AF39" i="5"/>
  <c r="AF39" i="9" s="1"/>
  <c r="AF39" i="12" s="1"/>
  <c r="AF39" i="15" s="1"/>
  <c r="AF39" i="19" s="1"/>
  <c r="AF80" i="5"/>
  <c r="AF80" i="9" s="1"/>
  <c r="AF80" i="12" s="1"/>
  <c r="AF80" i="15" s="1"/>
  <c r="AF80" i="19" s="1"/>
  <c r="AF20" i="5"/>
  <c r="AF20" i="9" s="1"/>
  <c r="AF20" i="12" s="1"/>
  <c r="AF20" i="15" s="1"/>
  <c r="AF20" i="19" s="1"/>
  <c r="AF104" i="5"/>
  <c r="AF104" i="9" s="1"/>
  <c r="AF104" i="12" s="1"/>
  <c r="AF104" i="15" s="1"/>
  <c r="AF104" i="19" s="1"/>
  <c r="AF24" i="5"/>
  <c r="AF24" i="9" s="1"/>
  <c r="AF24" i="12" s="1"/>
  <c r="AF24" i="15" s="1"/>
  <c r="AF24" i="19" s="1"/>
  <c r="CC35" i="5"/>
  <c r="BT35"/>
  <c r="BY77"/>
  <c r="BZ77" s="1"/>
  <c r="BV77"/>
  <c r="DW77" s="1"/>
  <c r="BG77"/>
  <c r="T77" i="9" s="1"/>
  <c r="DI77" i="5"/>
  <c r="DL77" s="1"/>
  <c r="BX77"/>
  <c r="BS77"/>
  <c r="DW33"/>
  <c r="DW12"/>
  <c r="AY78"/>
  <c r="AZ78" s="1"/>
  <c r="DG78" s="1"/>
  <c r="AF56"/>
  <c r="AF56" i="9" s="1"/>
  <c r="AF56" i="12" s="1"/>
  <c r="AF56" i="15" s="1"/>
  <c r="AF56" i="19" s="1"/>
  <c r="CC54" i="5"/>
  <c r="BT54"/>
  <c r="BT37"/>
  <c r="CC52"/>
  <c r="BT52"/>
  <c r="CC39"/>
  <c r="BT39"/>
  <c r="CC33"/>
  <c r="BT33"/>
  <c r="CC41"/>
  <c r="BT41"/>
  <c r="EA102"/>
  <c r="EB102" s="1"/>
  <c r="EC102" s="1"/>
  <c r="BU102"/>
  <c r="DW102" s="1"/>
  <c r="CT102"/>
  <c r="DW35"/>
  <c r="DW39"/>
  <c r="DW71"/>
  <c r="DW90"/>
  <c r="DL63"/>
  <c r="DL106"/>
  <c r="BU105"/>
  <c r="CT105"/>
  <c r="EA105"/>
  <c r="CC23"/>
  <c r="BS46"/>
  <c r="BT46" s="1"/>
  <c r="BB82"/>
  <c r="EA9"/>
  <c r="CT9"/>
  <c r="BU9"/>
  <c r="DW9" s="1"/>
  <c r="EA42"/>
  <c r="CT42"/>
  <c r="BU42"/>
  <c r="EA46"/>
  <c r="CT46"/>
  <c r="BU46"/>
  <c r="EA49"/>
  <c r="CT49"/>
  <c r="BU49"/>
  <c r="EA58"/>
  <c r="CT58"/>
  <c r="BU58"/>
  <c r="EA81"/>
  <c r="CT81"/>
  <c r="BU81"/>
  <c r="BT91"/>
  <c r="CC91"/>
  <c r="EA82"/>
  <c r="CT82"/>
  <c r="BU82"/>
  <c r="EA93"/>
  <c r="CT93"/>
  <c r="BU93"/>
  <c r="DG8"/>
  <c r="EC23"/>
  <c r="CG23"/>
  <c r="CH23" s="1"/>
  <c r="EB23"/>
  <c r="DJ23"/>
  <c r="EF23" s="1"/>
  <c r="CD23"/>
  <c r="BW23"/>
  <c r="EB33"/>
  <c r="EC33" s="1"/>
  <c r="CG33"/>
  <c r="CH33" s="1"/>
  <c r="EC35"/>
  <c r="EB35"/>
  <c r="CG35"/>
  <c r="CH35" s="1"/>
  <c r="EB39"/>
  <c r="EC39" s="1"/>
  <c r="CG39"/>
  <c r="CH39" s="1"/>
  <c r="EC41"/>
  <c r="EB41"/>
  <c r="CG41"/>
  <c r="CH41" s="1"/>
  <c r="EB52"/>
  <c r="EC52" s="1"/>
  <c r="CG52"/>
  <c r="CH52" s="1"/>
  <c r="DH54"/>
  <c r="DK54" s="1"/>
  <c r="DY54"/>
  <c r="DW46"/>
  <c r="DF46"/>
  <c r="AY46"/>
  <c r="AZ46" s="1"/>
  <c r="DG46" s="1"/>
  <c r="DY56"/>
  <c r="DH56"/>
  <c r="DK56" s="1"/>
  <c r="DH71"/>
  <c r="DK71" s="1"/>
  <c r="DY71"/>
  <c r="DH78"/>
  <c r="DK78" s="1"/>
  <c r="DY78"/>
  <c r="DH80"/>
  <c r="DK80" s="1"/>
  <c r="DY80"/>
  <c r="BW90"/>
  <c r="CD90"/>
  <c r="DJ90"/>
  <c r="DM90" s="1"/>
  <c r="DH94"/>
  <c r="DK94" s="1"/>
  <c r="DY94"/>
  <c r="DH97"/>
  <c r="DK97" s="1"/>
  <c r="DY97"/>
  <c r="DH98"/>
  <c r="DK98" s="1"/>
  <c r="DY98"/>
  <c r="DH101"/>
  <c r="DK101" s="1"/>
  <c r="DY101"/>
  <c r="EA16"/>
  <c r="CT16"/>
  <c r="BU16"/>
  <c r="EA17"/>
  <c r="CT17"/>
  <c r="BU17"/>
  <c r="EA28"/>
  <c r="CT28"/>
  <c r="BU28"/>
  <c r="EA32"/>
  <c r="CT32"/>
  <c r="BU32"/>
  <c r="EA36"/>
  <c r="CT36"/>
  <c r="BU36"/>
  <c r="EA40"/>
  <c r="CT40"/>
  <c r="BU40"/>
  <c r="EA43"/>
  <c r="CT43"/>
  <c r="BU43"/>
  <c r="EA48"/>
  <c r="CT48"/>
  <c r="BU48"/>
  <c r="DW48" s="1"/>
  <c r="EA70"/>
  <c r="CT70"/>
  <c r="BU70"/>
  <c r="DW70" s="1"/>
  <c r="EA73"/>
  <c r="CT73"/>
  <c r="BU73"/>
  <c r="EA83"/>
  <c r="CT83"/>
  <c r="BU83"/>
  <c r="DW83" s="1"/>
  <c r="EA92"/>
  <c r="CT92"/>
  <c r="BU92"/>
  <c r="DW92" s="1"/>
  <c r="EA96"/>
  <c r="CT96"/>
  <c r="BU96"/>
  <c r="DW96" s="1"/>
  <c r="EA95"/>
  <c r="EB95" s="1"/>
  <c r="EC95" s="1"/>
  <c r="CT95"/>
  <c r="BU95"/>
  <c r="DW95" s="1"/>
  <c r="DF28"/>
  <c r="AY28"/>
  <c r="AZ28" s="1"/>
  <c r="DG28" s="1"/>
  <c r="DF40"/>
  <c r="AY40"/>
  <c r="AZ40" s="1"/>
  <c r="DG40" s="1"/>
  <c r="DF44"/>
  <c r="AY44"/>
  <c r="AZ44" s="1"/>
  <c r="DG44" s="1"/>
  <c r="DH57"/>
  <c r="DK57" s="1"/>
  <c r="DY57"/>
  <c r="EA86"/>
  <c r="CT86"/>
  <c r="BU86"/>
  <c r="EB91"/>
  <c r="EC91" s="1"/>
  <c r="CG91"/>
  <c r="CH91" s="1"/>
  <c r="DH24"/>
  <c r="DK24" s="1"/>
  <c r="DY24"/>
  <c r="CC12"/>
  <c r="BT12"/>
  <c r="EB12"/>
  <c r="CG12"/>
  <c r="CH12" s="1"/>
  <c r="EC12"/>
  <c r="CC26"/>
  <c r="BT26"/>
  <c r="BT34"/>
  <c r="CC34"/>
  <c r="EC34"/>
  <c r="CG34"/>
  <c r="CH34" s="1"/>
  <c r="BT47"/>
  <c r="CC47"/>
  <c r="CG47"/>
  <c r="CH47" s="1"/>
  <c r="BT53"/>
  <c r="CC53"/>
  <c r="CG53"/>
  <c r="CH53" s="1"/>
  <c r="DH55"/>
  <c r="DK55" s="1"/>
  <c r="DY55"/>
  <c r="CC77"/>
  <c r="BT77"/>
  <c r="EB77"/>
  <c r="EC77" s="1"/>
  <c r="CG77"/>
  <c r="CH77" s="1"/>
  <c r="DH62"/>
  <c r="DK62" s="1"/>
  <c r="DY62"/>
  <c r="DH65"/>
  <c r="DK65" s="1"/>
  <c r="DY65"/>
  <c r="DH67"/>
  <c r="DK67" s="1"/>
  <c r="DY67"/>
  <c r="DH68"/>
  <c r="DK68" s="1"/>
  <c r="DY68"/>
  <c r="DH69"/>
  <c r="DK69" s="1"/>
  <c r="DY69"/>
  <c r="CC62"/>
  <c r="BT62"/>
  <c r="EB62"/>
  <c r="CG62"/>
  <c r="CH62" s="1"/>
  <c r="EC62"/>
  <c r="BT95"/>
  <c r="CC95"/>
  <c r="CG95"/>
  <c r="CH95" s="1"/>
  <c r="BT101"/>
  <c r="CC101"/>
  <c r="EB101"/>
  <c r="EC101" s="1"/>
  <c r="CG101"/>
  <c r="CH101" s="1"/>
  <c r="BT16"/>
  <c r="CC16"/>
  <c r="BT57"/>
  <c r="CC57"/>
  <c r="EB57"/>
  <c r="EC57" s="1"/>
  <c r="CG57"/>
  <c r="CH57" s="1"/>
  <c r="BB69"/>
  <c r="CC63"/>
  <c r="BT63"/>
  <c r="EB63"/>
  <c r="CG63"/>
  <c r="CH63" s="1"/>
  <c r="EC63"/>
  <c r="CC75"/>
  <c r="BT75"/>
  <c r="EB75"/>
  <c r="CG75"/>
  <c r="CH75" s="1"/>
  <c r="EC75"/>
  <c r="BT86"/>
  <c r="EB86"/>
  <c r="CC89"/>
  <c r="BT89"/>
  <c r="DH91"/>
  <c r="DK91" s="1"/>
  <c r="DY91"/>
  <c r="CC85"/>
  <c r="BT85"/>
  <c r="EB85"/>
  <c r="CG85"/>
  <c r="CH85" s="1"/>
  <c r="EC85"/>
  <c r="BT99"/>
  <c r="CC99"/>
  <c r="EB99"/>
  <c r="EC99" s="1"/>
  <c r="CG99"/>
  <c r="CH99" s="1"/>
  <c r="BT102"/>
  <c r="CC102"/>
  <c r="CC104"/>
  <c r="BT104"/>
  <c r="EB104"/>
  <c r="EC104" s="1"/>
  <c r="CG104"/>
  <c r="CH104" s="1"/>
  <c r="CB23"/>
  <c r="DW97"/>
  <c r="DL98"/>
  <c r="AM78"/>
  <c r="BA78" s="1"/>
  <c r="AE7"/>
  <c r="DL60"/>
  <c r="DL89"/>
  <c r="CC98"/>
  <c r="DW100"/>
  <c r="DL20"/>
  <c r="DL26"/>
  <c r="DW91"/>
  <c r="BU14"/>
  <c r="DW14" s="1"/>
  <c r="EA14"/>
  <c r="CT14"/>
  <c r="BX8"/>
  <c r="BV8"/>
  <c r="DI8"/>
  <c r="BY8"/>
  <c r="BS8"/>
  <c r="EA29"/>
  <c r="EB29" s="1"/>
  <c r="CT29"/>
  <c r="BU29"/>
  <c r="EA44"/>
  <c r="CT44"/>
  <c r="BU44"/>
  <c r="EA47"/>
  <c r="EB47" s="1"/>
  <c r="EC47" s="1"/>
  <c r="CT47"/>
  <c r="BU47"/>
  <c r="DW47" s="1"/>
  <c r="EA51"/>
  <c r="CT51"/>
  <c r="BU51"/>
  <c r="BU60"/>
  <c r="EA60"/>
  <c r="CT60"/>
  <c r="EA79"/>
  <c r="CT79"/>
  <c r="BU79"/>
  <c r="DW79" s="1"/>
  <c r="BT92"/>
  <c r="CC92"/>
  <c r="AZ100"/>
  <c r="CC100"/>
  <c r="BB100"/>
  <c r="BG100"/>
  <c r="T100" i="9" s="1"/>
  <c r="DH18" i="5"/>
  <c r="DK18" s="1"/>
  <c r="DY18"/>
  <c r="DH23"/>
  <c r="DK23" s="1"/>
  <c r="DY23"/>
  <c r="DH25"/>
  <c r="DK25" s="1"/>
  <c r="DY25"/>
  <c r="DH31"/>
  <c r="DK31" s="1"/>
  <c r="DY31"/>
  <c r="DH33"/>
  <c r="DK33" s="1"/>
  <c r="DY33"/>
  <c r="DH35"/>
  <c r="DK35" s="1"/>
  <c r="DY35"/>
  <c r="DH37"/>
  <c r="DK37" s="1"/>
  <c r="DY37"/>
  <c r="DH39"/>
  <c r="DK39" s="1"/>
  <c r="DY39"/>
  <c r="DH41"/>
  <c r="DK41" s="1"/>
  <c r="DY41"/>
  <c r="DH52"/>
  <c r="DK52" s="1"/>
  <c r="DY52"/>
  <c r="EB54"/>
  <c r="EC54" s="1"/>
  <c r="CG54"/>
  <c r="CH54" s="1"/>
  <c r="BX46"/>
  <c r="BV46"/>
  <c r="DI46"/>
  <c r="BY46"/>
  <c r="BZ46" s="1"/>
  <c r="BB48"/>
  <c r="BG48"/>
  <c r="T48" i="9" s="1"/>
  <c r="BB54" i="5"/>
  <c r="BG54"/>
  <c r="T54" i="9" s="1"/>
  <c r="DH64" i="5"/>
  <c r="DK64" s="1"/>
  <c r="DY64"/>
  <c r="DH66"/>
  <c r="DK66" s="1"/>
  <c r="DY66"/>
  <c r="DH61"/>
  <c r="DK61" s="1"/>
  <c r="DY61"/>
  <c r="EB71"/>
  <c r="EC71" s="1"/>
  <c r="CG71"/>
  <c r="CH71" s="1"/>
  <c r="DH77"/>
  <c r="DK77" s="1"/>
  <c r="DY77"/>
  <c r="EB92"/>
  <c r="EC92" s="1"/>
  <c r="CG92"/>
  <c r="CH92" s="1"/>
  <c r="EB97"/>
  <c r="EC97" s="1"/>
  <c r="CG97"/>
  <c r="CH97" s="1"/>
  <c r="EB98"/>
  <c r="EC98" s="1"/>
  <c r="CG98"/>
  <c r="CH98" s="1"/>
  <c r="CG100"/>
  <c r="CH100" s="1"/>
  <c r="EB100"/>
  <c r="EC100" s="1"/>
  <c r="EA13"/>
  <c r="CT13"/>
  <c r="BU13"/>
  <c r="EA19"/>
  <c r="CT19"/>
  <c r="BU19"/>
  <c r="EA30"/>
  <c r="CT30"/>
  <c r="BU30"/>
  <c r="EA34"/>
  <c r="EB34" s="1"/>
  <c r="CT34"/>
  <c r="BU34"/>
  <c r="DW34" s="1"/>
  <c r="EA38"/>
  <c r="CT38"/>
  <c r="BU38"/>
  <c r="DW38" s="1"/>
  <c r="EA53"/>
  <c r="EB53" s="1"/>
  <c r="EC53" s="1"/>
  <c r="CT53"/>
  <c r="BU53"/>
  <c r="DW53" s="1"/>
  <c r="EA27"/>
  <c r="CT27"/>
  <c r="BU27"/>
  <c r="DW27" s="1"/>
  <c r="EA45"/>
  <c r="CT45"/>
  <c r="BU45"/>
  <c r="DW45" s="1"/>
  <c r="EA50"/>
  <c r="CT50"/>
  <c r="BU50"/>
  <c r="EA59"/>
  <c r="CT59"/>
  <c r="BU59"/>
  <c r="DW59" s="1"/>
  <c r="EA72"/>
  <c r="CT72"/>
  <c r="BU72"/>
  <c r="EA84"/>
  <c r="CT84"/>
  <c r="BU84"/>
  <c r="EA15"/>
  <c r="CT15"/>
  <c r="BU15"/>
  <c r="BB28"/>
  <c r="BB40"/>
  <c r="BB44"/>
  <c r="BF44" s="1"/>
  <c r="BG44" s="1"/>
  <c r="BB53"/>
  <c r="BG53"/>
  <c r="T53" i="9" s="1"/>
  <c r="DH75" i="5"/>
  <c r="DK75" s="1"/>
  <c r="DY75"/>
  <c r="DY76"/>
  <c r="DH76"/>
  <c r="DK76" s="1"/>
  <c r="DF82"/>
  <c r="AY82"/>
  <c r="AZ82" s="1"/>
  <c r="DG82" s="1"/>
  <c r="AY86"/>
  <c r="AZ86" s="1"/>
  <c r="DG86" s="1"/>
  <c r="AX86"/>
  <c r="CB86" s="1"/>
  <c r="CB7" s="1"/>
  <c r="CA86"/>
  <c r="CA7" s="1"/>
  <c r="DY90"/>
  <c r="DH90"/>
  <c r="DK90" s="1"/>
  <c r="DX90" s="1"/>
  <c r="BT9"/>
  <c r="CC9"/>
  <c r="EC9"/>
  <c r="EB9"/>
  <c r="CG9"/>
  <c r="CH9" s="1"/>
  <c r="DH10"/>
  <c r="DK10" s="1"/>
  <c r="DY10"/>
  <c r="DH11"/>
  <c r="DK11" s="1"/>
  <c r="DY11"/>
  <c r="DH12"/>
  <c r="DK12" s="1"/>
  <c r="DY12"/>
  <c r="CC20"/>
  <c r="BT20"/>
  <c r="EB20"/>
  <c r="EC20" s="1"/>
  <c r="CG20"/>
  <c r="CH20" s="1"/>
  <c r="BT25"/>
  <c r="CC25"/>
  <c r="EC25"/>
  <c r="CG25"/>
  <c r="CH25" s="1"/>
  <c r="EB25"/>
  <c r="DJ33"/>
  <c r="CD33"/>
  <c r="BW33"/>
  <c r="DJ35"/>
  <c r="CD35"/>
  <c r="BW35"/>
  <c r="DJ37"/>
  <c r="DJ39"/>
  <c r="CD39"/>
  <c r="BW39"/>
  <c r="DJ41"/>
  <c r="CD41"/>
  <c r="BW41"/>
  <c r="DJ52"/>
  <c r="CD52"/>
  <c r="BW52"/>
  <c r="CD54"/>
  <c r="DJ54"/>
  <c r="BW54"/>
  <c r="BT32"/>
  <c r="BT38"/>
  <c r="CC38"/>
  <c r="EB38"/>
  <c r="EC38" s="1"/>
  <c r="CG38"/>
  <c r="CH38" s="1"/>
  <c r="BT42"/>
  <c r="CC42"/>
  <c r="EC42"/>
  <c r="EB42"/>
  <c r="CG42"/>
  <c r="CH42" s="1"/>
  <c r="BT45"/>
  <c r="CC45"/>
  <c r="EB45"/>
  <c r="EC45" s="1"/>
  <c r="CG45"/>
  <c r="CH45" s="1"/>
  <c r="BT48"/>
  <c r="CC48"/>
  <c r="EB48"/>
  <c r="EC48" s="1"/>
  <c r="CG48"/>
  <c r="CH48" s="1"/>
  <c r="BT51"/>
  <c r="CC51"/>
  <c r="EB51"/>
  <c r="EC51" s="1"/>
  <c r="CG51"/>
  <c r="CH51" s="1"/>
  <c r="DH74"/>
  <c r="DK74" s="1"/>
  <c r="BT59"/>
  <c r="CC59"/>
  <c r="EB59"/>
  <c r="EC59" s="1"/>
  <c r="CG59"/>
  <c r="CH59" s="1"/>
  <c r="BT70"/>
  <c r="CC70"/>
  <c r="EC70"/>
  <c r="EB70"/>
  <c r="CG70"/>
  <c r="CH70" s="1"/>
  <c r="BT72"/>
  <c r="CC72"/>
  <c r="EB72"/>
  <c r="EC72" s="1"/>
  <c r="CG72"/>
  <c r="CH72" s="1"/>
  <c r="CC60"/>
  <c r="BT60"/>
  <c r="EB60"/>
  <c r="EC60" s="1"/>
  <c r="CG60"/>
  <c r="CH60" s="1"/>
  <c r="BT83"/>
  <c r="CC83"/>
  <c r="EB83"/>
  <c r="EC83" s="1"/>
  <c r="CG83"/>
  <c r="CH83" s="1"/>
  <c r="DJ97"/>
  <c r="CD97"/>
  <c r="BW97"/>
  <c r="BT96"/>
  <c r="CC96"/>
  <c r="EC96"/>
  <c r="EB96"/>
  <c r="CG96"/>
  <c r="CH96" s="1"/>
  <c r="DJ98"/>
  <c r="DM98" s="1"/>
  <c r="CD98"/>
  <c r="BW98"/>
  <c r="DH99"/>
  <c r="DK99" s="1"/>
  <c r="DY99"/>
  <c r="DH100"/>
  <c r="DK100" s="1"/>
  <c r="DY100"/>
  <c r="CC103"/>
  <c r="BT103"/>
  <c r="EB103"/>
  <c r="EC103" s="1"/>
  <c r="CG103"/>
  <c r="CH103" s="1"/>
  <c r="EB16"/>
  <c r="EC16" s="1"/>
  <c r="CG16"/>
  <c r="CH16" s="1"/>
  <c r="DH20"/>
  <c r="DK20" s="1"/>
  <c r="DY20"/>
  <c r="DH21"/>
  <c r="DK21" s="1"/>
  <c r="DY21"/>
  <c r="DH22"/>
  <c r="DK22" s="1"/>
  <c r="DY22"/>
  <c r="CC14"/>
  <c r="BT14"/>
  <c r="EB14"/>
  <c r="CG14"/>
  <c r="CH14" s="1"/>
  <c r="EC14"/>
  <c r="BT27"/>
  <c r="CC27"/>
  <c r="EB27"/>
  <c r="EC27" s="1"/>
  <c r="CG27"/>
  <c r="CH27" s="1"/>
  <c r="DJ71"/>
  <c r="CD71"/>
  <c r="BW71"/>
  <c r="CC61"/>
  <c r="BT61"/>
  <c r="EB61"/>
  <c r="CG61"/>
  <c r="CH61" s="1"/>
  <c r="EC61"/>
  <c r="CC67"/>
  <c r="BT67"/>
  <c r="EB67"/>
  <c r="CG67"/>
  <c r="CH67" s="1"/>
  <c r="EC67"/>
  <c r="BT79"/>
  <c r="CC79"/>
  <c r="EC79"/>
  <c r="EB79"/>
  <c r="CG79"/>
  <c r="CH79" s="1"/>
  <c r="DH87"/>
  <c r="DK87" s="1"/>
  <c r="DY87"/>
  <c r="CC88"/>
  <c r="BT88"/>
  <c r="EB88"/>
  <c r="EC88" s="1"/>
  <c r="CG88"/>
  <c r="CH88" s="1"/>
  <c r="CC106"/>
  <c r="BT106"/>
  <c r="CT8"/>
  <c r="DW20"/>
  <c r="DY105" i="2"/>
  <c r="DY95"/>
  <c r="CB93"/>
  <c r="DY92"/>
  <c r="DY88"/>
  <c r="CB71"/>
  <c r="DY29"/>
  <c r="CB15"/>
  <c r="AX44"/>
  <c r="CB44" s="1"/>
  <c r="CT33"/>
  <c r="DH33" s="1"/>
  <c r="DK33" s="1"/>
  <c r="AX23"/>
  <c r="CA10"/>
  <c r="CB91"/>
  <c r="DY97"/>
  <c r="CT21"/>
  <c r="DH21" s="1"/>
  <c r="DK21" s="1"/>
  <c r="CB22"/>
  <c r="CB95"/>
  <c r="CB92"/>
  <c r="CB81"/>
  <c r="CB79"/>
  <c r="CB42"/>
  <c r="CT15"/>
  <c r="CB80"/>
  <c r="CB50"/>
  <c r="CA48"/>
  <c r="CB23"/>
  <c r="CB78"/>
  <c r="CB10"/>
  <c r="CB84"/>
  <c r="CB46"/>
  <c r="CB24"/>
  <c r="CB18"/>
  <c r="CB13"/>
  <c r="BQ7"/>
  <c r="AE90"/>
  <c r="AF90" s="1"/>
  <c r="CB97"/>
  <c r="CB25"/>
  <c r="AE19"/>
  <c r="AF19" s="1"/>
  <c r="CT28"/>
  <c r="DH28" s="1"/>
  <c r="DK28"/>
  <c r="DY28"/>
  <c r="BU18"/>
  <c r="DH18"/>
  <c r="DK18" s="1"/>
  <c r="DY18"/>
  <c r="CB17"/>
  <c r="AY9"/>
  <c r="AZ9" s="1"/>
  <c r="DG9" s="1"/>
  <c r="AM78" i="1"/>
  <c r="BA78" s="1"/>
  <c r="BB78" s="1"/>
  <c r="BF78" s="1"/>
  <c r="AM77"/>
  <c r="BA77" s="1"/>
  <c r="BB77" s="1"/>
  <c r="BF77" s="1"/>
  <c r="T91" i="2"/>
  <c r="T92"/>
  <c r="DN92" s="1"/>
  <c r="AG92"/>
  <c r="AH92" s="1"/>
  <c r="AG91"/>
  <c r="AH91" s="1"/>
  <c r="DN91"/>
  <c r="DN160" i="1"/>
  <c r="AL94" i="2"/>
  <c r="DF94" s="1"/>
  <c r="DY94"/>
  <c r="AE74"/>
  <c r="AF74" s="1"/>
  <c r="AF74" i="5" s="1"/>
  <c r="AF74" i="9" s="1"/>
  <c r="AF74" i="12" s="1"/>
  <c r="AF74" i="15" s="1"/>
  <c r="AF74" i="19" s="1"/>
  <c r="AE53" i="2"/>
  <c r="AF53" s="1"/>
  <c r="AF53" i="5" s="1"/>
  <c r="AF53" i="9" s="1"/>
  <c r="AF53" i="12" s="1"/>
  <c r="AF53" i="15" s="1"/>
  <c r="AF53" i="19" s="1"/>
  <c r="AE102" i="2"/>
  <c r="AF102" s="1"/>
  <c r="AE89"/>
  <c r="AF89" s="1"/>
  <c r="DF75"/>
  <c r="AY14"/>
  <c r="AZ14" s="1"/>
  <c r="DG14" s="1"/>
  <c r="BS103"/>
  <c r="BT103" s="1"/>
  <c r="AY93"/>
  <c r="AZ93" s="1"/>
  <c r="DG93" s="1"/>
  <c r="DF42"/>
  <c r="AY42"/>
  <c r="AZ42" s="1"/>
  <c r="DG42" s="1"/>
  <c r="DF33"/>
  <c r="DF91"/>
  <c r="AY91"/>
  <c r="AZ91" s="1"/>
  <c r="DG91" s="1"/>
  <c r="DF90"/>
  <c r="AY90"/>
  <c r="AZ90" s="1"/>
  <c r="DG90" s="1"/>
  <c r="DF12"/>
  <c r="AY12"/>
  <c r="AZ12" s="1"/>
  <c r="DG12" s="1"/>
  <c r="CV73"/>
  <c r="DZ73"/>
  <c r="AY99"/>
  <c r="AZ99" s="1"/>
  <c r="DG99" s="1"/>
  <c r="CV7"/>
  <c r="CB12"/>
  <c r="AY101"/>
  <c r="AZ101" s="1"/>
  <c r="DG101" s="1"/>
  <c r="AE82"/>
  <c r="AK7"/>
  <c r="AE26"/>
  <c r="AF26" s="1"/>
  <c r="EA101"/>
  <c r="CT101"/>
  <c r="BU101"/>
  <c r="EA99"/>
  <c r="CT99"/>
  <c r="BU99"/>
  <c r="BX101"/>
  <c r="BV101"/>
  <c r="DI101"/>
  <c r="BY101"/>
  <c r="BZ101" s="1"/>
  <c r="BS101"/>
  <c r="DI96"/>
  <c r="BY96"/>
  <c r="BZ96" s="1"/>
  <c r="BX96"/>
  <c r="BV96"/>
  <c r="BS96"/>
  <c r="BV90"/>
  <c r="DI90"/>
  <c r="BY90"/>
  <c r="BZ90" s="1"/>
  <c r="BS90"/>
  <c r="DF97"/>
  <c r="AY97"/>
  <c r="AZ97" s="1"/>
  <c r="DG97" s="1"/>
  <c r="DF95"/>
  <c r="AY95"/>
  <c r="AZ95" s="1"/>
  <c r="DG95" s="1"/>
  <c r="DF92"/>
  <c r="AY92"/>
  <c r="AZ92" s="1"/>
  <c r="DG92" s="1"/>
  <c r="DI79"/>
  <c r="BY79"/>
  <c r="BZ79" s="1"/>
  <c r="BX79"/>
  <c r="BV79"/>
  <c r="BS79"/>
  <c r="BU87"/>
  <c r="EA87"/>
  <c r="CT87"/>
  <c r="BX85"/>
  <c r="BV85"/>
  <c r="DI85"/>
  <c r="DL85" s="1"/>
  <c r="BY85"/>
  <c r="BZ85" s="1"/>
  <c r="BS85"/>
  <c r="BX83"/>
  <c r="BV83"/>
  <c r="DI83"/>
  <c r="DL83" s="1"/>
  <c r="BY83"/>
  <c r="BZ83" s="1"/>
  <c r="BS83"/>
  <c r="BU82"/>
  <c r="BU80"/>
  <c r="EA80"/>
  <c r="CT80"/>
  <c r="BU79"/>
  <c r="EA79"/>
  <c r="CT79"/>
  <c r="DI105"/>
  <c r="DL105" s="1"/>
  <c r="BY105"/>
  <c r="BZ105" s="1"/>
  <c r="BX105"/>
  <c r="BV105"/>
  <c r="BS105"/>
  <c r="BV102"/>
  <c r="DI102"/>
  <c r="BY102"/>
  <c r="BZ102" s="1"/>
  <c r="BS102"/>
  <c r="DF106"/>
  <c r="AY106"/>
  <c r="AZ106" s="1"/>
  <c r="DG106" s="1"/>
  <c r="DI100"/>
  <c r="BS100"/>
  <c r="BX98"/>
  <c r="BV98"/>
  <c r="DI98"/>
  <c r="BY98"/>
  <c r="BZ98" s="1"/>
  <c r="BS98"/>
  <c r="DI97"/>
  <c r="BY97"/>
  <c r="BZ97" s="1"/>
  <c r="BX97"/>
  <c r="BV97"/>
  <c r="BS97"/>
  <c r="DI95"/>
  <c r="BY95"/>
  <c r="BZ95" s="1"/>
  <c r="BX95"/>
  <c r="BV95"/>
  <c r="DW95" s="1"/>
  <c r="BS95"/>
  <c r="DI93"/>
  <c r="BY93"/>
  <c r="BZ93" s="1"/>
  <c r="BX93"/>
  <c r="BV93"/>
  <c r="BS93"/>
  <c r="DI91"/>
  <c r="BY91"/>
  <c r="BZ91" s="1"/>
  <c r="BX91"/>
  <c r="BV91"/>
  <c r="BS91"/>
  <c r="CC106"/>
  <c r="BT106"/>
  <c r="DF96"/>
  <c r="AY96"/>
  <c r="AZ96" s="1"/>
  <c r="DG96" s="1"/>
  <c r="BU91"/>
  <c r="EA91"/>
  <c r="CT91"/>
  <c r="DI88"/>
  <c r="BY88"/>
  <c r="BZ88" s="1"/>
  <c r="BX88"/>
  <c r="BV88"/>
  <c r="BS88"/>
  <c r="DF89"/>
  <c r="AY89"/>
  <c r="AZ89" s="1"/>
  <c r="DG89" s="1"/>
  <c r="DF88"/>
  <c r="AY88"/>
  <c r="AZ88" s="1"/>
  <c r="DG88" s="1"/>
  <c r="DI72"/>
  <c r="BY72"/>
  <c r="BZ72" s="1"/>
  <c r="BX72"/>
  <c r="BV72"/>
  <c r="BS72"/>
  <c r="DI70"/>
  <c r="BY70"/>
  <c r="BZ70" s="1"/>
  <c r="BX70"/>
  <c r="BV70"/>
  <c r="BS70"/>
  <c r="DI59"/>
  <c r="BY59"/>
  <c r="BZ59" s="1"/>
  <c r="BX59"/>
  <c r="BV59"/>
  <c r="BS59"/>
  <c r="DI57"/>
  <c r="BY57"/>
  <c r="BZ57" s="1"/>
  <c r="BX57"/>
  <c r="BV57"/>
  <c r="BS57"/>
  <c r="DW72"/>
  <c r="DF72"/>
  <c r="AY72"/>
  <c r="AZ72" s="1"/>
  <c r="DG72" s="1"/>
  <c r="EA72"/>
  <c r="CT72"/>
  <c r="BU72"/>
  <c r="DF71"/>
  <c r="AY71"/>
  <c r="AZ71" s="1"/>
  <c r="DG71" s="1"/>
  <c r="BU71"/>
  <c r="EA71"/>
  <c r="CT71"/>
  <c r="DF70"/>
  <c r="DL70" s="1"/>
  <c r="AY70"/>
  <c r="AZ70" s="1"/>
  <c r="DG70" s="1"/>
  <c r="BU70"/>
  <c r="EA70"/>
  <c r="CT70"/>
  <c r="BU69"/>
  <c r="EA69"/>
  <c r="CT69"/>
  <c r="BX67"/>
  <c r="BV67"/>
  <c r="DI67"/>
  <c r="BY67"/>
  <c r="BZ67" s="1"/>
  <c r="BS67"/>
  <c r="DW67"/>
  <c r="BX63"/>
  <c r="BV63"/>
  <c r="DI63"/>
  <c r="BY63"/>
  <c r="BZ63" s="1"/>
  <c r="BS63"/>
  <c r="DW63"/>
  <c r="EA77"/>
  <c r="CT77"/>
  <c r="BU77"/>
  <c r="BT54"/>
  <c r="DI48"/>
  <c r="BY48"/>
  <c r="BZ48" s="1"/>
  <c r="BX48"/>
  <c r="BV48"/>
  <c r="BS48"/>
  <c r="DI38"/>
  <c r="BY38"/>
  <c r="BZ38" s="1"/>
  <c r="BX38"/>
  <c r="BV38"/>
  <c r="BS38"/>
  <c r="DI34"/>
  <c r="DL34" s="1"/>
  <c r="BY34"/>
  <c r="BZ34" s="1"/>
  <c r="BX34"/>
  <c r="BV34"/>
  <c r="BS34"/>
  <c r="DI32"/>
  <c r="DL32" s="1"/>
  <c r="BY32"/>
  <c r="BZ32" s="1"/>
  <c r="BX32"/>
  <c r="BV32"/>
  <c r="BS32"/>
  <c r="DI27"/>
  <c r="DL27" s="1"/>
  <c r="BY27"/>
  <c r="BZ27" s="1"/>
  <c r="BX27"/>
  <c r="BV27"/>
  <c r="BS27"/>
  <c r="EA25"/>
  <c r="CT25"/>
  <c r="BU25"/>
  <c r="EA24"/>
  <c r="CT24"/>
  <c r="BU24"/>
  <c r="EA23"/>
  <c r="CT23"/>
  <c r="BU23"/>
  <c r="EA22"/>
  <c r="CT22"/>
  <c r="BU22"/>
  <c r="BU56"/>
  <c r="EA56"/>
  <c r="CT56"/>
  <c r="DF39"/>
  <c r="AY39"/>
  <c r="AZ39" s="1"/>
  <c r="DG39" s="1"/>
  <c r="BU39"/>
  <c r="EA39"/>
  <c r="CT39"/>
  <c r="DF38"/>
  <c r="AY38"/>
  <c r="AZ38" s="1"/>
  <c r="DG38" s="1"/>
  <c r="BU38"/>
  <c r="EA38"/>
  <c r="CT38"/>
  <c r="DF37"/>
  <c r="AY37"/>
  <c r="AZ37" s="1"/>
  <c r="DG37" s="1"/>
  <c r="BU37"/>
  <c r="EA37"/>
  <c r="CT37"/>
  <c r="BU36"/>
  <c r="EA36"/>
  <c r="CT36"/>
  <c r="DF35"/>
  <c r="AY35"/>
  <c r="AZ35" s="1"/>
  <c r="DG35" s="1"/>
  <c r="BX25"/>
  <c r="BV25"/>
  <c r="DI25"/>
  <c r="BY25"/>
  <c r="BZ25" s="1"/>
  <c r="BS25"/>
  <c r="BX23"/>
  <c r="BV23"/>
  <c r="DI23"/>
  <c r="BY23"/>
  <c r="BZ23" s="1"/>
  <c r="BS23"/>
  <c r="EA55"/>
  <c r="CT55"/>
  <c r="BU55"/>
  <c r="BT19"/>
  <c r="DI16"/>
  <c r="BY16"/>
  <c r="BZ16" s="1"/>
  <c r="BX16"/>
  <c r="BV16"/>
  <c r="BS16"/>
  <c r="DF15"/>
  <c r="AY15"/>
  <c r="AZ15" s="1"/>
  <c r="DG15" s="1"/>
  <c r="DI104"/>
  <c r="DL104" s="1"/>
  <c r="BY104"/>
  <c r="BZ104" s="1"/>
  <c r="BX104"/>
  <c r="BV104"/>
  <c r="BS104"/>
  <c r="EA100"/>
  <c r="CT100"/>
  <c r="BU100"/>
  <c r="EA98"/>
  <c r="CT98"/>
  <c r="BU98"/>
  <c r="BX99"/>
  <c r="BV99"/>
  <c r="DI99"/>
  <c r="BY99"/>
  <c r="BZ99" s="1"/>
  <c r="BS99"/>
  <c r="DI92"/>
  <c r="BY92"/>
  <c r="BZ92" s="1"/>
  <c r="BX92"/>
  <c r="BV92"/>
  <c r="BS92"/>
  <c r="AM94"/>
  <c r="BA94" s="1"/>
  <c r="DI89"/>
  <c r="BY89"/>
  <c r="BZ89" s="1"/>
  <c r="BV89"/>
  <c r="BS89"/>
  <c r="DF79"/>
  <c r="DL79" s="1"/>
  <c r="AY79"/>
  <c r="AZ79" s="1"/>
  <c r="DG79" s="1"/>
  <c r="BU78"/>
  <c r="EA78"/>
  <c r="EB78" s="1"/>
  <c r="EC78" s="1"/>
  <c r="CT78"/>
  <c r="DI71"/>
  <c r="BY71"/>
  <c r="BZ71" s="1"/>
  <c r="BX71"/>
  <c r="BV71"/>
  <c r="BS71"/>
  <c r="EA74"/>
  <c r="BX62"/>
  <c r="BV62"/>
  <c r="DI62"/>
  <c r="BY62"/>
  <c r="BZ62" s="1"/>
  <c r="BS62"/>
  <c r="DW62"/>
  <c r="BX61"/>
  <c r="BV61"/>
  <c r="DI61"/>
  <c r="DL61" s="1"/>
  <c r="BY61"/>
  <c r="BZ61" s="1"/>
  <c r="BS61"/>
  <c r="BX60"/>
  <c r="BV60"/>
  <c r="DI60"/>
  <c r="BY60"/>
  <c r="BZ60" s="1"/>
  <c r="BS60"/>
  <c r="DW60"/>
  <c r="DF59"/>
  <c r="AY59"/>
  <c r="AZ59" s="1"/>
  <c r="DG59" s="1"/>
  <c r="BU59"/>
  <c r="DW59" s="1"/>
  <c r="EA59"/>
  <c r="CT59"/>
  <c r="BU58"/>
  <c r="EA58"/>
  <c r="CT58"/>
  <c r="DW57"/>
  <c r="DF57"/>
  <c r="DL57" s="1"/>
  <c r="AY57"/>
  <c r="AZ57" s="1"/>
  <c r="DG57" s="1"/>
  <c r="BU57"/>
  <c r="EA57"/>
  <c r="CT57"/>
  <c r="EA73"/>
  <c r="CT73"/>
  <c r="BU73"/>
  <c r="DI47"/>
  <c r="BY47"/>
  <c r="BZ47" s="1"/>
  <c r="BX47"/>
  <c r="BV47"/>
  <c r="BS47"/>
  <c r="DI45"/>
  <c r="BY45"/>
  <c r="BZ45" s="1"/>
  <c r="BX45"/>
  <c r="BV45"/>
  <c r="BS45"/>
  <c r="DI39"/>
  <c r="BY39"/>
  <c r="BZ39" s="1"/>
  <c r="BX39"/>
  <c r="BV39"/>
  <c r="BS39"/>
  <c r="DI37"/>
  <c r="BY37"/>
  <c r="BZ37" s="1"/>
  <c r="BX37"/>
  <c r="BV37"/>
  <c r="BS37"/>
  <c r="DI35"/>
  <c r="BY35"/>
  <c r="BZ35" s="1"/>
  <c r="BX35"/>
  <c r="BV35"/>
  <c r="BS35"/>
  <c r="DI33"/>
  <c r="BY33"/>
  <c r="BZ33" s="1"/>
  <c r="BX33"/>
  <c r="BV33"/>
  <c r="BS33"/>
  <c r="BV26"/>
  <c r="DI26"/>
  <c r="BY26"/>
  <c r="BZ26" s="1"/>
  <c r="BS26"/>
  <c r="DI20"/>
  <c r="BS20"/>
  <c r="BX52"/>
  <c r="BV52"/>
  <c r="DI52"/>
  <c r="BY52"/>
  <c r="BZ52" s="1"/>
  <c r="BS52"/>
  <c r="DW52"/>
  <c r="BX51"/>
  <c r="BV51"/>
  <c r="DI51"/>
  <c r="DL51" s="1"/>
  <c r="BY51"/>
  <c r="BZ51" s="1"/>
  <c r="DW51"/>
  <c r="BS51"/>
  <c r="EA49"/>
  <c r="BU49"/>
  <c r="CT49"/>
  <c r="DF48"/>
  <c r="DL48" s="1"/>
  <c r="AY48"/>
  <c r="AZ48" s="1"/>
  <c r="DG48" s="1"/>
  <c r="BU48"/>
  <c r="EA48"/>
  <c r="CT48"/>
  <c r="DF47"/>
  <c r="AY47"/>
  <c r="AZ47" s="1"/>
  <c r="DG47" s="1"/>
  <c r="BU47"/>
  <c r="EA47"/>
  <c r="CT47"/>
  <c r="DF45"/>
  <c r="AY45"/>
  <c r="AZ45" s="1"/>
  <c r="DG45" s="1"/>
  <c r="BU45"/>
  <c r="EA45"/>
  <c r="CT45"/>
  <c r="BU44"/>
  <c r="EA44"/>
  <c r="CT44"/>
  <c r="BX42"/>
  <c r="BV42"/>
  <c r="DI42"/>
  <c r="BY42"/>
  <c r="BZ42" s="1"/>
  <c r="BS42"/>
  <c r="DW42"/>
  <c r="BX41"/>
  <c r="BV41"/>
  <c r="DI41"/>
  <c r="BY41"/>
  <c r="BZ41" s="1"/>
  <c r="DW41"/>
  <c r="BS41"/>
  <c r="DI22"/>
  <c r="BS22"/>
  <c r="DI15"/>
  <c r="BY15"/>
  <c r="BZ15" s="1"/>
  <c r="BX15"/>
  <c r="BV15"/>
  <c r="BS15"/>
  <c r="EA19"/>
  <c r="CT19"/>
  <c r="BU19"/>
  <c r="BU17"/>
  <c r="EA17"/>
  <c r="CT17"/>
  <c r="DW16"/>
  <c r="DF16"/>
  <c r="DL16" s="1"/>
  <c r="AY16"/>
  <c r="AZ16" s="1"/>
  <c r="DG16" s="1"/>
  <c r="BU16"/>
  <c r="EA16"/>
  <c r="CT16"/>
  <c r="BX14"/>
  <c r="BV14"/>
  <c r="DI14"/>
  <c r="DL14" s="1"/>
  <c r="BY14"/>
  <c r="BZ14" s="1"/>
  <c r="BS14"/>
  <c r="BU13"/>
  <c r="EA13"/>
  <c r="CT13"/>
  <c r="BX12"/>
  <c r="BV12"/>
  <c r="DI12"/>
  <c r="DL12" s="1"/>
  <c r="BY12"/>
  <c r="BZ12" s="1"/>
  <c r="BS12"/>
  <c r="EA11"/>
  <c r="EB11" s="1"/>
  <c r="BU11"/>
  <c r="CT11"/>
  <c r="BU10"/>
  <c r="EA10"/>
  <c r="CT10"/>
  <c r="BX9"/>
  <c r="BV9"/>
  <c r="DI9"/>
  <c r="DL9" s="1"/>
  <c r="BY9"/>
  <c r="BZ9" s="1"/>
  <c r="BS9"/>
  <c r="AX104"/>
  <c r="CB104" s="1"/>
  <c r="AY104"/>
  <c r="AZ104" s="1"/>
  <c r="DG104" s="1"/>
  <c r="AX105"/>
  <c r="AY105"/>
  <c r="AZ105" s="1"/>
  <c r="DG105" s="1"/>
  <c r="AX103"/>
  <c r="CB103" s="1"/>
  <c r="AY103"/>
  <c r="AZ103" s="1"/>
  <c r="DG103" s="1"/>
  <c r="CG102"/>
  <c r="CH102" s="1"/>
  <c r="AW86"/>
  <c r="AW7" s="1"/>
  <c r="W86"/>
  <c r="AE86" s="1"/>
  <c r="AF86" s="1"/>
  <c r="AF86" i="5" s="1"/>
  <c r="AF86" i="9" s="1"/>
  <c r="AF86" i="12" s="1"/>
  <c r="AF86" i="15" s="1"/>
  <c r="AF86" i="19" s="1"/>
  <c r="AO7" i="2"/>
  <c r="AX74"/>
  <c r="CB74" s="1"/>
  <c r="AX76"/>
  <c r="CB76" s="1"/>
  <c r="AX77"/>
  <c r="AX73"/>
  <c r="CB73" s="1"/>
  <c r="AX56"/>
  <c r="AY54"/>
  <c r="AZ54" s="1"/>
  <c r="DG54" s="1"/>
  <c r="AX54"/>
  <c r="CB54" s="1"/>
  <c r="DW54"/>
  <c r="DF54"/>
  <c r="BX53"/>
  <c r="BV53"/>
  <c r="BS53"/>
  <c r="DI53"/>
  <c r="DL53" s="1"/>
  <c r="BY53"/>
  <c r="BZ53" s="1"/>
  <c r="AX33"/>
  <c r="AY33"/>
  <c r="AZ33" s="1"/>
  <c r="DG33" s="1"/>
  <c r="AX31"/>
  <c r="CB31" s="1"/>
  <c r="AX28"/>
  <c r="DW23"/>
  <c r="DF23"/>
  <c r="AX21"/>
  <c r="DW19"/>
  <c r="DF19"/>
  <c r="CU8"/>
  <c r="CU7" s="1"/>
  <c r="AC7"/>
  <c r="CG26"/>
  <c r="CH26" s="1"/>
  <c r="CB8"/>
  <c r="BR7"/>
  <c r="DY106"/>
  <c r="CB106"/>
  <c r="DL101"/>
  <c r="DL99"/>
  <c r="CB105"/>
  <c r="AY102"/>
  <c r="AZ102" s="1"/>
  <c r="DG102" s="1"/>
  <c r="DY104"/>
  <c r="DW105"/>
  <c r="CA104"/>
  <c r="AM91"/>
  <c r="BA91" s="1"/>
  <c r="DW92"/>
  <c r="BG75"/>
  <c r="DW97"/>
  <c r="AE83"/>
  <c r="AF83" s="1"/>
  <c r="BS75"/>
  <c r="Y7"/>
  <c r="CA74"/>
  <c r="CA73"/>
  <c r="AE66"/>
  <c r="AF66" s="1"/>
  <c r="AF66" i="5" s="1"/>
  <c r="AF66" i="9" s="1"/>
  <c r="AF66" i="12" s="1"/>
  <c r="AF66" i="15" s="1"/>
  <c r="AF66" i="19" s="1"/>
  <c r="AE64" i="2"/>
  <c r="AF64" s="1"/>
  <c r="AF64" i="5" s="1"/>
  <c r="AF64" i="9" s="1"/>
  <c r="AF64" i="12" s="1"/>
  <c r="AF64" i="15" s="1"/>
  <c r="AF64" i="19" s="1"/>
  <c r="AE63" i="2"/>
  <c r="AF63" s="1"/>
  <c r="AF63" i="5" s="1"/>
  <c r="AF63" i="9" s="1"/>
  <c r="AF63" i="12" s="1"/>
  <c r="AF63" i="15" s="1"/>
  <c r="AF63" i="19" s="1"/>
  <c r="AE67" i="2"/>
  <c r="AF67" s="1"/>
  <c r="AF67" i="5" s="1"/>
  <c r="AF67" i="9" s="1"/>
  <c r="AF67" i="12" s="1"/>
  <c r="AF67" i="15" s="1"/>
  <c r="AF67" i="19" s="1"/>
  <c r="AE65" i="2"/>
  <c r="AF65" s="1"/>
  <c r="AF65" i="5" s="1"/>
  <c r="AF65" i="9" s="1"/>
  <c r="AF65" i="12" s="1"/>
  <c r="AF65" i="15" s="1"/>
  <c r="AF65" i="19" s="1"/>
  <c r="AB7" i="2"/>
  <c r="DL26"/>
  <c r="CA54"/>
  <c r="AE51"/>
  <c r="AF51" s="1"/>
  <c r="AE41"/>
  <c r="AF41" s="1"/>
  <c r="AF41" i="5" s="1"/>
  <c r="AF41" i="9" s="1"/>
  <c r="AF41" i="12" s="1"/>
  <c r="AF41" i="15" s="1"/>
  <c r="AF41" i="19" s="1"/>
  <c r="AE40" i="2"/>
  <c r="AF40" s="1"/>
  <c r="DW34"/>
  <c r="CA33"/>
  <c r="DW32"/>
  <c r="CA31"/>
  <c r="CA21"/>
  <c r="AE50"/>
  <c r="AF50" s="1"/>
  <c r="AF50" i="5" s="1"/>
  <c r="AF50" i="9" s="1"/>
  <c r="AF50" i="12" s="1"/>
  <c r="AF50" i="15" s="1"/>
  <c r="AF50" i="19" s="1"/>
  <c r="AE35" i="2"/>
  <c r="AF35" s="1"/>
  <c r="DY32"/>
  <c r="BE7"/>
  <c r="DL41"/>
  <c r="DW33"/>
  <c r="CA28"/>
  <c r="DW27"/>
  <c r="AY23"/>
  <c r="AZ23" s="1"/>
  <c r="DG23" s="1"/>
  <c r="AE9"/>
  <c r="AF9" s="1"/>
  <c r="AE12"/>
  <c r="AF12" s="1"/>
  <c r="DW15"/>
  <c r="CB14"/>
  <c r="DE7"/>
  <c r="DW98"/>
  <c r="DF98"/>
  <c r="DL98" s="1"/>
  <c r="DI106"/>
  <c r="BY106"/>
  <c r="BZ106" s="1"/>
  <c r="BV106"/>
  <c r="DW106" s="1"/>
  <c r="DI103"/>
  <c r="DL103" s="1"/>
  <c r="BY103"/>
  <c r="BZ103" s="1"/>
  <c r="BX103"/>
  <c r="BV103"/>
  <c r="DW103" s="1"/>
  <c r="BU96"/>
  <c r="DW96" s="1"/>
  <c r="EA96"/>
  <c r="CT96"/>
  <c r="DW93"/>
  <c r="DF93"/>
  <c r="DL93" s="1"/>
  <c r="AH86"/>
  <c r="AL86" s="1"/>
  <c r="AE85"/>
  <c r="AF85" s="1"/>
  <c r="DI75"/>
  <c r="DL75" s="1"/>
  <c r="BY75"/>
  <c r="BZ75" s="1"/>
  <c r="BV75"/>
  <c r="BX75"/>
  <c r="CG90"/>
  <c r="CH90" s="1"/>
  <c r="BU81"/>
  <c r="EA81"/>
  <c r="CT81"/>
  <c r="BU76"/>
  <c r="EA76"/>
  <c r="CT76"/>
  <c r="AX75"/>
  <c r="CB75" s="1"/>
  <c r="AY75"/>
  <c r="AZ75" s="1"/>
  <c r="DG75" s="1"/>
  <c r="BU75"/>
  <c r="EA75"/>
  <c r="CT75"/>
  <c r="CG89"/>
  <c r="CH89" s="1"/>
  <c r="BX54"/>
  <c r="BV54"/>
  <c r="DI54"/>
  <c r="BY54"/>
  <c r="BZ54" s="1"/>
  <c r="AY53"/>
  <c r="AZ53" s="1"/>
  <c r="DG53" s="1"/>
  <c r="AX53"/>
  <c r="CB53" s="1"/>
  <c r="AX34"/>
  <c r="AY34"/>
  <c r="AZ34" s="1"/>
  <c r="DG34" s="1"/>
  <c r="AX32"/>
  <c r="AY32"/>
  <c r="AZ32" s="1"/>
  <c r="DG32" s="1"/>
  <c r="AX30"/>
  <c r="AX29"/>
  <c r="AX27"/>
  <c r="AY27"/>
  <c r="AZ27" s="1"/>
  <c r="DG27" s="1"/>
  <c r="DW25"/>
  <c r="DF25"/>
  <c r="DL25" s="1"/>
  <c r="AX20"/>
  <c r="AX55"/>
  <c r="CB55" s="1"/>
  <c r="BX19"/>
  <c r="BV19"/>
  <c r="DI19"/>
  <c r="BY19"/>
  <c r="BZ19" s="1"/>
  <c r="AY19"/>
  <c r="AZ19" s="1"/>
  <c r="DG19" s="1"/>
  <c r="AX19"/>
  <c r="CB19" s="1"/>
  <c r="DL102"/>
  <c r="DW104"/>
  <c r="AY98"/>
  <c r="AZ98" s="1"/>
  <c r="DG98" s="1"/>
  <c r="EC106"/>
  <c r="DL91"/>
  <c r="AE84"/>
  <c r="AF84" s="1"/>
  <c r="AF84" i="5" s="1"/>
  <c r="AF84" i="9" s="1"/>
  <c r="AF84" i="12" s="1"/>
  <c r="AF84" i="15" s="1"/>
  <c r="AF84" i="19" s="1"/>
  <c r="CB77" i="2"/>
  <c r="DW88"/>
  <c r="CB85"/>
  <c r="CB83"/>
  <c r="CB82"/>
  <c r="AE68"/>
  <c r="AF68" s="1"/>
  <c r="AF68" i="5" s="1"/>
  <c r="AF68" i="9" s="1"/>
  <c r="AF68" i="12" s="1"/>
  <c r="AF68" i="15" s="1"/>
  <c r="AF68" i="19" s="1"/>
  <c r="AE61" i="2"/>
  <c r="AF61" s="1"/>
  <c r="AF61" i="5" s="1"/>
  <c r="AF61" i="9" s="1"/>
  <c r="AF61" i="12" s="1"/>
  <c r="AF61" i="15" s="1"/>
  <c r="AF61" i="19" s="1"/>
  <c r="DL67" i="2"/>
  <c r="DL63"/>
  <c r="DL62"/>
  <c r="DL60"/>
  <c r="CB56"/>
  <c r="Z7"/>
  <c r="AE62"/>
  <c r="AF62" s="1"/>
  <c r="AF62" i="5" s="1"/>
  <c r="AF62" i="9" s="1"/>
  <c r="AF62" i="12" s="1"/>
  <c r="AF62" i="15" s="1"/>
  <c r="AF62" i="19" s="1"/>
  <c r="AE60" i="2"/>
  <c r="AF60" s="1"/>
  <c r="CB68"/>
  <c r="CB66"/>
  <c r="CB64"/>
  <c r="CB61"/>
  <c r="AE54"/>
  <c r="AF54" s="1"/>
  <c r="AE43"/>
  <c r="AF43" s="1"/>
  <c r="AF43" i="5" s="1"/>
  <c r="AF43" i="9" s="1"/>
  <c r="AF43" i="12" s="1"/>
  <c r="AF43" i="15" s="1"/>
  <c r="AF43" i="19" s="1"/>
  <c r="DL52" i="2"/>
  <c r="DL42"/>
  <c r="CB33"/>
  <c r="CB27"/>
  <c r="AY26"/>
  <c r="AZ26" s="1"/>
  <c r="DG26" s="1"/>
  <c r="CB21"/>
  <c r="AE52"/>
  <c r="AF52" s="1"/>
  <c r="AE42"/>
  <c r="AF42" s="1"/>
  <c r="AF42" i="5" s="1"/>
  <c r="AF42" i="9" s="1"/>
  <c r="AF42" i="12" s="1"/>
  <c r="AF42" i="15" s="1"/>
  <c r="AF42" i="19" s="1"/>
  <c r="DY34" i="2"/>
  <c r="DY30"/>
  <c r="DY20"/>
  <c r="X7"/>
  <c r="CB51"/>
  <c r="CB43"/>
  <c r="CB41"/>
  <c r="CB40"/>
  <c r="CB34"/>
  <c r="CB32"/>
  <c r="CB30"/>
  <c r="CB29"/>
  <c r="CB28"/>
  <c r="CB20"/>
  <c r="AE14"/>
  <c r="AF14" s="1"/>
  <c r="AF14" i="5" s="1"/>
  <c r="AF14" i="9" s="1"/>
  <c r="AF14" i="12" s="1"/>
  <c r="AF14" i="15" s="1"/>
  <c r="AF14" i="19" s="1"/>
  <c r="CA19" i="2"/>
  <c r="BF8"/>
  <c r="AE8"/>
  <c r="AF8" s="1"/>
  <c r="AF8" i="5" s="1"/>
  <c r="AF8" i="9" s="1"/>
  <c r="AF8" i="12" s="1"/>
  <c r="AF8" i="15" s="1"/>
  <c r="CB9" i="2"/>
  <c r="DI106" i="1"/>
  <c r="BY106"/>
  <c r="BZ106" s="1"/>
  <c r="BV106"/>
  <c r="BS106"/>
  <c r="BV102"/>
  <c r="DI102"/>
  <c r="BY102"/>
  <c r="BZ102" s="1"/>
  <c r="BS102"/>
  <c r="EA98"/>
  <c r="CT98"/>
  <c r="AF98"/>
  <c r="BU98"/>
  <c r="DI105"/>
  <c r="DL105" s="1"/>
  <c r="BY105"/>
  <c r="BZ105" s="1"/>
  <c r="BX105"/>
  <c r="BV105"/>
  <c r="BS105"/>
  <c r="BG105"/>
  <c r="DI103"/>
  <c r="DL103" s="1"/>
  <c r="BY103"/>
  <c r="BZ103" s="1"/>
  <c r="BX103"/>
  <c r="BV103"/>
  <c r="BS103"/>
  <c r="BG103"/>
  <c r="EA101"/>
  <c r="CT101"/>
  <c r="AF101"/>
  <c r="BU101"/>
  <c r="EA100"/>
  <c r="CT100"/>
  <c r="AF100"/>
  <c r="BU100"/>
  <c r="EA99"/>
  <c r="CT99"/>
  <c r="AF99"/>
  <c r="BU99"/>
  <c r="BX101"/>
  <c r="BV101"/>
  <c r="DI101"/>
  <c r="BY101"/>
  <c r="BZ101" s="1"/>
  <c r="BS101"/>
  <c r="BX99"/>
  <c r="BV99"/>
  <c r="DI99"/>
  <c r="BY99"/>
  <c r="BZ99" s="1"/>
  <c r="BS99"/>
  <c r="DI97"/>
  <c r="DL97" s="1"/>
  <c r="BX97"/>
  <c r="BV97"/>
  <c r="BY97"/>
  <c r="BZ97" s="1"/>
  <c r="BS97"/>
  <c r="DI88"/>
  <c r="BY88"/>
  <c r="BZ88" s="1"/>
  <c r="BX88"/>
  <c r="BV88"/>
  <c r="BS88"/>
  <c r="DI89"/>
  <c r="BY89"/>
  <c r="BZ89" s="1"/>
  <c r="BV89"/>
  <c r="BS89"/>
  <c r="BU87"/>
  <c r="EA87"/>
  <c r="CT87"/>
  <c r="AF87"/>
  <c r="BX85"/>
  <c r="BV85"/>
  <c r="DI85"/>
  <c r="DL85" s="1"/>
  <c r="BY85"/>
  <c r="BZ85" s="1"/>
  <c r="BS85"/>
  <c r="BX83"/>
  <c r="BV83"/>
  <c r="DI83"/>
  <c r="DL83" s="1"/>
  <c r="BY83"/>
  <c r="BZ83" s="1"/>
  <c r="BS83"/>
  <c r="BU81"/>
  <c r="EA81"/>
  <c r="CT81"/>
  <c r="AF81"/>
  <c r="BU80"/>
  <c r="EA80"/>
  <c r="CT80"/>
  <c r="AF80"/>
  <c r="DF79"/>
  <c r="AM79"/>
  <c r="BA79" s="1"/>
  <c r="AY79"/>
  <c r="AZ79" s="1"/>
  <c r="DG79" s="1"/>
  <c r="BU79"/>
  <c r="EA79"/>
  <c r="CT79"/>
  <c r="AF79"/>
  <c r="DI67"/>
  <c r="BY67"/>
  <c r="BZ67" s="1"/>
  <c r="BX67"/>
  <c r="BV67"/>
  <c r="BS67"/>
  <c r="DI63"/>
  <c r="BY63"/>
  <c r="BZ63" s="1"/>
  <c r="BX63"/>
  <c r="BV63"/>
  <c r="BS63"/>
  <c r="DI61"/>
  <c r="BY61"/>
  <c r="BZ61" s="1"/>
  <c r="BX61"/>
  <c r="BV61"/>
  <c r="BS61"/>
  <c r="BX82"/>
  <c r="BV82"/>
  <c r="DI82"/>
  <c r="BY82"/>
  <c r="BZ82" s="1"/>
  <c r="DW82"/>
  <c r="BG82"/>
  <c r="BS82"/>
  <c r="CT74"/>
  <c r="AF74"/>
  <c r="EA74"/>
  <c r="BU74"/>
  <c r="BU68"/>
  <c r="EA68"/>
  <c r="CT68"/>
  <c r="AF68"/>
  <c r="DW67"/>
  <c r="DF67"/>
  <c r="AY67"/>
  <c r="AZ67" s="1"/>
  <c r="DG67" s="1"/>
  <c r="AM67"/>
  <c r="BA67" s="1"/>
  <c r="BU67"/>
  <c r="EA67"/>
  <c r="CT67"/>
  <c r="AF67"/>
  <c r="BU66"/>
  <c r="EA66"/>
  <c r="CT66"/>
  <c r="AF66"/>
  <c r="BU65"/>
  <c r="EA65"/>
  <c r="CT65"/>
  <c r="AF65"/>
  <c r="BU64"/>
  <c r="EA64"/>
  <c r="CT64"/>
  <c r="AF64"/>
  <c r="DW62"/>
  <c r="DF62"/>
  <c r="AY62"/>
  <c r="AZ62" s="1"/>
  <c r="DG62" s="1"/>
  <c r="AM62"/>
  <c r="BA62" s="1"/>
  <c r="BU62"/>
  <c r="EA62"/>
  <c r="CT62"/>
  <c r="AF62"/>
  <c r="DF61"/>
  <c r="DL61" s="1"/>
  <c r="AY61"/>
  <c r="AZ61" s="1"/>
  <c r="DG61" s="1"/>
  <c r="AM61"/>
  <c r="BA61" s="1"/>
  <c r="BU61"/>
  <c r="DW61" s="1"/>
  <c r="EA61"/>
  <c r="CT61"/>
  <c r="AF61"/>
  <c r="DW60"/>
  <c r="DF60"/>
  <c r="AY60"/>
  <c r="AZ60" s="1"/>
  <c r="DG60" s="1"/>
  <c r="AM60"/>
  <c r="BA60" s="1"/>
  <c r="BU60"/>
  <c r="EA60"/>
  <c r="CT60"/>
  <c r="AF60"/>
  <c r="BX59"/>
  <c r="BV59"/>
  <c r="DI59"/>
  <c r="DL59" s="1"/>
  <c r="BY59"/>
  <c r="BZ59" s="1"/>
  <c r="BS59"/>
  <c r="BX57"/>
  <c r="BV57"/>
  <c r="DI57"/>
  <c r="BY57"/>
  <c r="BZ57" s="1"/>
  <c r="BS57"/>
  <c r="DW57"/>
  <c r="BU78"/>
  <c r="EA78"/>
  <c r="EB78" s="1"/>
  <c r="EC78" s="1"/>
  <c r="CT78"/>
  <c r="AF78"/>
  <c r="EA77"/>
  <c r="CT77"/>
  <c r="AF77"/>
  <c r="BU77"/>
  <c r="DI48"/>
  <c r="BY48"/>
  <c r="BZ48" s="1"/>
  <c r="BX48"/>
  <c r="BV48"/>
  <c r="BS48"/>
  <c r="DI38"/>
  <c r="BY38"/>
  <c r="BZ38" s="1"/>
  <c r="BX38"/>
  <c r="BV38"/>
  <c r="BS38"/>
  <c r="DI34"/>
  <c r="BY34"/>
  <c r="BZ34" s="1"/>
  <c r="BX34"/>
  <c r="BV34"/>
  <c r="BS34"/>
  <c r="DI32"/>
  <c r="BY32"/>
  <c r="BZ32" s="1"/>
  <c r="BX32"/>
  <c r="BV32"/>
  <c r="BS32"/>
  <c r="BX69"/>
  <c r="BV69"/>
  <c r="DI69"/>
  <c r="BY69"/>
  <c r="BZ69" s="1"/>
  <c r="BS69"/>
  <c r="BG69"/>
  <c r="BB54"/>
  <c r="BG54"/>
  <c r="BX52"/>
  <c r="BV52"/>
  <c r="DI52"/>
  <c r="BY52"/>
  <c r="BZ52" s="1"/>
  <c r="DW52"/>
  <c r="BS52"/>
  <c r="BX51"/>
  <c r="BV51"/>
  <c r="DI51"/>
  <c r="BY51"/>
  <c r="BZ51" s="1"/>
  <c r="DW51"/>
  <c r="BS51"/>
  <c r="EA49"/>
  <c r="BU49"/>
  <c r="CT49"/>
  <c r="AF49"/>
  <c r="DF48"/>
  <c r="DL48" s="1"/>
  <c r="AY48"/>
  <c r="AZ48" s="1"/>
  <c r="DG48" s="1"/>
  <c r="AM48"/>
  <c r="BA48" s="1"/>
  <c r="BU48"/>
  <c r="DW48" s="1"/>
  <c r="EA48"/>
  <c r="CT48"/>
  <c r="AF48"/>
  <c r="DF47"/>
  <c r="AY47"/>
  <c r="AZ47" s="1"/>
  <c r="DG47" s="1"/>
  <c r="AM47"/>
  <c r="BA47" s="1"/>
  <c r="BU47"/>
  <c r="EA47"/>
  <c r="CT47"/>
  <c r="AF47"/>
  <c r="DF46"/>
  <c r="AY46"/>
  <c r="AZ46" s="1"/>
  <c r="DG46" s="1"/>
  <c r="AM46"/>
  <c r="BA46" s="1"/>
  <c r="DF45"/>
  <c r="AM45"/>
  <c r="BA45" s="1"/>
  <c r="AY45"/>
  <c r="AZ45" s="1"/>
  <c r="DG45" s="1"/>
  <c r="BU45"/>
  <c r="EA45"/>
  <c r="CT45"/>
  <c r="AF45"/>
  <c r="BU44"/>
  <c r="EA44"/>
  <c r="CT44"/>
  <c r="AF44"/>
  <c r="BX42"/>
  <c r="BV42"/>
  <c r="DI42"/>
  <c r="BY42"/>
  <c r="BZ42" s="1"/>
  <c r="DW42"/>
  <c r="BS42"/>
  <c r="BX41"/>
  <c r="BV41"/>
  <c r="DI41"/>
  <c r="BY41"/>
  <c r="BZ41" s="1"/>
  <c r="BS41"/>
  <c r="DW41"/>
  <c r="DF36"/>
  <c r="AY36"/>
  <c r="AZ36" s="1"/>
  <c r="DG36" s="1"/>
  <c r="AM36"/>
  <c r="BA36" s="1"/>
  <c r="DF31"/>
  <c r="AY31"/>
  <c r="AZ31" s="1"/>
  <c r="DG31" s="1"/>
  <c r="AM31"/>
  <c r="BA31" s="1"/>
  <c r="DF30"/>
  <c r="AY30"/>
  <c r="AZ30" s="1"/>
  <c r="DG30" s="1"/>
  <c r="AM30"/>
  <c r="BA30" s="1"/>
  <c r="DF29"/>
  <c r="AY29"/>
  <c r="AZ29" s="1"/>
  <c r="DG29" s="1"/>
  <c r="AM29"/>
  <c r="BA29" s="1"/>
  <c r="DF28"/>
  <c r="AM28"/>
  <c r="BA28" s="1"/>
  <c r="AY28"/>
  <c r="AZ28" s="1"/>
  <c r="DG28" s="1"/>
  <c r="BX23"/>
  <c r="BV23"/>
  <c r="DI23"/>
  <c r="BY23"/>
  <c r="BZ23" s="1"/>
  <c r="DW23"/>
  <c r="BS23"/>
  <c r="DI22"/>
  <c r="BY22"/>
  <c r="BZ22" s="1"/>
  <c r="BV22"/>
  <c r="BX22"/>
  <c r="BS22"/>
  <c r="DF20"/>
  <c r="AY20"/>
  <c r="AZ20" s="1"/>
  <c r="DG20" s="1"/>
  <c r="AM20"/>
  <c r="BA20" s="1"/>
  <c r="DI19"/>
  <c r="BY19"/>
  <c r="BZ19" s="1"/>
  <c r="BX19"/>
  <c r="BV19"/>
  <c r="DW19"/>
  <c r="BS19"/>
  <c r="BG19"/>
  <c r="AF18"/>
  <c r="EA18"/>
  <c r="CT18"/>
  <c r="BU18"/>
  <c r="EA17"/>
  <c r="CT17"/>
  <c r="AF17"/>
  <c r="BU17"/>
  <c r="EA16"/>
  <c r="CT16"/>
  <c r="AF16"/>
  <c r="BU16"/>
  <c r="DI12"/>
  <c r="BY12"/>
  <c r="BZ12" s="1"/>
  <c r="BX12"/>
  <c r="BV12"/>
  <c r="BS12"/>
  <c r="DI9"/>
  <c r="BY9"/>
  <c r="BZ9" s="1"/>
  <c r="BX9"/>
  <c r="BV9"/>
  <c r="BS9"/>
  <c r="BX40"/>
  <c r="BV40"/>
  <c r="DI40"/>
  <c r="BY40"/>
  <c r="BZ40" s="1"/>
  <c r="BS40"/>
  <c r="BG40"/>
  <c r="DW40"/>
  <c r="BX16"/>
  <c r="BV16"/>
  <c r="DI16"/>
  <c r="BY16"/>
  <c r="BZ16" s="1"/>
  <c r="BS16"/>
  <c r="DF14"/>
  <c r="AM14"/>
  <c r="BA14" s="1"/>
  <c r="AY14"/>
  <c r="AZ14" s="1"/>
  <c r="DG14" s="1"/>
  <c r="DF12"/>
  <c r="AY12"/>
  <c r="AZ12" s="1"/>
  <c r="DG12" s="1"/>
  <c r="AM12"/>
  <c r="BA12" s="1"/>
  <c r="DF9"/>
  <c r="AY9"/>
  <c r="AZ9" s="1"/>
  <c r="DG9" s="1"/>
  <c r="AM9"/>
  <c r="BA9" s="1"/>
  <c r="BU9"/>
  <c r="EA9"/>
  <c r="CT9"/>
  <c r="AF9"/>
  <c r="DI104"/>
  <c r="DL104" s="1"/>
  <c r="BY104"/>
  <c r="BZ104" s="1"/>
  <c r="BX104"/>
  <c r="BV104"/>
  <c r="BS104"/>
  <c r="BG104"/>
  <c r="DF106"/>
  <c r="DL106" s="1"/>
  <c r="AM106"/>
  <c r="BA106" s="1"/>
  <c r="AY106"/>
  <c r="AZ106" s="1"/>
  <c r="DG106" s="1"/>
  <c r="BX100"/>
  <c r="BV100"/>
  <c r="DI100"/>
  <c r="BY100"/>
  <c r="BZ100" s="1"/>
  <c r="BS100"/>
  <c r="BX98"/>
  <c r="BV98"/>
  <c r="DI98"/>
  <c r="BY98"/>
  <c r="BZ98" s="1"/>
  <c r="BS98"/>
  <c r="BX96"/>
  <c r="BV96"/>
  <c r="DI96"/>
  <c r="DL96" s="1"/>
  <c r="BY96"/>
  <c r="BZ96" s="1"/>
  <c r="BS96"/>
  <c r="BX95"/>
  <c r="BV95"/>
  <c r="DI95"/>
  <c r="DL95" s="1"/>
  <c r="BY95"/>
  <c r="BZ95" s="1"/>
  <c r="BS95"/>
  <c r="BX93"/>
  <c r="BV93"/>
  <c r="DI93"/>
  <c r="BY93"/>
  <c r="BZ93" s="1"/>
  <c r="BS93"/>
  <c r="DW93"/>
  <c r="DI79"/>
  <c r="BY79"/>
  <c r="BZ79" s="1"/>
  <c r="BX79"/>
  <c r="BV79"/>
  <c r="BS79"/>
  <c r="DF89"/>
  <c r="DL89" s="1"/>
  <c r="AY89"/>
  <c r="AZ89" s="1"/>
  <c r="DG89" s="1"/>
  <c r="AM89"/>
  <c r="BA89" s="1"/>
  <c r="DF88"/>
  <c r="DL88" s="1"/>
  <c r="AM88"/>
  <c r="BA88" s="1"/>
  <c r="AY88"/>
  <c r="AZ88" s="1"/>
  <c r="DG88" s="1"/>
  <c r="DF87"/>
  <c r="AY87"/>
  <c r="AZ87" s="1"/>
  <c r="DG87" s="1"/>
  <c r="AM87"/>
  <c r="BA87" s="1"/>
  <c r="DF81"/>
  <c r="AM81"/>
  <c r="BA81" s="1"/>
  <c r="AY81"/>
  <c r="AZ81" s="1"/>
  <c r="DG81" s="1"/>
  <c r="DF80"/>
  <c r="AM80"/>
  <c r="BA80" s="1"/>
  <c r="AY80"/>
  <c r="AZ80" s="1"/>
  <c r="DG80" s="1"/>
  <c r="DI62"/>
  <c r="BY62"/>
  <c r="BZ62" s="1"/>
  <c r="BX62"/>
  <c r="BV62"/>
  <c r="BS62"/>
  <c r="DI60"/>
  <c r="BY60"/>
  <c r="BZ60" s="1"/>
  <c r="BX60"/>
  <c r="BV60"/>
  <c r="BS60"/>
  <c r="BX77"/>
  <c r="BV77"/>
  <c r="BS77"/>
  <c r="DI77"/>
  <c r="BY77"/>
  <c r="BZ77" s="1"/>
  <c r="BX72"/>
  <c r="BV72"/>
  <c r="DI72"/>
  <c r="BY72"/>
  <c r="BZ72" s="1"/>
  <c r="BS72"/>
  <c r="DW72"/>
  <c r="BX71"/>
  <c r="BV71"/>
  <c r="DI71"/>
  <c r="DL71" s="1"/>
  <c r="BY71"/>
  <c r="BZ71" s="1"/>
  <c r="BS71"/>
  <c r="BX70"/>
  <c r="BV70"/>
  <c r="DI70"/>
  <c r="DL70" s="1"/>
  <c r="BY70"/>
  <c r="BZ70" s="1"/>
  <c r="BS70"/>
  <c r="DF68"/>
  <c r="AY68"/>
  <c r="AZ68" s="1"/>
  <c r="DG68" s="1"/>
  <c r="AM68"/>
  <c r="BA68" s="1"/>
  <c r="DF66"/>
  <c r="AY66"/>
  <c r="AZ66" s="1"/>
  <c r="DG66" s="1"/>
  <c r="AM66"/>
  <c r="BA66" s="1"/>
  <c r="DF65"/>
  <c r="AY65"/>
  <c r="AZ65" s="1"/>
  <c r="DG65" s="1"/>
  <c r="AM65"/>
  <c r="BA65" s="1"/>
  <c r="DF64"/>
  <c r="AY64"/>
  <c r="AZ64" s="1"/>
  <c r="DG64" s="1"/>
  <c r="AM64"/>
  <c r="BA64" s="1"/>
  <c r="DW63"/>
  <c r="DF63"/>
  <c r="DL63" s="1"/>
  <c r="AY63"/>
  <c r="AZ63" s="1"/>
  <c r="DG63" s="1"/>
  <c r="AM63"/>
  <c r="BA63" s="1"/>
  <c r="DI54"/>
  <c r="BY54"/>
  <c r="BZ54" s="1"/>
  <c r="BX54"/>
  <c r="BV54"/>
  <c r="BS54"/>
  <c r="DI47"/>
  <c r="BY47"/>
  <c r="BZ47" s="1"/>
  <c r="BX47"/>
  <c r="BV47"/>
  <c r="BS47"/>
  <c r="DI45"/>
  <c r="BY45"/>
  <c r="BZ45" s="1"/>
  <c r="BX45"/>
  <c r="BV45"/>
  <c r="BS45"/>
  <c r="DI39"/>
  <c r="BY39"/>
  <c r="BZ39" s="1"/>
  <c r="BX39"/>
  <c r="BV39"/>
  <c r="BS39"/>
  <c r="DI37"/>
  <c r="BY37"/>
  <c r="BZ37" s="1"/>
  <c r="BX37"/>
  <c r="BV37"/>
  <c r="BS37"/>
  <c r="DI35"/>
  <c r="BY35"/>
  <c r="BZ35" s="1"/>
  <c r="BX35"/>
  <c r="BV35"/>
  <c r="BS35"/>
  <c r="DI33"/>
  <c r="BY33"/>
  <c r="BZ33" s="1"/>
  <c r="BX33"/>
  <c r="BV33"/>
  <c r="BS33"/>
  <c r="DI31"/>
  <c r="BY31"/>
  <c r="BZ31" s="1"/>
  <c r="BX31"/>
  <c r="BV31"/>
  <c r="BS31"/>
  <c r="DI27"/>
  <c r="BY27"/>
  <c r="BZ27" s="1"/>
  <c r="BX27"/>
  <c r="BV27"/>
  <c r="BS27"/>
  <c r="DF49"/>
  <c r="AM49"/>
  <c r="BA49" s="1"/>
  <c r="AY49"/>
  <c r="AZ49" s="1"/>
  <c r="DG49" s="1"/>
  <c r="DF44"/>
  <c r="AM44"/>
  <c r="BA44" s="1"/>
  <c r="AY44"/>
  <c r="AZ44" s="1"/>
  <c r="DG44" s="1"/>
  <c r="DF39"/>
  <c r="DL39" s="1"/>
  <c r="AY39"/>
  <c r="AZ39" s="1"/>
  <c r="DG39" s="1"/>
  <c r="AM39"/>
  <c r="BA39" s="1"/>
  <c r="BU39"/>
  <c r="EA39"/>
  <c r="CT39"/>
  <c r="AF39"/>
  <c r="DF38"/>
  <c r="DL38" s="1"/>
  <c r="AY38"/>
  <c r="AZ38" s="1"/>
  <c r="DG38" s="1"/>
  <c r="AM38"/>
  <c r="BA38" s="1"/>
  <c r="BU38"/>
  <c r="DW38" s="1"/>
  <c r="EA38"/>
  <c r="CT38"/>
  <c r="AF38"/>
  <c r="DF37"/>
  <c r="DL37" s="1"/>
  <c r="AY37"/>
  <c r="AZ37" s="1"/>
  <c r="DG37" s="1"/>
  <c r="AM37"/>
  <c r="BA37" s="1"/>
  <c r="BU37"/>
  <c r="EA37"/>
  <c r="CT37"/>
  <c r="AF37"/>
  <c r="BU36"/>
  <c r="EA36"/>
  <c r="CT36"/>
  <c r="AF36"/>
  <c r="DF35"/>
  <c r="AY35"/>
  <c r="AZ35" s="1"/>
  <c r="DG35" s="1"/>
  <c r="AM35"/>
  <c r="BA35" s="1"/>
  <c r="BU35"/>
  <c r="DW35" s="1"/>
  <c r="EA35"/>
  <c r="CT35"/>
  <c r="AF35"/>
  <c r="DF34"/>
  <c r="DL34" s="1"/>
  <c r="AY34"/>
  <c r="AZ34" s="1"/>
  <c r="DG34" s="1"/>
  <c r="AM34"/>
  <c r="BA34" s="1"/>
  <c r="BU34"/>
  <c r="DW34" s="1"/>
  <c r="EA34"/>
  <c r="CT34"/>
  <c r="AF34"/>
  <c r="DF33"/>
  <c r="AY33"/>
  <c r="AZ33" s="1"/>
  <c r="DG33" s="1"/>
  <c r="AM33"/>
  <c r="BA33" s="1"/>
  <c r="BU33"/>
  <c r="DW33" s="1"/>
  <c r="EA33"/>
  <c r="CT33"/>
  <c r="AF33"/>
  <c r="DF32"/>
  <c r="DL32" s="1"/>
  <c r="AY32"/>
  <c r="AZ32" s="1"/>
  <c r="DG32" s="1"/>
  <c r="AM32"/>
  <c r="BA32" s="1"/>
  <c r="BU32"/>
  <c r="DW32" s="1"/>
  <c r="EA32"/>
  <c r="CT32"/>
  <c r="AF32"/>
  <c r="BU31"/>
  <c r="EA31"/>
  <c r="CT31"/>
  <c r="AF31"/>
  <c r="BU30"/>
  <c r="EA30"/>
  <c r="CT30"/>
  <c r="AF30"/>
  <c r="BU29"/>
  <c r="EA29"/>
  <c r="EB29" s="1"/>
  <c r="CT29"/>
  <c r="AF29"/>
  <c r="BU28"/>
  <c r="EA28"/>
  <c r="CT28"/>
  <c r="AF28"/>
  <c r="DF27"/>
  <c r="AM27"/>
  <c r="BA27" s="1"/>
  <c r="AY27"/>
  <c r="AZ27" s="1"/>
  <c r="DG27" s="1"/>
  <c r="BU27"/>
  <c r="DW27" s="1"/>
  <c r="EA27"/>
  <c r="CT27"/>
  <c r="AF27"/>
  <c r="BX25"/>
  <c r="BV25"/>
  <c r="DI25"/>
  <c r="DL25" s="1"/>
  <c r="BY25"/>
  <c r="BZ25" s="1"/>
  <c r="DW25"/>
  <c r="BS25"/>
  <c r="BU22"/>
  <c r="DW22" s="1"/>
  <c r="AF22"/>
  <c r="EA22"/>
  <c r="CT22"/>
  <c r="CT21"/>
  <c r="AF21"/>
  <c r="EA21"/>
  <c r="EB21" s="1"/>
  <c r="EC21" s="1"/>
  <c r="BU21"/>
  <c r="EA20"/>
  <c r="CT20"/>
  <c r="AF20"/>
  <c r="BU20"/>
  <c r="DW18"/>
  <c r="DF18"/>
  <c r="AY18"/>
  <c r="AZ18" s="1"/>
  <c r="DG18" s="1"/>
  <c r="AM18"/>
  <c r="BA18" s="1"/>
  <c r="DF17"/>
  <c r="AY17"/>
  <c r="AZ17" s="1"/>
  <c r="DG17" s="1"/>
  <c r="AM17"/>
  <c r="BA17" s="1"/>
  <c r="DI14"/>
  <c r="BY14"/>
  <c r="BZ14" s="1"/>
  <c r="BX14"/>
  <c r="BV14"/>
  <c r="BS14"/>
  <c r="BX20"/>
  <c r="BV20"/>
  <c r="DI20"/>
  <c r="BY20"/>
  <c r="BZ20" s="1"/>
  <c r="BS20"/>
  <c r="DI18"/>
  <c r="BX18"/>
  <c r="BV18"/>
  <c r="BY18"/>
  <c r="BZ18" s="1"/>
  <c r="BS18"/>
  <c r="BX15"/>
  <c r="BV15"/>
  <c r="DI15"/>
  <c r="BY15"/>
  <c r="BZ15" s="1"/>
  <c r="BS15"/>
  <c r="BV11"/>
  <c r="DW11" s="1"/>
  <c r="DI11"/>
  <c r="BY11"/>
  <c r="BZ11" s="1"/>
  <c r="BS11"/>
  <c r="AX105"/>
  <c r="AY105"/>
  <c r="AZ105" s="1"/>
  <c r="DG105" s="1"/>
  <c r="AX103"/>
  <c r="AY103"/>
  <c r="AZ103" s="1"/>
  <c r="DG103" s="1"/>
  <c r="AM98"/>
  <c r="BA98" s="1"/>
  <c r="AH98"/>
  <c r="AM97"/>
  <c r="BA97" s="1"/>
  <c r="AH97"/>
  <c r="AM96"/>
  <c r="BA96" s="1"/>
  <c r="AH96"/>
  <c r="BT90"/>
  <c r="BV90"/>
  <c r="DI90"/>
  <c r="BY90"/>
  <c r="BZ90" s="1"/>
  <c r="BU91"/>
  <c r="AF91"/>
  <c r="EA91"/>
  <c r="CT91"/>
  <c r="AH86"/>
  <c r="AL86" s="1"/>
  <c r="AM86" s="1"/>
  <c r="BA86" s="1"/>
  <c r="AM85"/>
  <c r="BA85" s="1"/>
  <c r="AH85"/>
  <c r="AE85"/>
  <c r="AM83"/>
  <c r="BA83" s="1"/>
  <c r="AH83"/>
  <c r="DI75"/>
  <c r="BY75"/>
  <c r="BZ75" s="1"/>
  <c r="BV75"/>
  <c r="BX75"/>
  <c r="CA92"/>
  <c r="BR92"/>
  <c r="CB92" s="1"/>
  <c r="BU76"/>
  <c r="EA76"/>
  <c r="CT76"/>
  <c r="AF76"/>
  <c r="AX75"/>
  <c r="CB75" s="1"/>
  <c r="AY75"/>
  <c r="AZ75" s="1"/>
  <c r="DG75" s="1"/>
  <c r="EB89"/>
  <c r="EC89" s="1"/>
  <c r="CG89"/>
  <c r="CH89" s="1"/>
  <c r="AX76"/>
  <c r="CB76" s="1"/>
  <c r="AY76"/>
  <c r="AZ76" s="1"/>
  <c r="DG76" s="1"/>
  <c r="DF76"/>
  <c r="AH73"/>
  <c r="AL73" s="1"/>
  <c r="AM73" s="1"/>
  <c r="BA73" s="1"/>
  <c r="AM71"/>
  <c r="BA71" s="1"/>
  <c r="AH71"/>
  <c r="AM59"/>
  <c r="BA59" s="1"/>
  <c r="AH59"/>
  <c r="AM57"/>
  <c r="BA57" s="1"/>
  <c r="AH57"/>
  <c r="DF55"/>
  <c r="AX56"/>
  <c r="CB56" s="1"/>
  <c r="AY56"/>
  <c r="AZ56" s="1"/>
  <c r="DG56" s="1"/>
  <c r="DF56"/>
  <c r="BU55"/>
  <c r="AF55"/>
  <c r="EA55"/>
  <c r="CT55"/>
  <c r="AM53"/>
  <c r="BA53" s="1"/>
  <c r="AH53"/>
  <c r="AM51"/>
  <c r="BA51" s="1"/>
  <c r="AH51"/>
  <c r="AH43"/>
  <c r="AL43" s="1"/>
  <c r="AM43" s="1"/>
  <c r="BA43" s="1"/>
  <c r="AM41"/>
  <c r="BA41" s="1"/>
  <c r="AH41"/>
  <c r="AH24"/>
  <c r="AL24" s="1"/>
  <c r="AM24" s="1"/>
  <c r="BA24" s="1"/>
  <c r="AX22"/>
  <c r="AY22"/>
  <c r="AZ22" s="1"/>
  <c r="DG22" s="1"/>
  <c r="DW16"/>
  <c r="DF16"/>
  <c r="DL16" s="1"/>
  <c r="AM15"/>
  <c r="BA15" s="1"/>
  <c r="AH15"/>
  <c r="CB8"/>
  <c r="BR7"/>
  <c r="AM23"/>
  <c r="BA23" s="1"/>
  <c r="AH23"/>
  <c r="DL101"/>
  <c r="DL99"/>
  <c r="CA105"/>
  <c r="AM102"/>
  <c r="BA102" s="1"/>
  <c r="AM101"/>
  <c r="BA101" s="1"/>
  <c r="AM99"/>
  <c r="BA99" s="1"/>
  <c r="CB103"/>
  <c r="AY102"/>
  <c r="AZ102" s="1"/>
  <c r="DG102" s="1"/>
  <c r="DW102"/>
  <c r="DY104"/>
  <c r="AE97"/>
  <c r="CB104"/>
  <c r="AE96"/>
  <c r="CB97"/>
  <c r="CB96"/>
  <c r="CB94"/>
  <c r="CB93"/>
  <c r="AM90"/>
  <c r="BA90" s="1"/>
  <c r="DW88"/>
  <c r="DL82"/>
  <c r="CB78"/>
  <c r="BG78"/>
  <c r="DL77"/>
  <c r="CA75"/>
  <c r="BS75"/>
  <c r="DW89"/>
  <c r="AM76"/>
  <c r="BA76" s="1"/>
  <c r="AE73"/>
  <c r="AE59"/>
  <c r="AE57"/>
  <c r="DL69"/>
  <c r="AE58"/>
  <c r="Z7"/>
  <c r="CB73"/>
  <c r="CB71"/>
  <c r="CB59"/>
  <c r="CB57"/>
  <c r="AE50"/>
  <c r="AE42"/>
  <c r="AE23"/>
  <c r="DL22"/>
  <c r="DL51"/>
  <c r="DL41"/>
  <c r="CB26"/>
  <c r="CC26"/>
  <c r="DW26"/>
  <c r="AM56"/>
  <c r="BA56" s="1"/>
  <c r="AE53"/>
  <c r="AE41"/>
  <c r="AE40"/>
  <c r="AE24"/>
  <c r="CA22"/>
  <c r="AY21"/>
  <c r="AZ21" s="1"/>
  <c r="DG21" s="1"/>
  <c r="DL52"/>
  <c r="DL42"/>
  <c r="DL23"/>
  <c r="AM16"/>
  <c r="BA16" s="1"/>
  <c r="AC7"/>
  <c r="DW15"/>
  <c r="DY10"/>
  <c r="AL8"/>
  <c r="DL19"/>
  <c r="DW12"/>
  <c r="AY11"/>
  <c r="AZ11" s="1"/>
  <c r="DG11" s="1"/>
  <c r="AM11"/>
  <c r="BA11" s="1"/>
  <c r="AX104"/>
  <c r="AY104"/>
  <c r="AZ104" s="1"/>
  <c r="DG104" s="1"/>
  <c r="DW98"/>
  <c r="DF98"/>
  <c r="DL98" s="1"/>
  <c r="AM95"/>
  <c r="BA95" s="1"/>
  <c r="AH95"/>
  <c r="EA95"/>
  <c r="CT95"/>
  <c r="AF95"/>
  <c r="BU95"/>
  <c r="DW95" s="1"/>
  <c r="AH94"/>
  <c r="AL94" s="1"/>
  <c r="AM94" s="1"/>
  <c r="BA94" s="1"/>
  <c r="EA94"/>
  <c r="CT94"/>
  <c r="AF94"/>
  <c r="BU94"/>
  <c r="AM93"/>
  <c r="BA93" s="1"/>
  <c r="AH93"/>
  <c r="EA93"/>
  <c r="CT93"/>
  <c r="AF93"/>
  <c r="BU93"/>
  <c r="DI92"/>
  <c r="DL92" s="1"/>
  <c r="BY92"/>
  <c r="BZ92" s="1"/>
  <c r="BV92"/>
  <c r="BX92"/>
  <c r="DI91"/>
  <c r="DL91" s="1"/>
  <c r="BY91"/>
  <c r="BZ91" s="1"/>
  <c r="BV91"/>
  <c r="BX91"/>
  <c r="EB102"/>
  <c r="EC102" s="1"/>
  <c r="CG102"/>
  <c r="CH102" s="1"/>
  <c r="AX92"/>
  <c r="AY92"/>
  <c r="AZ92" s="1"/>
  <c r="DG92" s="1"/>
  <c r="AX91"/>
  <c r="CB91" s="1"/>
  <c r="AY91"/>
  <c r="AZ91" s="1"/>
  <c r="DG91" s="1"/>
  <c r="AW86"/>
  <c r="W86"/>
  <c r="AE86" s="1"/>
  <c r="AO7"/>
  <c r="BU92"/>
  <c r="AF92"/>
  <c r="EA92"/>
  <c r="CT92"/>
  <c r="DI78"/>
  <c r="DL78" s="1"/>
  <c r="BY78"/>
  <c r="BZ78" s="1"/>
  <c r="BV78"/>
  <c r="BX74"/>
  <c r="BV74"/>
  <c r="DI74"/>
  <c r="BY74"/>
  <c r="BZ74" s="1"/>
  <c r="AY74"/>
  <c r="AZ74" s="1"/>
  <c r="DG74" s="1"/>
  <c r="AX74"/>
  <c r="CB74" s="1"/>
  <c r="BU75"/>
  <c r="AF75"/>
  <c r="EA75"/>
  <c r="CT75"/>
  <c r="DF74"/>
  <c r="DL74" s="1"/>
  <c r="DW74"/>
  <c r="AM72"/>
  <c r="BA72" s="1"/>
  <c r="AH72"/>
  <c r="AM70"/>
  <c r="BA70" s="1"/>
  <c r="AH70"/>
  <c r="AH58"/>
  <c r="AL58" s="1"/>
  <c r="AM58" s="1"/>
  <c r="BA58" s="1"/>
  <c r="CG90"/>
  <c r="CH90" s="1"/>
  <c r="EB90"/>
  <c r="EC90" s="1"/>
  <c r="AX78"/>
  <c r="AY78"/>
  <c r="AZ78" s="1"/>
  <c r="DG78" s="1"/>
  <c r="AY77"/>
  <c r="AZ77" s="1"/>
  <c r="DG77" s="1"/>
  <c r="AX77"/>
  <c r="CB77" s="1"/>
  <c r="BU56"/>
  <c r="EA56"/>
  <c r="CT56"/>
  <c r="AF56"/>
  <c r="AX55"/>
  <c r="CB55" s="1"/>
  <c r="AY55"/>
  <c r="AZ55" s="1"/>
  <c r="DG55" s="1"/>
  <c r="BU54"/>
  <c r="EA54"/>
  <c r="CT54"/>
  <c r="AF54"/>
  <c r="AX54"/>
  <c r="CB54" s="1"/>
  <c r="AY54"/>
  <c r="AZ54" s="1"/>
  <c r="DG54" s="1"/>
  <c r="DW54"/>
  <c r="DF54"/>
  <c r="DL54" s="1"/>
  <c r="AM52"/>
  <c r="BA52" s="1"/>
  <c r="AH52"/>
  <c r="AH50"/>
  <c r="AL50" s="1"/>
  <c r="AM50" s="1"/>
  <c r="BA50" s="1"/>
  <c r="AM42"/>
  <c r="BA42" s="1"/>
  <c r="AH42"/>
  <c r="AM26"/>
  <c r="BA26" s="1"/>
  <c r="AH26"/>
  <c r="AM25"/>
  <c r="BA25" s="1"/>
  <c r="AH25"/>
  <c r="DI53"/>
  <c r="DL53" s="1"/>
  <c r="BY53"/>
  <c r="BZ53" s="1"/>
  <c r="BV53"/>
  <c r="BX53"/>
  <c r="DJ26"/>
  <c r="DM26" s="1"/>
  <c r="DX26" s="1"/>
  <c r="CD26"/>
  <c r="BW26"/>
  <c r="AX19"/>
  <c r="CB19" s="1"/>
  <c r="AY19"/>
  <c r="AZ19" s="1"/>
  <c r="DG19" s="1"/>
  <c r="AH13"/>
  <c r="AL13" s="1"/>
  <c r="AM13" s="1"/>
  <c r="BA13" s="1"/>
  <c r="AH10"/>
  <c r="AL10" s="1"/>
  <c r="AM10" s="1"/>
  <c r="BA10" s="1"/>
  <c r="AG7"/>
  <c r="EB26"/>
  <c r="EC26" s="1"/>
  <c r="CG26"/>
  <c r="CH26" s="1"/>
  <c r="CB105"/>
  <c r="DL102"/>
  <c r="DL100"/>
  <c r="AM100"/>
  <c r="BA100" s="1"/>
  <c r="DW106"/>
  <c r="DW104"/>
  <c r="CA103"/>
  <c r="AY101"/>
  <c r="AZ101" s="1"/>
  <c r="DG101" s="1"/>
  <c r="AY100"/>
  <c r="AZ100" s="1"/>
  <c r="DG100" s="1"/>
  <c r="AY99"/>
  <c r="AZ99" s="1"/>
  <c r="DG99" s="1"/>
  <c r="AY98"/>
  <c r="AZ98" s="1"/>
  <c r="DG98" s="1"/>
  <c r="DY102"/>
  <c r="DW105"/>
  <c r="CA104"/>
  <c r="DW103"/>
  <c r="BS92"/>
  <c r="CA91"/>
  <c r="BS91"/>
  <c r="DL90"/>
  <c r="DL93"/>
  <c r="AE84"/>
  <c r="AE82"/>
  <c r="AY90"/>
  <c r="AZ90" s="1"/>
  <c r="DG90" s="1"/>
  <c r="DW90"/>
  <c r="BS78"/>
  <c r="AE83"/>
  <c r="BG77"/>
  <c r="DL75"/>
  <c r="BS74"/>
  <c r="CB84"/>
  <c r="AM84"/>
  <c r="BA84" s="1"/>
  <c r="AM74"/>
  <c r="BA74" s="1"/>
  <c r="AE71"/>
  <c r="DL72"/>
  <c r="DW75"/>
  <c r="CA74"/>
  <c r="AE72"/>
  <c r="AE70"/>
  <c r="AE69"/>
  <c r="CA55"/>
  <c r="DL57"/>
  <c r="BS53"/>
  <c r="AM55"/>
  <c r="BA55" s="1"/>
  <c r="AE52"/>
  <c r="CB22"/>
  <c r="BE7"/>
  <c r="DL40"/>
  <c r="AE51"/>
  <c r="AE43"/>
  <c r="DY26"/>
  <c r="AE25"/>
  <c r="CB21"/>
  <c r="DL15"/>
  <c r="AB7"/>
  <c r="DL11"/>
  <c r="AK7"/>
  <c r="X7"/>
  <c r="CB52"/>
  <c r="CB50"/>
  <c r="CB42"/>
  <c r="CB23"/>
  <c r="AE8"/>
  <c r="AM21"/>
  <c r="BA21" s="1"/>
  <c r="CT19"/>
  <c r="AY16"/>
  <c r="AZ16" s="1"/>
  <c r="DG16" s="1"/>
  <c r="AY15"/>
  <c r="AZ15" s="1"/>
  <c r="DG15" s="1"/>
  <c r="CV7"/>
  <c r="AM22"/>
  <c r="BA22" s="1"/>
  <c r="DY15"/>
  <c r="AE14"/>
  <c r="BF8"/>
  <c r="CA19"/>
  <c r="DE7"/>
  <c r="BQ7"/>
  <c r="AF72" i="21" l="1"/>
  <c r="AF72" i="22"/>
  <c r="AF8" i="19"/>
  <c r="AF42" i="21"/>
  <c r="AF42" i="22"/>
  <c r="AF43" i="21"/>
  <c r="AF43" i="22"/>
  <c r="AF61"/>
  <c r="AF61" i="21"/>
  <c r="AF41"/>
  <c r="AF41" i="22"/>
  <c r="AF67" i="21"/>
  <c r="AF67" i="22"/>
  <c r="AF64" i="21"/>
  <c r="AF64" i="22"/>
  <c r="AF53"/>
  <c r="AF53" i="21"/>
  <c r="DN53" i="9"/>
  <c r="AG53"/>
  <c r="AG54"/>
  <c r="DN54"/>
  <c r="DN48"/>
  <c r="AG48"/>
  <c r="DN100"/>
  <c r="AG100"/>
  <c r="AF56" i="21"/>
  <c r="AF56" i="22"/>
  <c r="AF24" i="21"/>
  <c r="AF24" i="22"/>
  <c r="AF20" i="21"/>
  <c r="AF20" i="22"/>
  <c r="AF39" i="21"/>
  <c r="AF39" i="22"/>
  <c r="AF31" i="21"/>
  <c r="AF31" i="22"/>
  <c r="AF96" i="21"/>
  <c r="AF96" i="22"/>
  <c r="AF59" i="21"/>
  <c r="AF59" i="22"/>
  <c r="AF27" i="21"/>
  <c r="AF27" i="22"/>
  <c r="AF32" i="21"/>
  <c r="AF32" i="22"/>
  <c r="AF17"/>
  <c r="AF17" i="21"/>
  <c r="AF81" i="22"/>
  <c r="AF81" i="21"/>
  <c r="AF78" i="22"/>
  <c r="AF78" i="21"/>
  <c r="AF23"/>
  <c r="AF23" i="22"/>
  <c r="AF97"/>
  <c r="AF97" i="21"/>
  <c r="AF94"/>
  <c r="AF94" i="22"/>
  <c r="AF105"/>
  <c r="AF105" i="21"/>
  <c r="AF92"/>
  <c r="AF92" i="22"/>
  <c r="AF70" i="21"/>
  <c r="AF70" i="22"/>
  <c r="AF38" i="21"/>
  <c r="AF38" i="22"/>
  <c r="AF30" i="21"/>
  <c r="AF30" i="22"/>
  <c r="AF58" i="21"/>
  <c r="AF58" i="22"/>
  <c r="AF29" i="21"/>
  <c r="AF29" i="22"/>
  <c r="AF87"/>
  <c r="AF87" i="21"/>
  <c r="DN31" i="12"/>
  <c r="AG31"/>
  <c r="DN82" i="15"/>
  <c r="AG82"/>
  <c r="DN84"/>
  <c r="AG84"/>
  <c r="AG19"/>
  <c r="DN19"/>
  <c r="AH8"/>
  <c r="AM8"/>
  <c r="BA8" s="1"/>
  <c r="DF50"/>
  <c r="AY50"/>
  <c r="AZ50" s="1"/>
  <c r="DG50" s="1"/>
  <c r="AY44"/>
  <c r="AZ44" s="1"/>
  <c r="DG44" s="1"/>
  <c r="DF44"/>
  <c r="AF14" i="21"/>
  <c r="AF14" i="22"/>
  <c r="AF62" i="21"/>
  <c r="AF62" i="22"/>
  <c r="AF68" i="21"/>
  <c r="AF68" i="22"/>
  <c r="AF84" i="21"/>
  <c r="AF84" i="22"/>
  <c r="AF50"/>
  <c r="AF50" i="21"/>
  <c r="AF65"/>
  <c r="AF65" i="22"/>
  <c r="AF63"/>
  <c r="AF63" i="21"/>
  <c r="AF66"/>
  <c r="AF66" i="22"/>
  <c r="AF86"/>
  <c r="AF86" i="21"/>
  <c r="AF74"/>
  <c r="AF74" i="22"/>
  <c r="BF69" i="5"/>
  <c r="BG69" s="1"/>
  <c r="T69" i="9" s="1"/>
  <c r="AG69" s="1"/>
  <c r="AG77"/>
  <c r="DN77"/>
  <c r="AF104" i="21"/>
  <c r="AF104" i="22"/>
  <c r="AF80" i="21"/>
  <c r="AF80" i="22"/>
  <c r="AF22" i="21"/>
  <c r="AF22" i="22"/>
  <c r="AF95" i="21"/>
  <c r="AF95" i="22"/>
  <c r="AF45"/>
  <c r="AF45" i="21"/>
  <c r="AF36"/>
  <c r="AF36" i="22"/>
  <c r="AF28" i="21"/>
  <c r="AF28" i="22"/>
  <c r="AF16" i="21"/>
  <c r="AF16" i="22"/>
  <c r="AF46"/>
  <c r="AF46" i="21"/>
  <c r="AF10"/>
  <c r="AF10" i="22"/>
  <c r="AF103" i="21"/>
  <c r="AF103" i="22"/>
  <c r="AF25"/>
  <c r="AF25" i="21"/>
  <c r="AF33"/>
  <c r="AF33" i="22"/>
  <c r="AF71" i="21"/>
  <c r="AF71" i="22"/>
  <c r="AF73"/>
  <c r="AF73" i="21"/>
  <c r="AF48" i="22"/>
  <c r="AF48" i="21"/>
  <c r="AF34"/>
  <c r="AF34" i="22"/>
  <c r="AF13" i="21"/>
  <c r="AF13" i="22"/>
  <c r="AF47" i="21"/>
  <c r="AF47" i="22"/>
  <c r="AF18"/>
  <c r="AF18" i="21"/>
  <c r="AF15" i="22"/>
  <c r="AF15" i="21"/>
  <c r="AF91"/>
  <c r="AF91" i="22"/>
  <c r="DN37" i="12"/>
  <c r="AG37"/>
  <c r="DN49" i="15"/>
  <c r="AG49"/>
  <c r="BB38"/>
  <c r="BG38"/>
  <c r="T38" i="19" s="1"/>
  <c r="AG38" s="1"/>
  <c r="AH18" i="12"/>
  <c r="AL18" s="1"/>
  <c r="AM18"/>
  <c r="BA18" s="1"/>
  <c r="BB50" i="15"/>
  <c r="BF50" s="1"/>
  <c r="DW50" s="1"/>
  <c r="BB44"/>
  <c r="BF44" s="1"/>
  <c r="BG44" s="1"/>
  <c r="T44" i="19" s="1"/>
  <c r="AG44" s="1"/>
  <c r="BB106" i="12"/>
  <c r="BG106"/>
  <c r="AH80"/>
  <c r="AL80" s="1"/>
  <c r="AM80" s="1"/>
  <c r="BA80" s="1"/>
  <c r="AH15"/>
  <c r="AL15" s="1"/>
  <c r="AM15" s="1"/>
  <c r="BA15" s="1"/>
  <c r="BB15" s="1"/>
  <c r="BF15" s="1"/>
  <c r="AH86" i="9"/>
  <c r="AL86" s="1"/>
  <c r="AM86" s="1"/>
  <c r="BA86" s="1"/>
  <c r="BB86" s="1"/>
  <c r="BF86" s="1"/>
  <c r="AH93" i="12"/>
  <c r="AL93" s="1"/>
  <c r="AM93" s="1"/>
  <c r="BA93" s="1"/>
  <c r="BB93" s="1"/>
  <c r="BF93" s="1"/>
  <c r="BG106" i="21"/>
  <c r="BB106"/>
  <c r="BG106" i="22"/>
  <c r="BB106"/>
  <c r="DF24" i="21"/>
  <c r="AY24"/>
  <c r="AZ24" s="1"/>
  <c r="DG24" s="1"/>
  <c r="AM24"/>
  <c r="BA24" s="1"/>
  <c r="AY29"/>
  <c r="DF29"/>
  <c r="DL29" s="1"/>
  <c r="BY29"/>
  <c r="BZ29" s="1"/>
  <c r="BV29"/>
  <c r="DW29"/>
  <c r="AY81"/>
  <c r="DF81"/>
  <c r="DF82"/>
  <c r="AY82"/>
  <c r="BB24"/>
  <c r="BF24" s="1"/>
  <c r="DW24" s="1"/>
  <c r="BB25"/>
  <c r="BG25"/>
  <c r="BB82"/>
  <c r="BF82" s="1"/>
  <c r="BY82" s="1"/>
  <c r="BZ82" s="1"/>
  <c r="AH19"/>
  <c r="AM19"/>
  <c r="BA19" s="1"/>
  <c r="AH44"/>
  <c r="AL44" s="1"/>
  <c r="AM44" s="1"/>
  <c r="BA44" s="1"/>
  <c r="BB44" s="1"/>
  <c r="AH73"/>
  <c r="AL73" s="1"/>
  <c r="AM73" s="1"/>
  <c r="BA73" s="1"/>
  <c r="AM29"/>
  <c r="BA29" s="1"/>
  <c r="AM81"/>
  <c r="BA81" s="1"/>
  <c r="BB81" s="1"/>
  <c r="BB13" i="19"/>
  <c r="BF13" s="1"/>
  <c r="BG13" s="1"/>
  <c r="BG30"/>
  <c r="DI30"/>
  <c r="BX30"/>
  <c r="BS30"/>
  <c r="BY30"/>
  <c r="BZ30" s="1"/>
  <c r="BV30"/>
  <c r="DW30" s="1"/>
  <c r="AY13"/>
  <c r="AZ13" s="1"/>
  <c r="DG13" s="1"/>
  <c r="DF13"/>
  <c r="DF30"/>
  <c r="AY30"/>
  <c r="AZ30" s="1"/>
  <c r="DG30" s="1"/>
  <c r="AH55"/>
  <c r="AL55" s="1"/>
  <c r="AM55" s="1"/>
  <c r="BA55" s="1"/>
  <c r="AH10"/>
  <c r="AL10" s="1"/>
  <c r="AM10" s="1"/>
  <c r="BA10" s="1"/>
  <c r="DN33" i="15"/>
  <c r="AG33"/>
  <c r="T61"/>
  <c r="DM32"/>
  <c r="DX32" s="1"/>
  <c r="EF32"/>
  <c r="BW55"/>
  <c r="DJ55"/>
  <c r="CD55"/>
  <c r="DJ10"/>
  <c r="CD10"/>
  <c r="BW10"/>
  <c r="BW13"/>
  <c r="DJ13"/>
  <c r="DM13" s="1"/>
  <c r="DX13" s="1"/>
  <c r="CD13"/>
  <c r="BW30"/>
  <c r="DJ30"/>
  <c r="CD30"/>
  <c r="EB61" i="12"/>
  <c r="EC61"/>
  <c r="CG61"/>
  <c r="CH61" s="1"/>
  <c r="CC33"/>
  <c r="BT33"/>
  <c r="EB33"/>
  <c r="EC33" s="1"/>
  <c r="CG33"/>
  <c r="CH33" s="1"/>
  <c r="CC61"/>
  <c r="BT61"/>
  <c r="DN101"/>
  <c r="AG101"/>
  <c r="EF32"/>
  <c r="DM32"/>
  <c r="DX32" s="1"/>
  <c r="EF54"/>
  <c r="DM54"/>
  <c r="DX54" s="1"/>
  <c r="DM75"/>
  <c r="DX75" s="1"/>
  <c r="EF75"/>
  <c r="DM95"/>
  <c r="DX95" s="1"/>
  <c r="EF95"/>
  <c r="DM57"/>
  <c r="DX57" s="1"/>
  <c r="EF57"/>
  <c r="EF98"/>
  <c r="DM98"/>
  <c r="DX98" s="1"/>
  <c r="EF103"/>
  <c r="DM103"/>
  <c r="DX103" s="1"/>
  <c r="EF47"/>
  <c r="DM47"/>
  <c r="DX47" s="1"/>
  <c r="DM79"/>
  <c r="DX79" s="1"/>
  <c r="EF79"/>
  <c r="DM92"/>
  <c r="EF92"/>
  <c r="BT82"/>
  <c r="CC82"/>
  <c r="EC82"/>
  <c r="EB82"/>
  <c r="CG82"/>
  <c r="CH82" s="1"/>
  <c r="BT84"/>
  <c r="CC84"/>
  <c r="EB84"/>
  <c r="EC84" s="1"/>
  <c r="CG84"/>
  <c r="CH84" s="1"/>
  <c r="EF20"/>
  <c r="DM20"/>
  <c r="DX20" s="1"/>
  <c r="CH8"/>
  <c r="EF16"/>
  <c r="DM16"/>
  <c r="DX16" s="1"/>
  <c r="DM88"/>
  <c r="DX88" s="1"/>
  <c r="EF88"/>
  <c r="EF101"/>
  <c r="DM101"/>
  <c r="DX101" s="1"/>
  <c r="CG19"/>
  <c r="CH19" s="1"/>
  <c r="EB19"/>
  <c r="EC19" s="1"/>
  <c r="EF51"/>
  <c r="DM51"/>
  <c r="DX51" s="1"/>
  <c r="EF63"/>
  <c r="DM63"/>
  <c r="DX63" s="1"/>
  <c r="DM104"/>
  <c r="DX104" s="1"/>
  <c r="EF104"/>
  <c r="EF25"/>
  <c r="DM25"/>
  <c r="DX25" s="1"/>
  <c r="EF71"/>
  <c r="DM71"/>
  <c r="DX71" s="1"/>
  <c r="DM96"/>
  <c r="DX96" s="1"/>
  <c r="EF96"/>
  <c r="DH7"/>
  <c r="DK7"/>
  <c r="EF48"/>
  <c r="DM48"/>
  <c r="DX48" s="1"/>
  <c r="EF34"/>
  <c r="DM34"/>
  <c r="DX34" s="1"/>
  <c r="BW8"/>
  <c r="DJ8"/>
  <c r="CD8"/>
  <c r="DM35"/>
  <c r="DX35" s="1"/>
  <c r="EF35"/>
  <c r="EF70"/>
  <c r="DM70"/>
  <c r="DX70" s="1"/>
  <c r="EF99"/>
  <c r="DM99"/>
  <c r="DX99" s="1"/>
  <c r="DM39"/>
  <c r="DX39" s="1"/>
  <c r="EF39"/>
  <c r="EF52"/>
  <c r="DM52"/>
  <c r="DX52" s="1"/>
  <c r="DM97"/>
  <c r="DX97" s="1"/>
  <c r="EF97"/>
  <c r="DM85"/>
  <c r="DX85" s="1"/>
  <c r="EF85"/>
  <c r="EF106"/>
  <c r="DM106"/>
  <c r="DX106" s="1"/>
  <c r="BT49"/>
  <c r="CC49"/>
  <c r="EB49"/>
  <c r="EC49" s="1"/>
  <c r="CG49"/>
  <c r="CH49" s="1"/>
  <c r="DM65"/>
  <c r="DX65" s="1"/>
  <c r="EF65"/>
  <c r="EF37"/>
  <c r="DM37"/>
  <c r="DX37" s="1"/>
  <c r="BW50"/>
  <c r="DJ50"/>
  <c r="CD50"/>
  <c r="EF53"/>
  <c r="DM53"/>
  <c r="DX53" s="1"/>
  <c r="EF62"/>
  <c r="DM62"/>
  <c r="DX62" s="1"/>
  <c r="DM83"/>
  <c r="DX83" s="1"/>
  <c r="EF83"/>
  <c r="CC19"/>
  <c r="BT19"/>
  <c r="DM44"/>
  <c r="DX44" s="1"/>
  <c r="EF44"/>
  <c r="DM31"/>
  <c r="DX31" s="1"/>
  <c r="EF31"/>
  <c r="EF41"/>
  <c r="DM41"/>
  <c r="DX41" s="1"/>
  <c r="DX92"/>
  <c r="DM75" i="9"/>
  <c r="DX75" s="1"/>
  <c r="EF75"/>
  <c r="DM95"/>
  <c r="DX95" s="1"/>
  <c r="EF95"/>
  <c r="DM16"/>
  <c r="DX16" s="1"/>
  <c r="EF16"/>
  <c r="EF25"/>
  <c r="DM25"/>
  <c r="DM39"/>
  <c r="EF39"/>
  <c r="EF83"/>
  <c r="DM83"/>
  <c r="DX83" s="1"/>
  <c r="DH7"/>
  <c r="DK8"/>
  <c r="EF20"/>
  <c r="DM20"/>
  <c r="DM52"/>
  <c r="EF52"/>
  <c r="DM72"/>
  <c r="EF72"/>
  <c r="DM67"/>
  <c r="DX67" s="1"/>
  <c r="EF67"/>
  <c r="EF79"/>
  <c r="DM79"/>
  <c r="EF91"/>
  <c r="DM91"/>
  <c r="DX91" s="1"/>
  <c r="EF100"/>
  <c r="DM100"/>
  <c r="DX100" s="1"/>
  <c r="BT80"/>
  <c r="CC80"/>
  <c r="EC80"/>
  <c r="EB80"/>
  <c r="CG80"/>
  <c r="CH80" s="1"/>
  <c r="EC93"/>
  <c r="EB93"/>
  <c r="CG93"/>
  <c r="CH93" s="1"/>
  <c r="BB8"/>
  <c r="BG8"/>
  <c r="EF54"/>
  <c r="DM54"/>
  <c r="DX54" s="1"/>
  <c r="DM98"/>
  <c r="DX98" s="1"/>
  <c r="EF98"/>
  <c r="EF34"/>
  <c r="DM34"/>
  <c r="EF41"/>
  <c r="DM41"/>
  <c r="DX41" s="1"/>
  <c r="DM70"/>
  <c r="DX70" s="1"/>
  <c r="EF70"/>
  <c r="DM63"/>
  <c r="DX63" s="1"/>
  <c r="EF63"/>
  <c r="CC15"/>
  <c r="BT15"/>
  <c r="EB15"/>
  <c r="EC15" s="1"/>
  <c r="CG15"/>
  <c r="CH15" s="1"/>
  <c r="CC18"/>
  <c r="BT18"/>
  <c r="EB18"/>
  <c r="EC18" s="1"/>
  <c r="CG18"/>
  <c r="CH18" s="1"/>
  <c r="DM62"/>
  <c r="DX62" s="1"/>
  <c r="EF62"/>
  <c r="DM96"/>
  <c r="DX96" s="1"/>
  <c r="EF96"/>
  <c r="DM35"/>
  <c r="DX35" s="1"/>
  <c r="EF35"/>
  <c r="EF61"/>
  <c r="DM61"/>
  <c r="DX61" s="1"/>
  <c r="DM88"/>
  <c r="DX88" s="1"/>
  <c r="EF88"/>
  <c r="DX20"/>
  <c r="EF37"/>
  <c r="DX14"/>
  <c r="DX31"/>
  <c r="DX72"/>
  <c r="DG8"/>
  <c r="EF42"/>
  <c r="DM42"/>
  <c r="DX42" s="1"/>
  <c r="DM85"/>
  <c r="DX85" s="1"/>
  <c r="EF85"/>
  <c r="EF101"/>
  <c r="DM101"/>
  <c r="DX101" s="1"/>
  <c r="EF48"/>
  <c r="DM48"/>
  <c r="EF51"/>
  <c r="DM51"/>
  <c r="DX51" s="1"/>
  <c r="EF47"/>
  <c r="DM47"/>
  <c r="DX47" s="1"/>
  <c r="DM104"/>
  <c r="DX104" s="1"/>
  <c r="EF104"/>
  <c r="BW8"/>
  <c r="DJ8"/>
  <c r="CD8"/>
  <c r="EF45"/>
  <c r="DM45"/>
  <c r="DX45" s="1"/>
  <c r="EF92"/>
  <c r="DM92"/>
  <c r="DX92" s="1"/>
  <c r="EF38"/>
  <c r="DM38"/>
  <c r="DX38" s="1"/>
  <c r="DM57"/>
  <c r="EF57"/>
  <c r="DM71"/>
  <c r="EF71"/>
  <c r="CC93"/>
  <c r="BT93"/>
  <c r="EF56"/>
  <c r="DM56"/>
  <c r="DX56" s="1"/>
  <c r="DM103"/>
  <c r="DX103" s="1"/>
  <c r="EF103"/>
  <c r="CH8"/>
  <c r="EF44"/>
  <c r="DM44"/>
  <c r="DX44" s="1"/>
  <c r="DM27"/>
  <c r="DX27" s="1"/>
  <c r="EF27"/>
  <c r="DM53"/>
  <c r="DX53" s="1"/>
  <c r="EF53"/>
  <c r="DM33"/>
  <c r="DX33" s="1"/>
  <c r="EF33"/>
  <c r="DM32"/>
  <c r="DX32" s="1"/>
  <c r="EF32"/>
  <c r="DM99"/>
  <c r="DX99" s="1"/>
  <c r="EF99"/>
  <c r="DX34"/>
  <c r="DX48"/>
  <c r="DX39"/>
  <c r="DX57"/>
  <c r="DX79"/>
  <c r="DX37"/>
  <c r="DX52"/>
  <c r="DX71"/>
  <c r="DX25"/>
  <c r="BY44" i="5"/>
  <c r="BZ44" s="1"/>
  <c r="AF49"/>
  <c r="AF49" i="9" s="1"/>
  <c r="AF49" i="12" s="1"/>
  <c r="AF49" i="15" s="1"/>
  <c r="AF49" i="19" s="1"/>
  <c r="BV44" i="5"/>
  <c r="BU7"/>
  <c r="AF12"/>
  <c r="AF12" i="9" s="1"/>
  <c r="AF12" i="12" s="1"/>
  <c r="AF12" i="15" s="1"/>
  <c r="AF12" i="19" s="1"/>
  <c r="T75" i="5"/>
  <c r="AF26"/>
  <c r="AF26" i="9" s="1"/>
  <c r="AF26" i="12" s="1"/>
  <c r="AF26" i="15" s="1"/>
  <c r="AF26" i="19" s="1"/>
  <c r="EA82" i="2"/>
  <c r="AF82"/>
  <c r="AF89" i="5"/>
  <c r="AF89" i="9" s="1"/>
  <c r="AF89" i="12" s="1"/>
  <c r="AF89" i="15" s="1"/>
  <c r="AF89" i="19" s="1"/>
  <c r="AF90" i="5"/>
  <c r="AF90" i="9" s="1"/>
  <c r="AF90" i="12" s="1"/>
  <c r="AF90" i="15" s="1"/>
  <c r="AF90" i="19" s="1"/>
  <c r="AF99" i="5"/>
  <c r="AF99" i="9" s="1"/>
  <c r="AF99" i="12" s="1"/>
  <c r="AF99" i="15" s="1"/>
  <c r="AF99" i="19" s="1"/>
  <c r="AF101" i="5"/>
  <c r="AF101" i="9" s="1"/>
  <c r="AF101" i="12" s="1"/>
  <c r="AF101" i="15" s="1"/>
  <c r="AF101" i="19" s="1"/>
  <c r="AF98" i="5"/>
  <c r="AF98" i="9" s="1"/>
  <c r="AF98" i="12" s="1"/>
  <c r="AF98" i="15" s="1"/>
  <c r="AF98" i="19" s="1"/>
  <c r="AF100" i="5"/>
  <c r="AF100" i="9" s="1"/>
  <c r="AF100" i="12" s="1"/>
  <c r="AF100" i="15" s="1"/>
  <c r="AF100" i="19" s="1"/>
  <c r="W7" i="2"/>
  <c r="DL23"/>
  <c r="DW48"/>
  <c r="DL33"/>
  <c r="BU74"/>
  <c r="CT74"/>
  <c r="DW70"/>
  <c r="DW79"/>
  <c r="AM92"/>
  <c r="BA92" s="1"/>
  <c r="AF52" i="5"/>
  <c r="AF52" i="9" s="1"/>
  <c r="AF52" i="12" s="1"/>
  <c r="AF52" i="15" s="1"/>
  <c r="AF52" i="19" s="1"/>
  <c r="AF35" i="5"/>
  <c r="AF35" i="9" s="1"/>
  <c r="AF35" i="12" s="1"/>
  <c r="AF35" i="15" s="1"/>
  <c r="AF35" i="19" s="1"/>
  <c r="AF40" i="5"/>
  <c r="AF40" i="9" s="1"/>
  <c r="AF40" i="12" s="1"/>
  <c r="AF40" i="15" s="1"/>
  <c r="AF40" i="19" s="1"/>
  <c r="AF60" i="5"/>
  <c r="AF60" i="9" s="1"/>
  <c r="AF60" i="12" s="1"/>
  <c r="AF60" i="15" s="1"/>
  <c r="AF60" i="19" s="1"/>
  <c r="AF54" i="5"/>
  <c r="AF54" i="9" s="1"/>
  <c r="AF54" i="12" s="1"/>
  <c r="AF54" i="15" s="1"/>
  <c r="AF54" i="19" s="1"/>
  <c r="AF37" i="5"/>
  <c r="AF37" i="9" s="1"/>
  <c r="AF37" i="12" s="1"/>
  <c r="AF37" i="15" s="1"/>
  <c r="AF37" i="19" s="1"/>
  <c r="AF83" i="5"/>
  <c r="AF83" i="9" s="1"/>
  <c r="AF83" i="12" s="1"/>
  <c r="AF83" i="15" s="1"/>
  <c r="AF83" i="19" s="1"/>
  <c r="AF19" i="5"/>
  <c r="AF19" i="9" s="1"/>
  <c r="AF19" i="12" s="1"/>
  <c r="AF19" i="15" s="1"/>
  <c r="AF19" i="19" s="1"/>
  <c r="AF79" i="5"/>
  <c r="AF79" i="9" s="1"/>
  <c r="AF79" i="12" s="1"/>
  <c r="AF79" i="15" s="1"/>
  <c r="AF79" i="19" s="1"/>
  <c r="AF51" i="5"/>
  <c r="AF51" i="9" s="1"/>
  <c r="AF51" i="12" s="1"/>
  <c r="AF51" i="15" s="1"/>
  <c r="AF51" i="19" s="1"/>
  <c r="AF9" i="5"/>
  <c r="AF9" i="9" s="1"/>
  <c r="AF9" i="12" s="1"/>
  <c r="AF9" i="15" s="1"/>
  <c r="AF9" i="19" s="1"/>
  <c r="AF85" i="5"/>
  <c r="AF85" i="9" s="1"/>
  <c r="AF85" i="12" s="1"/>
  <c r="AF85" i="15" s="1"/>
  <c r="AF85" i="19" s="1"/>
  <c r="AF55" i="5"/>
  <c r="AF55" i="9" s="1"/>
  <c r="AF55" i="12" s="1"/>
  <c r="AF55" i="15" s="1"/>
  <c r="AF55" i="19" s="1"/>
  <c r="AF21" i="5"/>
  <c r="AF21" i="9" s="1"/>
  <c r="AF21" i="12" s="1"/>
  <c r="AF21" i="15" s="1"/>
  <c r="AF21" i="19" s="1"/>
  <c r="AF102" i="5"/>
  <c r="AF102" i="9" s="1"/>
  <c r="AF102" i="12" s="1"/>
  <c r="AF102" i="15" s="1"/>
  <c r="AF102" i="19" s="1"/>
  <c r="BF40" i="5"/>
  <c r="BG40" s="1"/>
  <c r="T40" i="9" s="1"/>
  <c r="BF28" i="5"/>
  <c r="BG28" s="1"/>
  <c r="T28" i="9" s="1"/>
  <c r="DI44" i="5"/>
  <c r="DL44" s="1"/>
  <c r="BS44"/>
  <c r="BT44" s="1"/>
  <c r="CD44" s="1"/>
  <c r="BF82"/>
  <c r="DW82" s="1"/>
  <c r="BX44"/>
  <c r="DW44"/>
  <c r="DH102"/>
  <c r="DK102" s="1"/>
  <c r="DY102"/>
  <c r="CC44"/>
  <c r="DM23"/>
  <c r="BG46"/>
  <c r="T46" i="9" s="1"/>
  <c r="DH105" i="5"/>
  <c r="DK105" s="1"/>
  <c r="DY105"/>
  <c r="DX23"/>
  <c r="DH8"/>
  <c r="CT7"/>
  <c r="CQ6" s="1"/>
  <c r="DY8"/>
  <c r="BW106"/>
  <c r="DJ106"/>
  <c r="CD106"/>
  <c r="BW61"/>
  <c r="DJ61"/>
  <c r="CD61"/>
  <c r="EF71"/>
  <c r="DM71"/>
  <c r="DJ27"/>
  <c r="CD27"/>
  <c r="BW27"/>
  <c r="BW14"/>
  <c r="DJ14"/>
  <c r="DM14" s="1"/>
  <c r="CD14"/>
  <c r="BW103"/>
  <c r="DJ103"/>
  <c r="CD103"/>
  <c r="EF97"/>
  <c r="DM97"/>
  <c r="DJ83"/>
  <c r="CD83"/>
  <c r="BW83"/>
  <c r="DJ72"/>
  <c r="CD72"/>
  <c r="BW72"/>
  <c r="DJ42"/>
  <c r="CD42"/>
  <c r="BW42"/>
  <c r="DJ38"/>
  <c r="CD38"/>
  <c r="BW38"/>
  <c r="DJ32"/>
  <c r="EF54"/>
  <c r="DM54"/>
  <c r="EF52"/>
  <c r="DM52"/>
  <c r="EF39"/>
  <c r="DM39"/>
  <c r="EF35"/>
  <c r="DM35"/>
  <c r="DJ25"/>
  <c r="CD25"/>
  <c r="BW25"/>
  <c r="BV40"/>
  <c r="DI40"/>
  <c r="BY40"/>
  <c r="BZ40" s="1"/>
  <c r="BS40"/>
  <c r="BX28"/>
  <c r="BV28"/>
  <c r="DI28"/>
  <c r="BY28"/>
  <c r="BZ28" s="1"/>
  <c r="BS28"/>
  <c r="DI50"/>
  <c r="BS50"/>
  <c r="EB46"/>
  <c r="EC46" s="1"/>
  <c r="CG46"/>
  <c r="CH46" s="1"/>
  <c r="DH79"/>
  <c r="DK79" s="1"/>
  <c r="DY79"/>
  <c r="DH51"/>
  <c r="DK51" s="1"/>
  <c r="DY51"/>
  <c r="DH47"/>
  <c r="DK47" s="1"/>
  <c r="DY47"/>
  <c r="DH44"/>
  <c r="DK44" s="1"/>
  <c r="DY44"/>
  <c r="DH29"/>
  <c r="DK29" s="1"/>
  <c r="DY29"/>
  <c r="BT8"/>
  <c r="CC8"/>
  <c r="DL8"/>
  <c r="EB44"/>
  <c r="EC44" s="1"/>
  <c r="CG44"/>
  <c r="CH44" s="1"/>
  <c r="BB78"/>
  <c r="DJ102"/>
  <c r="DM102" s="1"/>
  <c r="DX102" s="1"/>
  <c r="CD102"/>
  <c r="BW102"/>
  <c r="DJ99"/>
  <c r="CD99"/>
  <c r="BW99"/>
  <c r="BW85"/>
  <c r="DJ85"/>
  <c r="CD85"/>
  <c r="DJ89"/>
  <c r="DM89" s="1"/>
  <c r="DX89" s="1"/>
  <c r="BW89"/>
  <c r="CD89"/>
  <c r="CD86"/>
  <c r="DJ86"/>
  <c r="EF86" s="1"/>
  <c r="BW86"/>
  <c r="BW75"/>
  <c r="DJ75"/>
  <c r="CD75"/>
  <c r="DI69"/>
  <c r="DL69" s="1"/>
  <c r="BY69"/>
  <c r="BZ69" s="1"/>
  <c r="BX69"/>
  <c r="BV69"/>
  <c r="DW69" s="1"/>
  <c r="BS69"/>
  <c r="DJ57"/>
  <c r="CD57"/>
  <c r="BW57"/>
  <c r="DJ16"/>
  <c r="CD16"/>
  <c r="BW16"/>
  <c r="DJ101"/>
  <c r="CD101"/>
  <c r="BW101"/>
  <c r="DJ95"/>
  <c r="CD95"/>
  <c r="BW95"/>
  <c r="BW62"/>
  <c r="DJ62"/>
  <c r="CD62"/>
  <c r="DJ53"/>
  <c r="CD53"/>
  <c r="BW53"/>
  <c r="DJ47"/>
  <c r="CD47"/>
  <c r="BW47"/>
  <c r="DJ44"/>
  <c r="DM44" s="1"/>
  <c r="BW44"/>
  <c r="BW26"/>
  <c r="DJ26"/>
  <c r="DM26" s="1"/>
  <c r="CD26"/>
  <c r="DH86"/>
  <c r="DK86" s="1"/>
  <c r="DY86"/>
  <c r="DH95"/>
  <c r="DK95" s="1"/>
  <c r="DY95"/>
  <c r="DH96"/>
  <c r="DK96" s="1"/>
  <c r="DY96"/>
  <c r="DH92"/>
  <c r="DK92" s="1"/>
  <c r="DY92"/>
  <c r="DH83"/>
  <c r="DK83" s="1"/>
  <c r="DY83"/>
  <c r="DH73"/>
  <c r="DK73" s="1"/>
  <c r="DY73"/>
  <c r="DH70"/>
  <c r="DK70" s="1"/>
  <c r="DY70"/>
  <c r="DH48"/>
  <c r="DK48" s="1"/>
  <c r="DY48"/>
  <c r="DH43"/>
  <c r="DK43" s="1"/>
  <c r="DY43"/>
  <c r="DH40"/>
  <c r="DK40" s="1"/>
  <c r="DY40"/>
  <c r="DH36"/>
  <c r="DK36" s="1"/>
  <c r="DY36"/>
  <c r="DH32"/>
  <c r="DK32" s="1"/>
  <c r="DY32"/>
  <c r="DH28"/>
  <c r="DK28" s="1"/>
  <c r="DY28"/>
  <c r="DH17"/>
  <c r="DK17" s="1"/>
  <c r="DY17"/>
  <c r="DH16"/>
  <c r="DK16" s="1"/>
  <c r="DY16"/>
  <c r="DJ91"/>
  <c r="CD91"/>
  <c r="BW91"/>
  <c r="BV82"/>
  <c r="BY82"/>
  <c r="BZ82" s="1"/>
  <c r="DI31"/>
  <c r="BS31"/>
  <c r="DJ46"/>
  <c r="EF46" s="1"/>
  <c r="CD46"/>
  <c r="BW46"/>
  <c r="DI43"/>
  <c r="BS43"/>
  <c r="CG86"/>
  <c r="CH86" s="1"/>
  <c r="DL40"/>
  <c r="DL28"/>
  <c r="DW28"/>
  <c r="DL46"/>
  <c r="EF98"/>
  <c r="AX7"/>
  <c r="BW88"/>
  <c r="DJ88"/>
  <c r="CD88"/>
  <c r="DJ79"/>
  <c r="CD79"/>
  <c r="BW79"/>
  <c r="BW67"/>
  <c r="DJ67"/>
  <c r="CD67"/>
  <c r="DJ96"/>
  <c r="CD96"/>
  <c r="BW96"/>
  <c r="BW60"/>
  <c r="DJ60"/>
  <c r="CD60"/>
  <c r="DJ70"/>
  <c r="CD70"/>
  <c r="BW70"/>
  <c r="DJ59"/>
  <c r="DM59" s="1"/>
  <c r="CD59"/>
  <c r="BW59"/>
  <c r="DJ51"/>
  <c r="CD51"/>
  <c r="BW51"/>
  <c r="DJ48"/>
  <c r="CD48"/>
  <c r="BW48"/>
  <c r="DJ45"/>
  <c r="CD45"/>
  <c r="BW45"/>
  <c r="EF41"/>
  <c r="DM41"/>
  <c r="EF33"/>
  <c r="DM33"/>
  <c r="BW20"/>
  <c r="DJ20"/>
  <c r="CD20"/>
  <c r="DJ9"/>
  <c r="DM9" s="1"/>
  <c r="CD9"/>
  <c r="BW9"/>
  <c r="DH15"/>
  <c r="DK15" s="1"/>
  <c r="DY15"/>
  <c r="DH84"/>
  <c r="DK84" s="1"/>
  <c r="DY84"/>
  <c r="DH72"/>
  <c r="DK72" s="1"/>
  <c r="DY72"/>
  <c r="DH59"/>
  <c r="DK59" s="1"/>
  <c r="DX59" s="1"/>
  <c r="DY59"/>
  <c r="DH50"/>
  <c r="DK50" s="1"/>
  <c r="DY50"/>
  <c r="DH45"/>
  <c r="DK45" s="1"/>
  <c r="DY45"/>
  <c r="DH27"/>
  <c r="DK27" s="1"/>
  <c r="DY27"/>
  <c r="DH53"/>
  <c r="DK53" s="1"/>
  <c r="DY53"/>
  <c r="DH38"/>
  <c r="DK38" s="1"/>
  <c r="DY38"/>
  <c r="DH34"/>
  <c r="DK34" s="1"/>
  <c r="DY34"/>
  <c r="DH30"/>
  <c r="DK30" s="1"/>
  <c r="DY30"/>
  <c r="DH19"/>
  <c r="DK19" s="1"/>
  <c r="DY19"/>
  <c r="DH13"/>
  <c r="DK13" s="1"/>
  <c r="DY13"/>
  <c r="DG100"/>
  <c r="CD100"/>
  <c r="BW100"/>
  <c r="DJ92"/>
  <c r="CD92"/>
  <c r="BW92"/>
  <c r="DH60"/>
  <c r="DK60" s="1"/>
  <c r="DY60"/>
  <c r="DI56"/>
  <c r="BS56"/>
  <c r="BZ8"/>
  <c r="EC8"/>
  <c r="EB8"/>
  <c r="CG8"/>
  <c r="DH14"/>
  <c r="DK14" s="1"/>
  <c r="DX14" s="1"/>
  <c r="DY14"/>
  <c r="BW104"/>
  <c r="DJ104"/>
  <c r="CD104"/>
  <c r="BW63"/>
  <c r="DJ63"/>
  <c r="CD63"/>
  <c r="BW77"/>
  <c r="DJ77"/>
  <c r="CD77"/>
  <c r="DJ34"/>
  <c r="CD34"/>
  <c r="BW34"/>
  <c r="BW12"/>
  <c r="DJ12"/>
  <c r="DM12" s="1"/>
  <c r="DX12" s="1"/>
  <c r="CD12"/>
  <c r="DH93"/>
  <c r="DK93" s="1"/>
  <c r="DY93"/>
  <c r="DH82"/>
  <c r="DK82" s="1"/>
  <c r="DY82"/>
  <c r="DH81"/>
  <c r="DK81" s="1"/>
  <c r="DY81"/>
  <c r="DH58"/>
  <c r="DK58" s="1"/>
  <c r="DY58"/>
  <c r="DH49"/>
  <c r="DK49" s="1"/>
  <c r="DY49"/>
  <c r="DH46"/>
  <c r="DK46" s="1"/>
  <c r="DY46"/>
  <c r="DH42"/>
  <c r="DK42" s="1"/>
  <c r="DY42"/>
  <c r="DH9"/>
  <c r="DK9" s="1"/>
  <c r="DX9" s="1"/>
  <c r="DY9"/>
  <c r="DX52"/>
  <c r="DX41"/>
  <c r="DX39"/>
  <c r="DX35"/>
  <c r="DX33"/>
  <c r="DX26"/>
  <c r="EC86"/>
  <c r="CC86"/>
  <c r="DW40"/>
  <c r="DX98"/>
  <c r="DX97"/>
  <c r="DX71"/>
  <c r="DX54"/>
  <c r="CC46"/>
  <c r="DY33" i="2"/>
  <c r="DY21"/>
  <c r="DH15"/>
  <c r="DK15" s="1"/>
  <c r="DY15"/>
  <c r="CT82"/>
  <c r="DH82" s="1"/>
  <c r="DK82" s="1"/>
  <c r="CT90"/>
  <c r="BU90"/>
  <c r="DW90" s="1"/>
  <c r="EA90"/>
  <c r="EB90" s="1"/>
  <c r="EC90" s="1"/>
  <c r="DL45"/>
  <c r="AY94"/>
  <c r="AZ94" s="1"/>
  <c r="DG94" s="1"/>
  <c r="DW99" i="1"/>
  <c r="T78" i="2"/>
  <c r="DN78" s="1"/>
  <c r="T104"/>
  <c r="T82"/>
  <c r="T103"/>
  <c r="T105"/>
  <c r="AG105" s="1"/>
  <c r="T77"/>
  <c r="T40"/>
  <c r="T19"/>
  <c r="T54"/>
  <c r="DN54" s="1"/>
  <c r="T69"/>
  <c r="AG69" s="1"/>
  <c r="DL35" i="1"/>
  <c r="DW37"/>
  <c r="DW9"/>
  <c r="DL12"/>
  <c r="DL88" i="2"/>
  <c r="AG78"/>
  <c r="DN104"/>
  <c r="AG104"/>
  <c r="AG103"/>
  <c r="DN103"/>
  <c r="DN105"/>
  <c r="AG19"/>
  <c r="DN19"/>
  <c r="AG54"/>
  <c r="DW92" i="1"/>
  <c r="EA89" i="2"/>
  <c r="EB89" s="1"/>
  <c r="EC89" s="1"/>
  <c r="CT89"/>
  <c r="BU89"/>
  <c r="DW89" s="1"/>
  <c r="EA53"/>
  <c r="CT53"/>
  <c r="BU53"/>
  <c r="DW53" s="1"/>
  <c r="DL38"/>
  <c r="EA102"/>
  <c r="EB102" s="1"/>
  <c r="EC102" s="1"/>
  <c r="CT102"/>
  <c r="BU102"/>
  <c r="DW102" s="1"/>
  <c r="DW47"/>
  <c r="DL90"/>
  <c r="DW39"/>
  <c r="EA26"/>
  <c r="EB26" s="1"/>
  <c r="EC26" s="1"/>
  <c r="CT26"/>
  <c r="BU26"/>
  <c r="DW26" s="1"/>
  <c r="DL19"/>
  <c r="DW91"/>
  <c r="DL95"/>
  <c r="DL15"/>
  <c r="DL71"/>
  <c r="EA14"/>
  <c r="CT14"/>
  <c r="BU14"/>
  <c r="DW14" s="1"/>
  <c r="EA62"/>
  <c r="CT62"/>
  <c r="BU62"/>
  <c r="DY75"/>
  <c r="DH75"/>
  <c r="DK75" s="1"/>
  <c r="DF86"/>
  <c r="DI8"/>
  <c r="BS8"/>
  <c r="EA52"/>
  <c r="CT52"/>
  <c r="BU52"/>
  <c r="EA43"/>
  <c r="CT43"/>
  <c r="BU43"/>
  <c r="EA60"/>
  <c r="EB60" s="1"/>
  <c r="EC60" s="1"/>
  <c r="CT60"/>
  <c r="BU60"/>
  <c r="EA68"/>
  <c r="CT68"/>
  <c r="BU68"/>
  <c r="CT84"/>
  <c r="EA84"/>
  <c r="BU84"/>
  <c r="EB19"/>
  <c r="EC19" s="1"/>
  <c r="CG19"/>
  <c r="CH19" s="1"/>
  <c r="CG54"/>
  <c r="CH54" s="1"/>
  <c r="DH76"/>
  <c r="DK76" s="1"/>
  <c r="DY76"/>
  <c r="DH81"/>
  <c r="DK81" s="1"/>
  <c r="DY81"/>
  <c r="EA85"/>
  <c r="CT85"/>
  <c r="BU85"/>
  <c r="DW85" s="1"/>
  <c r="DH96"/>
  <c r="DK96" s="1"/>
  <c r="DY96"/>
  <c r="EB103"/>
  <c r="EC103" s="1"/>
  <c r="CG103"/>
  <c r="CH103" s="1"/>
  <c r="EA12"/>
  <c r="EB12" s="1"/>
  <c r="CT12"/>
  <c r="BU12"/>
  <c r="DW12" s="1"/>
  <c r="EA50"/>
  <c r="CT50"/>
  <c r="BU50"/>
  <c r="EA40"/>
  <c r="CT40"/>
  <c r="BU40"/>
  <c r="EA65"/>
  <c r="CT65"/>
  <c r="BU65"/>
  <c r="EA64"/>
  <c r="CT64"/>
  <c r="BU64"/>
  <c r="EA83"/>
  <c r="CT83"/>
  <c r="BU83"/>
  <c r="DW83" s="1"/>
  <c r="AY86"/>
  <c r="AZ86" s="1"/>
  <c r="DG86" s="1"/>
  <c r="AX86"/>
  <c r="CA86"/>
  <c r="CA7" s="1"/>
  <c r="BT12"/>
  <c r="CC12"/>
  <c r="EC12"/>
  <c r="CG12"/>
  <c r="CH12" s="1"/>
  <c r="DH13"/>
  <c r="DK13" s="1"/>
  <c r="DY13"/>
  <c r="DH19"/>
  <c r="DK19" s="1"/>
  <c r="DY19"/>
  <c r="CC15"/>
  <c r="BT15"/>
  <c r="EB15"/>
  <c r="EC15" s="1"/>
  <c r="CG15"/>
  <c r="CH15" s="1"/>
  <c r="EC41"/>
  <c r="CG41"/>
  <c r="CH41" s="1"/>
  <c r="BT42"/>
  <c r="CC42"/>
  <c r="EC42"/>
  <c r="CG42"/>
  <c r="CH42" s="1"/>
  <c r="DH44"/>
  <c r="DK44" s="1"/>
  <c r="DY44"/>
  <c r="DH45"/>
  <c r="DK45" s="1"/>
  <c r="DY45"/>
  <c r="DH48"/>
  <c r="DK48" s="1"/>
  <c r="DY48"/>
  <c r="BT51"/>
  <c r="CC51"/>
  <c r="BT20"/>
  <c r="BT26"/>
  <c r="CC26"/>
  <c r="CC33"/>
  <c r="BT33"/>
  <c r="EB33"/>
  <c r="EC33" s="1"/>
  <c r="CG33"/>
  <c r="CH33" s="1"/>
  <c r="CC37"/>
  <c r="BT37"/>
  <c r="EB37"/>
  <c r="EC37" s="1"/>
  <c r="CG37"/>
  <c r="CH37" s="1"/>
  <c r="CC45"/>
  <c r="BT45"/>
  <c r="EB45"/>
  <c r="EC45" s="1"/>
  <c r="CG45"/>
  <c r="CH45" s="1"/>
  <c r="DH73"/>
  <c r="DK73" s="1"/>
  <c r="DY73"/>
  <c r="BT60"/>
  <c r="CC60"/>
  <c r="CG60"/>
  <c r="CH60" s="1"/>
  <c r="DH74"/>
  <c r="DK74" s="1"/>
  <c r="DY74"/>
  <c r="CC71"/>
  <c r="BT71"/>
  <c r="EB71"/>
  <c r="EC71" s="1"/>
  <c r="CG71"/>
  <c r="CH71" s="1"/>
  <c r="DH78"/>
  <c r="DK78" s="1"/>
  <c r="DY78"/>
  <c r="BB94"/>
  <c r="BF94" s="1"/>
  <c r="BG94" s="1"/>
  <c r="BT99"/>
  <c r="CC99"/>
  <c r="EB99"/>
  <c r="EC99" s="1"/>
  <c r="CG99"/>
  <c r="CH99" s="1"/>
  <c r="CC104"/>
  <c r="BT104"/>
  <c r="EB104"/>
  <c r="EC104" s="1"/>
  <c r="CG104"/>
  <c r="CH104" s="1"/>
  <c r="CC16"/>
  <c r="BT16"/>
  <c r="EB16"/>
  <c r="EC16" s="1"/>
  <c r="CG16"/>
  <c r="CH16" s="1"/>
  <c r="DJ19"/>
  <c r="DM19" s="1"/>
  <c r="CD19"/>
  <c r="BW19"/>
  <c r="BT25"/>
  <c r="CC25"/>
  <c r="EC25"/>
  <c r="EB25"/>
  <c r="CG25"/>
  <c r="CH25" s="1"/>
  <c r="DH38"/>
  <c r="DK38" s="1"/>
  <c r="DY38"/>
  <c r="DH22"/>
  <c r="DK22" s="1"/>
  <c r="DY22"/>
  <c r="DH23"/>
  <c r="DK23" s="1"/>
  <c r="DY23"/>
  <c r="DH24"/>
  <c r="DK24" s="1"/>
  <c r="DY24"/>
  <c r="DH25"/>
  <c r="DK25" s="1"/>
  <c r="DY25"/>
  <c r="CC27"/>
  <c r="BT27"/>
  <c r="CC38"/>
  <c r="BT38"/>
  <c r="EB38"/>
  <c r="EC38" s="1"/>
  <c r="CG38"/>
  <c r="CH38" s="1"/>
  <c r="DH77"/>
  <c r="DK77" s="1"/>
  <c r="DY77"/>
  <c r="DH71"/>
  <c r="DK71" s="1"/>
  <c r="DY71"/>
  <c r="DH72"/>
  <c r="DK72" s="1"/>
  <c r="DY72"/>
  <c r="CC57"/>
  <c r="BT57"/>
  <c r="EB57"/>
  <c r="EC57" s="1"/>
  <c r="CG57"/>
  <c r="CH57" s="1"/>
  <c r="CC70"/>
  <c r="BT70"/>
  <c r="EB70"/>
  <c r="CG70"/>
  <c r="CH70" s="1"/>
  <c r="EC70"/>
  <c r="CC95"/>
  <c r="BT95"/>
  <c r="EB95"/>
  <c r="EC95" s="1"/>
  <c r="CG95"/>
  <c r="CH95" s="1"/>
  <c r="BT98"/>
  <c r="CC98"/>
  <c r="EB98"/>
  <c r="EC98" s="1"/>
  <c r="CG98"/>
  <c r="CH98" s="1"/>
  <c r="CC105"/>
  <c r="BT105"/>
  <c r="EB105"/>
  <c r="EC105" s="1"/>
  <c r="CG105"/>
  <c r="CH105" s="1"/>
  <c r="DH79"/>
  <c r="DK79" s="1"/>
  <c r="DY79"/>
  <c r="DH80"/>
  <c r="DK80" s="1"/>
  <c r="DY80"/>
  <c r="BT85"/>
  <c r="CC85"/>
  <c r="EC85"/>
  <c r="EB85"/>
  <c r="CG85"/>
  <c r="CH85" s="1"/>
  <c r="DH87"/>
  <c r="DK87" s="1"/>
  <c r="DY87"/>
  <c r="BT101"/>
  <c r="CC101"/>
  <c r="EB101"/>
  <c r="EC101" s="1"/>
  <c r="CG101"/>
  <c r="CH101" s="1"/>
  <c r="AM86"/>
  <c r="BA86" s="1"/>
  <c r="DL54"/>
  <c r="DW45"/>
  <c r="DL47"/>
  <c r="DL59"/>
  <c r="CC103"/>
  <c r="DL37"/>
  <c r="DW38"/>
  <c r="DL39"/>
  <c r="CC54"/>
  <c r="DW71"/>
  <c r="DL72"/>
  <c r="DL89"/>
  <c r="DL96"/>
  <c r="DL106"/>
  <c r="DL92"/>
  <c r="DL97"/>
  <c r="EA8"/>
  <c r="CT8"/>
  <c r="BU8"/>
  <c r="AE7"/>
  <c r="EA42"/>
  <c r="EB42" s="1"/>
  <c r="CT42"/>
  <c r="BU42"/>
  <c r="EA54"/>
  <c r="EB54" s="1"/>
  <c r="EC54" s="1"/>
  <c r="CT54"/>
  <c r="BU54"/>
  <c r="EA61"/>
  <c r="CT61"/>
  <c r="BU61"/>
  <c r="DW61" s="1"/>
  <c r="AL8"/>
  <c r="BV8" s="1"/>
  <c r="EB75"/>
  <c r="CG75"/>
  <c r="CH75" s="1"/>
  <c r="EC75"/>
  <c r="EA9"/>
  <c r="EB9" s="1"/>
  <c r="CT9"/>
  <c r="BU9"/>
  <c r="DW9" s="1"/>
  <c r="BU35"/>
  <c r="DW35" s="1"/>
  <c r="EA35"/>
  <c r="CT35"/>
  <c r="EA41"/>
  <c r="EB41" s="1"/>
  <c r="CT41"/>
  <c r="BU41"/>
  <c r="EA51"/>
  <c r="EB51" s="1"/>
  <c r="EC51" s="1"/>
  <c r="CT51"/>
  <c r="BU51"/>
  <c r="EA67"/>
  <c r="EB67" s="1"/>
  <c r="CT67"/>
  <c r="BU67"/>
  <c r="EA63"/>
  <c r="CT63"/>
  <c r="BU63"/>
  <c r="EA66"/>
  <c r="CT66"/>
  <c r="BU66"/>
  <c r="CC75"/>
  <c r="BT75"/>
  <c r="BB91"/>
  <c r="BG91"/>
  <c r="BT53"/>
  <c r="CC53"/>
  <c r="CG53"/>
  <c r="CH53" s="1"/>
  <c r="EB53"/>
  <c r="EC53" s="1"/>
  <c r="EA86"/>
  <c r="CT86"/>
  <c r="BU86"/>
  <c r="BT9"/>
  <c r="CC9"/>
  <c r="EC9"/>
  <c r="CG9"/>
  <c r="CH9" s="1"/>
  <c r="DH10"/>
  <c r="DK10" s="1"/>
  <c r="DY10"/>
  <c r="DH11"/>
  <c r="DK11" s="1"/>
  <c r="DY11"/>
  <c r="BT14"/>
  <c r="CC14"/>
  <c r="EC14"/>
  <c r="EB14"/>
  <c r="CG14"/>
  <c r="CH14" s="1"/>
  <c r="DH16"/>
  <c r="DK16" s="1"/>
  <c r="DY16"/>
  <c r="DH17"/>
  <c r="DK17" s="1"/>
  <c r="DY17"/>
  <c r="BT22"/>
  <c r="BT41"/>
  <c r="CC41"/>
  <c r="DH47"/>
  <c r="DK47" s="1"/>
  <c r="DY47"/>
  <c r="DH49"/>
  <c r="DK49" s="1"/>
  <c r="DY49"/>
  <c r="CG51"/>
  <c r="CH51" s="1"/>
  <c r="BT52"/>
  <c r="CC52"/>
  <c r="EB52"/>
  <c r="EC52" s="1"/>
  <c r="CG52"/>
  <c r="CH52" s="1"/>
  <c r="CC35"/>
  <c r="BT35"/>
  <c r="EB35"/>
  <c r="CG35"/>
  <c r="CH35" s="1"/>
  <c r="EC35"/>
  <c r="CC39"/>
  <c r="BT39"/>
  <c r="EB39"/>
  <c r="EC39" s="1"/>
  <c r="CG39"/>
  <c r="CH39" s="1"/>
  <c r="CC47"/>
  <c r="BT47"/>
  <c r="EB47"/>
  <c r="EC47" s="1"/>
  <c r="CG47"/>
  <c r="CH47" s="1"/>
  <c r="DH57"/>
  <c r="DK57" s="1"/>
  <c r="DY57"/>
  <c r="DH58"/>
  <c r="DK58" s="1"/>
  <c r="DY58"/>
  <c r="DH59"/>
  <c r="DK59" s="1"/>
  <c r="DY59"/>
  <c r="BT61"/>
  <c r="CC61"/>
  <c r="EC61"/>
  <c r="EB61"/>
  <c r="CG61"/>
  <c r="CH61" s="1"/>
  <c r="BT62"/>
  <c r="CC62"/>
  <c r="EC62"/>
  <c r="EB62"/>
  <c r="CG62"/>
  <c r="CH62" s="1"/>
  <c r="CC89"/>
  <c r="BT89"/>
  <c r="BW103"/>
  <c r="DJ103"/>
  <c r="EF103" s="1"/>
  <c r="CD103"/>
  <c r="CC92"/>
  <c r="BT92"/>
  <c r="EB92"/>
  <c r="EC92" s="1"/>
  <c r="CG92"/>
  <c r="CH92" s="1"/>
  <c r="DH98"/>
  <c r="DK98" s="1"/>
  <c r="DY98"/>
  <c r="DH100"/>
  <c r="DK100" s="1"/>
  <c r="DY100"/>
  <c r="DH55"/>
  <c r="DK55" s="1"/>
  <c r="DY55"/>
  <c r="BT23"/>
  <c r="CC23"/>
  <c r="EC23"/>
  <c r="EB23"/>
  <c r="CG23"/>
  <c r="CH23" s="1"/>
  <c r="DH36"/>
  <c r="DK36" s="1"/>
  <c r="DY36"/>
  <c r="DH37"/>
  <c r="DK37" s="1"/>
  <c r="DY37"/>
  <c r="DH39"/>
  <c r="DK39" s="1"/>
  <c r="DY39"/>
  <c r="DH56"/>
  <c r="DK56" s="1"/>
  <c r="DY56"/>
  <c r="EB27"/>
  <c r="EC27" s="1"/>
  <c r="CG27"/>
  <c r="CH27" s="1"/>
  <c r="CC32"/>
  <c r="BT32"/>
  <c r="EB32"/>
  <c r="EC32" s="1"/>
  <c r="CG32"/>
  <c r="CH32" s="1"/>
  <c r="CC34"/>
  <c r="BT34"/>
  <c r="EB34"/>
  <c r="CG34"/>
  <c r="CH34" s="1"/>
  <c r="EC34"/>
  <c r="CC48"/>
  <c r="BT48"/>
  <c r="EB48"/>
  <c r="EC48" s="1"/>
  <c r="CG48"/>
  <c r="CH48" s="1"/>
  <c r="DJ54"/>
  <c r="DM54" s="1"/>
  <c r="CD54"/>
  <c r="BW54"/>
  <c r="BT63"/>
  <c r="CC63"/>
  <c r="EC63"/>
  <c r="EB63"/>
  <c r="CG63"/>
  <c r="CH63" s="1"/>
  <c r="BT67"/>
  <c r="CC67"/>
  <c r="EC67"/>
  <c r="CG67"/>
  <c r="CH67" s="1"/>
  <c r="DH69"/>
  <c r="DK69" s="1"/>
  <c r="DY69"/>
  <c r="DH70"/>
  <c r="DK70" s="1"/>
  <c r="DY70"/>
  <c r="CC59"/>
  <c r="BT59"/>
  <c r="EB59"/>
  <c r="EC59" s="1"/>
  <c r="CG59"/>
  <c r="CH59" s="1"/>
  <c r="CC72"/>
  <c r="BT72"/>
  <c r="EB72"/>
  <c r="EC72" s="1"/>
  <c r="CG72"/>
  <c r="CH72" s="1"/>
  <c r="CC88"/>
  <c r="BT88"/>
  <c r="EB88"/>
  <c r="EC88" s="1"/>
  <c r="CG88"/>
  <c r="CH88" s="1"/>
  <c r="DH91"/>
  <c r="DK91" s="1"/>
  <c r="DY91"/>
  <c r="BW106"/>
  <c r="DJ106"/>
  <c r="EF106" s="1"/>
  <c r="CD106"/>
  <c r="CC91"/>
  <c r="BT91"/>
  <c r="EB91"/>
  <c r="EC91" s="1"/>
  <c r="CG91"/>
  <c r="CH91" s="1"/>
  <c r="CC93"/>
  <c r="BT93"/>
  <c r="EB93"/>
  <c r="CG93"/>
  <c r="CH93" s="1"/>
  <c r="EC93"/>
  <c r="CC97"/>
  <c r="BT97"/>
  <c r="EB97"/>
  <c r="EC97" s="1"/>
  <c r="CG97"/>
  <c r="CH97" s="1"/>
  <c r="BT100"/>
  <c r="BT102"/>
  <c r="CC102"/>
  <c r="DY82"/>
  <c r="BT83"/>
  <c r="CC83"/>
  <c r="EB83"/>
  <c r="EC83" s="1"/>
  <c r="CG83"/>
  <c r="CH83" s="1"/>
  <c r="CC79"/>
  <c r="BT79"/>
  <c r="EB79"/>
  <c r="CG79"/>
  <c r="CH79" s="1"/>
  <c r="EC79"/>
  <c r="BB92"/>
  <c r="BG92"/>
  <c r="BT90"/>
  <c r="CC90"/>
  <c r="CC96"/>
  <c r="BT96"/>
  <c r="EB96"/>
  <c r="CG96"/>
  <c r="CH96" s="1"/>
  <c r="EC96"/>
  <c r="DH99"/>
  <c r="DK99" s="1"/>
  <c r="DY99"/>
  <c r="DH101"/>
  <c r="DK101" s="1"/>
  <c r="DY101"/>
  <c r="CC19"/>
  <c r="DL35"/>
  <c r="DW37"/>
  <c r="DW99"/>
  <c r="DW101"/>
  <c r="BB58" i="1"/>
  <c r="BF58" s="1"/>
  <c r="BB73"/>
  <c r="BF73" s="1"/>
  <c r="BB50"/>
  <c r="BF50" s="1"/>
  <c r="BB94"/>
  <c r="BF94" s="1"/>
  <c r="BB43"/>
  <c r="BF43" s="1"/>
  <c r="BB86"/>
  <c r="BF86" s="1"/>
  <c r="BB24"/>
  <c r="BF24" s="1"/>
  <c r="BG24" s="1"/>
  <c r="BU14"/>
  <c r="DW14" s="1"/>
  <c r="EA14"/>
  <c r="CT14"/>
  <c r="AF14"/>
  <c r="BB22"/>
  <c r="BG22"/>
  <c r="DH19"/>
  <c r="DK19" s="1"/>
  <c r="DY19"/>
  <c r="BU8"/>
  <c r="AE7"/>
  <c r="EA8"/>
  <c r="CT8"/>
  <c r="AF8"/>
  <c r="EA52"/>
  <c r="CT52"/>
  <c r="AF52"/>
  <c r="BU52"/>
  <c r="BT74"/>
  <c r="CC74"/>
  <c r="BB10"/>
  <c r="BF10" s="1"/>
  <c r="CG53"/>
  <c r="CH53" s="1"/>
  <c r="DH93"/>
  <c r="DK93" s="1"/>
  <c r="DY93"/>
  <c r="DI8"/>
  <c r="BY8"/>
  <c r="BX8"/>
  <c r="BV8"/>
  <c r="BS8"/>
  <c r="BB21"/>
  <c r="BF21" s="1"/>
  <c r="EA25"/>
  <c r="CT25"/>
  <c r="AF25"/>
  <c r="BU25"/>
  <c r="EA43"/>
  <c r="CT43"/>
  <c r="AF43"/>
  <c r="BU43"/>
  <c r="BB55"/>
  <c r="BF55" s="1"/>
  <c r="EA69"/>
  <c r="CT69"/>
  <c r="AF69"/>
  <c r="BU69"/>
  <c r="DW69" s="1"/>
  <c r="EA72"/>
  <c r="CT72"/>
  <c r="AF72"/>
  <c r="BU72"/>
  <c r="EA71"/>
  <c r="CT71"/>
  <c r="AF71"/>
  <c r="BU71"/>
  <c r="DW71" s="1"/>
  <c r="BB84"/>
  <c r="BF84" s="1"/>
  <c r="EA82"/>
  <c r="CT82"/>
  <c r="AF82"/>
  <c r="BU82"/>
  <c r="CC91"/>
  <c r="BT91"/>
  <c r="CC92"/>
  <c r="BT92"/>
  <c r="BB100"/>
  <c r="BG100"/>
  <c r="DW10"/>
  <c r="DF10"/>
  <c r="AY10"/>
  <c r="AZ10" s="1"/>
  <c r="DG10" s="1"/>
  <c r="DF13"/>
  <c r="AY13"/>
  <c r="AZ13" s="1"/>
  <c r="DG13" s="1"/>
  <c r="BB25"/>
  <c r="BG25"/>
  <c r="BG26"/>
  <c r="BB26"/>
  <c r="BB42"/>
  <c r="BG42"/>
  <c r="BB52"/>
  <c r="BG52"/>
  <c r="DH54"/>
  <c r="DK54" s="1"/>
  <c r="DY54"/>
  <c r="DH56"/>
  <c r="DK56" s="1"/>
  <c r="DY56"/>
  <c r="BB70"/>
  <c r="BG70"/>
  <c r="BB72"/>
  <c r="BG72"/>
  <c r="EB74"/>
  <c r="EC74"/>
  <c r="CG74"/>
  <c r="CH74" s="1"/>
  <c r="DY92"/>
  <c r="DH92"/>
  <c r="DK92" s="1"/>
  <c r="AY86"/>
  <c r="AZ86" s="1"/>
  <c r="DG86" s="1"/>
  <c r="AX86"/>
  <c r="CB86" s="1"/>
  <c r="CA86"/>
  <c r="CA7" s="1"/>
  <c r="BB93"/>
  <c r="BG93"/>
  <c r="BB95"/>
  <c r="BG95"/>
  <c r="BB11"/>
  <c r="BG11"/>
  <c r="DW8"/>
  <c r="DF8"/>
  <c r="AL7"/>
  <c r="AY8"/>
  <c r="AM8"/>
  <c r="EA24"/>
  <c r="CT24"/>
  <c r="AF24"/>
  <c r="BU24"/>
  <c r="EA41"/>
  <c r="CT41"/>
  <c r="AF41"/>
  <c r="BU41"/>
  <c r="BU53"/>
  <c r="DW53" s="1"/>
  <c r="AF53"/>
  <c r="EA53"/>
  <c r="EB53" s="1"/>
  <c r="EC53" s="1"/>
  <c r="CT53"/>
  <c r="EA23"/>
  <c r="CT23"/>
  <c r="BU23"/>
  <c r="AF23"/>
  <c r="EA50"/>
  <c r="CT50"/>
  <c r="AF50"/>
  <c r="BU50"/>
  <c r="EA59"/>
  <c r="CT59"/>
  <c r="AF59"/>
  <c r="BU59"/>
  <c r="DW59" s="1"/>
  <c r="BB76"/>
  <c r="BF76" s="1"/>
  <c r="EA96"/>
  <c r="CT96"/>
  <c r="AF96"/>
  <c r="BU96"/>
  <c r="DW96" s="1"/>
  <c r="EA97"/>
  <c r="CT97"/>
  <c r="AF97"/>
  <c r="BU97"/>
  <c r="DW97" s="1"/>
  <c r="BB99"/>
  <c r="BG99"/>
  <c r="BB102"/>
  <c r="BG102"/>
  <c r="BB23"/>
  <c r="BG23"/>
  <c r="BB15"/>
  <c r="BG15"/>
  <c r="BB41"/>
  <c r="BG41"/>
  <c r="BB51"/>
  <c r="BG51"/>
  <c r="BB53"/>
  <c r="BG53"/>
  <c r="BB57"/>
  <c r="BG57"/>
  <c r="BB59"/>
  <c r="BG59"/>
  <c r="BB71"/>
  <c r="BG71"/>
  <c r="DH76"/>
  <c r="DK76" s="1"/>
  <c r="DY76"/>
  <c r="BB83"/>
  <c r="BG83"/>
  <c r="EA85"/>
  <c r="CT85"/>
  <c r="AF85"/>
  <c r="BU85"/>
  <c r="DW85" s="1"/>
  <c r="BB85"/>
  <c r="BG85"/>
  <c r="BT11"/>
  <c r="CC11"/>
  <c r="BT15"/>
  <c r="CC15"/>
  <c r="EB15"/>
  <c r="EC15" s="1"/>
  <c r="CG15"/>
  <c r="CH15" s="1"/>
  <c r="EB18"/>
  <c r="EC18" s="1"/>
  <c r="CG18"/>
  <c r="CH18" s="1"/>
  <c r="BT20"/>
  <c r="CC20"/>
  <c r="EB20"/>
  <c r="EC20" s="1"/>
  <c r="CG20"/>
  <c r="CH20" s="1"/>
  <c r="BB17"/>
  <c r="BF17" s="1"/>
  <c r="BB18"/>
  <c r="BG18"/>
  <c r="DH20"/>
  <c r="DK20" s="1"/>
  <c r="DY20"/>
  <c r="DH22"/>
  <c r="DK22" s="1"/>
  <c r="DY22"/>
  <c r="BT25"/>
  <c r="CC25"/>
  <c r="DH28"/>
  <c r="DK28" s="1"/>
  <c r="DY28"/>
  <c r="DH29"/>
  <c r="DK29" s="1"/>
  <c r="DY29"/>
  <c r="DH30"/>
  <c r="DK30" s="1"/>
  <c r="DY30"/>
  <c r="DH31"/>
  <c r="DK31" s="1"/>
  <c r="DY31"/>
  <c r="DH32"/>
  <c r="DK32" s="1"/>
  <c r="DY32"/>
  <c r="BB33"/>
  <c r="BG33"/>
  <c r="DH34"/>
  <c r="DK34" s="1"/>
  <c r="DY34"/>
  <c r="BB35"/>
  <c r="BG35"/>
  <c r="DH36"/>
  <c r="DK36" s="1"/>
  <c r="DY36"/>
  <c r="DH37"/>
  <c r="DK37" s="1"/>
  <c r="DY37"/>
  <c r="BB38"/>
  <c r="BG38"/>
  <c r="DH39"/>
  <c r="DK39" s="1"/>
  <c r="DY39"/>
  <c r="CC31"/>
  <c r="BT31"/>
  <c r="EB31"/>
  <c r="EC31" s="1"/>
  <c r="CG31"/>
  <c r="CH31" s="1"/>
  <c r="CC35"/>
  <c r="BT35"/>
  <c r="EB35"/>
  <c r="CG35"/>
  <c r="CH35" s="1"/>
  <c r="EC35"/>
  <c r="CC39"/>
  <c r="BT39"/>
  <c r="EB39"/>
  <c r="EC39" s="1"/>
  <c r="CG39"/>
  <c r="CH39" s="1"/>
  <c r="CC47"/>
  <c r="BT47"/>
  <c r="EB47"/>
  <c r="EC47" s="1"/>
  <c r="CG47"/>
  <c r="CH47" s="1"/>
  <c r="BB63"/>
  <c r="BG63"/>
  <c r="BB64"/>
  <c r="BF64" s="1"/>
  <c r="BG64" s="1"/>
  <c r="BB65"/>
  <c r="BF65" s="1"/>
  <c r="BG65" s="1"/>
  <c r="BB66"/>
  <c r="BF66" s="1"/>
  <c r="BG66" s="1"/>
  <c r="BT71"/>
  <c r="CC71"/>
  <c r="EB71"/>
  <c r="EC71" s="1"/>
  <c r="CG71"/>
  <c r="CH71" s="1"/>
  <c r="BT72"/>
  <c r="CC72"/>
  <c r="EB72"/>
  <c r="EC72" s="1"/>
  <c r="CG72"/>
  <c r="CH72" s="1"/>
  <c r="CC60"/>
  <c r="BT60"/>
  <c r="EB60"/>
  <c r="EC60" s="1"/>
  <c r="CG60"/>
  <c r="CH60" s="1"/>
  <c r="BB81"/>
  <c r="BF81" s="1"/>
  <c r="BG81" s="1"/>
  <c r="CC79"/>
  <c r="BT79"/>
  <c r="EB79"/>
  <c r="CG79"/>
  <c r="CH79" s="1"/>
  <c r="EC79"/>
  <c r="BT93"/>
  <c r="CC93"/>
  <c r="EC93"/>
  <c r="EB93"/>
  <c r="CG93"/>
  <c r="CH93" s="1"/>
  <c r="BT96"/>
  <c r="CC96"/>
  <c r="EC96"/>
  <c r="EB96"/>
  <c r="CG96"/>
  <c r="CH96" s="1"/>
  <c r="BT100"/>
  <c r="CC100"/>
  <c r="EB100"/>
  <c r="EC100" s="1"/>
  <c r="CG100"/>
  <c r="CH100" s="1"/>
  <c r="BB106"/>
  <c r="BG106"/>
  <c r="BB9"/>
  <c r="BG9"/>
  <c r="BT40"/>
  <c r="CC40"/>
  <c r="EC40"/>
  <c r="CG40"/>
  <c r="CH40" s="1"/>
  <c r="CC12"/>
  <c r="BT12"/>
  <c r="EB12"/>
  <c r="CG12"/>
  <c r="CH12" s="1"/>
  <c r="EC12"/>
  <c r="DH18"/>
  <c r="DK18" s="1"/>
  <c r="DY18"/>
  <c r="CC19"/>
  <c r="BT19"/>
  <c r="BB20"/>
  <c r="BG20"/>
  <c r="EB22"/>
  <c r="EC22" s="1"/>
  <c r="CG22"/>
  <c r="CH22" s="1"/>
  <c r="BT23"/>
  <c r="CC23"/>
  <c r="BB31"/>
  <c r="BG31"/>
  <c r="BT41"/>
  <c r="CC41"/>
  <c r="EC41"/>
  <c r="EB41"/>
  <c r="CG41"/>
  <c r="CH41" s="1"/>
  <c r="EC42"/>
  <c r="CG42"/>
  <c r="CH42" s="1"/>
  <c r="DH44"/>
  <c r="DK44" s="1"/>
  <c r="DY44"/>
  <c r="DH45"/>
  <c r="DK45" s="1"/>
  <c r="DY45"/>
  <c r="BB45"/>
  <c r="BG45"/>
  <c r="BB46"/>
  <c r="BF46" s="1"/>
  <c r="BB47"/>
  <c r="BG47"/>
  <c r="DH48"/>
  <c r="DK48" s="1"/>
  <c r="DY48"/>
  <c r="BT51"/>
  <c r="CC51"/>
  <c r="BT52"/>
  <c r="CC52"/>
  <c r="CC32"/>
  <c r="BT32"/>
  <c r="EB32"/>
  <c r="EC32" s="1"/>
  <c r="CG32"/>
  <c r="CH32" s="1"/>
  <c r="CC38"/>
  <c r="BT38"/>
  <c r="EB38"/>
  <c r="EC38" s="1"/>
  <c r="CG38"/>
  <c r="CH38" s="1"/>
  <c r="DH77"/>
  <c r="DK77" s="1"/>
  <c r="DY77"/>
  <c r="BT59"/>
  <c r="CC59"/>
  <c r="EB59"/>
  <c r="EC59" s="1"/>
  <c r="CG59"/>
  <c r="CH59" s="1"/>
  <c r="DH60"/>
  <c r="DK60" s="1"/>
  <c r="DY60"/>
  <c r="DH61"/>
  <c r="DK61" s="1"/>
  <c r="DY61"/>
  <c r="BB62"/>
  <c r="BG62"/>
  <c r="BB67"/>
  <c r="BG67"/>
  <c r="BT82"/>
  <c r="CC82"/>
  <c r="EC82"/>
  <c r="EB82"/>
  <c r="CG82"/>
  <c r="CH82" s="1"/>
  <c r="CC63"/>
  <c r="BT63"/>
  <c r="EB63"/>
  <c r="CG63"/>
  <c r="CH63" s="1"/>
  <c r="EC63"/>
  <c r="DH80"/>
  <c r="DK80" s="1"/>
  <c r="DY80"/>
  <c r="DH81"/>
  <c r="DK81" s="1"/>
  <c r="DY81"/>
  <c r="BT85"/>
  <c r="CC85"/>
  <c r="EC85"/>
  <c r="EB85"/>
  <c r="CG85"/>
  <c r="CH85" s="1"/>
  <c r="DH87"/>
  <c r="DK87" s="1"/>
  <c r="DY87"/>
  <c r="BT97"/>
  <c r="CC97"/>
  <c r="BT101"/>
  <c r="CC101"/>
  <c r="EB101"/>
  <c r="EC101" s="1"/>
  <c r="CG101"/>
  <c r="CH101" s="1"/>
  <c r="CC103"/>
  <c r="BT103"/>
  <c r="EB103"/>
  <c r="EC103" s="1"/>
  <c r="CG103"/>
  <c r="CH103" s="1"/>
  <c r="CC105"/>
  <c r="BT105"/>
  <c r="EB105"/>
  <c r="EC105" s="1"/>
  <c r="CG105"/>
  <c r="CH105" s="1"/>
  <c r="AX7"/>
  <c r="AH7"/>
  <c r="CB7"/>
  <c r="DW91"/>
  <c r="CC90"/>
  <c r="DL18"/>
  <c r="DW20"/>
  <c r="DL27"/>
  <c r="DW31"/>
  <c r="DL33"/>
  <c r="DW39"/>
  <c r="AW7"/>
  <c r="DL9"/>
  <c r="DL14"/>
  <c r="DL20"/>
  <c r="DL31"/>
  <c r="DW45"/>
  <c r="DL47"/>
  <c r="DW77"/>
  <c r="DL62"/>
  <c r="DL67"/>
  <c r="DL79"/>
  <c r="EA51"/>
  <c r="CT51"/>
  <c r="AF51"/>
  <c r="BU51"/>
  <c r="CC53"/>
  <c r="BT53"/>
  <c r="EA70"/>
  <c r="CT70"/>
  <c r="AF70"/>
  <c r="BU70"/>
  <c r="DW70" s="1"/>
  <c r="BG74"/>
  <c r="BB74"/>
  <c r="EA83"/>
  <c r="CT83"/>
  <c r="AF83"/>
  <c r="BU83"/>
  <c r="DW83" s="1"/>
  <c r="CC78"/>
  <c r="BT78"/>
  <c r="CT84"/>
  <c r="AF84"/>
  <c r="EA84"/>
  <c r="BU84"/>
  <c r="BB13"/>
  <c r="BF13" s="1"/>
  <c r="DW50"/>
  <c r="DF50"/>
  <c r="AY50"/>
  <c r="AZ50" s="1"/>
  <c r="DG50" s="1"/>
  <c r="DW58"/>
  <c r="DF58"/>
  <c r="AY58"/>
  <c r="AZ58" s="1"/>
  <c r="DG58" s="1"/>
  <c r="DY75"/>
  <c r="DH75"/>
  <c r="DK75" s="1"/>
  <c r="AF86"/>
  <c r="EA86"/>
  <c r="CT86"/>
  <c r="BU86"/>
  <c r="EB91"/>
  <c r="EC91" s="1"/>
  <c r="CG91"/>
  <c r="CH91" s="1"/>
  <c r="EB92"/>
  <c r="EC92" s="1"/>
  <c r="CG92"/>
  <c r="CH92" s="1"/>
  <c r="DH94"/>
  <c r="DK94" s="1"/>
  <c r="DY94"/>
  <c r="DW94"/>
  <c r="DF94"/>
  <c r="AY94"/>
  <c r="AZ94" s="1"/>
  <c r="DG94" s="1"/>
  <c r="DH95"/>
  <c r="DK95" s="1"/>
  <c r="DY95"/>
  <c r="BB16"/>
  <c r="BG16"/>
  <c r="EA40"/>
  <c r="EB40" s="1"/>
  <c r="CT40"/>
  <c r="AF40"/>
  <c r="BU40"/>
  <c r="BB56"/>
  <c r="BF56" s="1"/>
  <c r="BG56" s="1"/>
  <c r="EA42"/>
  <c r="EB42" s="1"/>
  <c r="CT42"/>
  <c r="AF42"/>
  <c r="BU42"/>
  <c r="EA58"/>
  <c r="CT58"/>
  <c r="AF58"/>
  <c r="BU58"/>
  <c r="EA57"/>
  <c r="CT57"/>
  <c r="AF57"/>
  <c r="BU57"/>
  <c r="EA73"/>
  <c r="CT73"/>
  <c r="AF73"/>
  <c r="BU73"/>
  <c r="CC75"/>
  <c r="BT75"/>
  <c r="BB90"/>
  <c r="BG90"/>
  <c r="BB101"/>
  <c r="BG101"/>
  <c r="DW24"/>
  <c r="DF24"/>
  <c r="AY24"/>
  <c r="AZ24" s="1"/>
  <c r="DG24" s="1"/>
  <c r="DF43"/>
  <c r="AY43"/>
  <c r="AZ43" s="1"/>
  <c r="DG43" s="1"/>
  <c r="DY55"/>
  <c r="DH55"/>
  <c r="DK55" s="1"/>
  <c r="DF73"/>
  <c r="AY73"/>
  <c r="AZ73" s="1"/>
  <c r="DG73" s="1"/>
  <c r="EB75"/>
  <c r="CG75"/>
  <c r="CH75" s="1"/>
  <c r="EC75"/>
  <c r="DW86"/>
  <c r="DF86"/>
  <c r="DY91"/>
  <c r="DH91"/>
  <c r="DK91" s="1"/>
  <c r="DJ90"/>
  <c r="DM90" s="1"/>
  <c r="DX90" s="1"/>
  <c r="CD90"/>
  <c r="BW90"/>
  <c r="BB96"/>
  <c r="BG96"/>
  <c r="BB97"/>
  <c r="BG97"/>
  <c r="BB98"/>
  <c r="BG98"/>
  <c r="BT18"/>
  <c r="CC18"/>
  <c r="CC14"/>
  <c r="BT14"/>
  <c r="EB14"/>
  <c r="CG14"/>
  <c r="CH14" s="1"/>
  <c r="EC14"/>
  <c r="DH21"/>
  <c r="DK21" s="1"/>
  <c r="DY21"/>
  <c r="EC25"/>
  <c r="EB25"/>
  <c r="CG25"/>
  <c r="CH25" s="1"/>
  <c r="DH27"/>
  <c r="DK27" s="1"/>
  <c r="DY27"/>
  <c r="BB27"/>
  <c r="BG27"/>
  <c r="BB32"/>
  <c r="BG32"/>
  <c r="DH33"/>
  <c r="DK33" s="1"/>
  <c r="DY33"/>
  <c r="BB34"/>
  <c r="BG34"/>
  <c r="DH35"/>
  <c r="DK35" s="1"/>
  <c r="DY35"/>
  <c r="BB37"/>
  <c r="BG37"/>
  <c r="DH38"/>
  <c r="DK38" s="1"/>
  <c r="DY38"/>
  <c r="BB39"/>
  <c r="BG39"/>
  <c r="BB44"/>
  <c r="BF44" s="1"/>
  <c r="BB49"/>
  <c r="BF49" s="1"/>
  <c r="CC27"/>
  <c r="BT27"/>
  <c r="EB27"/>
  <c r="EC27" s="1"/>
  <c r="CG27"/>
  <c r="CH27" s="1"/>
  <c r="CC33"/>
  <c r="BT33"/>
  <c r="EB33"/>
  <c r="EC33" s="1"/>
  <c r="CG33"/>
  <c r="CH33" s="1"/>
  <c r="CC37"/>
  <c r="BT37"/>
  <c r="EB37"/>
  <c r="EC37" s="1"/>
  <c r="CG37"/>
  <c r="CH37" s="1"/>
  <c r="CC45"/>
  <c r="BT45"/>
  <c r="EB45"/>
  <c r="EC45" s="1"/>
  <c r="CG45"/>
  <c r="CH45" s="1"/>
  <c r="CC54"/>
  <c r="BT54"/>
  <c r="EB54"/>
  <c r="EC54" s="1"/>
  <c r="CG54"/>
  <c r="CH54" s="1"/>
  <c r="BB68"/>
  <c r="BF68" s="1"/>
  <c r="BT70"/>
  <c r="CC70"/>
  <c r="EC70"/>
  <c r="EB70"/>
  <c r="CG70"/>
  <c r="CH70" s="1"/>
  <c r="BT77"/>
  <c r="CC77"/>
  <c r="EB77"/>
  <c r="EC77" s="1"/>
  <c r="CG77"/>
  <c r="CH77" s="1"/>
  <c r="CC62"/>
  <c r="BT62"/>
  <c r="EB62"/>
  <c r="CG62"/>
  <c r="CH62" s="1"/>
  <c r="EC62"/>
  <c r="BB80"/>
  <c r="BF80" s="1"/>
  <c r="BB87"/>
  <c r="BF87" s="1"/>
  <c r="BB88"/>
  <c r="BG88"/>
  <c r="BB89"/>
  <c r="BG89"/>
  <c r="BT95"/>
  <c r="CC95"/>
  <c r="EB95"/>
  <c r="EC95" s="1"/>
  <c r="CG95"/>
  <c r="CH95" s="1"/>
  <c r="BT98"/>
  <c r="CC98"/>
  <c r="EB98"/>
  <c r="EC98" s="1"/>
  <c r="CG98"/>
  <c r="CH98" s="1"/>
  <c r="CC104"/>
  <c r="BT104"/>
  <c r="EB104"/>
  <c r="EC104" s="1"/>
  <c r="CG104"/>
  <c r="CH104" s="1"/>
  <c r="DH9"/>
  <c r="DK9" s="1"/>
  <c r="DY9"/>
  <c r="BB12"/>
  <c r="BG12"/>
  <c r="BB14"/>
  <c r="BG14"/>
  <c r="BT16"/>
  <c r="CC16"/>
  <c r="EB16"/>
  <c r="EC16" s="1"/>
  <c r="CG16"/>
  <c r="CH16" s="1"/>
  <c r="CC9"/>
  <c r="BT9"/>
  <c r="EB9"/>
  <c r="CG9"/>
  <c r="CH9" s="1"/>
  <c r="EC9"/>
  <c r="DH16"/>
  <c r="DK16" s="1"/>
  <c r="DY16"/>
  <c r="DH17"/>
  <c r="DK17" s="1"/>
  <c r="DY17"/>
  <c r="EB19"/>
  <c r="EC19" s="1"/>
  <c r="CG19"/>
  <c r="CH19" s="1"/>
  <c r="CC22"/>
  <c r="BT22"/>
  <c r="EC23"/>
  <c r="EB23"/>
  <c r="CG23"/>
  <c r="CH23" s="1"/>
  <c r="BB28"/>
  <c r="BF28" s="1"/>
  <c r="BB29"/>
  <c r="BF29" s="1"/>
  <c r="BB30"/>
  <c r="BF30" s="1"/>
  <c r="BB36"/>
  <c r="BF36" s="1"/>
  <c r="BT42"/>
  <c r="CC42"/>
  <c r="DH47"/>
  <c r="DK47" s="1"/>
  <c r="DY47"/>
  <c r="BB48"/>
  <c r="BG48"/>
  <c r="DH49"/>
  <c r="DK49" s="1"/>
  <c r="DY49"/>
  <c r="EB51"/>
  <c r="EC51" s="1"/>
  <c r="CG51"/>
  <c r="CH51" s="1"/>
  <c r="EB52"/>
  <c r="EC52" s="1"/>
  <c r="CG52"/>
  <c r="CH52" s="1"/>
  <c r="BT69"/>
  <c r="CC69"/>
  <c r="EB69"/>
  <c r="EC69" s="1"/>
  <c r="CG69"/>
  <c r="CH69" s="1"/>
  <c r="CC34"/>
  <c r="BT34"/>
  <c r="EB34"/>
  <c r="CG34"/>
  <c r="CH34" s="1"/>
  <c r="EC34"/>
  <c r="CC48"/>
  <c r="BT48"/>
  <c r="EB48"/>
  <c r="EC48" s="1"/>
  <c r="CG48"/>
  <c r="CH48" s="1"/>
  <c r="DH78"/>
  <c r="DK78" s="1"/>
  <c r="DY78"/>
  <c r="BT57"/>
  <c r="CC57"/>
  <c r="EB57"/>
  <c r="EC57" s="1"/>
  <c r="CG57"/>
  <c r="CH57" s="1"/>
  <c r="BB60"/>
  <c r="BG60"/>
  <c r="BB61"/>
  <c r="BG61"/>
  <c r="DH62"/>
  <c r="DK62" s="1"/>
  <c r="DY62"/>
  <c r="DH64"/>
  <c r="DK64" s="1"/>
  <c r="DY64"/>
  <c r="DH65"/>
  <c r="DK65" s="1"/>
  <c r="DY65"/>
  <c r="DH66"/>
  <c r="DK66" s="1"/>
  <c r="DY66"/>
  <c r="DH67"/>
  <c r="DK67" s="1"/>
  <c r="DY67"/>
  <c r="DH68"/>
  <c r="DK68" s="1"/>
  <c r="DY68"/>
  <c r="DH74"/>
  <c r="DK74" s="1"/>
  <c r="DY74"/>
  <c r="CC61"/>
  <c r="BT61"/>
  <c r="EB61"/>
  <c r="CG61"/>
  <c r="CH61" s="1"/>
  <c r="EC61"/>
  <c r="CC67"/>
  <c r="BT67"/>
  <c r="EB67"/>
  <c r="CG67"/>
  <c r="CH67" s="1"/>
  <c r="EC67"/>
  <c r="DH79"/>
  <c r="DK79" s="1"/>
  <c r="DY79"/>
  <c r="BB79"/>
  <c r="BG79"/>
  <c r="BT83"/>
  <c r="CC83"/>
  <c r="EB83"/>
  <c r="EC83" s="1"/>
  <c r="CG83"/>
  <c r="CH83" s="1"/>
  <c r="CC89"/>
  <c r="BT89"/>
  <c r="CC88"/>
  <c r="BT88"/>
  <c r="EB88"/>
  <c r="EC88" s="1"/>
  <c r="CG88"/>
  <c r="CH88" s="1"/>
  <c r="EB97"/>
  <c r="EC97" s="1"/>
  <c r="CG97"/>
  <c r="CH97" s="1"/>
  <c r="BT99"/>
  <c r="CC99"/>
  <c r="EB99"/>
  <c r="EC99" s="1"/>
  <c r="CG99"/>
  <c r="CH99" s="1"/>
  <c r="DH99"/>
  <c r="DK99" s="1"/>
  <c r="DY99"/>
  <c r="DH100"/>
  <c r="DK100" s="1"/>
  <c r="DY100"/>
  <c r="DH101"/>
  <c r="DK101" s="1"/>
  <c r="DY101"/>
  <c r="DH98"/>
  <c r="DK98" s="1"/>
  <c r="DY98"/>
  <c r="BT102"/>
  <c r="CC102"/>
  <c r="CC106"/>
  <c r="BT106"/>
  <c r="W7"/>
  <c r="DL45"/>
  <c r="DW47"/>
  <c r="DW78"/>
  <c r="DL60"/>
  <c r="DW79"/>
  <c r="DW100"/>
  <c r="DW101"/>
  <c r="BG86" i="9" l="1"/>
  <c r="T86" i="12" s="1"/>
  <c r="DI86" i="9"/>
  <c r="BV86"/>
  <c r="BY86"/>
  <c r="BZ86" s="1"/>
  <c r="BX86"/>
  <c r="BS86"/>
  <c r="BB80" i="12"/>
  <c r="BF80" s="1"/>
  <c r="BG93"/>
  <c r="T93" i="15" s="1"/>
  <c r="DI93" i="12"/>
  <c r="BX93"/>
  <c r="BS93"/>
  <c r="BY93"/>
  <c r="BZ93" s="1"/>
  <c r="BV93"/>
  <c r="BG15"/>
  <c r="T15" i="15" s="1"/>
  <c r="BY15" i="12"/>
  <c r="BZ15" s="1"/>
  <c r="BV15"/>
  <c r="DW15" s="1"/>
  <c r="BX15"/>
  <c r="BS15"/>
  <c r="DI15"/>
  <c r="AH44" i="19"/>
  <c r="AL44" s="1"/>
  <c r="AH69" i="9"/>
  <c r="AL69" s="1"/>
  <c r="AG46"/>
  <c r="DN46"/>
  <c r="DN28"/>
  <c r="AG28"/>
  <c r="AF102" i="22"/>
  <c r="AF102" i="21"/>
  <c r="AF55"/>
  <c r="AF55" i="22"/>
  <c r="AF9" i="21"/>
  <c r="AF9" i="22"/>
  <c r="AF79" i="21"/>
  <c r="AF79" i="22"/>
  <c r="AF83"/>
  <c r="AF83" i="21"/>
  <c r="AF54"/>
  <c r="AF54" i="22"/>
  <c r="AF40" i="21"/>
  <c r="AF40" i="22"/>
  <c r="AF52"/>
  <c r="AF52" i="21"/>
  <c r="AF100"/>
  <c r="AF100" i="22"/>
  <c r="AF101" i="21"/>
  <c r="AF101" i="22"/>
  <c r="AF90"/>
  <c r="AF90" i="21"/>
  <c r="AF26" i="22"/>
  <c r="AF26" i="21"/>
  <c r="AF12" i="22"/>
  <c r="AF12" i="21"/>
  <c r="BB18" i="12"/>
  <c r="BF18" s="1"/>
  <c r="AM38" i="19"/>
  <c r="BA38" s="1"/>
  <c r="AH38"/>
  <c r="AH49" i="15"/>
  <c r="AL49" s="1"/>
  <c r="AH37" i="12"/>
  <c r="AM37"/>
  <c r="BA37" s="1"/>
  <c r="AH19" i="15"/>
  <c r="AL19" s="1"/>
  <c r="AH54" i="9"/>
  <c r="AM54"/>
  <c r="BA54" s="1"/>
  <c r="AF8" i="21"/>
  <c r="AF8" i="22"/>
  <c r="BX40" i="5"/>
  <c r="BG50" i="15"/>
  <c r="T50" i="19" s="1"/>
  <c r="AG50" s="1"/>
  <c r="DN40" i="9"/>
  <c r="AG40"/>
  <c r="AF21" i="21"/>
  <c r="AF21" i="22"/>
  <c r="AF85" i="21"/>
  <c r="AF85" i="22"/>
  <c r="AF51"/>
  <c r="AF51" i="21"/>
  <c r="AF19" i="22"/>
  <c r="AF19" i="21"/>
  <c r="AF37"/>
  <c r="AF37" i="22"/>
  <c r="AF60" i="21"/>
  <c r="AF60" i="22"/>
  <c r="AF35" i="21"/>
  <c r="AF35" i="22"/>
  <c r="AF98" i="21"/>
  <c r="AF98" i="22"/>
  <c r="AF99" i="21"/>
  <c r="AF99" i="22"/>
  <c r="AF89" i="21"/>
  <c r="AF89" i="22"/>
  <c r="AF49" i="21"/>
  <c r="AF49" i="22"/>
  <c r="AY93" i="12"/>
  <c r="AZ93" s="1"/>
  <c r="DG93" s="1"/>
  <c r="DF93"/>
  <c r="DW93"/>
  <c r="DF86" i="9"/>
  <c r="AY86"/>
  <c r="AZ86" s="1"/>
  <c r="DG86" s="1"/>
  <c r="DW86"/>
  <c r="DF15" i="12"/>
  <c r="AY15"/>
  <c r="AZ15" s="1"/>
  <c r="DG15" s="1"/>
  <c r="DF80"/>
  <c r="AY80"/>
  <c r="AZ80" s="1"/>
  <c r="DG80" s="1"/>
  <c r="DI44" i="15"/>
  <c r="DL44" s="1"/>
  <c r="BX44"/>
  <c r="BS44"/>
  <c r="BY44"/>
  <c r="BZ44" s="1"/>
  <c r="BV44"/>
  <c r="DI50"/>
  <c r="DL50" s="1"/>
  <c r="BX50"/>
  <c r="BS50"/>
  <c r="BY50"/>
  <c r="BZ50" s="1"/>
  <c r="BV50"/>
  <c r="DF18" i="12"/>
  <c r="AY18"/>
  <c r="AZ18" s="1"/>
  <c r="DG18" s="1"/>
  <c r="DW18"/>
  <c r="AH77" i="9"/>
  <c r="AL77" s="1"/>
  <c r="BG8" i="15"/>
  <c r="T8" i="19" s="1"/>
  <c r="AG8" s="1"/>
  <c r="AH8" s="1"/>
  <c r="AL8" s="1"/>
  <c r="AM8" s="1"/>
  <c r="BB8" i="15"/>
  <c r="AH84"/>
  <c r="AL84" s="1"/>
  <c r="AH82"/>
  <c r="AL82" s="1"/>
  <c r="AH31" i="12"/>
  <c r="AM31"/>
  <c r="BA31" s="1"/>
  <c r="AH100" i="9"/>
  <c r="AM100"/>
  <c r="BA100" s="1"/>
  <c r="AH48"/>
  <c r="AM48"/>
  <c r="BA48" s="1"/>
  <c r="AH53"/>
  <c r="AM53"/>
  <c r="BA53" s="1"/>
  <c r="DW44" i="15"/>
  <c r="T13" i="22"/>
  <c r="AG13" s="1"/>
  <c r="T13" i="21"/>
  <c r="T30" i="22"/>
  <c r="AG30" s="1"/>
  <c r="T30" i="21"/>
  <c r="BF81"/>
  <c r="BG81" s="1"/>
  <c r="DF73"/>
  <c r="AY73"/>
  <c r="AZ73" s="1"/>
  <c r="DG73" s="1"/>
  <c r="DF44"/>
  <c r="AY44"/>
  <c r="AZ44" s="1"/>
  <c r="DG44" s="1"/>
  <c r="BG82"/>
  <c r="BG24"/>
  <c r="BX82"/>
  <c r="EC82" s="1"/>
  <c r="BF44"/>
  <c r="BG44" s="1"/>
  <c r="DI82"/>
  <c r="DL82" s="1"/>
  <c r="BS82"/>
  <c r="BT82" s="1"/>
  <c r="DJ82" s="1"/>
  <c r="DI24"/>
  <c r="BV24"/>
  <c r="BY24"/>
  <c r="BZ24" s="1"/>
  <c r="BX24"/>
  <c r="BS24"/>
  <c r="DW82"/>
  <c r="BV82"/>
  <c r="DL24"/>
  <c r="BB19"/>
  <c r="BG19"/>
  <c r="CG82"/>
  <c r="CH82" s="1"/>
  <c r="AZ82"/>
  <c r="CC82"/>
  <c r="AZ29"/>
  <c r="CC29"/>
  <c r="BB29"/>
  <c r="BG29"/>
  <c r="BB73"/>
  <c r="BF73" s="1"/>
  <c r="BG73" s="1"/>
  <c r="AZ81"/>
  <c r="DW8" i="19"/>
  <c r="AY8"/>
  <c r="DF8"/>
  <c r="BB10"/>
  <c r="BF10" s="1"/>
  <c r="BB55"/>
  <c r="BF55" s="1"/>
  <c r="DW55" s="1"/>
  <c r="BA8"/>
  <c r="CC30"/>
  <c r="BT30"/>
  <c r="DL30"/>
  <c r="AY10"/>
  <c r="DF10"/>
  <c r="DW10"/>
  <c r="DF55"/>
  <c r="AY55"/>
  <c r="AZ55" s="1"/>
  <c r="DG55" s="1"/>
  <c r="EB30"/>
  <c r="EC30" s="1"/>
  <c r="CG30"/>
  <c r="CH30" s="1"/>
  <c r="DI13"/>
  <c r="DL13" s="1"/>
  <c r="BX13"/>
  <c r="BS13"/>
  <c r="BY13"/>
  <c r="BZ13" s="1"/>
  <c r="BV13"/>
  <c r="DW13" s="1"/>
  <c r="AH33" i="15"/>
  <c r="AL33" s="1"/>
  <c r="DN61"/>
  <c r="AG61"/>
  <c r="EF30"/>
  <c r="DM30"/>
  <c r="DX30" s="1"/>
  <c r="DM10"/>
  <c r="EF10"/>
  <c r="EF55"/>
  <c r="DM55"/>
  <c r="DX55" s="1"/>
  <c r="DJ61" i="12"/>
  <c r="BW61"/>
  <c r="CD61"/>
  <c r="CD33"/>
  <c r="DJ33"/>
  <c r="BW33"/>
  <c r="AH101"/>
  <c r="AM101"/>
  <c r="BW19"/>
  <c r="DJ19"/>
  <c r="DM19" s="1"/>
  <c r="DX19" s="1"/>
  <c r="CD19"/>
  <c r="EF50"/>
  <c r="DM50"/>
  <c r="DX50" s="1"/>
  <c r="DJ49"/>
  <c r="CD49"/>
  <c r="BW49"/>
  <c r="DJ84"/>
  <c r="CD84"/>
  <c r="BW84"/>
  <c r="EF8"/>
  <c r="DJ82"/>
  <c r="CD82"/>
  <c r="BW82"/>
  <c r="DM8"/>
  <c r="EF8" i="9"/>
  <c r="DM8"/>
  <c r="DX8" s="1"/>
  <c r="BW18"/>
  <c r="DJ18"/>
  <c r="CD18"/>
  <c r="BW15"/>
  <c r="DJ15"/>
  <c r="CD15"/>
  <c r="DJ80"/>
  <c r="CD80"/>
  <c r="BW80"/>
  <c r="DJ93"/>
  <c r="BW93"/>
  <c r="CD93"/>
  <c r="DK7"/>
  <c r="EF44" i="5"/>
  <c r="BS82"/>
  <c r="DI82"/>
  <c r="DL82" s="1"/>
  <c r="BX82"/>
  <c r="BG82"/>
  <c r="T82" i="9" s="1"/>
  <c r="DM46" i="5"/>
  <c r="T92"/>
  <c r="T94"/>
  <c r="AG75"/>
  <c r="DN75"/>
  <c r="T91"/>
  <c r="AF82"/>
  <c r="BF78"/>
  <c r="BG78" s="1"/>
  <c r="T78" i="9" s="1"/>
  <c r="DX46" i="5"/>
  <c r="DM86"/>
  <c r="DX86" s="1"/>
  <c r="DM104"/>
  <c r="DX104" s="1"/>
  <c r="EF104"/>
  <c r="CH8"/>
  <c r="EF92"/>
  <c r="DM92"/>
  <c r="DX92" s="1"/>
  <c r="EF20"/>
  <c r="DM20"/>
  <c r="DX20" s="1"/>
  <c r="EF45"/>
  <c r="DM45"/>
  <c r="DM51"/>
  <c r="DX51" s="1"/>
  <c r="EF51"/>
  <c r="EF70"/>
  <c r="DM70"/>
  <c r="DX70" s="1"/>
  <c r="EF60"/>
  <c r="DM60"/>
  <c r="EF96"/>
  <c r="DM96"/>
  <c r="DX96" s="1"/>
  <c r="DM67"/>
  <c r="DX67" s="1"/>
  <c r="EF67"/>
  <c r="EF79"/>
  <c r="DM79"/>
  <c r="DX79" s="1"/>
  <c r="DM88"/>
  <c r="DX88" s="1"/>
  <c r="EF88"/>
  <c r="BT31"/>
  <c r="EF91"/>
  <c r="DM91"/>
  <c r="DX91" s="1"/>
  <c r="DM53"/>
  <c r="EF53"/>
  <c r="EF95"/>
  <c r="DM95"/>
  <c r="DX95" s="1"/>
  <c r="DM16"/>
  <c r="DX16" s="1"/>
  <c r="EF16"/>
  <c r="EF57"/>
  <c r="DM57"/>
  <c r="DX57" s="1"/>
  <c r="DM85"/>
  <c r="DX85" s="1"/>
  <c r="EF85"/>
  <c r="EF99"/>
  <c r="DM99"/>
  <c r="DX99" s="1"/>
  <c r="DJ8"/>
  <c r="CD8"/>
  <c r="BW8"/>
  <c r="BT28"/>
  <c r="CC28"/>
  <c r="EB28"/>
  <c r="EC28" s="1"/>
  <c r="CG28"/>
  <c r="CH28" s="1"/>
  <c r="BT40"/>
  <c r="CC40"/>
  <c r="EC40"/>
  <c r="EB40"/>
  <c r="CG40"/>
  <c r="CH40" s="1"/>
  <c r="DM42"/>
  <c r="DX42" s="1"/>
  <c r="EF42"/>
  <c r="EF83"/>
  <c r="DM83"/>
  <c r="DX83" s="1"/>
  <c r="EF27"/>
  <c r="DM27"/>
  <c r="DX27" s="1"/>
  <c r="EF61"/>
  <c r="DM61"/>
  <c r="DX61" s="1"/>
  <c r="DX44"/>
  <c r="DM34"/>
  <c r="DX34" s="1"/>
  <c r="EF34"/>
  <c r="DM77"/>
  <c r="DX77" s="1"/>
  <c r="EF77"/>
  <c r="DM63"/>
  <c r="DX63" s="1"/>
  <c r="EF63"/>
  <c r="BT56"/>
  <c r="EF100"/>
  <c r="DM100"/>
  <c r="DX100" s="1"/>
  <c r="EF48"/>
  <c r="DM48"/>
  <c r="DX48" s="1"/>
  <c r="BT43"/>
  <c r="BT82"/>
  <c r="CC82"/>
  <c r="EC82"/>
  <c r="EB82"/>
  <c r="CG82"/>
  <c r="CH82" s="1"/>
  <c r="DM47"/>
  <c r="DX47" s="1"/>
  <c r="EF47"/>
  <c r="EF62"/>
  <c r="DM62"/>
  <c r="DX62" s="1"/>
  <c r="DM101"/>
  <c r="DX101" s="1"/>
  <c r="EF101"/>
  <c r="CC69"/>
  <c r="BT69"/>
  <c r="CG69"/>
  <c r="CH69" s="1"/>
  <c r="EB69"/>
  <c r="EC69" s="1"/>
  <c r="DM75"/>
  <c r="DX75" s="1"/>
  <c r="EF75"/>
  <c r="DI78"/>
  <c r="DL78" s="1"/>
  <c r="BY78"/>
  <c r="BZ78" s="1"/>
  <c r="BV78"/>
  <c r="DW78" s="1"/>
  <c r="BS78"/>
  <c r="BT50"/>
  <c r="DM25"/>
  <c r="DX25" s="1"/>
  <c r="EF25"/>
  <c r="DM38"/>
  <c r="DX38" s="1"/>
  <c r="EF38"/>
  <c r="EF72"/>
  <c r="DM72"/>
  <c r="DX72" s="1"/>
  <c r="EF103"/>
  <c r="DM103"/>
  <c r="DX103" s="1"/>
  <c r="EF106"/>
  <c r="DM106"/>
  <c r="DX106" s="1"/>
  <c r="DH7"/>
  <c r="DK8"/>
  <c r="DX60"/>
  <c r="DX53"/>
  <c r="DX45"/>
  <c r="DH90" i="2"/>
  <c r="DK90" s="1"/>
  <c r="DY90"/>
  <c r="T24"/>
  <c r="T48"/>
  <c r="T14"/>
  <c r="T79"/>
  <c r="T61"/>
  <c r="T60"/>
  <c r="T39"/>
  <c r="T37"/>
  <c r="T34"/>
  <c r="T32"/>
  <c r="T27"/>
  <c r="T98"/>
  <c r="T97"/>
  <c r="T96"/>
  <c r="T74"/>
  <c r="T67"/>
  <c r="T62"/>
  <c r="T47"/>
  <c r="T31"/>
  <c r="T20"/>
  <c r="T81"/>
  <c r="T65"/>
  <c r="T63"/>
  <c r="T85"/>
  <c r="T83"/>
  <c r="T71"/>
  <c r="T59"/>
  <c r="T57"/>
  <c r="T53"/>
  <c r="T51"/>
  <c r="T41"/>
  <c r="T15"/>
  <c r="T23"/>
  <c r="T102"/>
  <c r="T99"/>
  <c r="T11"/>
  <c r="T95"/>
  <c r="T93"/>
  <c r="T72"/>
  <c r="T70"/>
  <c r="T52"/>
  <c r="T42"/>
  <c r="T25"/>
  <c r="T22"/>
  <c r="T12"/>
  <c r="T89"/>
  <c r="T88"/>
  <c r="T101"/>
  <c r="T90"/>
  <c r="T56"/>
  <c r="T16"/>
  <c r="T45"/>
  <c r="T9"/>
  <c r="T106"/>
  <c r="T66"/>
  <c r="T64"/>
  <c r="T38"/>
  <c r="T35"/>
  <c r="T33"/>
  <c r="T18"/>
  <c r="T26"/>
  <c r="T100"/>
  <c r="AH69"/>
  <c r="AL69" s="1"/>
  <c r="AM69" s="1"/>
  <c r="BA69" s="1"/>
  <c r="BB69" s="1"/>
  <c r="BF69" s="1"/>
  <c r="DN40"/>
  <c r="AG40"/>
  <c r="AG77"/>
  <c r="DN77"/>
  <c r="DN82"/>
  <c r="AG82"/>
  <c r="DN81"/>
  <c r="AG81"/>
  <c r="DN65"/>
  <c r="AG65"/>
  <c r="AH65" s="1"/>
  <c r="AL65" s="1"/>
  <c r="DN66"/>
  <c r="AG66"/>
  <c r="DN64"/>
  <c r="AG64"/>
  <c r="DN48"/>
  <c r="AG48"/>
  <c r="DN14"/>
  <c r="AG14"/>
  <c r="DN12"/>
  <c r="AG12"/>
  <c r="AG89"/>
  <c r="DN89"/>
  <c r="DN88"/>
  <c r="AG88"/>
  <c r="DN101"/>
  <c r="AG101"/>
  <c r="DN90"/>
  <c r="AG90"/>
  <c r="DN56"/>
  <c r="AG56"/>
  <c r="DN16"/>
  <c r="AG16"/>
  <c r="AG45"/>
  <c r="DN45"/>
  <c r="DN9"/>
  <c r="AG9"/>
  <c r="AG106"/>
  <c r="DN106"/>
  <c r="DN38"/>
  <c r="AG38"/>
  <c r="AG35"/>
  <c r="DN35"/>
  <c r="AG33"/>
  <c r="DN33"/>
  <c r="DN18"/>
  <c r="AG18"/>
  <c r="DN26"/>
  <c r="AG26"/>
  <c r="AG100"/>
  <c r="DN100"/>
  <c r="AH19"/>
  <c r="AM19"/>
  <c r="BA19" s="1"/>
  <c r="AM105"/>
  <c r="BA105" s="1"/>
  <c r="AH105"/>
  <c r="AH103"/>
  <c r="AM103"/>
  <c r="BA103" s="1"/>
  <c r="AG79"/>
  <c r="DN79"/>
  <c r="DN61"/>
  <c r="AG61"/>
  <c r="DN60"/>
  <c r="AG60"/>
  <c r="DN39"/>
  <c r="AG39"/>
  <c r="DN37"/>
  <c r="AG37"/>
  <c r="AG34"/>
  <c r="DN34"/>
  <c r="AG32"/>
  <c r="DN32"/>
  <c r="AG27"/>
  <c r="DN27"/>
  <c r="AG98"/>
  <c r="DN98"/>
  <c r="AG97"/>
  <c r="DN97"/>
  <c r="DN96"/>
  <c r="AG96"/>
  <c r="DN74"/>
  <c r="AG74"/>
  <c r="DN67"/>
  <c r="AG67"/>
  <c r="DN62"/>
  <c r="AG62"/>
  <c r="DN47"/>
  <c r="AG47"/>
  <c r="DN31"/>
  <c r="AG31"/>
  <c r="DN20"/>
  <c r="AG20"/>
  <c r="DN63"/>
  <c r="AG63"/>
  <c r="DN85"/>
  <c r="AG85"/>
  <c r="DN83"/>
  <c r="AG83"/>
  <c r="AG71"/>
  <c r="DN71"/>
  <c r="DN59"/>
  <c r="AG59"/>
  <c r="AG57"/>
  <c r="DN57"/>
  <c r="DN53"/>
  <c r="AG53"/>
  <c r="DN51"/>
  <c r="AG51"/>
  <c r="DN41"/>
  <c r="AG41"/>
  <c r="DN15"/>
  <c r="AG15"/>
  <c r="DN23"/>
  <c r="AG23"/>
  <c r="AG102"/>
  <c r="DN102"/>
  <c r="DN99"/>
  <c r="AG99"/>
  <c r="AG11"/>
  <c r="DN11"/>
  <c r="AG95"/>
  <c r="DN95"/>
  <c r="AG93"/>
  <c r="DN93"/>
  <c r="DN72"/>
  <c r="AG72"/>
  <c r="AG70"/>
  <c r="DN70"/>
  <c r="DN52"/>
  <c r="AG52"/>
  <c r="DN42"/>
  <c r="AG42"/>
  <c r="DN25"/>
  <c r="AG25"/>
  <c r="DN22"/>
  <c r="AG22"/>
  <c r="DN24"/>
  <c r="AG24"/>
  <c r="AH54"/>
  <c r="AM54"/>
  <c r="BA54" s="1"/>
  <c r="AM104"/>
  <c r="BA104" s="1"/>
  <c r="AH104"/>
  <c r="AH78"/>
  <c r="AL78" s="1"/>
  <c r="AM78"/>
  <c r="BA78" s="1"/>
  <c r="BB78" s="1"/>
  <c r="BF78" s="1"/>
  <c r="BG78" s="1"/>
  <c r="DH102"/>
  <c r="DK102" s="1"/>
  <c r="DY102"/>
  <c r="DH53"/>
  <c r="DK53" s="1"/>
  <c r="DY53"/>
  <c r="DH89"/>
  <c r="DK89" s="1"/>
  <c r="DY89"/>
  <c r="DH26"/>
  <c r="DK26" s="1"/>
  <c r="DY26"/>
  <c r="DM103"/>
  <c r="DX103" s="1"/>
  <c r="DJ90"/>
  <c r="DM90" s="1"/>
  <c r="DX90" s="1"/>
  <c r="CD90"/>
  <c r="BW90"/>
  <c r="BW79"/>
  <c r="DJ79"/>
  <c r="CD79"/>
  <c r="DJ72"/>
  <c r="CD72"/>
  <c r="BW72"/>
  <c r="BW59"/>
  <c r="DJ59"/>
  <c r="DM59" s="1"/>
  <c r="DX59" s="1"/>
  <c r="CD59"/>
  <c r="DJ67"/>
  <c r="CD67"/>
  <c r="BW67"/>
  <c r="BW92"/>
  <c r="DJ92"/>
  <c r="CD92"/>
  <c r="BW96"/>
  <c r="DJ96"/>
  <c r="CD96"/>
  <c r="DJ83"/>
  <c r="CD83"/>
  <c r="BW83"/>
  <c r="DJ102"/>
  <c r="DM102" s="1"/>
  <c r="DX102" s="1"/>
  <c r="CD102"/>
  <c r="BW102"/>
  <c r="DJ100"/>
  <c r="BW93"/>
  <c r="DJ93"/>
  <c r="CD93"/>
  <c r="BW91"/>
  <c r="DJ91"/>
  <c r="CD91"/>
  <c r="DJ63"/>
  <c r="CD63"/>
  <c r="BW63"/>
  <c r="BW48"/>
  <c r="DJ48"/>
  <c r="CD48"/>
  <c r="DJ23"/>
  <c r="CD23"/>
  <c r="BW23"/>
  <c r="DJ89"/>
  <c r="DM89" s="1"/>
  <c r="DX89" s="1"/>
  <c r="BW89"/>
  <c r="CD89"/>
  <c r="DJ62"/>
  <c r="CD62"/>
  <c r="BW62"/>
  <c r="BW47"/>
  <c r="DJ47"/>
  <c r="CD47"/>
  <c r="BW39"/>
  <c r="DJ39"/>
  <c r="CD39"/>
  <c r="DJ52"/>
  <c r="CD52"/>
  <c r="BW52"/>
  <c r="DJ41"/>
  <c r="CD41"/>
  <c r="BW41"/>
  <c r="DJ22"/>
  <c r="DJ9"/>
  <c r="DM9" s="1"/>
  <c r="CD9"/>
  <c r="BW9"/>
  <c r="DH86"/>
  <c r="DK86" s="1"/>
  <c r="DY86"/>
  <c r="BW75"/>
  <c r="CD75"/>
  <c r="DJ75"/>
  <c r="DH66"/>
  <c r="DK66" s="1"/>
  <c r="DY66"/>
  <c r="DH63"/>
  <c r="DK63" s="1"/>
  <c r="DY63"/>
  <c r="DH67"/>
  <c r="DK67" s="1"/>
  <c r="DY67"/>
  <c r="DH51"/>
  <c r="DK51" s="1"/>
  <c r="DY51"/>
  <c r="DH41"/>
  <c r="DK41" s="1"/>
  <c r="DY41"/>
  <c r="DH9"/>
  <c r="DK9" s="1"/>
  <c r="DY9"/>
  <c r="DH8"/>
  <c r="CT7"/>
  <c r="CQ6" s="1"/>
  <c r="DY8"/>
  <c r="BB86"/>
  <c r="BF86" s="1"/>
  <c r="BG86" s="1"/>
  <c r="DJ101"/>
  <c r="CD101"/>
  <c r="BW101"/>
  <c r="BW105"/>
  <c r="DJ105"/>
  <c r="CD105"/>
  <c r="BW95"/>
  <c r="DJ95"/>
  <c r="CD95"/>
  <c r="DJ99"/>
  <c r="CD99"/>
  <c r="BW99"/>
  <c r="DI94"/>
  <c r="DL94" s="1"/>
  <c r="BY94"/>
  <c r="BZ94" s="1"/>
  <c r="BX94"/>
  <c r="BV94"/>
  <c r="BS94"/>
  <c r="DW94"/>
  <c r="BW71"/>
  <c r="DJ71"/>
  <c r="CD71"/>
  <c r="BW45"/>
  <c r="DJ45"/>
  <c r="CD45"/>
  <c r="BW37"/>
  <c r="DJ37"/>
  <c r="CD37"/>
  <c r="BW33"/>
  <c r="DJ33"/>
  <c r="CD33"/>
  <c r="DJ20"/>
  <c r="DJ42"/>
  <c r="CD42"/>
  <c r="BW42"/>
  <c r="DH83"/>
  <c r="DK83" s="1"/>
  <c r="DY83"/>
  <c r="DH64"/>
  <c r="DK64" s="1"/>
  <c r="DY64"/>
  <c r="DH65"/>
  <c r="DK65" s="1"/>
  <c r="DY65"/>
  <c r="DH40"/>
  <c r="DK40" s="1"/>
  <c r="DY40"/>
  <c r="DH50"/>
  <c r="DK50" s="1"/>
  <c r="DY50"/>
  <c r="DH12"/>
  <c r="DK12" s="1"/>
  <c r="DY12"/>
  <c r="DH85"/>
  <c r="DK85" s="1"/>
  <c r="DY85"/>
  <c r="DH68"/>
  <c r="DK68" s="1"/>
  <c r="DY68"/>
  <c r="DH60"/>
  <c r="DK60" s="1"/>
  <c r="DY60"/>
  <c r="DH43"/>
  <c r="DK43" s="1"/>
  <c r="DY43"/>
  <c r="DH52"/>
  <c r="DK52" s="1"/>
  <c r="DY52"/>
  <c r="BT8"/>
  <c r="EF54"/>
  <c r="BU7"/>
  <c r="DM106"/>
  <c r="DX106" s="1"/>
  <c r="DX19"/>
  <c r="BW97"/>
  <c r="DJ97"/>
  <c r="CD97"/>
  <c r="BW88"/>
  <c r="DJ88"/>
  <c r="CD88"/>
  <c r="BW34"/>
  <c r="DJ34"/>
  <c r="CD34"/>
  <c r="BW32"/>
  <c r="DJ32"/>
  <c r="CD32"/>
  <c r="DJ61"/>
  <c r="CD61"/>
  <c r="BW61"/>
  <c r="BW35"/>
  <c r="DJ35"/>
  <c r="CD35"/>
  <c r="DJ14"/>
  <c r="DM14" s="1"/>
  <c r="CD14"/>
  <c r="BW14"/>
  <c r="DJ53"/>
  <c r="CD53"/>
  <c r="BW53"/>
  <c r="DH35"/>
  <c r="DK35" s="1"/>
  <c r="DY35"/>
  <c r="DW8"/>
  <c r="DF8"/>
  <c r="AY8"/>
  <c r="DH61"/>
  <c r="DK61" s="1"/>
  <c r="DY61"/>
  <c r="DH54"/>
  <c r="DK54" s="1"/>
  <c r="DX54" s="1"/>
  <c r="DY54"/>
  <c r="DH42"/>
  <c r="DK42" s="1"/>
  <c r="DY42"/>
  <c r="DJ85"/>
  <c r="CD85"/>
  <c r="BW85"/>
  <c r="DJ98"/>
  <c r="CD98"/>
  <c r="BW98"/>
  <c r="DI78"/>
  <c r="BW70"/>
  <c r="DJ70"/>
  <c r="CD70"/>
  <c r="BW57"/>
  <c r="DJ57"/>
  <c r="CD57"/>
  <c r="BW38"/>
  <c r="DJ38"/>
  <c r="CD38"/>
  <c r="BW27"/>
  <c r="DJ27"/>
  <c r="CD27"/>
  <c r="DJ25"/>
  <c r="CD25"/>
  <c r="BW25"/>
  <c r="BW16"/>
  <c r="DJ16"/>
  <c r="CD16"/>
  <c r="BW104"/>
  <c r="DJ104"/>
  <c r="CD104"/>
  <c r="DJ60"/>
  <c r="CD60"/>
  <c r="BW60"/>
  <c r="DJ26"/>
  <c r="DM26" s="1"/>
  <c r="DX26" s="1"/>
  <c r="CD26"/>
  <c r="BW26"/>
  <c r="DJ51"/>
  <c r="CD51"/>
  <c r="BW51"/>
  <c r="BW15"/>
  <c r="DJ15"/>
  <c r="CD15"/>
  <c r="DJ12"/>
  <c r="DM12" s="1"/>
  <c r="CD12"/>
  <c r="BW12"/>
  <c r="CB86"/>
  <c r="CB7" s="1"/>
  <c r="AX7"/>
  <c r="DH84"/>
  <c r="DK84" s="1"/>
  <c r="DY84"/>
  <c r="DH62"/>
  <c r="DK62" s="1"/>
  <c r="DY62"/>
  <c r="DH14"/>
  <c r="DK14" s="1"/>
  <c r="DY14"/>
  <c r="AF7"/>
  <c r="BY8"/>
  <c r="BX8"/>
  <c r="BW106" i="1"/>
  <c r="DJ106"/>
  <c r="CD106"/>
  <c r="BW88"/>
  <c r="DJ88"/>
  <c r="CD88"/>
  <c r="DJ89"/>
  <c r="DM89" s="1"/>
  <c r="DX89" s="1"/>
  <c r="BW89"/>
  <c r="CD89"/>
  <c r="DJ42"/>
  <c r="CD42"/>
  <c r="BW42"/>
  <c r="DI30"/>
  <c r="DL30" s="1"/>
  <c r="BY30"/>
  <c r="BZ30" s="1"/>
  <c r="BX30"/>
  <c r="BV30"/>
  <c r="DW30" s="1"/>
  <c r="BS30"/>
  <c r="DI28"/>
  <c r="DL28" s="1"/>
  <c r="BY28"/>
  <c r="BZ28" s="1"/>
  <c r="BX28"/>
  <c r="BV28"/>
  <c r="DW28" s="1"/>
  <c r="BS28"/>
  <c r="DJ98"/>
  <c r="CD98"/>
  <c r="BW98"/>
  <c r="DI87"/>
  <c r="DL87" s="1"/>
  <c r="BY87"/>
  <c r="BZ87" s="1"/>
  <c r="BX87"/>
  <c r="BV87"/>
  <c r="DW87" s="1"/>
  <c r="BS87"/>
  <c r="DI80"/>
  <c r="DL80" s="1"/>
  <c r="BY80"/>
  <c r="BZ80" s="1"/>
  <c r="BX80"/>
  <c r="BV80"/>
  <c r="DW80" s="1"/>
  <c r="BS80"/>
  <c r="BW62"/>
  <c r="DJ62"/>
  <c r="CD62"/>
  <c r="DJ70"/>
  <c r="CD70"/>
  <c r="BW70"/>
  <c r="DI68"/>
  <c r="DL68" s="1"/>
  <c r="BY68"/>
  <c r="BZ68" s="1"/>
  <c r="BX68"/>
  <c r="BV68"/>
  <c r="BS68"/>
  <c r="DW68"/>
  <c r="DI49"/>
  <c r="DL49" s="1"/>
  <c r="BY49"/>
  <c r="BZ49" s="1"/>
  <c r="BX49"/>
  <c r="BV49"/>
  <c r="DW49" s="1"/>
  <c r="BS49"/>
  <c r="DI44"/>
  <c r="DL44" s="1"/>
  <c r="BY44"/>
  <c r="BZ44" s="1"/>
  <c r="BX44"/>
  <c r="BV44"/>
  <c r="BS44"/>
  <c r="DW44"/>
  <c r="CD18"/>
  <c r="DJ18"/>
  <c r="BW18"/>
  <c r="BW75"/>
  <c r="CD75"/>
  <c r="DJ75"/>
  <c r="DH73"/>
  <c r="DK73" s="1"/>
  <c r="DY73"/>
  <c r="DH57"/>
  <c r="DK57" s="1"/>
  <c r="DY57"/>
  <c r="DH58"/>
  <c r="DK58" s="1"/>
  <c r="DY58"/>
  <c r="DH42"/>
  <c r="DK42" s="1"/>
  <c r="DY42"/>
  <c r="DH40"/>
  <c r="DK40" s="1"/>
  <c r="DY40"/>
  <c r="DH86"/>
  <c r="DK86" s="1"/>
  <c r="DY86"/>
  <c r="BX13"/>
  <c r="BV13"/>
  <c r="DW13" s="1"/>
  <c r="DI13"/>
  <c r="BY13"/>
  <c r="BZ13" s="1"/>
  <c r="BS13"/>
  <c r="DH84"/>
  <c r="DK84" s="1"/>
  <c r="DY84"/>
  <c r="BW105"/>
  <c r="DJ105"/>
  <c r="CD105"/>
  <c r="BW103"/>
  <c r="DJ103"/>
  <c r="CD103"/>
  <c r="DJ85"/>
  <c r="CD85"/>
  <c r="BW85"/>
  <c r="BW63"/>
  <c r="DJ63"/>
  <c r="CD63"/>
  <c r="DJ82"/>
  <c r="CD82"/>
  <c r="BW82"/>
  <c r="DJ59"/>
  <c r="DM59" s="1"/>
  <c r="CD59"/>
  <c r="BW59"/>
  <c r="DJ52"/>
  <c r="CD52"/>
  <c r="BW52"/>
  <c r="DJ51"/>
  <c r="CD51"/>
  <c r="BW51"/>
  <c r="DI46"/>
  <c r="DL46" s="1"/>
  <c r="BY46"/>
  <c r="BZ46" s="1"/>
  <c r="BX46"/>
  <c r="BV46"/>
  <c r="BS46"/>
  <c r="DW46"/>
  <c r="DJ41"/>
  <c r="CD41"/>
  <c r="BW41"/>
  <c r="DJ23"/>
  <c r="CD23"/>
  <c r="BW23"/>
  <c r="BW12"/>
  <c r="DJ12"/>
  <c r="DM12" s="1"/>
  <c r="DX12" s="1"/>
  <c r="CD12"/>
  <c r="DJ40"/>
  <c r="CD40"/>
  <c r="BW40"/>
  <c r="DJ100"/>
  <c r="CD100"/>
  <c r="BW100"/>
  <c r="DJ93"/>
  <c r="CD93"/>
  <c r="BW93"/>
  <c r="BW79"/>
  <c r="DJ79"/>
  <c r="CD79"/>
  <c r="BW60"/>
  <c r="DJ60"/>
  <c r="CD60"/>
  <c r="BW47"/>
  <c r="DJ47"/>
  <c r="CD47"/>
  <c r="BW39"/>
  <c r="DJ39"/>
  <c r="CD39"/>
  <c r="DJ25"/>
  <c r="CD25"/>
  <c r="BW25"/>
  <c r="BX17"/>
  <c r="BV17"/>
  <c r="DI17"/>
  <c r="DL17" s="1"/>
  <c r="BY17"/>
  <c r="BZ17" s="1"/>
  <c r="BS17"/>
  <c r="DW17"/>
  <c r="DJ20"/>
  <c r="CD20"/>
  <c r="BW20"/>
  <c r="DJ15"/>
  <c r="CD15"/>
  <c r="BW15"/>
  <c r="DJ11"/>
  <c r="CD11"/>
  <c r="BW11"/>
  <c r="DI76"/>
  <c r="DL76" s="1"/>
  <c r="BY76"/>
  <c r="BZ76" s="1"/>
  <c r="BX76"/>
  <c r="BV76"/>
  <c r="BS76"/>
  <c r="DW76"/>
  <c r="AZ8"/>
  <c r="AY7"/>
  <c r="DL8"/>
  <c r="DF7"/>
  <c r="BX84"/>
  <c r="BV84"/>
  <c r="DI84"/>
  <c r="DL84" s="1"/>
  <c r="BY84"/>
  <c r="BZ84" s="1"/>
  <c r="BS84"/>
  <c r="DI55"/>
  <c r="DL55" s="1"/>
  <c r="BY55"/>
  <c r="BZ55" s="1"/>
  <c r="BV55"/>
  <c r="BX55"/>
  <c r="BS55"/>
  <c r="DW55"/>
  <c r="BV21"/>
  <c r="DW21" s="1"/>
  <c r="DI21"/>
  <c r="DL21" s="1"/>
  <c r="BY21"/>
  <c r="BZ21" s="1"/>
  <c r="BS21"/>
  <c r="EB8"/>
  <c r="CG8"/>
  <c r="EC8"/>
  <c r="BX10"/>
  <c r="BV10"/>
  <c r="DI10"/>
  <c r="BY10"/>
  <c r="BZ10" s="1"/>
  <c r="BS10"/>
  <c r="DJ74"/>
  <c r="CD74"/>
  <c r="BW74"/>
  <c r="DH8"/>
  <c r="CT7"/>
  <c r="CQ6" s="1"/>
  <c r="DY8"/>
  <c r="DI86"/>
  <c r="DL86" s="1"/>
  <c r="BX86"/>
  <c r="BV86"/>
  <c r="BY86"/>
  <c r="BZ86" s="1"/>
  <c r="BS86"/>
  <c r="BX43"/>
  <c r="BV43"/>
  <c r="DI43"/>
  <c r="BY43"/>
  <c r="BZ43" s="1"/>
  <c r="BS43"/>
  <c r="BX94"/>
  <c r="BV94"/>
  <c r="DI94"/>
  <c r="BY94"/>
  <c r="BZ94" s="1"/>
  <c r="BS94"/>
  <c r="BX50"/>
  <c r="BV50"/>
  <c r="DI50"/>
  <c r="BY50"/>
  <c r="BZ50" s="1"/>
  <c r="BS50"/>
  <c r="BX73"/>
  <c r="BV73"/>
  <c r="DW73" s="1"/>
  <c r="DI73"/>
  <c r="BY73"/>
  <c r="BZ73" s="1"/>
  <c r="BS73"/>
  <c r="BX58"/>
  <c r="BV58"/>
  <c r="DI58"/>
  <c r="DL58" s="1"/>
  <c r="BY58"/>
  <c r="BZ58" s="1"/>
  <c r="BS58"/>
  <c r="DL73"/>
  <c r="DL43"/>
  <c r="BF7"/>
  <c r="BW61"/>
  <c r="DJ61"/>
  <c r="CD61"/>
  <c r="BW48"/>
  <c r="DJ48"/>
  <c r="CD48"/>
  <c r="DJ69"/>
  <c r="CD69"/>
  <c r="BW69"/>
  <c r="DI36"/>
  <c r="DL36" s="1"/>
  <c r="BY36"/>
  <c r="BZ36" s="1"/>
  <c r="BX36"/>
  <c r="BV36"/>
  <c r="BS36"/>
  <c r="DW36"/>
  <c r="DI29"/>
  <c r="DL29" s="1"/>
  <c r="BY29"/>
  <c r="BZ29" s="1"/>
  <c r="BV29"/>
  <c r="BS29"/>
  <c r="DW29"/>
  <c r="BW22"/>
  <c r="CD22"/>
  <c r="DJ22"/>
  <c r="DJ16"/>
  <c r="CD16"/>
  <c r="BW16"/>
  <c r="DJ95"/>
  <c r="CD95"/>
  <c r="BW95"/>
  <c r="DJ102"/>
  <c r="DM102" s="1"/>
  <c r="DX102" s="1"/>
  <c r="CD102"/>
  <c r="BW102"/>
  <c r="DJ99"/>
  <c r="CD99"/>
  <c r="BW99"/>
  <c r="DJ83"/>
  <c r="CD83"/>
  <c r="BW83"/>
  <c r="BW67"/>
  <c r="DJ67"/>
  <c r="CD67"/>
  <c r="DJ57"/>
  <c r="CD57"/>
  <c r="BW57"/>
  <c r="BW34"/>
  <c r="DJ34"/>
  <c r="CD34"/>
  <c r="BW9"/>
  <c r="DJ9"/>
  <c r="DM9" s="1"/>
  <c r="DX9" s="1"/>
  <c r="CD9"/>
  <c r="BW104"/>
  <c r="DJ104"/>
  <c r="CD104"/>
  <c r="DJ77"/>
  <c r="CD77"/>
  <c r="BW77"/>
  <c r="BW54"/>
  <c r="DJ54"/>
  <c r="CD54"/>
  <c r="BW45"/>
  <c r="DJ45"/>
  <c r="CD45"/>
  <c r="BW37"/>
  <c r="DJ37"/>
  <c r="CD37"/>
  <c r="BW33"/>
  <c r="DJ33"/>
  <c r="CD33"/>
  <c r="BW27"/>
  <c r="DJ27"/>
  <c r="CD27"/>
  <c r="BW14"/>
  <c r="DJ14"/>
  <c r="DM14" s="1"/>
  <c r="CD14"/>
  <c r="DI56"/>
  <c r="DL56" s="1"/>
  <c r="BY56"/>
  <c r="BZ56" s="1"/>
  <c r="BX56"/>
  <c r="BV56"/>
  <c r="BS56"/>
  <c r="DW56"/>
  <c r="BW78"/>
  <c r="DJ78"/>
  <c r="CD78"/>
  <c r="DH83"/>
  <c r="DK83" s="1"/>
  <c r="DY83"/>
  <c r="DH70"/>
  <c r="DK70" s="1"/>
  <c r="DY70"/>
  <c r="BW53"/>
  <c r="CD53"/>
  <c r="DJ53"/>
  <c r="DH51"/>
  <c r="DK51" s="1"/>
  <c r="DY51"/>
  <c r="DJ101"/>
  <c r="CD101"/>
  <c r="BW101"/>
  <c r="DJ97"/>
  <c r="CD97"/>
  <c r="BW97"/>
  <c r="BW38"/>
  <c r="DJ38"/>
  <c r="CD38"/>
  <c r="BW32"/>
  <c r="DJ32"/>
  <c r="CD32"/>
  <c r="BW19"/>
  <c r="DJ19"/>
  <c r="DM19" s="1"/>
  <c r="CD19"/>
  <c r="DJ96"/>
  <c r="CD96"/>
  <c r="BW96"/>
  <c r="DI81"/>
  <c r="DL81" s="1"/>
  <c r="BY81"/>
  <c r="BZ81" s="1"/>
  <c r="BX81"/>
  <c r="BV81"/>
  <c r="BS81"/>
  <c r="DW81"/>
  <c r="DJ72"/>
  <c r="CD72"/>
  <c r="BW72"/>
  <c r="DJ71"/>
  <c r="CD71"/>
  <c r="BW71"/>
  <c r="DI66"/>
  <c r="DL66" s="1"/>
  <c r="BY66"/>
  <c r="BZ66" s="1"/>
  <c r="BX66"/>
  <c r="BV66"/>
  <c r="DW66" s="1"/>
  <c r="BS66"/>
  <c r="DI65"/>
  <c r="DL65" s="1"/>
  <c r="BY65"/>
  <c r="BZ65" s="1"/>
  <c r="BX65"/>
  <c r="BV65"/>
  <c r="BS65"/>
  <c r="DW65"/>
  <c r="DI64"/>
  <c r="DL64" s="1"/>
  <c r="BY64"/>
  <c r="BZ64" s="1"/>
  <c r="BX64"/>
  <c r="BV64"/>
  <c r="BS64"/>
  <c r="DW64"/>
  <c r="BW35"/>
  <c r="DJ35"/>
  <c r="CD35"/>
  <c r="BW31"/>
  <c r="DJ31"/>
  <c r="CD31"/>
  <c r="DH85"/>
  <c r="DK85" s="1"/>
  <c r="DY85"/>
  <c r="DH97"/>
  <c r="DK97" s="1"/>
  <c r="DY97"/>
  <c r="DH96"/>
  <c r="DK96" s="1"/>
  <c r="DY96"/>
  <c r="DH59"/>
  <c r="DK59" s="1"/>
  <c r="DX59" s="1"/>
  <c r="DY59"/>
  <c r="DH50"/>
  <c r="DK50" s="1"/>
  <c r="DY50"/>
  <c r="DH23"/>
  <c r="DK23" s="1"/>
  <c r="DY23"/>
  <c r="DY53"/>
  <c r="DH53"/>
  <c r="DK53" s="1"/>
  <c r="DH41"/>
  <c r="DK41" s="1"/>
  <c r="DY41"/>
  <c r="DH24"/>
  <c r="DK24" s="1"/>
  <c r="DY24"/>
  <c r="AM7"/>
  <c r="BA8"/>
  <c r="BW92"/>
  <c r="CD92"/>
  <c r="DJ92"/>
  <c r="BW91"/>
  <c r="CD91"/>
  <c r="DJ91"/>
  <c r="DH82"/>
  <c r="DK82" s="1"/>
  <c r="DY82"/>
  <c r="DH71"/>
  <c r="DK71" s="1"/>
  <c r="DY71"/>
  <c r="DH72"/>
  <c r="DK72" s="1"/>
  <c r="DY72"/>
  <c r="DH69"/>
  <c r="DK69" s="1"/>
  <c r="DY69"/>
  <c r="DH43"/>
  <c r="DK43" s="1"/>
  <c r="DY43"/>
  <c r="DH25"/>
  <c r="DK25" s="1"/>
  <c r="DY25"/>
  <c r="CC8"/>
  <c r="BT8"/>
  <c r="BZ8"/>
  <c r="DH52"/>
  <c r="DK52" s="1"/>
  <c r="DY52"/>
  <c r="DH14"/>
  <c r="DK14" s="1"/>
  <c r="DX14" s="1"/>
  <c r="DY14"/>
  <c r="BX24"/>
  <c r="BV24"/>
  <c r="DI24"/>
  <c r="DL24" s="1"/>
  <c r="BY24"/>
  <c r="BZ24" s="1"/>
  <c r="BS24"/>
  <c r="BG36"/>
  <c r="BG30"/>
  <c r="BG29"/>
  <c r="BG28"/>
  <c r="BG87"/>
  <c r="BG80"/>
  <c r="BG68"/>
  <c r="BG49"/>
  <c r="BG44"/>
  <c r="DL94"/>
  <c r="DL50"/>
  <c r="BG13"/>
  <c r="DW84"/>
  <c r="BG46"/>
  <c r="BG17"/>
  <c r="BG76"/>
  <c r="DL13"/>
  <c r="DL10"/>
  <c r="BG84"/>
  <c r="BG55"/>
  <c r="DW43"/>
  <c r="BG21"/>
  <c r="BV7"/>
  <c r="BG10"/>
  <c r="AF7"/>
  <c r="BU7"/>
  <c r="DX19"/>
  <c r="BG86"/>
  <c r="BG43"/>
  <c r="BG94"/>
  <c r="BG50"/>
  <c r="BG73"/>
  <c r="BG58"/>
  <c r="AF7" i="5" l="1"/>
  <c r="AF82" i="9"/>
  <c r="AY82" i="15"/>
  <c r="AZ82" s="1"/>
  <c r="DG82" s="1"/>
  <c r="DF82"/>
  <c r="AY84"/>
  <c r="AZ84" s="1"/>
  <c r="DG84" s="1"/>
  <c r="DF84"/>
  <c r="DF77" i="9"/>
  <c r="AY77"/>
  <c r="AZ77" s="1"/>
  <c r="DG77" s="1"/>
  <c r="CC50" i="15"/>
  <c r="BT50"/>
  <c r="EB44"/>
  <c r="EC44" s="1"/>
  <c r="CG44"/>
  <c r="CH44" s="1"/>
  <c r="AH40" i="9"/>
  <c r="AL40" s="1"/>
  <c r="AM40"/>
  <c r="BA40" s="1"/>
  <c r="BB40" s="1"/>
  <c r="BF40" s="1"/>
  <c r="AH50" i="19"/>
  <c r="AL50" s="1"/>
  <c r="AM50"/>
  <c r="BA50" s="1"/>
  <c r="BB50" s="1"/>
  <c r="DF19" i="15"/>
  <c r="AY19"/>
  <c r="AZ19" s="1"/>
  <c r="DG19" s="1"/>
  <c r="AY49"/>
  <c r="AZ49" s="1"/>
  <c r="DG49" s="1"/>
  <c r="DF49"/>
  <c r="BG38" i="19"/>
  <c r="BB38"/>
  <c r="BY18" i="12"/>
  <c r="BZ18" s="1"/>
  <c r="BV18"/>
  <c r="DI18"/>
  <c r="DL18" s="1"/>
  <c r="BX18"/>
  <c r="BS18"/>
  <c r="AH46" i="9"/>
  <c r="AL46" s="1"/>
  <c r="AM46"/>
  <c r="BA46" s="1"/>
  <c r="BB46" s="1"/>
  <c r="BF46" s="1"/>
  <c r="DF69"/>
  <c r="AY69"/>
  <c r="AZ69" s="1"/>
  <c r="DG69" s="1"/>
  <c r="DF44" i="19"/>
  <c r="AY44"/>
  <c r="AZ44" s="1"/>
  <c r="DG44" s="1"/>
  <c r="CC15" i="12"/>
  <c r="BT15"/>
  <c r="DN15" i="15"/>
  <c r="AG15"/>
  <c r="CG93" i="12"/>
  <c r="CH93" s="1"/>
  <c r="EC93"/>
  <c r="EB93"/>
  <c r="DN93" i="15"/>
  <c r="AG93"/>
  <c r="AH93" s="1"/>
  <c r="AL93" s="1"/>
  <c r="BX80" i="12"/>
  <c r="DI80"/>
  <c r="BS80"/>
  <c r="BV80"/>
  <c r="DW80" s="1"/>
  <c r="BY80"/>
  <c r="BZ80" s="1"/>
  <c r="EC86" i="9"/>
  <c r="EB86"/>
  <c r="CG86"/>
  <c r="CH86" s="1"/>
  <c r="DN86" i="12"/>
  <c r="AG86"/>
  <c r="DN78" i="9"/>
  <c r="AG78"/>
  <c r="AH78" s="1"/>
  <c r="AL78" s="1"/>
  <c r="DN82"/>
  <c r="AG82"/>
  <c r="BB53"/>
  <c r="BG53"/>
  <c r="T53" i="12" s="1"/>
  <c r="BB48" i="9"/>
  <c r="BG48"/>
  <c r="T48" i="12" s="1"/>
  <c r="BB100" i="9"/>
  <c r="BG100"/>
  <c r="T100" i="12" s="1"/>
  <c r="BB31"/>
  <c r="BG31"/>
  <c r="EB50" i="15"/>
  <c r="EC50" s="1"/>
  <c r="CG50"/>
  <c r="CH50" s="1"/>
  <c r="CC44"/>
  <c r="BT44"/>
  <c r="BB54" i="9"/>
  <c r="BG54"/>
  <c r="T54" i="12" s="1"/>
  <c r="BG37"/>
  <c r="T37" i="15" s="1"/>
  <c r="BB37" i="12"/>
  <c r="AH28" i="9"/>
  <c r="AL28" s="1"/>
  <c r="CG15" i="12"/>
  <c r="CH15" s="1"/>
  <c r="EB15"/>
  <c r="EC15" s="1"/>
  <c r="BT93"/>
  <c r="CC93"/>
  <c r="CC86" i="9"/>
  <c r="BT86"/>
  <c r="EB82" i="21"/>
  <c r="AM82" i="15"/>
  <c r="BA82" s="1"/>
  <c r="AM84"/>
  <c r="BA84" s="1"/>
  <c r="AM77" i="9"/>
  <c r="BA77" s="1"/>
  <c r="BB77" s="1"/>
  <c r="BF77" s="1"/>
  <c r="DL80" i="12"/>
  <c r="AM19" i="15"/>
  <c r="BA19" s="1"/>
  <c r="AM49"/>
  <c r="BA49" s="1"/>
  <c r="BG18" i="12"/>
  <c r="T18" i="15" s="1"/>
  <c r="AM69" i="9"/>
  <c r="BA69" s="1"/>
  <c r="AM44" i="19"/>
  <c r="BA44" s="1"/>
  <c r="DL15" i="12"/>
  <c r="DL93"/>
  <c r="BG80"/>
  <c r="T80" i="15" s="1"/>
  <c r="DL86" i="9"/>
  <c r="AH30" i="22"/>
  <c r="AM30"/>
  <c r="BA30" s="1"/>
  <c r="AH13"/>
  <c r="AM13"/>
  <c r="BA13" s="1"/>
  <c r="DN30" i="21"/>
  <c r="AG30"/>
  <c r="DN13"/>
  <c r="AG13"/>
  <c r="BV73"/>
  <c r="DW73" s="1"/>
  <c r="BY73"/>
  <c r="BZ73" s="1"/>
  <c r="BX73"/>
  <c r="DI73"/>
  <c r="DL73" s="1"/>
  <c r="BS73"/>
  <c r="CG24"/>
  <c r="CH24" s="1"/>
  <c r="EB24"/>
  <c r="EC24" s="1"/>
  <c r="CC24"/>
  <c r="BT24"/>
  <c r="BY44"/>
  <c r="BZ44" s="1"/>
  <c r="BV44"/>
  <c r="DI44"/>
  <c r="DL44" s="1"/>
  <c r="BX44"/>
  <c r="BS44"/>
  <c r="DI81"/>
  <c r="DL81" s="1"/>
  <c r="BS81"/>
  <c r="BV81"/>
  <c r="DW81"/>
  <c r="BY81"/>
  <c r="BZ81" s="1"/>
  <c r="BX81"/>
  <c r="DW44"/>
  <c r="DG81"/>
  <c r="DG82"/>
  <c r="CD82"/>
  <c r="BW82"/>
  <c r="DG29"/>
  <c r="BW29"/>
  <c r="CD29"/>
  <c r="AZ8" i="19"/>
  <c r="DG8" s="1"/>
  <c r="DF33" i="15"/>
  <c r="AY33"/>
  <c r="CG13" i="19"/>
  <c r="CH13" s="1"/>
  <c r="EB13"/>
  <c r="EC13"/>
  <c r="DW50"/>
  <c r="BV50"/>
  <c r="BY50"/>
  <c r="BZ50" s="1"/>
  <c r="BX50"/>
  <c r="DI50"/>
  <c r="BS50"/>
  <c r="AZ10"/>
  <c r="BW30"/>
  <c r="CD30"/>
  <c r="DJ30"/>
  <c r="BB8"/>
  <c r="BF8" s="1"/>
  <c r="BG8" s="1"/>
  <c r="DI55"/>
  <c r="DL55" s="1"/>
  <c r="BX55"/>
  <c r="BS55"/>
  <c r="BY55"/>
  <c r="BZ55" s="1"/>
  <c r="BV55"/>
  <c r="BY10"/>
  <c r="BV10"/>
  <c r="DI10"/>
  <c r="DL10" s="1"/>
  <c r="BX10"/>
  <c r="BS10"/>
  <c r="BT13"/>
  <c r="CC13"/>
  <c r="AM33" i="15"/>
  <c r="BA33" s="1"/>
  <c r="BB33" s="1"/>
  <c r="BF33" s="1"/>
  <c r="DI33" s="1"/>
  <c r="DL33" s="1"/>
  <c r="BG50" i="19"/>
  <c r="BG55"/>
  <c r="BG10"/>
  <c r="BG33" i="15"/>
  <c r="AH61"/>
  <c r="AM61"/>
  <c r="DX10"/>
  <c r="EF33" i="12"/>
  <c r="DM33"/>
  <c r="DX33" s="1"/>
  <c r="DM61"/>
  <c r="DX61" s="1"/>
  <c r="EF61"/>
  <c r="BA101"/>
  <c r="DX8"/>
  <c r="DM82"/>
  <c r="DX82" s="1"/>
  <c r="EF82"/>
  <c r="EF49"/>
  <c r="DM49"/>
  <c r="DX49" s="1"/>
  <c r="DM84"/>
  <c r="DX84" s="1"/>
  <c r="EF84"/>
  <c r="DM93" i="9"/>
  <c r="DX93" s="1"/>
  <c r="EF93"/>
  <c r="EF18"/>
  <c r="DM18"/>
  <c r="DX18" s="1"/>
  <c r="EF80"/>
  <c r="DM80"/>
  <c r="DX80" s="1"/>
  <c r="EF15"/>
  <c r="DM15"/>
  <c r="DX15" s="1"/>
  <c r="AH75" i="5"/>
  <c r="AM75"/>
  <c r="BA75" s="1"/>
  <c r="AG91"/>
  <c r="DN91"/>
  <c r="DN94"/>
  <c r="AG94"/>
  <c r="AG92"/>
  <c r="DN92"/>
  <c r="DK7"/>
  <c r="DJ50"/>
  <c r="DJ82"/>
  <c r="CD82"/>
  <c r="BW82"/>
  <c r="CC78"/>
  <c r="BT78"/>
  <c r="BW69"/>
  <c r="DJ69"/>
  <c r="CD69"/>
  <c r="DJ43"/>
  <c r="DJ56"/>
  <c r="DJ40"/>
  <c r="CD40"/>
  <c r="BW40"/>
  <c r="DJ28"/>
  <c r="CD28"/>
  <c r="BW28"/>
  <c r="DM8"/>
  <c r="EF8"/>
  <c r="DJ31"/>
  <c r="BG69" i="2"/>
  <c r="BY69"/>
  <c r="BZ69" s="1"/>
  <c r="BV69"/>
  <c r="DW69" s="1"/>
  <c r="AY78"/>
  <c r="AZ78" s="1"/>
  <c r="DG78" s="1"/>
  <c r="DF78"/>
  <c r="DL78" s="1"/>
  <c r="AY69"/>
  <c r="AZ69" s="1"/>
  <c r="DG69" s="1"/>
  <c r="DF69"/>
  <c r="BV78"/>
  <c r="DW78" s="1"/>
  <c r="BS69"/>
  <c r="BX69"/>
  <c r="CG69" s="1"/>
  <c r="CH69" s="1"/>
  <c r="DI69"/>
  <c r="T58"/>
  <c r="T50"/>
  <c r="T43"/>
  <c r="T44"/>
  <c r="T87"/>
  <c r="T36"/>
  <c r="T73"/>
  <c r="T10"/>
  <c r="T21"/>
  <c r="T55"/>
  <c r="T76"/>
  <c r="T46"/>
  <c r="T13"/>
  <c r="T49"/>
  <c r="T80"/>
  <c r="T28"/>
  <c r="T30"/>
  <c r="AH77"/>
  <c r="AL77" s="1"/>
  <c r="AM77" s="1"/>
  <c r="BA77" s="1"/>
  <c r="BB77" s="1"/>
  <c r="BF77" s="1"/>
  <c r="BS78"/>
  <c r="BT78" s="1"/>
  <c r="BY78"/>
  <c r="BZ78" s="1"/>
  <c r="T84"/>
  <c r="T17"/>
  <c r="AG17" s="1"/>
  <c r="T68"/>
  <c r="T29"/>
  <c r="AH82"/>
  <c r="AL82" s="1"/>
  <c r="AM82" s="1"/>
  <c r="BA82" s="1"/>
  <c r="AH40"/>
  <c r="AL40" s="1"/>
  <c r="AM40" s="1"/>
  <c r="BA40" s="1"/>
  <c r="DN58"/>
  <c r="AG58"/>
  <c r="DN43"/>
  <c r="AG43"/>
  <c r="AH43" s="1"/>
  <c r="AL43" s="1"/>
  <c r="DN84"/>
  <c r="AG84"/>
  <c r="DN17"/>
  <c r="DN68"/>
  <c r="AG68"/>
  <c r="AH68" s="1"/>
  <c r="AL68" s="1"/>
  <c r="AG87"/>
  <c r="DN87"/>
  <c r="DN29"/>
  <c r="AG29"/>
  <c r="DN36"/>
  <c r="AG36"/>
  <c r="BB104"/>
  <c r="BG104"/>
  <c r="AH70"/>
  <c r="AM70"/>
  <c r="BA70" s="1"/>
  <c r="AH93"/>
  <c r="AM93"/>
  <c r="BA93" s="1"/>
  <c r="AH95"/>
  <c r="AM95"/>
  <c r="BA95" s="1"/>
  <c r="AH11"/>
  <c r="AL11" s="1"/>
  <c r="AM11" s="1"/>
  <c r="BA11" s="1"/>
  <c r="AH102"/>
  <c r="AM102"/>
  <c r="BA102" s="1"/>
  <c r="AH57"/>
  <c r="AM57"/>
  <c r="BA57" s="1"/>
  <c r="AH71"/>
  <c r="AM71"/>
  <c r="BA71" s="1"/>
  <c r="AH97"/>
  <c r="AM97"/>
  <c r="BA97" s="1"/>
  <c r="AH98"/>
  <c r="AM98"/>
  <c r="BA98" s="1"/>
  <c r="AH27"/>
  <c r="AM27"/>
  <c r="BA27" s="1"/>
  <c r="AH32"/>
  <c r="AM32"/>
  <c r="BA32" s="1"/>
  <c r="AH34"/>
  <c r="AM34"/>
  <c r="BA34" s="1"/>
  <c r="AH79"/>
  <c r="AM79"/>
  <c r="BA79" s="1"/>
  <c r="BB105"/>
  <c r="BG105"/>
  <c r="AH100"/>
  <c r="AL100" s="1"/>
  <c r="AM100" s="1"/>
  <c r="BA100" s="1"/>
  <c r="AH33"/>
  <c r="AM33"/>
  <c r="BA33" s="1"/>
  <c r="AH35"/>
  <c r="AM35"/>
  <c r="BA35" s="1"/>
  <c r="AH106"/>
  <c r="AM106"/>
  <c r="BA106" s="1"/>
  <c r="AH45"/>
  <c r="AM45"/>
  <c r="BA45" s="1"/>
  <c r="AH89"/>
  <c r="AM89"/>
  <c r="BA89" s="1"/>
  <c r="DN50"/>
  <c r="AG50"/>
  <c r="AH50" s="1"/>
  <c r="AL50" s="1"/>
  <c r="DN73"/>
  <c r="AG73"/>
  <c r="DN10"/>
  <c r="AG10"/>
  <c r="DN21"/>
  <c r="AG21"/>
  <c r="AG55"/>
  <c r="AH55" s="1"/>
  <c r="AL55" s="1"/>
  <c r="DN55"/>
  <c r="DN76"/>
  <c r="AG76"/>
  <c r="AG46"/>
  <c r="DN46"/>
  <c r="DN13"/>
  <c r="AG13"/>
  <c r="DN49"/>
  <c r="AG49"/>
  <c r="DN80"/>
  <c r="AG80"/>
  <c r="AG28"/>
  <c r="DN28"/>
  <c r="DN30"/>
  <c r="AG30"/>
  <c r="BG54"/>
  <c r="BB54"/>
  <c r="AH24"/>
  <c r="AL24" s="1"/>
  <c r="AH22"/>
  <c r="AL22" s="1"/>
  <c r="AH25"/>
  <c r="AM25"/>
  <c r="BA25" s="1"/>
  <c r="AH42"/>
  <c r="AM42"/>
  <c r="BA42" s="1"/>
  <c r="AM52"/>
  <c r="BA52" s="1"/>
  <c r="AH52"/>
  <c r="AH72"/>
  <c r="AM72"/>
  <c r="BA72" s="1"/>
  <c r="AH99"/>
  <c r="AM99"/>
  <c r="BA99" s="1"/>
  <c r="AH23"/>
  <c r="AM23"/>
  <c r="BA23" s="1"/>
  <c r="AH15"/>
  <c r="AM15"/>
  <c r="BA15" s="1"/>
  <c r="AM41"/>
  <c r="BA41" s="1"/>
  <c r="AH41"/>
  <c r="AH51"/>
  <c r="AM51"/>
  <c r="BA51" s="1"/>
  <c r="AH53"/>
  <c r="AM53"/>
  <c r="BA53" s="1"/>
  <c r="AH59"/>
  <c r="AM59"/>
  <c r="BA59" s="1"/>
  <c r="AM83"/>
  <c r="BA83" s="1"/>
  <c r="AH83"/>
  <c r="AM85"/>
  <c r="BA85" s="1"/>
  <c r="AH85"/>
  <c r="AM63"/>
  <c r="BA63" s="1"/>
  <c r="AH63"/>
  <c r="AH20"/>
  <c r="AL20" s="1"/>
  <c r="AH31"/>
  <c r="AL31" s="1"/>
  <c r="AM31" s="1"/>
  <c r="BA31" s="1"/>
  <c r="AH47"/>
  <c r="AM47"/>
  <c r="BA47" s="1"/>
  <c r="AM62"/>
  <c r="BA62" s="1"/>
  <c r="AH62"/>
  <c r="AH67"/>
  <c r="AM67"/>
  <c r="BA67" s="1"/>
  <c r="AH74"/>
  <c r="AL74" s="1"/>
  <c r="AM74" s="1"/>
  <c r="BA74" s="1"/>
  <c r="AH96"/>
  <c r="AM96"/>
  <c r="BA96" s="1"/>
  <c r="AH37"/>
  <c r="AM37"/>
  <c r="BA37" s="1"/>
  <c r="AH39"/>
  <c r="AM39"/>
  <c r="BA39" s="1"/>
  <c r="AM60"/>
  <c r="BA60" s="1"/>
  <c r="AH60"/>
  <c r="AH61"/>
  <c r="AM61"/>
  <c r="BA61" s="1"/>
  <c r="BB103"/>
  <c r="BG103"/>
  <c r="BG19"/>
  <c r="BB19"/>
  <c r="AH26"/>
  <c r="AM26"/>
  <c r="BA26" s="1"/>
  <c r="AH18"/>
  <c r="AL18" s="1"/>
  <c r="AM18" s="1"/>
  <c r="BA18" s="1"/>
  <c r="AH38"/>
  <c r="AM38"/>
  <c r="BA38" s="1"/>
  <c r="AH9"/>
  <c r="AM9"/>
  <c r="BA9" s="1"/>
  <c r="AH16"/>
  <c r="AM16"/>
  <c r="BA16" s="1"/>
  <c r="AH56"/>
  <c r="AL56" s="1"/>
  <c r="AM56" s="1"/>
  <c r="BA56" s="1"/>
  <c r="BB56" s="1"/>
  <c r="BF56" s="1"/>
  <c r="AM90"/>
  <c r="BA90" s="1"/>
  <c r="AH90"/>
  <c r="AH101"/>
  <c r="AM101"/>
  <c r="BA101" s="1"/>
  <c r="AH88"/>
  <c r="AM88"/>
  <c r="BA88" s="1"/>
  <c r="AH12"/>
  <c r="AM12"/>
  <c r="BA12" s="1"/>
  <c r="AH14"/>
  <c r="AM14"/>
  <c r="BA14" s="1"/>
  <c r="AH48"/>
  <c r="AM48"/>
  <c r="BA48" s="1"/>
  <c r="AH64"/>
  <c r="AL64" s="1"/>
  <c r="AH66"/>
  <c r="AL66" s="1"/>
  <c r="AM65"/>
  <c r="BA65" s="1"/>
  <c r="BB65" s="1"/>
  <c r="BF65" s="1"/>
  <c r="AY65"/>
  <c r="AZ65" s="1"/>
  <c r="DG65" s="1"/>
  <c r="DF65"/>
  <c r="AH81"/>
  <c r="AL81" s="1"/>
  <c r="AM81" s="1"/>
  <c r="BA81" s="1"/>
  <c r="BB81" s="1"/>
  <c r="BF81" s="1"/>
  <c r="DX9"/>
  <c r="DM104"/>
  <c r="DX104" s="1"/>
  <c r="EF104"/>
  <c r="DM27"/>
  <c r="DX27" s="1"/>
  <c r="EF27"/>
  <c r="EF57"/>
  <c r="DM57"/>
  <c r="DX57" s="1"/>
  <c r="EC8"/>
  <c r="EB8"/>
  <c r="CG8"/>
  <c r="BZ8"/>
  <c r="CC69"/>
  <c r="BT69"/>
  <c r="EB69"/>
  <c r="EC69" s="1"/>
  <c r="DM38"/>
  <c r="DX38" s="1"/>
  <c r="EF38"/>
  <c r="EF70"/>
  <c r="DM70"/>
  <c r="DX70" s="1"/>
  <c r="EF85"/>
  <c r="DM85"/>
  <c r="DX85" s="1"/>
  <c r="AZ8"/>
  <c r="BW8" s="1"/>
  <c r="DL8"/>
  <c r="DM34"/>
  <c r="DX34" s="1"/>
  <c r="EF34"/>
  <c r="DM97"/>
  <c r="DX97" s="1"/>
  <c r="EF97"/>
  <c r="EF37"/>
  <c r="DM37"/>
  <c r="DX37" s="1"/>
  <c r="DM71"/>
  <c r="DX71" s="1"/>
  <c r="EF71"/>
  <c r="EF99"/>
  <c r="DM99"/>
  <c r="DX99" s="1"/>
  <c r="DM95"/>
  <c r="DX95" s="1"/>
  <c r="EF95"/>
  <c r="DH7"/>
  <c r="DK8"/>
  <c r="DM41"/>
  <c r="DX41" s="1"/>
  <c r="EF41"/>
  <c r="DM47"/>
  <c r="DX47" s="1"/>
  <c r="EF47"/>
  <c r="DM62"/>
  <c r="DX62" s="1"/>
  <c r="EF62"/>
  <c r="EF23"/>
  <c r="DM23"/>
  <c r="DX23" s="1"/>
  <c r="EF48"/>
  <c r="DM48"/>
  <c r="DX48" s="1"/>
  <c r="DM63"/>
  <c r="EF63"/>
  <c r="DM93"/>
  <c r="DX93" s="1"/>
  <c r="EF93"/>
  <c r="EF83"/>
  <c r="DM83"/>
  <c r="DX83" s="1"/>
  <c r="EF96"/>
  <c r="DM96"/>
  <c r="DX96" s="1"/>
  <c r="DX14"/>
  <c r="CC8"/>
  <c r="DX63"/>
  <c r="EF15"/>
  <c r="DM15"/>
  <c r="DX15" s="1"/>
  <c r="DM51"/>
  <c r="DX51" s="1"/>
  <c r="EF51"/>
  <c r="EF60"/>
  <c r="DM60"/>
  <c r="DM16"/>
  <c r="DX16" s="1"/>
  <c r="EF16"/>
  <c r="EF25"/>
  <c r="DM25"/>
  <c r="DX25" s="1"/>
  <c r="EF98"/>
  <c r="DM98"/>
  <c r="DX98" s="1"/>
  <c r="EF53"/>
  <c r="DM53"/>
  <c r="DX53" s="1"/>
  <c r="DM35"/>
  <c r="EF35"/>
  <c r="EF61"/>
  <c r="DM61"/>
  <c r="DX61" s="1"/>
  <c r="DM32"/>
  <c r="DX32" s="1"/>
  <c r="EF32"/>
  <c r="EF88"/>
  <c r="DM88"/>
  <c r="DX88" s="1"/>
  <c r="DJ8"/>
  <c r="CD8"/>
  <c r="DM42"/>
  <c r="DX42" s="1"/>
  <c r="EF42"/>
  <c r="EF33"/>
  <c r="DM33"/>
  <c r="DX33" s="1"/>
  <c r="EF45"/>
  <c r="DM45"/>
  <c r="DX45" s="1"/>
  <c r="CC94"/>
  <c r="BT94"/>
  <c r="EB94"/>
  <c r="EC94" s="1"/>
  <c r="CG94"/>
  <c r="CH94" s="1"/>
  <c r="DM105"/>
  <c r="DX105" s="1"/>
  <c r="EF105"/>
  <c r="EF101"/>
  <c r="DM101"/>
  <c r="DX101" s="1"/>
  <c r="DI86"/>
  <c r="DL86" s="1"/>
  <c r="BX86"/>
  <c r="BV86"/>
  <c r="BY86"/>
  <c r="BZ86" s="1"/>
  <c r="BS86"/>
  <c r="DW86"/>
  <c r="DM75"/>
  <c r="DX75" s="1"/>
  <c r="EF75"/>
  <c r="DM52"/>
  <c r="DX52" s="1"/>
  <c r="EF52"/>
  <c r="DM39"/>
  <c r="DX39" s="1"/>
  <c r="EF39"/>
  <c r="DM91"/>
  <c r="DX91" s="1"/>
  <c r="EF91"/>
  <c r="DM92"/>
  <c r="DX92" s="1"/>
  <c r="EF92"/>
  <c r="DM67"/>
  <c r="DX67" s="1"/>
  <c r="EF67"/>
  <c r="EF72"/>
  <c r="DM72"/>
  <c r="DX72" s="1"/>
  <c r="EF79"/>
  <c r="DM79"/>
  <c r="DX79" s="1"/>
  <c r="DX35"/>
  <c r="DX60"/>
  <c r="DX12"/>
  <c r="BW8" i="1"/>
  <c r="DJ8"/>
  <c r="CD8"/>
  <c r="EB64"/>
  <c r="CG64"/>
  <c r="CH64" s="1"/>
  <c r="EC64"/>
  <c r="EB65"/>
  <c r="CG65"/>
  <c r="CH65" s="1"/>
  <c r="EC65"/>
  <c r="DM96"/>
  <c r="EF96"/>
  <c r="BT24"/>
  <c r="CC24"/>
  <c r="EB24"/>
  <c r="EC24" s="1"/>
  <c r="CG24"/>
  <c r="CH24" s="1"/>
  <c r="DM91"/>
  <c r="DX91" s="1"/>
  <c r="EF91"/>
  <c r="BB8"/>
  <c r="BB7" s="1"/>
  <c r="BA7"/>
  <c r="BG8"/>
  <c r="DM35"/>
  <c r="DX35" s="1"/>
  <c r="EF35"/>
  <c r="CC66"/>
  <c r="BT66"/>
  <c r="EB66"/>
  <c r="EC66" s="1"/>
  <c r="CG66"/>
  <c r="CH66" s="1"/>
  <c r="DM72"/>
  <c r="EF72"/>
  <c r="CC81"/>
  <c r="BT81"/>
  <c r="EB81"/>
  <c r="CG81"/>
  <c r="CH81" s="1"/>
  <c r="EC81"/>
  <c r="DM32"/>
  <c r="DX32" s="1"/>
  <c r="EF32"/>
  <c r="DM101"/>
  <c r="DX101" s="1"/>
  <c r="EF101"/>
  <c r="CC56"/>
  <c r="BT56"/>
  <c r="EC56"/>
  <c r="EB56"/>
  <c r="CG56"/>
  <c r="CH56" s="1"/>
  <c r="DM33"/>
  <c r="DX33" s="1"/>
  <c r="EF33"/>
  <c r="DM45"/>
  <c r="DX45" s="1"/>
  <c r="EF45"/>
  <c r="DM99"/>
  <c r="DX99" s="1"/>
  <c r="EF99"/>
  <c r="DM95"/>
  <c r="DX95" s="1"/>
  <c r="EF95"/>
  <c r="EF22"/>
  <c r="DM22"/>
  <c r="DX22" s="1"/>
  <c r="CC29"/>
  <c r="BT29"/>
  <c r="DM69"/>
  <c r="EF69"/>
  <c r="DM48"/>
  <c r="DX48" s="1"/>
  <c r="EF48"/>
  <c r="BT58"/>
  <c r="CC58"/>
  <c r="EC58"/>
  <c r="EB58"/>
  <c r="CG58"/>
  <c r="CH58" s="1"/>
  <c r="BT50"/>
  <c r="CC50"/>
  <c r="EB50"/>
  <c r="EC50" s="1"/>
  <c r="CG50"/>
  <c r="CH50" s="1"/>
  <c r="BT43"/>
  <c r="CC43"/>
  <c r="EB43"/>
  <c r="EC43" s="1"/>
  <c r="CG43"/>
  <c r="CH43" s="1"/>
  <c r="EB86"/>
  <c r="EC86"/>
  <c r="CG86"/>
  <c r="CH86" s="1"/>
  <c r="DH7"/>
  <c r="DK8"/>
  <c r="BT10"/>
  <c r="CC10"/>
  <c r="EC10"/>
  <c r="EB10"/>
  <c r="CG10"/>
  <c r="CH10" s="1"/>
  <c r="CC55"/>
  <c r="BT55"/>
  <c r="EF11"/>
  <c r="DM11"/>
  <c r="DX11" s="1"/>
  <c r="EF20"/>
  <c r="DM20"/>
  <c r="DX20" s="1"/>
  <c r="BT17"/>
  <c r="CC17"/>
  <c r="EB17"/>
  <c r="EC17" s="1"/>
  <c r="CG17"/>
  <c r="CH17" s="1"/>
  <c r="DM47"/>
  <c r="DX47" s="1"/>
  <c r="EF47"/>
  <c r="DM79"/>
  <c r="DX79" s="1"/>
  <c r="EF79"/>
  <c r="DM93"/>
  <c r="DX93" s="1"/>
  <c r="EF93"/>
  <c r="EF40"/>
  <c r="DM40"/>
  <c r="DX40" s="1"/>
  <c r="EF23"/>
  <c r="DM23"/>
  <c r="EF51"/>
  <c r="DM51"/>
  <c r="DM105"/>
  <c r="DX105" s="1"/>
  <c r="EF105"/>
  <c r="BT13"/>
  <c r="CC13"/>
  <c r="EC13"/>
  <c r="EB13"/>
  <c r="CG13"/>
  <c r="CH13" s="1"/>
  <c r="CC44"/>
  <c r="BT44"/>
  <c r="EB44"/>
  <c r="EC44" s="1"/>
  <c r="CG44"/>
  <c r="CH44" s="1"/>
  <c r="DM70"/>
  <c r="EF70"/>
  <c r="EF62"/>
  <c r="DM62"/>
  <c r="DX62" s="1"/>
  <c r="CC80"/>
  <c r="BT80"/>
  <c r="EB80"/>
  <c r="CG80"/>
  <c r="CH80" s="1"/>
  <c r="EC80"/>
  <c r="DM98"/>
  <c r="DX98" s="1"/>
  <c r="EF98"/>
  <c r="CC30"/>
  <c r="BT30"/>
  <c r="EB30"/>
  <c r="EC30" s="1"/>
  <c r="CG30"/>
  <c r="CH30" s="1"/>
  <c r="EF88"/>
  <c r="DM88"/>
  <c r="DX88" s="1"/>
  <c r="BZ7"/>
  <c r="DX72"/>
  <c r="DX96"/>
  <c r="BY7"/>
  <c r="BS7"/>
  <c r="DX51"/>
  <c r="DI7"/>
  <c r="DM92"/>
  <c r="DX92" s="1"/>
  <c r="EF92"/>
  <c r="DM31"/>
  <c r="DX31" s="1"/>
  <c r="EF31"/>
  <c r="CC64"/>
  <c r="BT64"/>
  <c r="CC65"/>
  <c r="BT65"/>
  <c r="DM71"/>
  <c r="DX71" s="1"/>
  <c r="EF71"/>
  <c r="DM38"/>
  <c r="DX38" s="1"/>
  <c r="EF38"/>
  <c r="DM97"/>
  <c r="DX97" s="1"/>
  <c r="EF97"/>
  <c r="DM53"/>
  <c r="DX53" s="1"/>
  <c r="EF53"/>
  <c r="DM78"/>
  <c r="DX78" s="1"/>
  <c r="EF78"/>
  <c r="DM27"/>
  <c r="DX27" s="1"/>
  <c r="EF27"/>
  <c r="DM37"/>
  <c r="DX37" s="1"/>
  <c r="EF37"/>
  <c r="EF54"/>
  <c r="DM54"/>
  <c r="DX54" s="1"/>
  <c r="EF77"/>
  <c r="DM77"/>
  <c r="DX77" s="1"/>
  <c r="EF104"/>
  <c r="DM104"/>
  <c r="DX104" s="1"/>
  <c r="DM34"/>
  <c r="DX34" s="1"/>
  <c r="EF34"/>
  <c r="DM57"/>
  <c r="DX57" s="1"/>
  <c r="EF57"/>
  <c r="EF67"/>
  <c r="DM67"/>
  <c r="DX67" s="1"/>
  <c r="EF83"/>
  <c r="DM83"/>
  <c r="EF16"/>
  <c r="DM16"/>
  <c r="DX16" s="1"/>
  <c r="CC36"/>
  <c r="BT36"/>
  <c r="EB36"/>
  <c r="EC36" s="1"/>
  <c r="CG36"/>
  <c r="CH36" s="1"/>
  <c r="DM61"/>
  <c r="DX61" s="1"/>
  <c r="EF61"/>
  <c r="BT73"/>
  <c r="CC73"/>
  <c r="CG73"/>
  <c r="CH73" s="1"/>
  <c r="EB73"/>
  <c r="EC73" s="1"/>
  <c r="BT94"/>
  <c r="CC94"/>
  <c r="EB94"/>
  <c r="EC94" s="1"/>
  <c r="CG94"/>
  <c r="CH94" s="1"/>
  <c r="BT86"/>
  <c r="CC86"/>
  <c r="EF74"/>
  <c r="DM74"/>
  <c r="DX74" s="1"/>
  <c r="CH8"/>
  <c r="BT21"/>
  <c r="CC21"/>
  <c r="EB55"/>
  <c r="CG55"/>
  <c r="CH55" s="1"/>
  <c r="EC55"/>
  <c r="BT84"/>
  <c r="CC84"/>
  <c r="EB84"/>
  <c r="EC84" s="1"/>
  <c r="CG84"/>
  <c r="CH84" s="1"/>
  <c r="DG8"/>
  <c r="AZ7"/>
  <c r="CC76"/>
  <c r="BT76"/>
  <c r="EB76"/>
  <c r="EC76" s="1"/>
  <c r="CG76"/>
  <c r="CH76" s="1"/>
  <c r="DM15"/>
  <c r="DX15" s="1"/>
  <c r="EF15"/>
  <c r="EF25"/>
  <c r="DM25"/>
  <c r="DX25" s="1"/>
  <c r="DM39"/>
  <c r="DX39" s="1"/>
  <c r="EF39"/>
  <c r="DM60"/>
  <c r="DX60" s="1"/>
  <c r="EF60"/>
  <c r="DM100"/>
  <c r="DX100" s="1"/>
  <c r="EF100"/>
  <c r="EF41"/>
  <c r="DM41"/>
  <c r="DX41" s="1"/>
  <c r="CC46"/>
  <c r="BT46"/>
  <c r="EB46"/>
  <c r="EC46" s="1"/>
  <c r="CG46"/>
  <c r="CH46" s="1"/>
  <c r="DM52"/>
  <c r="DX52" s="1"/>
  <c r="EF52"/>
  <c r="EF82"/>
  <c r="DM82"/>
  <c r="DX82" s="1"/>
  <c r="DM63"/>
  <c r="DX63" s="1"/>
  <c r="EF63"/>
  <c r="EF85"/>
  <c r="DM85"/>
  <c r="DX85" s="1"/>
  <c r="DM103"/>
  <c r="DX103" s="1"/>
  <c r="EF103"/>
  <c r="DM75"/>
  <c r="DX75" s="1"/>
  <c r="EF75"/>
  <c r="EF18"/>
  <c r="DM18"/>
  <c r="DX18" s="1"/>
  <c r="CC49"/>
  <c r="BT49"/>
  <c r="CG49"/>
  <c r="CH49" s="1"/>
  <c r="EB49"/>
  <c r="EC49" s="1"/>
  <c r="CC68"/>
  <c r="BT68"/>
  <c r="EB68"/>
  <c r="EC68" s="1"/>
  <c r="CG68"/>
  <c r="CH68" s="1"/>
  <c r="CC87"/>
  <c r="BT87"/>
  <c r="EB87"/>
  <c r="EC87" s="1"/>
  <c r="CG87"/>
  <c r="CH87" s="1"/>
  <c r="CC28"/>
  <c r="BT28"/>
  <c r="EB28"/>
  <c r="EC28" s="1"/>
  <c r="CG28"/>
  <c r="CH28" s="1"/>
  <c r="EF42"/>
  <c r="DM42"/>
  <c r="DX42" s="1"/>
  <c r="DM106"/>
  <c r="DX106" s="1"/>
  <c r="EF106"/>
  <c r="DX69"/>
  <c r="DX23"/>
  <c r="DX70"/>
  <c r="DX83"/>
  <c r="BX7"/>
  <c r="DL7"/>
  <c r="DN80" i="15" l="1"/>
  <c r="AG80"/>
  <c r="BB69" i="9"/>
  <c r="BF69" s="1"/>
  <c r="BB49" i="15"/>
  <c r="BF49" s="1"/>
  <c r="BB84"/>
  <c r="BF84" s="1"/>
  <c r="DJ93" i="12"/>
  <c r="BW93"/>
  <c r="CD93"/>
  <c r="DF28" i="9"/>
  <c r="AY28"/>
  <c r="AZ28" s="1"/>
  <c r="DG28" s="1"/>
  <c r="AG37" i="15"/>
  <c r="DN37"/>
  <c r="BT80" i="12"/>
  <c r="CC80"/>
  <c r="EC80"/>
  <c r="CG80"/>
  <c r="CH80" s="1"/>
  <c r="EB80"/>
  <c r="AH15" i="15"/>
  <c r="AL15" s="1"/>
  <c r="DJ15" i="12"/>
  <c r="CD15"/>
  <c r="BW15"/>
  <c r="BG46" i="9"/>
  <c r="T46" i="12" s="1"/>
  <c r="DI46" i="9"/>
  <c r="BX46"/>
  <c r="BS46"/>
  <c r="BY46"/>
  <c r="BZ46" s="1"/>
  <c r="BV46"/>
  <c r="BT18" i="12"/>
  <c r="CC18"/>
  <c r="T38" i="22"/>
  <c r="T38" i="21"/>
  <c r="BG40" i="9"/>
  <c r="T40" i="12" s="1"/>
  <c r="DI40" i="9"/>
  <c r="BX40"/>
  <c r="BS40"/>
  <c r="BY40"/>
  <c r="BZ40" s="1"/>
  <c r="BV40"/>
  <c r="BW50" i="15"/>
  <c r="CD50"/>
  <c r="DJ50"/>
  <c r="BB44" i="19"/>
  <c r="BF44" s="1"/>
  <c r="BG44"/>
  <c r="DN18" i="15"/>
  <c r="AG18"/>
  <c r="AH18" s="1"/>
  <c r="AL18" s="1"/>
  <c r="BB19"/>
  <c r="BF19" s="1"/>
  <c r="BG19"/>
  <c r="T19" i="19" s="1"/>
  <c r="AG19" s="1"/>
  <c r="AH19" s="1"/>
  <c r="AL19" s="1"/>
  <c r="BG77" i="9"/>
  <c r="T77" i="12" s="1"/>
  <c r="BY77" i="9"/>
  <c r="BZ77" s="1"/>
  <c r="BV77"/>
  <c r="DW77" s="1"/>
  <c r="DI77"/>
  <c r="DL77" s="1"/>
  <c r="BX77"/>
  <c r="BS77"/>
  <c r="BB82" i="15"/>
  <c r="BF82" s="1"/>
  <c r="BG82"/>
  <c r="T82" i="19" s="1"/>
  <c r="AG82" s="1"/>
  <c r="AH82" s="1"/>
  <c r="AL82" s="1"/>
  <c r="BW86" i="9"/>
  <c r="DJ86"/>
  <c r="CD86"/>
  <c r="DN54" i="12"/>
  <c r="AG54"/>
  <c r="DJ44" i="15"/>
  <c r="BW44"/>
  <c r="CD44"/>
  <c r="T31" i="19"/>
  <c r="T31" i="15"/>
  <c r="DN100" i="12"/>
  <c r="AG100"/>
  <c r="DN48"/>
  <c r="AG48"/>
  <c r="DN53"/>
  <c r="AG53"/>
  <c r="AH82" i="9"/>
  <c r="AL82" s="1"/>
  <c r="AM82"/>
  <c r="BA82" s="1"/>
  <c r="BB82" s="1"/>
  <c r="BF82" s="1"/>
  <c r="AM78"/>
  <c r="BA78" s="1"/>
  <c r="DF78"/>
  <c r="AY78"/>
  <c r="AZ78" s="1"/>
  <c r="DG78" s="1"/>
  <c r="AH86" i="12"/>
  <c r="AL86" s="1"/>
  <c r="AM93" i="15"/>
  <c r="BA93" s="1"/>
  <c r="DF93"/>
  <c r="AY93"/>
  <c r="AZ93" s="1"/>
  <c r="DG93" s="1"/>
  <c r="DF46" i="9"/>
  <c r="AY46"/>
  <c r="AZ46" s="1"/>
  <c r="DG46" s="1"/>
  <c r="DW46"/>
  <c r="CG18" i="12"/>
  <c r="CH18" s="1"/>
  <c r="EB18"/>
  <c r="EC18" s="1"/>
  <c r="AY50" i="19"/>
  <c r="AZ50" s="1"/>
  <c r="DG50" s="1"/>
  <c r="DF50"/>
  <c r="DL50" s="1"/>
  <c r="AY40" i="9"/>
  <c r="AZ40" s="1"/>
  <c r="DG40" s="1"/>
  <c r="DF40"/>
  <c r="DW40"/>
  <c r="AF82" i="12"/>
  <c r="AF7" i="9"/>
  <c r="AM28"/>
  <c r="BA28" s="1"/>
  <c r="T10" i="22"/>
  <c r="AG10" s="1"/>
  <c r="T10" i="21"/>
  <c r="T50"/>
  <c r="T50" i="22"/>
  <c r="AG50" s="1"/>
  <c r="AH13" i="21"/>
  <c r="AL13" s="1"/>
  <c r="AM13" s="1"/>
  <c r="BA13" s="1"/>
  <c r="BB13" s="1"/>
  <c r="BF13" s="1"/>
  <c r="AH30"/>
  <c r="AL30" s="1"/>
  <c r="T55" i="22"/>
  <c r="AG55" s="1"/>
  <c r="T55" i="21"/>
  <c r="T8" i="22"/>
  <c r="T8" i="21"/>
  <c r="BG13" i="22"/>
  <c r="BB13"/>
  <c r="BG30"/>
  <c r="BB30"/>
  <c r="EC81" i="21"/>
  <c r="EB81"/>
  <c r="CG81"/>
  <c r="CH81" s="1"/>
  <c r="BT81"/>
  <c r="CC81"/>
  <c r="BT44"/>
  <c r="CC44"/>
  <c r="CC73"/>
  <c r="BT73"/>
  <c r="CG73"/>
  <c r="CH73" s="1"/>
  <c r="EB73"/>
  <c r="EC73" s="1"/>
  <c r="CG44"/>
  <c r="CH44" s="1"/>
  <c r="EB44"/>
  <c r="EC44" s="1"/>
  <c r="BW24"/>
  <c r="DJ24"/>
  <c r="CD24"/>
  <c r="BY33" i="15"/>
  <c r="BZ33" s="1"/>
  <c r="EF29" i="21"/>
  <c r="DM29"/>
  <c r="DX29" s="1"/>
  <c r="EF82"/>
  <c r="DM82"/>
  <c r="DX82" s="1"/>
  <c r="BX33" i="15"/>
  <c r="CG33" s="1"/>
  <c r="CH33" s="1"/>
  <c r="T33" i="19"/>
  <c r="DI8"/>
  <c r="DL8" s="1"/>
  <c r="BS8"/>
  <c r="BX8"/>
  <c r="BV8"/>
  <c r="BY8"/>
  <c r="BZ8" s="1"/>
  <c r="BV33" i="15"/>
  <c r="DW33" s="1"/>
  <c r="BS33"/>
  <c r="CC33" s="1"/>
  <c r="EB10" i="19"/>
  <c r="EC10"/>
  <c r="CG10"/>
  <c r="CC55"/>
  <c r="BT55"/>
  <c r="BT50"/>
  <c r="CC50"/>
  <c r="EB50"/>
  <c r="EC50" s="1"/>
  <c r="CG50"/>
  <c r="CH50" s="1"/>
  <c r="AG33"/>
  <c r="DJ13"/>
  <c r="DM13" s="1"/>
  <c r="DX13" s="1"/>
  <c r="BW13"/>
  <c r="CD13"/>
  <c r="BT10"/>
  <c r="CC10"/>
  <c r="BZ10"/>
  <c r="EB55"/>
  <c r="EC55"/>
  <c r="CG55"/>
  <c r="CH55" s="1"/>
  <c r="DM30"/>
  <c r="DX30" s="1"/>
  <c r="EF30"/>
  <c r="DG10"/>
  <c r="AZ33" i="15"/>
  <c r="EB33"/>
  <c r="EC33" s="1"/>
  <c r="BA61"/>
  <c r="BG101" i="12"/>
  <c r="BB101"/>
  <c r="T103" i="5"/>
  <c r="T105"/>
  <c r="AH94"/>
  <c r="AL94" s="1"/>
  <c r="AM94" s="1"/>
  <c r="BA94" s="1"/>
  <c r="T19"/>
  <c r="T104"/>
  <c r="AH92"/>
  <c r="AM92"/>
  <c r="BA92" s="1"/>
  <c r="AH91"/>
  <c r="AM91"/>
  <c r="BA91" s="1"/>
  <c r="BG75"/>
  <c r="T75" i="9" s="1"/>
  <c r="BB75" i="5"/>
  <c r="DM40"/>
  <c r="DX40" s="1"/>
  <c r="EF40"/>
  <c r="DM69"/>
  <c r="DX69" s="1"/>
  <c r="EF69"/>
  <c r="DJ78"/>
  <c r="BW78"/>
  <c r="CD78"/>
  <c r="DM28"/>
  <c r="DX28" s="1"/>
  <c r="EF28"/>
  <c r="EF82"/>
  <c r="DM82"/>
  <c r="DX82" s="1"/>
  <c r="DX8"/>
  <c r="CC78" i="2"/>
  <c r="DF81"/>
  <c r="AY81"/>
  <c r="AZ81" s="1"/>
  <c r="DG81" s="1"/>
  <c r="DF100"/>
  <c r="DL100" s="1"/>
  <c r="BX100"/>
  <c r="AY100"/>
  <c r="BV100"/>
  <c r="DW100" s="1"/>
  <c r="BY100"/>
  <c r="BZ100" s="1"/>
  <c r="AY11"/>
  <c r="AZ11" s="1"/>
  <c r="DG11" s="1"/>
  <c r="DF11"/>
  <c r="DF40"/>
  <c r="AY40"/>
  <c r="AZ40" s="1"/>
  <c r="DG40" s="1"/>
  <c r="DF82"/>
  <c r="AY82"/>
  <c r="AZ82" s="1"/>
  <c r="DG82" s="1"/>
  <c r="DL69"/>
  <c r="DF56"/>
  <c r="AY56"/>
  <c r="AZ56" s="1"/>
  <c r="DG56" s="1"/>
  <c r="AY18"/>
  <c r="AZ18" s="1"/>
  <c r="DG18" s="1"/>
  <c r="DF18"/>
  <c r="AY74"/>
  <c r="AZ74" s="1"/>
  <c r="DG74" s="1"/>
  <c r="DF74"/>
  <c r="DF31"/>
  <c r="AY31"/>
  <c r="AZ31" s="1"/>
  <c r="DG31" s="1"/>
  <c r="DF77"/>
  <c r="AY77"/>
  <c r="AZ77" s="1"/>
  <c r="DG77" s="1"/>
  <c r="BB40"/>
  <c r="BF40" s="1"/>
  <c r="BG40" s="1"/>
  <c r="BB82"/>
  <c r="BF82" s="1"/>
  <c r="DW82" s="1"/>
  <c r="BG77"/>
  <c r="BX77"/>
  <c r="BS77"/>
  <c r="BY77"/>
  <c r="BZ77" s="1"/>
  <c r="BV77"/>
  <c r="DW77" s="1"/>
  <c r="DI77"/>
  <c r="AG44"/>
  <c r="DN44"/>
  <c r="BG7" i="1"/>
  <c r="T8" i="2"/>
  <c r="BG81"/>
  <c r="BY81"/>
  <c r="BZ81" s="1"/>
  <c r="BV81"/>
  <c r="DW81"/>
  <c r="DI81"/>
  <c r="DL81" s="1"/>
  <c r="BX81"/>
  <c r="BS81"/>
  <c r="BG65"/>
  <c r="BV65"/>
  <c r="BY65"/>
  <c r="BZ65" s="1"/>
  <c r="DW65"/>
  <c r="BX65"/>
  <c r="DI65"/>
  <c r="DL65" s="1"/>
  <c r="BS65"/>
  <c r="AY66"/>
  <c r="AZ66" s="1"/>
  <c r="DG66" s="1"/>
  <c r="DF66"/>
  <c r="AY64"/>
  <c r="AZ64" s="1"/>
  <c r="DG64" s="1"/>
  <c r="DF64"/>
  <c r="BB90"/>
  <c r="BG90"/>
  <c r="BG60"/>
  <c r="BB60"/>
  <c r="BG62"/>
  <c r="BB62"/>
  <c r="DF20"/>
  <c r="AY20"/>
  <c r="BX20"/>
  <c r="BY20"/>
  <c r="BZ20" s="1"/>
  <c r="BV20"/>
  <c r="DW20" s="1"/>
  <c r="BG63"/>
  <c r="BB63"/>
  <c r="BB85"/>
  <c r="BG85"/>
  <c r="BB83"/>
  <c r="BG83"/>
  <c r="BG41"/>
  <c r="BB41"/>
  <c r="BG52"/>
  <c r="BB52"/>
  <c r="DF22"/>
  <c r="DL22" s="1"/>
  <c r="AY22"/>
  <c r="BV22"/>
  <c r="DW22" s="1"/>
  <c r="BY22"/>
  <c r="BZ22" s="1"/>
  <c r="BX22"/>
  <c r="DF24"/>
  <c r="AY24"/>
  <c r="AZ24" s="1"/>
  <c r="DG24" s="1"/>
  <c r="AH28"/>
  <c r="AL28" s="1"/>
  <c r="AM28" s="1"/>
  <c r="BA28" s="1"/>
  <c r="BB28" s="1"/>
  <c r="BF28" s="1"/>
  <c r="AH46"/>
  <c r="AL46" s="1"/>
  <c r="AM46" s="1"/>
  <c r="BA46" s="1"/>
  <c r="BB46" s="1"/>
  <c r="BF46" s="1"/>
  <c r="AM55"/>
  <c r="BA55" s="1"/>
  <c r="BB55" s="1"/>
  <c r="BF55" s="1"/>
  <c r="DW55" s="1"/>
  <c r="DF55"/>
  <c r="AY55"/>
  <c r="AZ55" s="1"/>
  <c r="DG55" s="1"/>
  <c r="AH87"/>
  <c r="AL87" s="1"/>
  <c r="AM87" s="1"/>
  <c r="BA87" s="1"/>
  <c r="BB87" s="1"/>
  <c r="BF87" s="1"/>
  <c r="AH17"/>
  <c r="AL17" s="1"/>
  <c r="AM17" s="1"/>
  <c r="BA17" s="1"/>
  <c r="BB17" s="1"/>
  <c r="BF17" s="1"/>
  <c r="BG48"/>
  <c r="BB48"/>
  <c r="BG14"/>
  <c r="BB14"/>
  <c r="BG12"/>
  <c r="BB12"/>
  <c r="BB88"/>
  <c r="BG88"/>
  <c r="BB101"/>
  <c r="BG101"/>
  <c r="BG56"/>
  <c r="DI56"/>
  <c r="DL56" s="1"/>
  <c r="BX56"/>
  <c r="BS56"/>
  <c r="BY56"/>
  <c r="BZ56" s="1"/>
  <c r="BV56"/>
  <c r="DW56"/>
  <c r="BG16"/>
  <c r="BB16"/>
  <c r="BG9"/>
  <c r="BB9"/>
  <c r="BB38"/>
  <c r="BG38"/>
  <c r="BB18"/>
  <c r="BF18" s="1"/>
  <c r="BG18" s="1"/>
  <c r="BB26"/>
  <c r="BG26"/>
  <c r="BB61"/>
  <c r="BG61"/>
  <c r="BB39"/>
  <c r="BG39"/>
  <c r="BB37"/>
  <c r="BG37"/>
  <c r="BB96"/>
  <c r="BG96"/>
  <c r="BB74"/>
  <c r="BF74" s="1"/>
  <c r="BG74" s="1"/>
  <c r="T74" i="5" s="1"/>
  <c r="AG74" s="1"/>
  <c r="BB67" i="2"/>
  <c r="BG67"/>
  <c r="BG47"/>
  <c r="BB47"/>
  <c r="BB31"/>
  <c r="BF31" s="1"/>
  <c r="BG31" s="1"/>
  <c r="BG59"/>
  <c r="BB59"/>
  <c r="BG53"/>
  <c r="BB53"/>
  <c r="BG51"/>
  <c r="BB51"/>
  <c r="BB15"/>
  <c r="BG15"/>
  <c r="BB23"/>
  <c r="BG23"/>
  <c r="BB99"/>
  <c r="BG99"/>
  <c r="BB72"/>
  <c r="BG72"/>
  <c r="BG42"/>
  <c r="BB42"/>
  <c r="BB25"/>
  <c r="BG25"/>
  <c r="AH30"/>
  <c r="AL30" s="1"/>
  <c r="AM30" s="1"/>
  <c r="BA30" s="1"/>
  <c r="BB30" s="1"/>
  <c r="BF30" s="1"/>
  <c r="AH80"/>
  <c r="AL80" s="1"/>
  <c r="AM80" s="1"/>
  <c r="BA80" s="1"/>
  <c r="BB80" s="1"/>
  <c r="BF80" s="1"/>
  <c r="AH49"/>
  <c r="AL49" s="1"/>
  <c r="AM49" s="1"/>
  <c r="BA49" s="1"/>
  <c r="BB49" s="1"/>
  <c r="BF49" s="1"/>
  <c r="AH13"/>
  <c r="AL13" s="1"/>
  <c r="AM13" s="1"/>
  <c r="BA13" s="1"/>
  <c r="BB13" s="1"/>
  <c r="BF13" s="1"/>
  <c r="AH76"/>
  <c r="AL76" s="1"/>
  <c r="AM76" s="1"/>
  <c r="BA76" s="1"/>
  <c r="BB76" s="1"/>
  <c r="BF76" s="1"/>
  <c r="AH21"/>
  <c r="AL21" s="1"/>
  <c r="AM21" s="1"/>
  <c r="BA21" s="1"/>
  <c r="BB21" s="1"/>
  <c r="BF21" s="1"/>
  <c r="AH10"/>
  <c r="AL10" s="1"/>
  <c r="AM10" s="1"/>
  <c r="BA10" s="1"/>
  <c r="BB10" s="1"/>
  <c r="BF10" s="1"/>
  <c r="AH73"/>
  <c r="AL73" s="1"/>
  <c r="AM73" s="1"/>
  <c r="BA73" s="1"/>
  <c r="BB73" s="1"/>
  <c r="BF73" s="1"/>
  <c r="AM50"/>
  <c r="BA50" s="1"/>
  <c r="BB50" s="1"/>
  <c r="BF50" s="1"/>
  <c r="DW50" s="1"/>
  <c r="DF50"/>
  <c r="AY50"/>
  <c r="AZ50" s="1"/>
  <c r="DG50" s="1"/>
  <c r="BB89"/>
  <c r="BG89"/>
  <c r="BG45"/>
  <c r="BB45"/>
  <c r="BB106"/>
  <c r="BG106"/>
  <c r="BB35"/>
  <c r="BG35"/>
  <c r="BB33"/>
  <c r="BG33"/>
  <c r="BG100"/>
  <c r="BB100"/>
  <c r="BG79"/>
  <c r="BB79"/>
  <c r="BB34"/>
  <c r="BG34"/>
  <c r="BB32"/>
  <c r="BG32"/>
  <c r="BB27"/>
  <c r="BG27"/>
  <c r="BG98"/>
  <c r="BB98"/>
  <c r="BG97"/>
  <c r="BB97"/>
  <c r="BG71"/>
  <c r="BB71"/>
  <c r="BB57"/>
  <c r="BG57"/>
  <c r="BG102"/>
  <c r="BB102"/>
  <c r="BB11"/>
  <c r="BF11" s="1"/>
  <c r="BG95"/>
  <c r="BB95"/>
  <c r="BB93"/>
  <c r="BG93"/>
  <c r="BB70"/>
  <c r="BG70"/>
  <c r="AH36"/>
  <c r="AL36" s="1"/>
  <c r="AM36" s="1"/>
  <c r="BA36" s="1"/>
  <c r="BB36" s="1"/>
  <c r="BF36" s="1"/>
  <c r="AH29"/>
  <c r="AL29" s="1"/>
  <c r="AM68"/>
  <c r="BA68" s="1"/>
  <c r="BB68" s="1"/>
  <c r="BF68" s="1"/>
  <c r="DW68" s="1"/>
  <c r="AY68"/>
  <c r="AZ68" s="1"/>
  <c r="DG68" s="1"/>
  <c r="DF68"/>
  <c r="AH84"/>
  <c r="AL84" s="1"/>
  <c r="AM84" s="1"/>
  <c r="BA84" s="1"/>
  <c r="BB84" s="1"/>
  <c r="BF84" s="1"/>
  <c r="AM43"/>
  <c r="BA43" s="1"/>
  <c r="BB43" s="1"/>
  <c r="BF43" s="1"/>
  <c r="AY43"/>
  <c r="AZ43" s="1"/>
  <c r="DG43" s="1"/>
  <c r="DF43"/>
  <c r="AH58"/>
  <c r="AL58" s="1"/>
  <c r="AM58" s="1"/>
  <c r="BA58" s="1"/>
  <c r="BB58" s="1"/>
  <c r="BF58" s="1"/>
  <c r="CC7" i="1"/>
  <c r="AM66" i="2"/>
  <c r="BA66" s="1"/>
  <c r="BB66" s="1"/>
  <c r="BF66" s="1"/>
  <c r="AM64"/>
  <c r="BA64" s="1"/>
  <c r="BB64" s="1"/>
  <c r="BF64" s="1"/>
  <c r="AM20"/>
  <c r="BA20" s="1"/>
  <c r="AM22"/>
  <c r="BA22" s="1"/>
  <c r="AM24"/>
  <c r="BA24" s="1"/>
  <c r="BB24" s="1"/>
  <c r="BF24" s="1"/>
  <c r="EB86"/>
  <c r="EC86"/>
  <c r="CG86"/>
  <c r="CH86" s="1"/>
  <c r="BW94"/>
  <c r="DJ94"/>
  <c r="CD94"/>
  <c r="DK7"/>
  <c r="BW78"/>
  <c r="DJ78"/>
  <c r="CD78"/>
  <c r="BW69"/>
  <c r="DJ69"/>
  <c r="CD69"/>
  <c r="CH8"/>
  <c r="BT86"/>
  <c r="CC86"/>
  <c r="DG8"/>
  <c r="EF8" i="1"/>
  <c r="DM8"/>
  <c r="DG7"/>
  <c r="DJ84"/>
  <c r="CD84"/>
  <c r="BW84"/>
  <c r="BW36"/>
  <c r="DJ36"/>
  <c r="CD36"/>
  <c r="BW65"/>
  <c r="DJ65"/>
  <c r="CD65"/>
  <c r="BW64"/>
  <c r="DJ64"/>
  <c r="CD64"/>
  <c r="BW80"/>
  <c r="DJ80"/>
  <c r="CD80"/>
  <c r="BW44"/>
  <c r="DJ44"/>
  <c r="CD44"/>
  <c r="DJ13"/>
  <c r="DM13" s="1"/>
  <c r="DX13" s="1"/>
  <c r="CD13"/>
  <c r="BW13"/>
  <c r="DJ17"/>
  <c r="CD17"/>
  <c r="BW17"/>
  <c r="DX8"/>
  <c r="DK7"/>
  <c r="DJ43"/>
  <c r="CD43"/>
  <c r="BW43"/>
  <c r="DJ50"/>
  <c r="CD50"/>
  <c r="BW50"/>
  <c r="BW29"/>
  <c r="DJ29"/>
  <c r="CD29"/>
  <c r="BW81"/>
  <c r="DJ81"/>
  <c r="CD81"/>
  <c r="BW66"/>
  <c r="DJ66"/>
  <c r="CD66"/>
  <c r="DJ24"/>
  <c r="CD24"/>
  <c r="BW24"/>
  <c r="CH7"/>
  <c r="BW28"/>
  <c r="DJ28"/>
  <c r="CD28"/>
  <c r="BW87"/>
  <c r="DJ87"/>
  <c r="CD87"/>
  <c r="BW68"/>
  <c r="DJ68"/>
  <c r="CD68"/>
  <c r="BW49"/>
  <c r="DJ49"/>
  <c r="CD49"/>
  <c r="BW46"/>
  <c r="DJ46"/>
  <c r="CD46"/>
  <c r="BW76"/>
  <c r="DJ76"/>
  <c r="CD76"/>
  <c r="DJ21"/>
  <c r="CD21"/>
  <c r="BW21"/>
  <c r="CD86"/>
  <c r="DJ86"/>
  <c r="BW86"/>
  <c r="DJ94"/>
  <c r="CD94"/>
  <c r="BW94"/>
  <c r="DJ73"/>
  <c r="CD73"/>
  <c r="BW73"/>
  <c r="BW30"/>
  <c r="DJ30"/>
  <c r="CD30"/>
  <c r="BW55"/>
  <c r="CD55"/>
  <c r="DJ55"/>
  <c r="DJ10"/>
  <c r="CD10"/>
  <c r="BW10"/>
  <c r="DJ58"/>
  <c r="CD58"/>
  <c r="BW58"/>
  <c r="BW56"/>
  <c r="DJ56"/>
  <c r="CD56"/>
  <c r="CG7"/>
  <c r="BT7"/>
  <c r="AH74" i="5" l="1"/>
  <c r="AL74" s="1"/>
  <c r="AG75" i="9"/>
  <c r="DN75"/>
  <c r="T101" i="19"/>
  <c r="T101" i="15"/>
  <c r="BB28" i="9"/>
  <c r="BF28" s="1"/>
  <c r="BG28"/>
  <c r="T28" i="12" s="1"/>
  <c r="AF82" i="15"/>
  <c r="AF7" i="12"/>
  <c r="BB93" i="15"/>
  <c r="BF93" s="1"/>
  <c r="BG93"/>
  <c r="T93" i="19" s="1"/>
  <c r="AG93" s="1"/>
  <c r="AH93" s="1"/>
  <c r="AL93" s="1"/>
  <c r="DF86" i="12"/>
  <c r="AY86"/>
  <c r="AZ86" s="1"/>
  <c r="DG86" s="1"/>
  <c r="BG82" i="9"/>
  <c r="DI82"/>
  <c r="BX82"/>
  <c r="BS82"/>
  <c r="BY82"/>
  <c r="BZ82" s="1"/>
  <c r="BV82"/>
  <c r="AH53" i="12"/>
  <c r="AM53"/>
  <c r="BA53" s="1"/>
  <c r="AH48"/>
  <c r="AM48"/>
  <c r="BA48" s="1"/>
  <c r="AM100"/>
  <c r="BA100" s="1"/>
  <c r="AH100"/>
  <c r="DN31" i="15"/>
  <c r="AG31"/>
  <c r="EF44"/>
  <c r="DM44"/>
  <c r="DX44" s="1"/>
  <c r="EF86" i="9"/>
  <c r="DM86"/>
  <c r="DX86" s="1"/>
  <c r="AM82" i="19"/>
  <c r="BA82" s="1"/>
  <c r="BB82" s="1"/>
  <c r="BF82" s="1"/>
  <c r="AY82"/>
  <c r="AZ82" s="1"/>
  <c r="DG82" s="1"/>
  <c r="DF82"/>
  <c r="CC77" i="9"/>
  <c r="BT77"/>
  <c r="AM19" i="19"/>
  <c r="BA19" s="1"/>
  <c r="BX19"/>
  <c r="AY19"/>
  <c r="BV19"/>
  <c r="DW19"/>
  <c r="BY19"/>
  <c r="BZ19" s="1"/>
  <c r="DF19"/>
  <c r="DL19" s="1"/>
  <c r="AM18" i="15"/>
  <c r="BA18" s="1"/>
  <c r="DF18"/>
  <c r="AY18"/>
  <c r="AZ18" s="1"/>
  <c r="DG18" s="1"/>
  <c r="CC40" i="9"/>
  <c r="BT40"/>
  <c r="DN38" i="21"/>
  <c r="AG38"/>
  <c r="BT46" i="9"/>
  <c r="CC46"/>
  <c r="DM15" i="12"/>
  <c r="DX15" s="1"/>
  <c r="EF15"/>
  <c r="AY15" i="15"/>
  <c r="AZ15" s="1"/>
  <c r="DG15" s="1"/>
  <c r="DF15"/>
  <c r="EF93" i="12"/>
  <c r="DM93"/>
  <c r="DX93" s="1"/>
  <c r="BY84" i="15"/>
  <c r="BZ84" s="1"/>
  <c r="BV84"/>
  <c r="DW84" s="1"/>
  <c r="DI84"/>
  <c r="DL84" s="1"/>
  <c r="BX84"/>
  <c r="BS84"/>
  <c r="BV49"/>
  <c r="DW49" s="1"/>
  <c r="BX49"/>
  <c r="DI49"/>
  <c r="DL49" s="1"/>
  <c r="BY49"/>
  <c r="BZ49" s="1"/>
  <c r="BS49"/>
  <c r="BX69" i="9"/>
  <c r="DI69"/>
  <c r="DL69" s="1"/>
  <c r="BS69"/>
  <c r="BV69"/>
  <c r="DW69" s="1"/>
  <c r="BY69"/>
  <c r="BZ69" s="1"/>
  <c r="DL40"/>
  <c r="DL46"/>
  <c r="BB78"/>
  <c r="BF78" s="1"/>
  <c r="DF82"/>
  <c r="AY82"/>
  <c r="AZ82" s="1"/>
  <c r="DG82" s="1"/>
  <c r="DW82"/>
  <c r="DN31" i="19"/>
  <c r="AG31"/>
  <c r="AH54" i="12"/>
  <c r="AM54"/>
  <c r="BA54" s="1"/>
  <c r="BV82" i="15"/>
  <c r="BS82"/>
  <c r="BY82"/>
  <c r="BZ82" s="1"/>
  <c r="BX82"/>
  <c r="DI82"/>
  <c r="DL82" s="1"/>
  <c r="DW82"/>
  <c r="EB77" i="9"/>
  <c r="EC77" s="1"/>
  <c r="CG77"/>
  <c r="CH77" s="1"/>
  <c r="DN77" i="12"/>
  <c r="AG77"/>
  <c r="AH77" s="1"/>
  <c r="AL77" s="1"/>
  <c r="DI19" i="15"/>
  <c r="DL19" s="1"/>
  <c r="BX19"/>
  <c r="BS19"/>
  <c r="BY19"/>
  <c r="BZ19" s="1"/>
  <c r="BV19"/>
  <c r="DW19"/>
  <c r="DW44" i="19"/>
  <c r="BV44"/>
  <c r="BX44"/>
  <c r="BS44"/>
  <c r="BY44"/>
  <c r="BZ44" s="1"/>
  <c r="DI44"/>
  <c r="DL44" s="1"/>
  <c r="EF50" i="15"/>
  <c r="DM50"/>
  <c r="DX50" s="1"/>
  <c r="EB40" i="9"/>
  <c r="EC40"/>
  <c r="CG40"/>
  <c r="CH40" s="1"/>
  <c r="DN40" i="12"/>
  <c r="AG40"/>
  <c r="AH40" s="1"/>
  <c r="AL40" s="1"/>
  <c r="DN38" i="22"/>
  <c r="AG38"/>
  <c r="DJ18" i="12"/>
  <c r="BW18"/>
  <c r="CD18"/>
  <c r="CG46" i="9"/>
  <c r="CH46" s="1"/>
  <c r="EB46"/>
  <c r="EC46" s="1"/>
  <c r="DN46" i="12"/>
  <c r="AG46"/>
  <c r="AH46" s="1"/>
  <c r="AL46" s="1"/>
  <c r="CD80"/>
  <c r="DJ80"/>
  <c r="BW80"/>
  <c r="AH37" i="15"/>
  <c r="AM37"/>
  <c r="BA37" s="1"/>
  <c r="AH80"/>
  <c r="AL80" s="1"/>
  <c r="AM86" i="12"/>
  <c r="BA86" s="1"/>
  <c r="AM15" i="15"/>
  <c r="BA15" s="1"/>
  <c r="BB15" s="1"/>
  <c r="BF15" s="1"/>
  <c r="BG84"/>
  <c r="T84" i="19" s="1"/>
  <c r="AG84" s="1"/>
  <c r="AH84" s="1"/>
  <c r="AL84" s="1"/>
  <c r="BG49" i="15"/>
  <c r="T49" i="19" s="1"/>
  <c r="AG49" s="1"/>
  <c r="BG69" i="9"/>
  <c r="T69" i="12" s="1"/>
  <c r="DN8" i="21"/>
  <c r="AG8"/>
  <c r="DN55"/>
  <c r="AG55"/>
  <c r="DF30"/>
  <c r="AY30"/>
  <c r="AZ30" s="1"/>
  <c r="DG30" s="1"/>
  <c r="BG13"/>
  <c r="BV13"/>
  <c r="DW13" s="1"/>
  <c r="BX13"/>
  <c r="BS13"/>
  <c r="BY13"/>
  <c r="BZ13" s="1"/>
  <c r="DI13"/>
  <c r="DN50"/>
  <c r="AG50"/>
  <c r="AH50" s="1"/>
  <c r="AL50" s="1"/>
  <c r="AH10" i="22"/>
  <c r="AM10"/>
  <c r="BA10" s="1"/>
  <c r="AG8"/>
  <c r="AH55"/>
  <c r="AM55"/>
  <c r="BA55" s="1"/>
  <c r="DF13" i="21"/>
  <c r="AY13"/>
  <c r="AZ13" s="1"/>
  <c r="DG13" s="1"/>
  <c r="AH50" i="22"/>
  <c r="AM50"/>
  <c r="BA50" s="1"/>
  <c r="DN10" i="21"/>
  <c r="AG10"/>
  <c r="AH10" s="1"/>
  <c r="AL10" s="1"/>
  <c r="AM30"/>
  <c r="BA30" s="1"/>
  <c r="BB30" s="1"/>
  <c r="BF30" s="1"/>
  <c r="DM24"/>
  <c r="DX24" s="1"/>
  <c r="EF24"/>
  <c r="DJ81"/>
  <c r="BW81"/>
  <c r="CD81"/>
  <c r="CD73"/>
  <c r="DJ73"/>
  <c r="BW73"/>
  <c r="BW44"/>
  <c r="CD44"/>
  <c r="DJ44"/>
  <c r="BT33" i="15"/>
  <c r="EB8" i="19"/>
  <c r="EC8"/>
  <c r="CG8"/>
  <c r="CH8" s="1"/>
  <c r="BT8"/>
  <c r="CC8"/>
  <c r="DG33" i="15"/>
  <c r="DJ10" i="19"/>
  <c r="DM10" s="1"/>
  <c r="BW10"/>
  <c r="CD10"/>
  <c r="AH33"/>
  <c r="CH10"/>
  <c r="CD50"/>
  <c r="DJ50"/>
  <c r="BW50"/>
  <c r="BW55"/>
  <c r="CD55"/>
  <c r="DJ55"/>
  <c r="BW33" i="15"/>
  <c r="CD33"/>
  <c r="DJ33"/>
  <c r="BB61"/>
  <c r="T70" i="5"/>
  <c r="T93"/>
  <c r="T97"/>
  <c r="T95"/>
  <c r="T57"/>
  <c r="T27"/>
  <c r="T34"/>
  <c r="T33"/>
  <c r="T35"/>
  <c r="T106"/>
  <c r="T89"/>
  <c r="T42"/>
  <c r="T51"/>
  <c r="T59"/>
  <c r="T67"/>
  <c r="T38"/>
  <c r="T56"/>
  <c r="T12"/>
  <c r="T14"/>
  <c r="T52"/>
  <c r="T41"/>
  <c r="T63"/>
  <c r="T90"/>
  <c r="T65"/>
  <c r="BG91"/>
  <c r="T91" i="9" s="1"/>
  <c r="BB91" i="5"/>
  <c r="BG92"/>
  <c r="T92" i="9" s="1"/>
  <c r="BB92" i="5"/>
  <c r="DN104"/>
  <c r="AG104"/>
  <c r="DN19"/>
  <c r="AG19"/>
  <c r="AY94"/>
  <c r="AZ94" s="1"/>
  <c r="DG94" s="1"/>
  <c r="DF94"/>
  <c r="T102"/>
  <c r="T71"/>
  <c r="T98"/>
  <c r="T79"/>
  <c r="T45"/>
  <c r="T25"/>
  <c r="T72"/>
  <c r="T99"/>
  <c r="T23"/>
  <c r="T15"/>
  <c r="T31"/>
  <c r="T47"/>
  <c r="T96"/>
  <c r="T37"/>
  <c r="T39"/>
  <c r="T61"/>
  <c r="T26"/>
  <c r="T18"/>
  <c r="T9"/>
  <c r="T16"/>
  <c r="T101"/>
  <c r="T88"/>
  <c r="T83"/>
  <c r="T85"/>
  <c r="T62"/>
  <c r="T60"/>
  <c r="T81"/>
  <c r="BB94"/>
  <c r="BF94" s="1"/>
  <c r="BG94" s="1"/>
  <c r="T94" i="9" s="1"/>
  <c r="DN105" i="5"/>
  <c r="AG105"/>
  <c r="AG103"/>
  <c r="DN103"/>
  <c r="EF78"/>
  <c r="DM78"/>
  <c r="DX78" s="1"/>
  <c r="BG82" i="2"/>
  <c r="DF29"/>
  <c r="AY29"/>
  <c r="AZ29" s="1"/>
  <c r="DG29" s="1"/>
  <c r="BV11"/>
  <c r="DW11" s="1"/>
  <c r="DI11"/>
  <c r="DL11" s="1"/>
  <c r="BS11"/>
  <c r="DF58"/>
  <c r="AY58"/>
  <c r="AZ58" s="1"/>
  <c r="DG58" s="1"/>
  <c r="AY80"/>
  <c r="AZ80" s="1"/>
  <c r="DG80" s="1"/>
  <c r="DF80"/>
  <c r="DF30"/>
  <c r="AY30"/>
  <c r="AZ30" s="1"/>
  <c r="DG30" s="1"/>
  <c r="BY31"/>
  <c r="BZ31" s="1"/>
  <c r="BV31"/>
  <c r="DW31" s="1"/>
  <c r="DI31"/>
  <c r="DL31" s="1"/>
  <c r="BX31"/>
  <c r="BS31"/>
  <c r="BY18"/>
  <c r="BZ18" s="1"/>
  <c r="DI18"/>
  <c r="DL18" s="1"/>
  <c r="BV18"/>
  <c r="BX18"/>
  <c r="BS18"/>
  <c r="AY46"/>
  <c r="AZ46" s="1"/>
  <c r="DG46" s="1"/>
  <c r="DF46"/>
  <c r="DF28"/>
  <c r="AY28"/>
  <c r="AZ28" s="1"/>
  <c r="DG28" s="1"/>
  <c r="BV82"/>
  <c r="BY82"/>
  <c r="BZ82" s="1"/>
  <c r="BX82"/>
  <c r="DI82"/>
  <c r="DL82" s="1"/>
  <c r="BS82"/>
  <c r="BV40"/>
  <c r="BY40"/>
  <c r="BZ40" s="1"/>
  <c r="BX40"/>
  <c r="DI40"/>
  <c r="DL40" s="1"/>
  <c r="BS40"/>
  <c r="AZ100"/>
  <c r="CC100"/>
  <c r="AM29"/>
  <c r="BA29" s="1"/>
  <c r="BB29" s="1"/>
  <c r="BF29" s="1"/>
  <c r="DI29" s="1"/>
  <c r="BG11"/>
  <c r="DW40"/>
  <c r="AY36"/>
  <c r="AZ36" s="1"/>
  <c r="DG36" s="1"/>
  <c r="DF36"/>
  <c r="DF10"/>
  <c r="AY10"/>
  <c r="AZ10" s="1"/>
  <c r="DG10" s="1"/>
  <c r="DF21"/>
  <c r="AY21"/>
  <c r="AZ21" s="1"/>
  <c r="DG21" s="1"/>
  <c r="DF76"/>
  <c r="AY76"/>
  <c r="AZ76" s="1"/>
  <c r="DG76" s="1"/>
  <c r="AY13"/>
  <c r="AZ13" s="1"/>
  <c r="DG13" s="1"/>
  <c r="DF13"/>
  <c r="BX74"/>
  <c r="DI74"/>
  <c r="DL74" s="1"/>
  <c r="BS74"/>
  <c r="BV74"/>
  <c r="BY74"/>
  <c r="BZ74" s="1"/>
  <c r="DF17"/>
  <c r="AY17"/>
  <c r="AZ17" s="1"/>
  <c r="DG17" s="1"/>
  <c r="AY87"/>
  <c r="AZ87" s="1"/>
  <c r="DG87" s="1"/>
  <c r="DF87"/>
  <c r="CG100"/>
  <c r="CH100" s="1"/>
  <c r="EB100"/>
  <c r="EC100" s="1"/>
  <c r="DW74"/>
  <c r="DW18"/>
  <c r="BY11"/>
  <c r="BZ11" s="1"/>
  <c r="DL77"/>
  <c r="AH44"/>
  <c r="AL44" s="1"/>
  <c r="AM44" s="1"/>
  <c r="BA44" s="1"/>
  <c r="BT77"/>
  <c r="CC77"/>
  <c r="DJ7" i="1"/>
  <c r="EB77" i="2"/>
  <c r="EC77" s="1"/>
  <c r="CG77"/>
  <c r="CH77" s="1"/>
  <c r="BG84"/>
  <c r="BV84"/>
  <c r="DW84" s="1"/>
  <c r="BY84"/>
  <c r="BZ84" s="1"/>
  <c r="BX84"/>
  <c r="DI84"/>
  <c r="BS84"/>
  <c r="BG49"/>
  <c r="DI49"/>
  <c r="BX49"/>
  <c r="BS49"/>
  <c r="BY49"/>
  <c r="BZ49" s="1"/>
  <c r="BV49"/>
  <c r="DW49" s="1"/>
  <c r="BG73"/>
  <c r="BX73"/>
  <c r="BS73"/>
  <c r="BY73"/>
  <c r="BZ73" s="1"/>
  <c r="BV73"/>
  <c r="DW73" s="1"/>
  <c r="DI73"/>
  <c r="BG22"/>
  <c r="BB22"/>
  <c r="BG64"/>
  <c r="BX64"/>
  <c r="DI64"/>
  <c r="DL64" s="1"/>
  <c r="BS64"/>
  <c r="BV64"/>
  <c r="BY64"/>
  <c r="BZ64" s="1"/>
  <c r="DW64"/>
  <c r="BG36"/>
  <c r="BY36"/>
  <c r="BZ36" s="1"/>
  <c r="BV36"/>
  <c r="DW36"/>
  <c r="DI36"/>
  <c r="BX36"/>
  <c r="BS36"/>
  <c r="BG10"/>
  <c r="DI10"/>
  <c r="BX10"/>
  <c r="BS10"/>
  <c r="BY10"/>
  <c r="BV10"/>
  <c r="DW10"/>
  <c r="BG21"/>
  <c r="BY21"/>
  <c r="BZ21" s="1"/>
  <c r="BS21"/>
  <c r="DI21"/>
  <c r="BV21"/>
  <c r="DW21" s="1"/>
  <c r="BG76"/>
  <c r="DI76"/>
  <c r="DL76" s="1"/>
  <c r="BX76"/>
  <c r="BS76"/>
  <c r="BY76"/>
  <c r="BZ76" s="1"/>
  <c r="BV76"/>
  <c r="DW76"/>
  <c r="BG13"/>
  <c r="BY13"/>
  <c r="BZ13" s="1"/>
  <c r="BV13"/>
  <c r="DW13" s="1"/>
  <c r="DI13"/>
  <c r="BX13"/>
  <c r="BS13"/>
  <c r="BG80"/>
  <c r="BY80"/>
  <c r="BZ80" s="1"/>
  <c r="BV80"/>
  <c r="DW80" s="1"/>
  <c r="DI80"/>
  <c r="DL80" s="1"/>
  <c r="BX80"/>
  <c r="BS80"/>
  <c r="BG30"/>
  <c r="BY30"/>
  <c r="BZ30" s="1"/>
  <c r="BV30"/>
  <c r="DW30" s="1"/>
  <c r="DI30"/>
  <c r="BX30"/>
  <c r="BS30"/>
  <c r="CG56"/>
  <c r="CH56" s="1"/>
  <c r="EB56"/>
  <c r="EC56"/>
  <c r="BG55"/>
  <c r="BV55"/>
  <c r="DI55"/>
  <c r="DL55" s="1"/>
  <c r="BX55"/>
  <c r="BS55"/>
  <c r="BY55"/>
  <c r="BZ55" s="1"/>
  <c r="CG22"/>
  <c r="CH22" s="1"/>
  <c r="EB22"/>
  <c r="EC22" s="1"/>
  <c r="CG20"/>
  <c r="CH20" s="1"/>
  <c r="EB20"/>
  <c r="EC20" s="1"/>
  <c r="DL20"/>
  <c r="CC81"/>
  <c r="BT81"/>
  <c r="CD7" i="1"/>
  <c r="BW7"/>
  <c r="BG24" i="2"/>
  <c r="BV24"/>
  <c r="BY24"/>
  <c r="BZ24" s="1"/>
  <c r="BX24"/>
  <c r="DI24"/>
  <c r="DL24" s="1"/>
  <c r="BS24"/>
  <c r="BG20"/>
  <c r="BB20"/>
  <c r="BG66"/>
  <c r="BX66"/>
  <c r="DI66"/>
  <c r="DL66" s="1"/>
  <c r="BS66"/>
  <c r="BV66"/>
  <c r="DW66" s="1"/>
  <c r="BY66"/>
  <c r="BZ66" s="1"/>
  <c r="BG58"/>
  <c r="DI58"/>
  <c r="DL58" s="1"/>
  <c r="BX58"/>
  <c r="BS58"/>
  <c r="BY58"/>
  <c r="BZ58" s="1"/>
  <c r="BV58"/>
  <c r="DW58"/>
  <c r="BG43"/>
  <c r="BX43"/>
  <c r="DI43"/>
  <c r="DL43" s="1"/>
  <c r="BS43"/>
  <c r="BV43"/>
  <c r="DW43" s="1"/>
  <c r="BY43"/>
  <c r="BZ43" s="1"/>
  <c r="AY84"/>
  <c r="AZ84" s="1"/>
  <c r="DG84" s="1"/>
  <c r="DF84"/>
  <c r="BG68"/>
  <c r="BV68"/>
  <c r="BY68"/>
  <c r="BZ68" s="1"/>
  <c r="BX68"/>
  <c r="DI68"/>
  <c r="DL68" s="1"/>
  <c r="BS68"/>
  <c r="BG50"/>
  <c r="BX50"/>
  <c r="DI50"/>
  <c r="DL50" s="1"/>
  <c r="BS50"/>
  <c r="BV50"/>
  <c r="BY50"/>
  <c r="BZ50" s="1"/>
  <c r="DF73"/>
  <c r="AY73"/>
  <c r="AZ73" s="1"/>
  <c r="DG73" s="1"/>
  <c r="DF49"/>
  <c r="AY49"/>
  <c r="AZ49" s="1"/>
  <c r="DG49" s="1"/>
  <c r="BT56"/>
  <c r="CC56"/>
  <c r="BG17"/>
  <c r="BY17"/>
  <c r="BZ17" s="1"/>
  <c r="BV17"/>
  <c r="DW17"/>
  <c r="DI17"/>
  <c r="DL17" s="1"/>
  <c r="BX17"/>
  <c r="BS17"/>
  <c r="BG87"/>
  <c r="DI87"/>
  <c r="BX87"/>
  <c r="BS87"/>
  <c r="BY87"/>
  <c r="BZ87" s="1"/>
  <c r="BV87"/>
  <c r="DW87" s="1"/>
  <c r="BG46"/>
  <c r="DI46"/>
  <c r="DL46" s="1"/>
  <c r="BX46"/>
  <c r="BS46"/>
  <c r="BY46"/>
  <c r="BZ46" s="1"/>
  <c r="BV46"/>
  <c r="DW46"/>
  <c r="BG28"/>
  <c r="BY28"/>
  <c r="BZ28" s="1"/>
  <c r="BV28"/>
  <c r="DW28" s="1"/>
  <c r="DI28"/>
  <c r="DL28" s="1"/>
  <c r="BX28"/>
  <c r="BS28"/>
  <c r="AZ22"/>
  <c r="CC22"/>
  <c r="AZ20"/>
  <c r="CC20"/>
  <c r="BT65"/>
  <c r="CC65"/>
  <c r="EC65"/>
  <c r="CG65"/>
  <c r="CH65" s="1"/>
  <c r="EB65"/>
  <c r="CG81"/>
  <c r="CH81" s="1"/>
  <c r="EB81"/>
  <c r="EC81"/>
  <c r="DN8"/>
  <c r="DN160" s="1"/>
  <c r="T7"/>
  <c r="AG8"/>
  <c r="DW24"/>
  <c r="DM69"/>
  <c r="DX69" s="1"/>
  <c r="EF69"/>
  <c r="CD86"/>
  <c r="DJ86"/>
  <c r="BW86"/>
  <c r="EF78"/>
  <c r="DM78"/>
  <c r="DX78" s="1"/>
  <c r="DM94"/>
  <c r="DX94" s="1"/>
  <c r="EF94"/>
  <c r="EF8"/>
  <c r="DM8"/>
  <c r="EF10" i="1"/>
  <c r="DM10"/>
  <c r="DX10" s="1"/>
  <c r="DM94"/>
  <c r="DX94" s="1"/>
  <c r="EF94"/>
  <c r="EF86"/>
  <c r="DM86"/>
  <c r="DX86" s="1"/>
  <c r="DM21"/>
  <c r="DX21" s="1"/>
  <c r="EF21"/>
  <c r="DM76"/>
  <c r="DX76" s="1"/>
  <c r="EF76"/>
  <c r="EF49"/>
  <c r="DM49"/>
  <c r="DX49" s="1"/>
  <c r="EF87"/>
  <c r="DM87"/>
  <c r="DX87" s="1"/>
  <c r="DM24"/>
  <c r="DX24" s="1"/>
  <c r="EF24"/>
  <c r="DM66"/>
  <c r="DX66" s="1"/>
  <c r="EF66"/>
  <c r="DM29"/>
  <c r="DX29" s="1"/>
  <c r="EF29"/>
  <c r="DM50"/>
  <c r="DX50" s="1"/>
  <c r="EF50"/>
  <c r="EF17"/>
  <c r="DM17"/>
  <c r="DX17" s="1"/>
  <c r="EF80"/>
  <c r="DM80"/>
  <c r="DX80" s="1"/>
  <c r="DM65"/>
  <c r="DX65" s="1"/>
  <c r="EF65"/>
  <c r="DM56"/>
  <c r="DX56" s="1"/>
  <c r="EF56"/>
  <c r="DM58"/>
  <c r="DX58" s="1"/>
  <c r="EF58"/>
  <c r="DM55"/>
  <c r="DX55" s="1"/>
  <c r="EF55"/>
  <c r="DM30"/>
  <c r="DX30" s="1"/>
  <c r="EF30"/>
  <c r="DM73"/>
  <c r="DX73" s="1"/>
  <c r="EF73"/>
  <c r="DM46"/>
  <c r="DX46" s="1"/>
  <c r="EF46"/>
  <c r="EF68"/>
  <c r="DM68"/>
  <c r="DX68" s="1"/>
  <c r="DM28"/>
  <c r="DX28" s="1"/>
  <c r="EF28"/>
  <c r="DM81"/>
  <c r="DX81" s="1"/>
  <c r="EF81"/>
  <c r="DM43"/>
  <c r="DX43" s="1"/>
  <c r="EF43"/>
  <c r="DM44"/>
  <c r="DX44" s="1"/>
  <c r="EF44"/>
  <c r="DM64"/>
  <c r="DX64" s="1"/>
  <c r="EF64"/>
  <c r="DM36"/>
  <c r="DX36" s="1"/>
  <c r="EF36"/>
  <c r="DM84"/>
  <c r="DX84" s="1"/>
  <c r="EF84"/>
  <c r="AG92" i="9" l="1"/>
  <c r="DN92"/>
  <c r="AG91"/>
  <c r="DN91"/>
  <c r="AH49" i="19"/>
  <c r="AL49" s="1"/>
  <c r="BG15" i="15"/>
  <c r="T15" i="19" s="1"/>
  <c r="AG15" s="1"/>
  <c r="AH15" s="1"/>
  <c r="AL15" s="1"/>
  <c r="DI15" i="15"/>
  <c r="DL15" s="1"/>
  <c r="BX15"/>
  <c r="BS15"/>
  <c r="BY15"/>
  <c r="BZ15" s="1"/>
  <c r="BV15"/>
  <c r="DW15" s="1"/>
  <c r="AY80"/>
  <c r="AZ80" s="1"/>
  <c r="DG80" s="1"/>
  <c r="DF80"/>
  <c r="DM80" i="12"/>
  <c r="DX80" s="1"/>
  <c r="EF80"/>
  <c r="AM46"/>
  <c r="BA46" s="1"/>
  <c r="BB46" s="1"/>
  <c r="BF46" s="1"/>
  <c r="AY46"/>
  <c r="AZ46" s="1"/>
  <c r="DG46" s="1"/>
  <c r="DF46"/>
  <c r="DM18"/>
  <c r="DX18" s="1"/>
  <c r="EF18"/>
  <c r="CC44" i="19"/>
  <c r="BT44"/>
  <c r="EB19" i="15"/>
  <c r="EC19" s="1"/>
  <c r="CG19"/>
  <c r="CH19" s="1"/>
  <c r="AM77" i="12"/>
  <c r="BA77" s="1"/>
  <c r="BB77" s="1"/>
  <c r="BF77" s="1"/>
  <c r="AY77"/>
  <c r="AZ77" s="1"/>
  <c r="DG77" s="1"/>
  <c r="DF77"/>
  <c r="EC82" i="15"/>
  <c r="EB82"/>
  <c r="CG82"/>
  <c r="CH82" s="1"/>
  <c r="BT82"/>
  <c r="CC82"/>
  <c r="BB54" i="12"/>
  <c r="BG54"/>
  <c r="T54" i="15" s="1"/>
  <c r="AH31" i="19"/>
  <c r="AM31"/>
  <c r="BA31" s="1"/>
  <c r="DI78" i="9"/>
  <c r="DL78" s="1"/>
  <c r="BS78"/>
  <c r="BV78"/>
  <c r="DW78" s="1"/>
  <c r="BY78"/>
  <c r="BZ78" s="1"/>
  <c r="BT69"/>
  <c r="CC69"/>
  <c r="EB69"/>
  <c r="EC69" s="1"/>
  <c r="CG69"/>
  <c r="CH69" s="1"/>
  <c r="CG49" i="15"/>
  <c r="CH49" s="1"/>
  <c r="EB49"/>
  <c r="EC49" s="1"/>
  <c r="CC84"/>
  <c r="BT84"/>
  <c r="DJ46" i="9"/>
  <c r="BW46"/>
  <c r="CD46"/>
  <c r="AZ19" i="19"/>
  <c r="CC19"/>
  <c r="BG19"/>
  <c r="BB19"/>
  <c r="BG82"/>
  <c r="DI82"/>
  <c r="DL82" s="1"/>
  <c r="BS82"/>
  <c r="BV82"/>
  <c r="BX82"/>
  <c r="BY82"/>
  <c r="BZ82" s="1"/>
  <c r="BB100" i="12"/>
  <c r="BG100"/>
  <c r="CG82" i="9"/>
  <c r="CH82" s="1"/>
  <c r="EB82"/>
  <c r="EC82"/>
  <c r="AM93" i="19"/>
  <c r="BA93" s="1"/>
  <c r="DF93"/>
  <c r="AY93"/>
  <c r="AZ93" s="1"/>
  <c r="DG93" s="1"/>
  <c r="DN28" i="12"/>
  <c r="AG28"/>
  <c r="DN101" i="15"/>
  <c r="AG101"/>
  <c r="AH75" i="9"/>
  <c r="AM75"/>
  <c r="BA75" s="1"/>
  <c r="AY74" i="5"/>
  <c r="AZ74" s="1"/>
  <c r="DG74" s="1"/>
  <c r="DN94" i="9"/>
  <c r="AG94"/>
  <c r="AH94" s="1"/>
  <c r="AL94" s="1"/>
  <c r="DN69" i="12"/>
  <c r="AG69"/>
  <c r="AM84" i="19"/>
  <c r="BA84" s="1"/>
  <c r="BB84" s="1"/>
  <c r="BF84" s="1"/>
  <c r="DF84"/>
  <c r="AY84"/>
  <c r="AZ84" s="1"/>
  <c r="DG84" s="1"/>
  <c r="BB86" i="12"/>
  <c r="BF86" s="1"/>
  <c r="BG37" i="15"/>
  <c r="T37" i="19" s="1"/>
  <c r="AG37" s="1"/>
  <c r="BB37" i="15"/>
  <c r="AH38" i="22"/>
  <c r="AM38"/>
  <c r="BA38" s="1"/>
  <c r="AM40" i="12"/>
  <c r="BA40" s="1"/>
  <c r="AY40"/>
  <c r="AZ40" s="1"/>
  <c r="DG40" s="1"/>
  <c r="DF40"/>
  <c r="CG44" i="19"/>
  <c r="CH44" s="1"/>
  <c r="EB44"/>
  <c r="EC44" s="1"/>
  <c r="CC19" i="15"/>
  <c r="BT19"/>
  <c r="CC49"/>
  <c r="BT49"/>
  <c r="EB84"/>
  <c r="EC84" s="1"/>
  <c r="CG84"/>
  <c r="CH84" s="1"/>
  <c r="AH38" i="21"/>
  <c r="AM38"/>
  <c r="BA38" s="1"/>
  <c r="DJ40" i="9"/>
  <c r="BW40"/>
  <c r="CD40"/>
  <c r="BB18" i="15"/>
  <c r="BF18" s="1"/>
  <c r="BG18"/>
  <c r="T18" i="19" s="1"/>
  <c r="AG18" s="1"/>
  <c r="AH18" s="1"/>
  <c r="AL18" s="1"/>
  <c r="CG19"/>
  <c r="CH19" s="1"/>
  <c r="EB19"/>
  <c r="EC19" s="1"/>
  <c r="BW77" i="9"/>
  <c r="CD77"/>
  <c r="DJ77"/>
  <c r="AH31" i="15"/>
  <c r="AM31"/>
  <c r="BA31" s="1"/>
  <c r="BB48" i="12"/>
  <c r="BG48"/>
  <c r="T48" i="15" s="1"/>
  <c r="BB53" i="12"/>
  <c r="BG53"/>
  <c r="T53" i="15" s="1"/>
  <c r="BT82" i="9"/>
  <c r="CC82"/>
  <c r="BV93" i="15"/>
  <c r="BY93"/>
  <c r="BZ93" s="1"/>
  <c r="BX93"/>
  <c r="DI93"/>
  <c r="DL93" s="1"/>
  <c r="BS93"/>
  <c r="DW93"/>
  <c r="AF82" i="19"/>
  <c r="AF7" i="15"/>
  <c r="BS28" i="9"/>
  <c r="BV28"/>
  <c r="DW28" s="1"/>
  <c r="BY28"/>
  <c r="BZ28" s="1"/>
  <c r="BX28"/>
  <c r="DI28"/>
  <c r="DL28" s="1"/>
  <c r="DN101" i="19"/>
  <c r="AG101"/>
  <c r="DL36" i="2"/>
  <c r="AM80" i="15"/>
  <c r="BA80" s="1"/>
  <c r="BB80" s="1"/>
  <c r="BF80" s="1"/>
  <c r="BG78" i="9"/>
  <c r="T78" i="12" s="1"/>
  <c r="DW82" i="19"/>
  <c r="DL82" i="9"/>
  <c r="AM74" i="5"/>
  <c r="BA74" s="1"/>
  <c r="BG55" i="22"/>
  <c r="BB55"/>
  <c r="AH8"/>
  <c r="AM8"/>
  <c r="BG10"/>
  <c r="BB10"/>
  <c r="AM50" i="21"/>
  <c r="BA50" s="1"/>
  <c r="BB50" s="1"/>
  <c r="BF50" s="1"/>
  <c r="DF50"/>
  <c r="AY50"/>
  <c r="AZ50" s="1"/>
  <c r="DG50" s="1"/>
  <c r="CG13"/>
  <c r="CH13" s="1"/>
  <c r="EC13"/>
  <c r="EB13"/>
  <c r="AH55"/>
  <c r="AL55" s="1"/>
  <c r="AM55"/>
  <c r="BA55" s="1"/>
  <c r="AH8"/>
  <c r="AL8" s="1"/>
  <c r="BG30"/>
  <c r="DI30"/>
  <c r="DL30" s="1"/>
  <c r="BS30"/>
  <c r="BV30"/>
  <c r="DW30" s="1"/>
  <c r="BX30"/>
  <c r="BY30"/>
  <c r="BZ30" s="1"/>
  <c r="AM10"/>
  <c r="BA10" s="1"/>
  <c r="DF10"/>
  <c r="AY10"/>
  <c r="AZ10" s="1"/>
  <c r="DG10" s="1"/>
  <c r="BB50" i="22"/>
  <c r="BG50"/>
  <c r="CC13" i="21"/>
  <c r="BT13"/>
  <c r="DL13"/>
  <c r="EF73"/>
  <c r="DM73"/>
  <c r="DX73" s="1"/>
  <c r="EF81"/>
  <c r="DM81"/>
  <c r="DX81" s="1"/>
  <c r="DM44"/>
  <c r="DX44" s="1"/>
  <c r="EF44"/>
  <c r="DJ8" i="19"/>
  <c r="CD8"/>
  <c r="BW8"/>
  <c r="DX10"/>
  <c r="DM50"/>
  <c r="DX50" s="1"/>
  <c r="EF50"/>
  <c r="DM55"/>
  <c r="DX55" s="1"/>
  <c r="EF55"/>
  <c r="AL33"/>
  <c r="EF10"/>
  <c r="EF33" i="15"/>
  <c r="DM33"/>
  <c r="DX33" s="1"/>
  <c r="BF61"/>
  <c r="T87" i="5"/>
  <c r="T17"/>
  <c r="T50"/>
  <c r="T68"/>
  <c r="T43"/>
  <c r="T55"/>
  <c r="T76"/>
  <c r="T10"/>
  <c r="T64"/>
  <c r="T22"/>
  <c r="T73"/>
  <c r="T49"/>
  <c r="T84"/>
  <c r="AH103"/>
  <c r="AM103"/>
  <c r="BA103" s="1"/>
  <c r="BX94"/>
  <c r="BS94"/>
  <c r="BV94"/>
  <c r="DI94"/>
  <c r="DL94" s="1"/>
  <c r="BY94"/>
  <c r="BZ94" s="1"/>
  <c r="DN31"/>
  <c r="AG31"/>
  <c r="AH31" s="1"/>
  <c r="AL31" s="1"/>
  <c r="DN15"/>
  <c r="AG15"/>
  <c r="DN23"/>
  <c r="AG23"/>
  <c r="DN79"/>
  <c r="AG79"/>
  <c r="DN14"/>
  <c r="AG14"/>
  <c r="DN56"/>
  <c r="AG56"/>
  <c r="DN38"/>
  <c r="AG38"/>
  <c r="AG89"/>
  <c r="DN89"/>
  <c r="DN35"/>
  <c r="AG35"/>
  <c r="DN34"/>
  <c r="AG34"/>
  <c r="DN27"/>
  <c r="AG27"/>
  <c r="DN95"/>
  <c r="AG95"/>
  <c r="DN93"/>
  <c r="AG93"/>
  <c r="DL13" i="2"/>
  <c r="DL29"/>
  <c r="DW94" i="5"/>
  <c r="T58"/>
  <c r="T66"/>
  <c r="T20"/>
  <c r="T24"/>
  <c r="T30"/>
  <c r="T80"/>
  <c r="T13"/>
  <c r="T21"/>
  <c r="T36"/>
  <c r="T11"/>
  <c r="AH105"/>
  <c r="AL105" s="1"/>
  <c r="DN81"/>
  <c r="AG81"/>
  <c r="AH81" s="1"/>
  <c r="AL81" s="1"/>
  <c r="DN60"/>
  <c r="AG60"/>
  <c r="DN62"/>
  <c r="AG62"/>
  <c r="DN85"/>
  <c r="AG85"/>
  <c r="DN83"/>
  <c r="AG83"/>
  <c r="DN88"/>
  <c r="AG88"/>
  <c r="AG101"/>
  <c r="DN101"/>
  <c r="DN16"/>
  <c r="AG16"/>
  <c r="DN9"/>
  <c r="AG9"/>
  <c r="DN18"/>
  <c r="AG18"/>
  <c r="AH18" s="1"/>
  <c r="AL18" s="1"/>
  <c r="AG26"/>
  <c r="DN26"/>
  <c r="AG61"/>
  <c r="DN61"/>
  <c r="DN39"/>
  <c r="AG39"/>
  <c r="DN37"/>
  <c r="AG37"/>
  <c r="DN96"/>
  <c r="AG96"/>
  <c r="DN47"/>
  <c r="AG47"/>
  <c r="AG99"/>
  <c r="DN99"/>
  <c r="DN72"/>
  <c r="AG72"/>
  <c r="DN25"/>
  <c r="AG25"/>
  <c r="DN45"/>
  <c r="AG45"/>
  <c r="DN98"/>
  <c r="AG98"/>
  <c r="DN71"/>
  <c r="AG71"/>
  <c r="AG102"/>
  <c r="DN102"/>
  <c r="AH19"/>
  <c r="AM19"/>
  <c r="BA19" s="1"/>
  <c r="BB19" s="1"/>
  <c r="BF19" s="1"/>
  <c r="AM104"/>
  <c r="BA104" s="1"/>
  <c r="AH104"/>
  <c r="DN65"/>
  <c r="AG65"/>
  <c r="AG90"/>
  <c r="DN90"/>
  <c r="DN63"/>
  <c r="AG63"/>
  <c r="DN41"/>
  <c r="AG41"/>
  <c r="DN52"/>
  <c r="AG52"/>
  <c r="AG12"/>
  <c r="DN12"/>
  <c r="DN74"/>
  <c r="DN67"/>
  <c r="AG67"/>
  <c r="DN59"/>
  <c r="AG59"/>
  <c r="DN51"/>
  <c r="AG51"/>
  <c r="DN42"/>
  <c r="AG42"/>
  <c r="AG106"/>
  <c r="DN106"/>
  <c r="DN33"/>
  <c r="AG33"/>
  <c r="DN32"/>
  <c r="AG32"/>
  <c r="DN57"/>
  <c r="AG57"/>
  <c r="DN97"/>
  <c r="AG97"/>
  <c r="DN70"/>
  <c r="AG70"/>
  <c r="BG29" i="2"/>
  <c r="BY29"/>
  <c r="BZ29" s="1"/>
  <c r="BV29"/>
  <c r="BT40"/>
  <c r="CC40"/>
  <c r="EC40"/>
  <c r="CG40"/>
  <c r="CH40" s="1"/>
  <c r="EB40"/>
  <c r="CC18"/>
  <c r="BT18"/>
  <c r="EB31"/>
  <c r="EC31" s="1"/>
  <c r="CG31"/>
  <c r="CH31" s="1"/>
  <c r="CC11"/>
  <c r="BT11"/>
  <c r="AL7"/>
  <c r="DL87"/>
  <c r="DL30"/>
  <c r="DL21"/>
  <c r="BS29"/>
  <c r="BT29" s="1"/>
  <c r="DW29"/>
  <c r="BT74"/>
  <c r="CC74"/>
  <c r="EB74"/>
  <c r="CG74"/>
  <c r="CH74" s="1"/>
  <c r="EC74"/>
  <c r="DG100"/>
  <c r="CD100"/>
  <c r="BW100"/>
  <c r="BT82"/>
  <c r="CC82"/>
  <c r="EC82"/>
  <c r="CG82"/>
  <c r="CH82" s="1"/>
  <c r="EB82"/>
  <c r="CG18"/>
  <c r="CH18" s="1"/>
  <c r="EB18"/>
  <c r="EC18" s="1"/>
  <c r="CC31"/>
  <c r="BT31"/>
  <c r="CD77"/>
  <c r="DJ77"/>
  <c r="BW77"/>
  <c r="AY44"/>
  <c r="DF44"/>
  <c r="BB44"/>
  <c r="BF44" s="1"/>
  <c r="DW44" s="1"/>
  <c r="DF7"/>
  <c r="DG22"/>
  <c r="CD22"/>
  <c r="BW22"/>
  <c r="CC87"/>
  <c r="BT87"/>
  <c r="BT17"/>
  <c r="CC17"/>
  <c r="BT58"/>
  <c r="CC58"/>
  <c r="AG7"/>
  <c r="AH8"/>
  <c r="AH7" s="1"/>
  <c r="AM8"/>
  <c r="CD65"/>
  <c r="DJ65"/>
  <c r="BW65"/>
  <c r="CC28"/>
  <c r="BT28"/>
  <c r="EB46"/>
  <c r="EC46" s="1"/>
  <c r="CG46"/>
  <c r="CH46" s="1"/>
  <c r="EB87"/>
  <c r="EC87" s="1"/>
  <c r="CG87"/>
  <c r="CH87" s="1"/>
  <c r="CG17"/>
  <c r="CH17" s="1"/>
  <c r="EB17"/>
  <c r="EC17" s="1"/>
  <c r="CC50"/>
  <c r="BT50"/>
  <c r="CG50"/>
  <c r="CH50" s="1"/>
  <c r="EB50"/>
  <c r="EC50" s="1"/>
  <c r="CC68"/>
  <c r="BT68"/>
  <c r="CG68"/>
  <c r="CH68" s="1"/>
  <c r="EB68"/>
  <c r="EC68" s="1"/>
  <c r="CC43"/>
  <c r="BT43"/>
  <c r="CG43"/>
  <c r="CH43" s="1"/>
  <c r="EB43"/>
  <c r="EC43" s="1"/>
  <c r="CG58"/>
  <c r="CH58" s="1"/>
  <c r="EB58"/>
  <c r="EC58"/>
  <c r="CD81"/>
  <c r="DJ81"/>
  <c r="BW81"/>
  <c r="EC55"/>
  <c r="EB55"/>
  <c r="CG55"/>
  <c r="CH55" s="1"/>
  <c r="EB30"/>
  <c r="EC30" s="1"/>
  <c r="CG30"/>
  <c r="CH30" s="1"/>
  <c r="CG80"/>
  <c r="CH80" s="1"/>
  <c r="EB80"/>
  <c r="EC80"/>
  <c r="CG13"/>
  <c r="CH13" s="1"/>
  <c r="EB13"/>
  <c r="EC13"/>
  <c r="CC76"/>
  <c r="BT76"/>
  <c r="CC21"/>
  <c r="BT21"/>
  <c r="BZ10"/>
  <c r="EB10"/>
  <c r="EC10"/>
  <c r="CG10"/>
  <c r="CG36"/>
  <c r="CH36" s="1"/>
  <c r="EB36"/>
  <c r="EC36" s="1"/>
  <c r="CC29"/>
  <c r="BT73"/>
  <c r="CC73"/>
  <c r="EB49"/>
  <c r="EC49" s="1"/>
  <c r="CG49"/>
  <c r="CH49" s="1"/>
  <c r="DL84"/>
  <c r="DG20"/>
  <c r="BW20"/>
  <c r="CD20"/>
  <c r="EB28"/>
  <c r="EC28" s="1"/>
  <c r="CG28"/>
  <c r="CH28" s="1"/>
  <c r="CC46"/>
  <c r="BT46"/>
  <c r="DJ56"/>
  <c r="BW56"/>
  <c r="CD56"/>
  <c r="BT66"/>
  <c r="CC66"/>
  <c r="EB66"/>
  <c r="EC66" s="1"/>
  <c r="CG66"/>
  <c r="CH66" s="1"/>
  <c r="CC24"/>
  <c r="BT24"/>
  <c r="CG24"/>
  <c r="CH24" s="1"/>
  <c r="EB24"/>
  <c r="EC24" s="1"/>
  <c r="BT55"/>
  <c r="CC55"/>
  <c r="BT30"/>
  <c r="CC30"/>
  <c r="BT80"/>
  <c r="CC80"/>
  <c r="BT13"/>
  <c r="CC13"/>
  <c r="EB76"/>
  <c r="EC76" s="1"/>
  <c r="CG76"/>
  <c r="CH76" s="1"/>
  <c r="CC10"/>
  <c r="BT10"/>
  <c r="DL10"/>
  <c r="BT36"/>
  <c r="CC36"/>
  <c r="CC64"/>
  <c r="BT64"/>
  <c r="CG64"/>
  <c r="CH64" s="1"/>
  <c r="EB64"/>
  <c r="EC64"/>
  <c r="CG73"/>
  <c r="CH73" s="1"/>
  <c r="EB73"/>
  <c r="EC73" s="1"/>
  <c r="BT49"/>
  <c r="CC49"/>
  <c r="CC84"/>
  <c r="BT84"/>
  <c r="CG84"/>
  <c r="CH84" s="1"/>
  <c r="EB84"/>
  <c r="EC84" s="1"/>
  <c r="DL73"/>
  <c r="DL49"/>
  <c r="DX8"/>
  <c r="EF86"/>
  <c r="DM86"/>
  <c r="DX86" s="1"/>
  <c r="DM7" i="1"/>
  <c r="BB74" i="5" l="1"/>
  <c r="BF74" s="1"/>
  <c r="DN78" i="12"/>
  <c r="AG78"/>
  <c r="BG80" i="15"/>
  <c r="T80" i="19" s="1"/>
  <c r="AG80" s="1"/>
  <c r="BY80" i="15"/>
  <c r="BZ80" s="1"/>
  <c r="BV80"/>
  <c r="DW80" s="1"/>
  <c r="DI80"/>
  <c r="DL80" s="1"/>
  <c r="BX80"/>
  <c r="BS80"/>
  <c r="AH101" i="19"/>
  <c r="AM101"/>
  <c r="BA101" s="1"/>
  <c r="BT28" i="9"/>
  <c r="CC28"/>
  <c r="AF82" i="21"/>
  <c r="AF7" s="1"/>
  <c r="AF82" i="22"/>
  <c r="AF7" s="1"/>
  <c r="AF7" i="19"/>
  <c r="BT93" i="15"/>
  <c r="CC93"/>
  <c r="EB93"/>
  <c r="CG93"/>
  <c r="CH93" s="1"/>
  <c r="EC93"/>
  <c r="BW82" i="9"/>
  <c r="CD82"/>
  <c r="DJ82"/>
  <c r="AM18" i="19"/>
  <c r="BA18" s="1"/>
  <c r="AY18"/>
  <c r="AZ18" s="1"/>
  <c r="DG18" s="1"/>
  <c r="DF18"/>
  <c r="EF40" i="9"/>
  <c r="DM40"/>
  <c r="DX40" s="1"/>
  <c r="BB40" i="12"/>
  <c r="BF40" s="1"/>
  <c r="BG40"/>
  <c r="T40" i="15" s="1"/>
  <c r="AH37" i="19"/>
  <c r="AM37"/>
  <c r="BA37" s="1"/>
  <c r="DI86" i="12"/>
  <c r="DL86" s="1"/>
  <c r="BX86"/>
  <c r="BS86"/>
  <c r="BY86"/>
  <c r="BZ86" s="1"/>
  <c r="BV86"/>
  <c r="DW86"/>
  <c r="AH69"/>
  <c r="AL69" s="1"/>
  <c r="AM69"/>
  <c r="BA69" s="1"/>
  <c r="AM94" i="9"/>
  <c r="BA94" s="1"/>
  <c r="BB94" s="1"/>
  <c r="BF94" s="1"/>
  <c r="DF94"/>
  <c r="AY94"/>
  <c r="AZ94" s="1"/>
  <c r="DG94" s="1"/>
  <c r="DW94"/>
  <c r="BB93" i="19"/>
  <c r="BF93" s="1"/>
  <c r="BG93" s="1"/>
  <c r="T100"/>
  <c r="T100" i="15"/>
  <c r="EF46" i="9"/>
  <c r="DM46"/>
  <c r="DX46" s="1"/>
  <c r="DJ69"/>
  <c r="BW69"/>
  <c r="CD69"/>
  <c r="CD82" i="15"/>
  <c r="DJ82"/>
  <c r="BW82"/>
  <c r="BG77" i="12"/>
  <c r="T77" i="15" s="1"/>
  <c r="DI77" i="12"/>
  <c r="DL77" s="1"/>
  <c r="BX77"/>
  <c r="BS77"/>
  <c r="BY77"/>
  <c r="BZ77" s="1"/>
  <c r="BV77"/>
  <c r="DW77" s="1"/>
  <c r="BG46"/>
  <c r="T46" i="15" s="1"/>
  <c r="BX46" i="12"/>
  <c r="DI46"/>
  <c r="BS46"/>
  <c r="BV46"/>
  <c r="BY46"/>
  <c r="BZ46" s="1"/>
  <c r="EB15" i="15"/>
  <c r="EC15" s="1"/>
  <c r="CG15"/>
  <c r="CH15" s="1"/>
  <c r="AM15" i="19"/>
  <c r="BA15" s="1"/>
  <c r="BB15" s="1"/>
  <c r="BF15" s="1"/>
  <c r="DF15"/>
  <c r="AY15"/>
  <c r="AZ15" s="1"/>
  <c r="DG15" s="1"/>
  <c r="DF49"/>
  <c r="AY49"/>
  <c r="AZ49" s="1"/>
  <c r="DG49" s="1"/>
  <c r="AH91" i="9"/>
  <c r="AM91"/>
  <c r="BA91" s="1"/>
  <c r="AH92"/>
  <c r="AM92"/>
  <c r="BA92" s="1"/>
  <c r="DL46" i="12"/>
  <c r="CG28" i="9"/>
  <c r="CH28" s="1"/>
  <c r="EB28"/>
  <c r="EC28" s="1"/>
  <c r="DN53" i="15"/>
  <c r="AG53"/>
  <c r="AG48"/>
  <c r="DN48"/>
  <c r="BG31"/>
  <c r="BB31"/>
  <c r="DM77" i="9"/>
  <c r="DX77" s="1"/>
  <c r="EF77"/>
  <c r="DW18" i="15"/>
  <c r="BX18"/>
  <c r="DI18"/>
  <c r="DL18" s="1"/>
  <c r="BS18"/>
  <c r="BV18"/>
  <c r="BY18"/>
  <c r="BZ18" s="1"/>
  <c r="BB38" i="21"/>
  <c r="BG38"/>
  <c r="CD49" i="15"/>
  <c r="DJ49"/>
  <c r="BW49"/>
  <c r="BW19"/>
  <c r="CD19"/>
  <c r="DJ19"/>
  <c r="DM19" s="1"/>
  <c r="DX19" s="1"/>
  <c r="BG38" i="22"/>
  <c r="BB38"/>
  <c r="BG84" i="19"/>
  <c r="BV84"/>
  <c r="DW84" s="1"/>
  <c r="BX84"/>
  <c r="BY84"/>
  <c r="BZ84" s="1"/>
  <c r="DI84"/>
  <c r="DL84" s="1"/>
  <c r="BS84"/>
  <c r="BG75" i="9"/>
  <c r="T75" i="12" s="1"/>
  <c r="BB75" i="9"/>
  <c r="AH101" i="15"/>
  <c r="AM101"/>
  <c r="BA101" s="1"/>
  <c r="AH28" i="12"/>
  <c r="AL28" s="1"/>
  <c r="AM28" s="1"/>
  <c r="BA28" s="1"/>
  <c r="CG82" i="19"/>
  <c r="CH82" s="1"/>
  <c r="EC82"/>
  <c r="EB82"/>
  <c r="CC82"/>
  <c r="BT82"/>
  <c r="DG19"/>
  <c r="DM19" s="1"/>
  <c r="DX19" s="1"/>
  <c r="CD19"/>
  <c r="BW19"/>
  <c r="BW84" i="15"/>
  <c r="CD84"/>
  <c r="DJ84"/>
  <c r="CC78" i="9"/>
  <c r="BT78"/>
  <c r="BB31" i="19"/>
  <c r="BG31"/>
  <c r="DN54" i="15"/>
  <c r="AG54"/>
  <c r="CD44" i="19"/>
  <c r="BW44"/>
  <c r="DJ44"/>
  <c r="CC15" i="15"/>
  <c r="BT15"/>
  <c r="BG86" i="12"/>
  <c r="T86" i="15" s="1"/>
  <c r="DW46" i="12"/>
  <c r="AM49" i="19"/>
  <c r="BA49" s="1"/>
  <c r="DJ13" i="21"/>
  <c r="DM13" s="1"/>
  <c r="DX13" s="1"/>
  <c r="CD13"/>
  <c r="BW13"/>
  <c r="BB10"/>
  <c r="BF10" s="1"/>
  <c r="EB30"/>
  <c r="EC30" s="1"/>
  <c r="CG30"/>
  <c r="CH30" s="1"/>
  <c r="CC30"/>
  <c r="BT30"/>
  <c r="AY8"/>
  <c r="DF8"/>
  <c r="DW8"/>
  <c r="BB55"/>
  <c r="BF55" s="1"/>
  <c r="BG50"/>
  <c r="BV50"/>
  <c r="BX50"/>
  <c r="BS50"/>
  <c r="DI50"/>
  <c r="DL50" s="1"/>
  <c r="BY50"/>
  <c r="BZ50" s="1"/>
  <c r="BA8" i="22"/>
  <c r="DF55" i="21"/>
  <c r="AY55"/>
  <c r="AZ55" s="1"/>
  <c r="DG55" s="1"/>
  <c r="AM8"/>
  <c r="BA8" s="1"/>
  <c r="BB8" s="1"/>
  <c r="BF8" s="1"/>
  <c r="DW50"/>
  <c r="BS8"/>
  <c r="DI8"/>
  <c r="BY8"/>
  <c r="BX8"/>
  <c r="BV8"/>
  <c r="BG8"/>
  <c r="EF8" i="19"/>
  <c r="DM8"/>
  <c r="DX8" s="1"/>
  <c r="AM33"/>
  <c r="AY33"/>
  <c r="DF33"/>
  <c r="BG61" i="15"/>
  <c r="DI61"/>
  <c r="BX61"/>
  <c r="BS61"/>
  <c r="BY61"/>
  <c r="BV61"/>
  <c r="AH106" i="5"/>
  <c r="AM106"/>
  <c r="BA106" s="1"/>
  <c r="AH12"/>
  <c r="AM12"/>
  <c r="BA12" s="1"/>
  <c r="AH90"/>
  <c r="AM90"/>
  <c r="BA90" s="1"/>
  <c r="BB104"/>
  <c r="BG104"/>
  <c r="T104" i="9" s="1"/>
  <c r="AH102" i="5"/>
  <c r="AM102"/>
  <c r="BA102" s="1"/>
  <c r="AH99"/>
  <c r="AM99"/>
  <c r="BA99" s="1"/>
  <c r="AH61"/>
  <c r="AM61"/>
  <c r="BA61" s="1"/>
  <c r="AH26"/>
  <c r="AM26"/>
  <c r="BA26" s="1"/>
  <c r="AH101"/>
  <c r="AM101"/>
  <c r="BA101" s="1"/>
  <c r="DF105"/>
  <c r="AY105"/>
  <c r="AZ105" s="1"/>
  <c r="DG105" s="1"/>
  <c r="DN36"/>
  <c r="AG36"/>
  <c r="AH36" s="1"/>
  <c r="AL36" s="1"/>
  <c r="DN13"/>
  <c r="AG13"/>
  <c r="AH13" s="1"/>
  <c r="AL13" s="1"/>
  <c r="DN58"/>
  <c r="AG58"/>
  <c r="AH58" s="1"/>
  <c r="AL58" s="1"/>
  <c r="AH93"/>
  <c r="AM93"/>
  <c r="BA93" s="1"/>
  <c r="AM95"/>
  <c r="BA95" s="1"/>
  <c r="AH95"/>
  <c r="AH27"/>
  <c r="AM27"/>
  <c r="BA27" s="1"/>
  <c r="AH34"/>
  <c r="AM34"/>
  <c r="BA34" s="1"/>
  <c r="AH35"/>
  <c r="AM35"/>
  <c r="BA35" s="1"/>
  <c r="AM38"/>
  <c r="BA38" s="1"/>
  <c r="AH38"/>
  <c r="AH56"/>
  <c r="AL56" s="1"/>
  <c r="AH14"/>
  <c r="AM14"/>
  <c r="BA14" s="1"/>
  <c r="AH79"/>
  <c r="AM79"/>
  <c r="BA79" s="1"/>
  <c r="AH23"/>
  <c r="AM23"/>
  <c r="BA23" s="1"/>
  <c r="AM15"/>
  <c r="BA15" s="1"/>
  <c r="AH15"/>
  <c r="AM31"/>
  <c r="BA31" s="1"/>
  <c r="BB31" s="1"/>
  <c r="BG31" s="1"/>
  <c r="DF31"/>
  <c r="DL31" s="1"/>
  <c r="AY31"/>
  <c r="BV31"/>
  <c r="DW31" s="1"/>
  <c r="BY31"/>
  <c r="BZ31" s="1"/>
  <c r="BX31"/>
  <c r="CG94"/>
  <c r="CH94" s="1"/>
  <c r="EB94"/>
  <c r="EC94" s="1"/>
  <c r="DN84"/>
  <c r="AG84"/>
  <c r="AH84" s="1"/>
  <c r="AL84" s="1"/>
  <c r="DN73"/>
  <c r="AG73"/>
  <c r="AH73" s="1"/>
  <c r="AL73" s="1"/>
  <c r="AG22"/>
  <c r="DN22"/>
  <c r="DN43"/>
  <c r="AG43"/>
  <c r="AH43" s="1"/>
  <c r="AL43" s="1"/>
  <c r="DN68"/>
  <c r="AG68"/>
  <c r="DN50"/>
  <c r="AG50"/>
  <c r="AH50" s="1"/>
  <c r="AL50" s="1"/>
  <c r="AG87"/>
  <c r="DN87"/>
  <c r="T29"/>
  <c r="AM70"/>
  <c r="BA70" s="1"/>
  <c r="AH70"/>
  <c r="AM97"/>
  <c r="BA97" s="1"/>
  <c r="AH97"/>
  <c r="AM57"/>
  <c r="BA57" s="1"/>
  <c r="AH57"/>
  <c r="AH32"/>
  <c r="AL32" s="1"/>
  <c r="AM32" s="1"/>
  <c r="BA32" s="1"/>
  <c r="AH33"/>
  <c r="AM33"/>
  <c r="BA33" s="1"/>
  <c r="AH42"/>
  <c r="AM42"/>
  <c r="BA42" s="1"/>
  <c r="AH51"/>
  <c r="AM51"/>
  <c r="BA51" s="1"/>
  <c r="AH59"/>
  <c r="AM59"/>
  <c r="BA59" s="1"/>
  <c r="AH67"/>
  <c r="AM67"/>
  <c r="BA67" s="1"/>
  <c r="DF74"/>
  <c r="AH52"/>
  <c r="AM52"/>
  <c r="BA52" s="1"/>
  <c r="AH41"/>
  <c r="AM41"/>
  <c r="BA41" s="1"/>
  <c r="AH63"/>
  <c r="AM63"/>
  <c r="BA63" s="1"/>
  <c r="AH65"/>
  <c r="AL65" s="1"/>
  <c r="BG19"/>
  <c r="T19" i="9" s="1"/>
  <c r="AG19" s="1"/>
  <c r="BX19" i="5"/>
  <c r="DW19"/>
  <c r="BY19"/>
  <c r="BZ19" s="1"/>
  <c r="DI19"/>
  <c r="DL19" s="1"/>
  <c r="BV19"/>
  <c r="BS19"/>
  <c r="AH71"/>
  <c r="AM71"/>
  <c r="BA71" s="1"/>
  <c r="AH98"/>
  <c r="AM98"/>
  <c r="BA98" s="1"/>
  <c r="AM45"/>
  <c r="BA45" s="1"/>
  <c r="AH45"/>
  <c r="AH25"/>
  <c r="AM25"/>
  <c r="BA25" s="1"/>
  <c r="AM72"/>
  <c r="BA72" s="1"/>
  <c r="AH72"/>
  <c r="AM47"/>
  <c r="BA47" s="1"/>
  <c r="AH47"/>
  <c r="AH96"/>
  <c r="AM96"/>
  <c r="BA96" s="1"/>
  <c r="AH37"/>
  <c r="AL37" s="1"/>
  <c r="AM37"/>
  <c r="BA37" s="1"/>
  <c r="AH39"/>
  <c r="AM39"/>
  <c r="BA39" s="1"/>
  <c r="AM18"/>
  <c r="BA18" s="1"/>
  <c r="BB18" s="1"/>
  <c r="BF18" s="1"/>
  <c r="DW18" s="1"/>
  <c r="DF18"/>
  <c r="AY18"/>
  <c r="AZ18" s="1"/>
  <c r="DG18" s="1"/>
  <c r="AM9"/>
  <c r="BA9" s="1"/>
  <c r="AH9"/>
  <c r="AH16"/>
  <c r="AM16"/>
  <c r="BA16" s="1"/>
  <c r="AH88"/>
  <c r="AM88"/>
  <c r="BA88" s="1"/>
  <c r="AM83"/>
  <c r="BA83" s="1"/>
  <c r="AH83"/>
  <c r="AH85"/>
  <c r="AM85"/>
  <c r="BA85" s="1"/>
  <c r="AH62"/>
  <c r="AM62"/>
  <c r="BA62" s="1"/>
  <c r="AH60"/>
  <c r="AM60"/>
  <c r="BA60" s="1"/>
  <c r="AM81"/>
  <c r="BA81" s="1"/>
  <c r="DF81"/>
  <c r="AY81"/>
  <c r="AZ81" s="1"/>
  <c r="DG81" s="1"/>
  <c r="DN11"/>
  <c r="AG11"/>
  <c r="DN21"/>
  <c r="AG21"/>
  <c r="AH21" s="1"/>
  <c r="AL21" s="1"/>
  <c r="DN80"/>
  <c r="AG80"/>
  <c r="AH80" s="1"/>
  <c r="AL80" s="1"/>
  <c r="DN30"/>
  <c r="AG30"/>
  <c r="AH30" s="1"/>
  <c r="AL30" s="1"/>
  <c r="DN24"/>
  <c r="AG24"/>
  <c r="AH24" s="1"/>
  <c r="AL24" s="1"/>
  <c r="AG20"/>
  <c r="DN20"/>
  <c r="DN66"/>
  <c r="AG66"/>
  <c r="AH89"/>
  <c r="AM89"/>
  <c r="BA89" s="1"/>
  <c r="CC94"/>
  <c r="BT94"/>
  <c r="BB103"/>
  <c r="BG103"/>
  <c r="T103" i="9" s="1"/>
  <c r="DN49" i="5"/>
  <c r="AG49"/>
  <c r="AH49" s="1"/>
  <c r="AL49" s="1"/>
  <c r="AG64"/>
  <c r="DN64"/>
  <c r="AG10"/>
  <c r="DN10"/>
  <c r="DN76"/>
  <c r="AG76"/>
  <c r="DN55"/>
  <c r="AG55"/>
  <c r="DN17"/>
  <c r="AG17"/>
  <c r="AH17" s="1"/>
  <c r="AL17" s="1"/>
  <c r="AM105"/>
  <c r="BA105" s="1"/>
  <c r="BW31" i="2"/>
  <c r="CD31"/>
  <c r="DJ31"/>
  <c r="CD82"/>
  <c r="DJ82"/>
  <c r="BW82"/>
  <c r="CD74"/>
  <c r="DJ74"/>
  <c r="BW74"/>
  <c r="DM100"/>
  <c r="DX100" s="1"/>
  <c r="EF100"/>
  <c r="DJ11"/>
  <c r="BW11"/>
  <c r="CD11"/>
  <c r="DJ18"/>
  <c r="CD18"/>
  <c r="BW18"/>
  <c r="CD40"/>
  <c r="DJ40"/>
  <c r="BW40"/>
  <c r="BG44"/>
  <c r="BY44"/>
  <c r="BV44"/>
  <c r="BV7" s="1"/>
  <c r="DI44"/>
  <c r="BX44"/>
  <c r="BS44"/>
  <c r="BF7"/>
  <c r="AZ44"/>
  <c r="AY7"/>
  <c r="DM77"/>
  <c r="DX77" s="1"/>
  <c r="EF77"/>
  <c r="BW49"/>
  <c r="DJ49"/>
  <c r="CD49"/>
  <c r="BW13"/>
  <c r="CD13"/>
  <c r="DJ13"/>
  <c r="DM13" s="1"/>
  <c r="DX13" s="1"/>
  <c r="CD30"/>
  <c r="DJ30"/>
  <c r="BW30"/>
  <c r="DJ55"/>
  <c r="BW55"/>
  <c r="CD55"/>
  <c r="DJ66"/>
  <c r="BW66"/>
  <c r="CD66"/>
  <c r="DJ73"/>
  <c r="BW73"/>
  <c r="CD73"/>
  <c r="CH10"/>
  <c r="DJ43"/>
  <c r="BW43"/>
  <c r="CD43"/>
  <c r="DJ84"/>
  <c r="BW84"/>
  <c r="CD84"/>
  <c r="BW36"/>
  <c r="CD36"/>
  <c r="DJ36"/>
  <c r="DJ10"/>
  <c r="BW10"/>
  <c r="CD10"/>
  <c r="CD24"/>
  <c r="DJ24"/>
  <c r="BW24"/>
  <c r="EF56"/>
  <c r="DM56"/>
  <c r="DX56" s="1"/>
  <c r="EF20"/>
  <c r="DM20"/>
  <c r="DX20" s="1"/>
  <c r="DJ29"/>
  <c r="BW29"/>
  <c r="CD29"/>
  <c r="BW21"/>
  <c r="CD21"/>
  <c r="DJ21"/>
  <c r="BW76"/>
  <c r="DJ76"/>
  <c r="CD76"/>
  <c r="EF81"/>
  <c r="DM81"/>
  <c r="DX81" s="1"/>
  <c r="EF65"/>
  <c r="DM65"/>
  <c r="DX65" s="1"/>
  <c r="BA8"/>
  <c r="AM7"/>
  <c r="BW58"/>
  <c r="CD58"/>
  <c r="DJ58"/>
  <c r="BW17"/>
  <c r="CD17"/>
  <c r="DJ17"/>
  <c r="DJ64"/>
  <c r="BW64"/>
  <c r="CD64"/>
  <c r="DJ80"/>
  <c r="BW80"/>
  <c r="CD80"/>
  <c r="CD46"/>
  <c r="DJ46"/>
  <c r="BW46"/>
  <c r="BW68"/>
  <c r="CD68"/>
  <c r="DJ68"/>
  <c r="CD50"/>
  <c r="DJ50"/>
  <c r="BW50"/>
  <c r="CD28"/>
  <c r="DJ28"/>
  <c r="BW28"/>
  <c r="BW87"/>
  <c r="CD87"/>
  <c r="DJ87"/>
  <c r="EF22"/>
  <c r="DM22"/>
  <c r="DX22" s="1"/>
  <c r="BB28" i="12" l="1"/>
  <c r="BF28" s="1"/>
  <c r="T93" i="22"/>
  <c r="AG93" s="1"/>
  <c r="T93" i="21"/>
  <c r="DF37" i="5"/>
  <c r="DL37" s="1"/>
  <c r="AY37"/>
  <c r="BX37"/>
  <c r="BV37"/>
  <c r="DW37" s="1"/>
  <c r="BY37"/>
  <c r="BZ37" s="1"/>
  <c r="AG104" i="9"/>
  <c r="DN104"/>
  <c r="BB49" i="19"/>
  <c r="BF49" s="1"/>
  <c r="BG49"/>
  <c r="DJ15" i="15"/>
  <c r="BW15"/>
  <c r="CD15"/>
  <c r="DM44" i="19"/>
  <c r="DX44" s="1"/>
  <c r="EF44"/>
  <c r="BB101" i="15"/>
  <c r="BG101"/>
  <c r="BT84" i="19"/>
  <c r="CC84"/>
  <c r="EF49" i="15"/>
  <c r="DM49"/>
  <c r="DX49" s="1"/>
  <c r="BT18"/>
  <c r="CC18"/>
  <c r="EB18"/>
  <c r="EC18" s="1"/>
  <c r="CG18"/>
  <c r="CH18" s="1"/>
  <c r="AH53"/>
  <c r="AM53"/>
  <c r="BA53" s="1"/>
  <c r="BT46" i="12"/>
  <c r="CC46"/>
  <c r="EB46"/>
  <c r="EC46" s="1"/>
  <c r="CG46"/>
  <c r="CH46" s="1"/>
  <c r="BT77"/>
  <c r="CC77"/>
  <c r="AG100" i="15"/>
  <c r="DN100"/>
  <c r="BB69" i="12"/>
  <c r="BF69" s="1"/>
  <c r="CG86"/>
  <c r="CH86" s="1"/>
  <c r="EB86"/>
  <c r="EC86"/>
  <c r="BB37" i="19"/>
  <c r="BG37"/>
  <c r="DN40" i="15"/>
  <c r="AG40"/>
  <c r="AH40" s="1"/>
  <c r="AL40" s="1"/>
  <c r="DM82" i="9"/>
  <c r="DX82" s="1"/>
  <c r="EF82"/>
  <c r="CD28"/>
  <c r="DJ28"/>
  <c r="BW28"/>
  <c r="EB80" i="15"/>
  <c r="EC80"/>
  <c r="CG80"/>
  <c r="CH80" s="1"/>
  <c r="AH80" i="19"/>
  <c r="AL80" s="1"/>
  <c r="AM80"/>
  <c r="BA80" s="1"/>
  <c r="BX74" i="5"/>
  <c r="BV74"/>
  <c r="BS74"/>
  <c r="BT74" s="1"/>
  <c r="DW74"/>
  <c r="AG103" i="9"/>
  <c r="DN103"/>
  <c r="AH19"/>
  <c r="AL19" s="1"/>
  <c r="AY32" i="5"/>
  <c r="BV32"/>
  <c r="DW32" s="1"/>
  <c r="BY32"/>
  <c r="BZ32" s="1"/>
  <c r="DF32"/>
  <c r="DL32" s="1"/>
  <c r="BX32"/>
  <c r="DN86" i="15"/>
  <c r="AG86"/>
  <c r="AH86" s="1"/>
  <c r="AL86" s="1"/>
  <c r="AH54"/>
  <c r="AM54"/>
  <c r="BA54" s="1"/>
  <c r="T31" i="21"/>
  <c r="T31" i="22"/>
  <c r="DJ78" i="9"/>
  <c r="BW78"/>
  <c r="CD78"/>
  <c r="DM84" i="15"/>
  <c r="DX84" s="1"/>
  <c r="EF84"/>
  <c r="CD82" i="19"/>
  <c r="BW82"/>
  <c r="DJ82"/>
  <c r="DF28" i="12"/>
  <c r="AY28"/>
  <c r="AZ28" s="1"/>
  <c r="DG28" s="1"/>
  <c r="DN75"/>
  <c r="AG75"/>
  <c r="CG84" i="19"/>
  <c r="CH84" s="1"/>
  <c r="EB84"/>
  <c r="EC84" s="1"/>
  <c r="T84" i="21"/>
  <c r="T84" i="22"/>
  <c r="AG84" s="1"/>
  <c r="AH48" i="15"/>
  <c r="AM48"/>
  <c r="BA48" s="1"/>
  <c r="BB92" i="9"/>
  <c r="BG92"/>
  <c r="T92" i="12" s="1"/>
  <c r="BB91" i="9"/>
  <c r="BG91"/>
  <c r="T91" i="12" s="1"/>
  <c r="BG15" i="19"/>
  <c r="BV15"/>
  <c r="DW15" s="1"/>
  <c r="BX15"/>
  <c r="BY15"/>
  <c r="BZ15" s="1"/>
  <c r="DI15"/>
  <c r="DL15" s="1"/>
  <c r="BS15"/>
  <c r="DN46" i="15"/>
  <c r="AG46"/>
  <c r="CG77" i="12"/>
  <c r="CH77" s="1"/>
  <c r="EB77"/>
  <c r="EC77" s="1"/>
  <c r="DN77" i="15"/>
  <c r="AG77"/>
  <c r="AH77" s="1"/>
  <c r="AL77" s="1"/>
  <c r="EF82"/>
  <c r="DM82"/>
  <c r="DX82" s="1"/>
  <c r="DM69" i="9"/>
  <c r="DX69" s="1"/>
  <c r="EF69"/>
  <c r="DN100" i="19"/>
  <c r="AG100"/>
  <c r="DI93"/>
  <c r="DL93" s="1"/>
  <c r="BS93"/>
  <c r="BV93"/>
  <c r="BX93"/>
  <c r="BY93"/>
  <c r="BZ93" s="1"/>
  <c r="DW93"/>
  <c r="BG94" i="9"/>
  <c r="T94" i="12" s="1"/>
  <c r="BX94" i="9"/>
  <c r="DI94"/>
  <c r="DL94" s="1"/>
  <c r="BS94"/>
  <c r="BV94"/>
  <c r="BY94"/>
  <c r="BZ94" s="1"/>
  <c r="DF69" i="12"/>
  <c r="AY69"/>
  <c r="AZ69" s="1"/>
  <c r="DG69" s="1"/>
  <c r="BT86"/>
  <c r="CC86"/>
  <c r="BX40"/>
  <c r="BV40"/>
  <c r="DI40"/>
  <c r="DL40" s="1"/>
  <c r="BS40"/>
  <c r="BY40"/>
  <c r="BZ40" s="1"/>
  <c r="DW40"/>
  <c r="BB18" i="19"/>
  <c r="BF18" s="1"/>
  <c r="BG18"/>
  <c r="CD93" i="15"/>
  <c r="DJ93"/>
  <c r="BW93"/>
  <c r="BB101" i="19"/>
  <c r="BG101"/>
  <c r="CC80" i="15"/>
  <c r="BT80"/>
  <c r="AH78" i="12"/>
  <c r="AL78" s="1"/>
  <c r="BG74" i="5"/>
  <c r="T74" i="9" s="1"/>
  <c r="CG50" i="21"/>
  <c r="CH50" s="1"/>
  <c r="EB50"/>
  <c r="EC50" s="1"/>
  <c r="DI55"/>
  <c r="DL55" s="1"/>
  <c r="BX55"/>
  <c r="BY55"/>
  <c r="BZ55" s="1"/>
  <c r="BS55"/>
  <c r="BV55"/>
  <c r="AZ8"/>
  <c r="DW10"/>
  <c r="BY10"/>
  <c r="BZ10" s="1"/>
  <c r="DI10"/>
  <c r="DL10" s="1"/>
  <c r="BS10"/>
  <c r="BV10"/>
  <c r="BX10"/>
  <c r="BB8" i="22"/>
  <c r="BG8"/>
  <c r="CC50" i="21"/>
  <c r="BT50"/>
  <c r="CD30"/>
  <c r="BW30"/>
  <c r="DJ30"/>
  <c r="DW55"/>
  <c r="BG55"/>
  <c r="BG10"/>
  <c r="EC8"/>
  <c r="CG8"/>
  <c r="EB8"/>
  <c r="BT8"/>
  <c r="CC8"/>
  <c r="BZ8"/>
  <c r="DL8"/>
  <c r="BA33" i="19"/>
  <c r="T61"/>
  <c r="AZ33"/>
  <c r="DW61" i="15"/>
  <c r="CG61"/>
  <c r="EB61"/>
  <c r="EC61"/>
  <c r="BZ61"/>
  <c r="BT61"/>
  <c r="CC61"/>
  <c r="DL61"/>
  <c r="BB105" i="5"/>
  <c r="BF105" s="1"/>
  <c r="AH10"/>
  <c r="AL10" s="1"/>
  <c r="AH64"/>
  <c r="AL64" s="1"/>
  <c r="AH20"/>
  <c r="AM20"/>
  <c r="BA20" s="1"/>
  <c r="BG60"/>
  <c r="T60" i="9" s="1"/>
  <c r="BB60" i="5"/>
  <c r="BG62"/>
  <c r="T62" i="9" s="1"/>
  <c r="BB62" i="5"/>
  <c r="BB85"/>
  <c r="BG85"/>
  <c r="T85" i="9" s="1"/>
  <c r="BB88" i="5"/>
  <c r="BG88"/>
  <c r="T88" i="9" s="1"/>
  <c r="BB16" i="5"/>
  <c r="BG16"/>
  <c r="T16" i="9" s="1"/>
  <c r="BB39" i="5"/>
  <c r="BG39"/>
  <c r="T39" i="9" s="1"/>
  <c r="BB37" i="5"/>
  <c r="BG37"/>
  <c r="BG96"/>
  <c r="T96" i="9" s="1"/>
  <c r="BB96" i="5"/>
  <c r="BB25"/>
  <c r="BG25"/>
  <c r="T25" i="9" s="1"/>
  <c r="BG98" i="5"/>
  <c r="T98" i="9" s="1"/>
  <c r="BB98" i="5"/>
  <c r="BG71"/>
  <c r="T71" i="9" s="1"/>
  <c r="BB71" i="5"/>
  <c r="BT19"/>
  <c r="CC19"/>
  <c r="DF65"/>
  <c r="AY65"/>
  <c r="AZ65" s="1"/>
  <c r="DG65" s="1"/>
  <c r="BB57"/>
  <c r="BG57"/>
  <c r="T57" i="9" s="1"/>
  <c r="BG97" i="5"/>
  <c r="T97" i="9" s="1"/>
  <c r="BB97" i="5"/>
  <c r="BB70"/>
  <c r="BG70"/>
  <c r="T70" i="9" s="1"/>
  <c r="AH87" i="5"/>
  <c r="AL87" s="1"/>
  <c r="AM87" s="1"/>
  <c r="BA87" s="1"/>
  <c r="AH22"/>
  <c r="AM22"/>
  <c r="BA22" s="1"/>
  <c r="AZ31"/>
  <c r="CC31"/>
  <c r="BB15"/>
  <c r="BF15" s="1"/>
  <c r="BG15" s="1"/>
  <c r="AY56"/>
  <c r="DF56"/>
  <c r="DL56" s="1"/>
  <c r="BY56"/>
  <c r="BZ56" s="1"/>
  <c r="BX56"/>
  <c r="DW56"/>
  <c r="BV56"/>
  <c r="BB38"/>
  <c r="BG38"/>
  <c r="T38" i="9" s="1"/>
  <c r="BB95" i="5"/>
  <c r="BG95"/>
  <c r="T95" i="9" s="1"/>
  <c r="AM17" i="5"/>
  <c r="BA17" s="1"/>
  <c r="BB17" s="1"/>
  <c r="BF17" s="1"/>
  <c r="DW17" s="1"/>
  <c r="AY17"/>
  <c r="AZ17" s="1"/>
  <c r="DG17" s="1"/>
  <c r="DF17"/>
  <c r="AH55"/>
  <c r="AL55" s="1"/>
  <c r="AM55" s="1"/>
  <c r="BA55" s="1"/>
  <c r="AH76"/>
  <c r="AL76" s="1"/>
  <c r="AM76" s="1"/>
  <c r="BA76" s="1"/>
  <c r="AM49"/>
  <c r="BA49" s="1"/>
  <c r="AY49"/>
  <c r="AZ49" s="1"/>
  <c r="DG49" s="1"/>
  <c r="DF49"/>
  <c r="DJ94"/>
  <c r="BW94"/>
  <c r="CD94"/>
  <c r="BB89"/>
  <c r="BG89"/>
  <c r="T89" i="9" s="1"/>
  <c r="AH66" i="5"/>
  <c r="AL66" s="1"/>
  <c r="AM66" s="1"/>
  <c r="BA66" s="1"/>
  <c r="AM24"/>
  <c r="BA24" s="1"/>
  <c r="BB24" s="1"/>
  <c r="BF24" s="1"/>
  <c r="DW24" s="1"/>
  <c r="AY24"/>
  <c r="AZ24" s="1"/>
  <c r="DG24" s="1"/>
  <c r="DF24"/>
  <c r="AM30"/>
  <c r="BA30" s="1"/>
  <c r="AY30"/>
  <c r="AZ30" s="1"/>
  <c r="DG30" s="1"/>
  <c r="DF30"/>
  <c r="AM80"/>
  <c r="BA80" s="1"/>
  <c r="BB80" s="1"/>
  <c r="AY80"/>
  <c r="DF80"/>
  <c r="AM21"/>
  <c r="BA21" s="1"/>
  <c r="AY21"/>
  <c r="AZ21" s="1"/>
  <c r="DG21" s="1"/>
  <c r="DF21"/>
  <c r="AH11"/>
  <c r="AL11" s="1"/>
  <c r="AM11" s="1"/>
  <c r="BA11" s="1"/>
  <c r="BB11" s="1"/>
  <c r="BF11" s="1"/>
  <c r="BB81"/>
  <c r="BF81" s="1"/>
  <c r="BG81" s="1"/>
  <c r="T81" i="9" s="1"/>
  <c r="BG83" i="5"/>
  <c r="T83" i="9" s="1"/>
  <c r="BB83" i="5"/>
  <c r="BB9"/>
  <c r="BG9"/>
  <c r="T9" i="9" s="1"/>
  <c r="BG18" i="5"/>
  <c r="BX18"/>
  <c r="DI18"/>
  <c r="DL18" s="1"/>
  <c r="BS18"/>
  <c r="BV18"/>
  <c r="BY18"/>
  <c r="BZ18" s="1"/>
  <c r="BB47"/>
  <c r="BG47"/>
  <c r="T47" i="9" s="1"/>
  <c r="BB72" i="5"/>
  <c r="BG72"/>
  <c r="T72" i="9" s="1"/>
  <c r="BB45" i="5"/>
  <c r="BG45"/>
  <c r="T45" i="9" s="1"/>
  <c r="CG19" i="5"/>
  <c r="CH19" s="1"/>
  <c r="EB19"/>
  <c r="EC19" s="1"/>
  <c r="BG63"/>
  <c r="T63" i="9" s="1"/>
  <c r="BB63" i="5"/>
  <c r="BB41"/>
  <c r="BG41"/>
  <c r="T41" i="9" s="1"/>
  <c r="BG52" i="5"/>
  <c r="T52" i="9" s="1"/>
  <c r="BB52" i="5"/>
  <c r="BB67"/>
  <c r="BG67"/>
  <c r="T67" i="9" s="1"/>
  <c r="BG59" i="5"/>
  <c r="T59" i="9" s="1"/>
  <c r="BB59" i="5"/>
  <c r="BG51"/>
  <c r="T51" i="9" s="1"/>
  <c r="BB51" i="5"/>
  <c r="BG42"/>
  <c r="T42" i="9" s="1"/>
  <c r="BB42" i="5"/>
  <c r="BB33"/>
  <c r="BG33"/>
  <c r="T33" i="9" s="1"/>
  <c r="BG32" i="5"/>
  <c r="T32" i="9" s="1"/>
  <c r="BB32" i="5"/>
  <c r="DN29"/>
  <c r="AG29"/>
  <c r="AH29" s="1"/>
  <c r="AL29" s="1"/>
  <c r="AM50"/>
  <c r="BA50" s="1"/>
  <c r="BB50" s="1"/>
  <c r="BG50" s="1"/>
  <c r="T50" i="9" s="1"/>
  <c r="AY50" i="5"/>
  <c r="DF50"/>
  <c r="DL50" s="1"/>
  <c r="BX50"/>
  <c r="DW50"/>
  <c r="BV50"/>
  <c r="BY50"/>
  <c r="BZ50" s="1"/>
  <c r="AH68"/>
  <c r="AL68" s="1"/>
  <c r="AM68" s="1"/>
  <c r="BA68" s="1"/>
  <c r="AM43"/>
  <c r="BA43" s="1"/>
  <c r="BB43" s="1"/>
  <c r="BG43" s="1"/>
  <c r="T43" i="9" s="1"/>
  <c r="DF43" i="5"/>
  <c r="DL43" s="1"/>
  <c r="AY43"/>
  <c r="BX43"/>
  <c r="BV43"/>
  <c r="DW43" s="1"/>
  <c r="BY43"/>
  <c r="BZ43" s="1"/>
  <c r="AM73"/>
  <c r="BA73" s="1"/>
  <c r="AY73"/>
  <c r="AZ73" s="1"/>
  <c r="DG73" s="1"/>
  <c r="DF73"/>
  <c r="AM84"/>
  <c r="BA84" s="1"/>
  <c r="BB84" s="1"/>
  <c r="BF84" s="1"/>
  <c r="DF84"/>
  <c r="AY84"/>
  <c r="AZ84" s="1"/>
  <c r="DG84" s="1"/>
  <c r="CG31"/>
  <c r="CH31" s="1"/>
  <c r="EB31"/>
  <c r="EC31" s="1"/>
  <c r="BB23"/>
  <c r="BG23"/>
  <c r="T23" i="9" s="1"/>
  <c r="BG79" i="5"/>
  <c r="T79" i="9" s="1"/>
  <c r="BB79" i="5"/>
  <c r="BB14"/>
  <c r="BG14"/>
  <c r="T14" i="9" s="1"/>
  <c r="BB35" i="5"/>
  <c r="BG35"/>
  <c r="T35" i="9" s="1"/>
  <c r="BG34" i="5"/>
  <c r="T34" i="9" s="1"/>
  <c r="BB34" i="5"/>
  <c r="BB27"/>
  <c r="BG27"/>
  <c r="T27" i="9" s="1"/>
  <c r="BB93" i="5"/>
  <c r="BF93" s="1"/>
  <c r="BG93" s="1"/>
  <c r="AM58"/>
  <c r="BA58" s="1"/>
  <c r="AY58"/>
  <c r="AZ58" s="1"/>
  <c r="DG58" s="1"/>
  <c r="DF58"/>
  <c r="AM13"/>
  <c r="BA13" s="1"/>
  <c r="BB13" s="1"/>
  <c r="BF13" s="1"/>
  <c r="DF13"/>
  <c r="AY13"/>
  <c r="AZ13" s="1"/>
  <c r="DG13" s="1"/>
  <c r="AM36"/>
  <c r="BA36" s="1"/>
  <c r="AY36"/>
  <c r="AZ36" s="1"/>
  <c r="DG36" s="1"/>
  <c r="DF36"/>
  <c r="BG101"/>
  <c r="BB101"/>
  <c r="BB26"/>
  <c r="BG26"/>
  <c r="T26" i="9" s="1"/>
  <c r="BG61" i="5"/>
  <c r="T61" i="9" s="1"/>
  <c r="BB61" i="5"/>
  <c r="BB99"/>
  <c r="BG99"/>
  <c r="T99" i="9" s="1"/>
  <c r="BB102" i="5"/>
  <c r="BG102"/>
  <c r="T102" i="9" s="1"/>
  <c r="BB90" i="5"/>
  <c r="BG90"/>
  <c r="T90" i="9" s="1"/>
  <c r="BB12" i="5"/>
  <c r="BG12"/>
  <c r="T12" i="9" s="1"/>
  <c r="BG106" i="5"/>
  <c r="BB106"/>
  <c r="AM65"/>
  <c r="BA65" s="1"/>
  <c r="BB65" s="1"/>
  <c r="BF65" s="1"/>
  <c r="DW65" s="1"/>
  <c r="AM56"/>
  <c r="BA56" s="1"/>
  <c r="BB56" s="1"/>
  <c r="BG56" s="1"/>
  <c r="T56" i="9" s="1"/>
  <c r="DM11" i="2"/>
  <c r="DX11" s="1"/>
  <c r="EF11"/>
  <c r="EF74"/>
  <c r="DM74"/>
  <c r="DX74" s="1"/>
  <c r="DM40"/>
  <c r="DX40" s="1"/>
  <c r="EF40"/>
  <c r="EF18"/>
  <c r="DM18"/>
  <c r="DX18" s="1"/>
  <c r="EF82"/>
  <c r="DM82"/>
  <c r="DX82" s="1"/>
  <c r="DM31"/>
  <c r="DX31" s="1"/>
  <c r="EF31"/>
  <c r="DG44"/>
  <c r="AZ7"/>
  <c r="CC44"/>
  <c r="CC7" s="1"/>
  <c r="BT44"/>
  <c r="BS7"/>
  <c r="DL44"/>
  <c r="DL7" s="1"/>
  <c r="DI7"/>
  <c r="BZ44"/>
  <c r="BZ7" s="1"/>
  <c r="BY7"/>
  <c r="EB44"/>
  <c r="EC44" s="1"/>
  <c r="CG44"/>
  <c r="BX7"/>
  <c r="EF50"/>
  <c r="DM50"/>
  <c r="DX50" s="1"/>
  <c r="DM68"/>
  <c r="DX68" s="1"/>
  <c r="EF68"/>
  <c r="DM46"/>
  <c r="DX46" s="1"/>
  <c r="EF46"/>
  <c r="EF80"/>
  <c r="DM80"/>
  <c r="DX80" s="1"/>
  <c r="DM10"/>
  <c r="EF10"/>
  <c r="EF73"/>
  <c r="DM73"/>
  <c r="DX73" s="1"/>
  <c r="DM55"/>
  <c r="DX55" s="1"/>
  <c r="EF55"/>
  <c r="DM30"/>
  <c r="DX30" s="1"/>
  <c r="EF30"/>
  <c r="DM49"/>
  <c r="DX49" s="1"/>
  <c r="EF49"/>
  <c r="DM87"/>
  <c r="DX87" s="1"/>
  <c r="EF87"/>
  <c r="EF28"/>
  <c r="DM28"/>
  <c r="DX28" s="1"/>
  <c r="DM64"/>
  <c r="DX64" s="1"/>
  <c r="EF64"/>
  <c r="DM58"/>
  <c r="DX58" s="1"/>
  <c r="EF58"/>
  <c r="BA7"/>
  <c r="BB8"/>
  <c r="BB7" s="1"/>
  <c r="BG8"/>
  <c r="EF76"/>
  <c r="DM76"/>
  <c r="DX76" s="1"/>
  <c r="DM21"/>
  <c r="DX21" s="1"/>
  <c r="EF21"/>
  <c r="EF24"/>
  <c r="DM24"/>
  <c r="DX24" s="1"/>
  <c r="DM36"/>
  <c r="DX36" s="1"/>
  <c r="EF36"/>
  <c r="EF43"/>
  <c r="DM43"/>
  <c r="DX43" s="1"/>
  <c r="DM66"/>
  <c r="DX66" s="1"/>
  <c r="EF66"/>
  <c r="EF17"/>
  <c r="DM17"/>
  <c r="DX17" s="1"/>
  <c r="EF29"/>
  <c r="DM29"/>
  <c r="DX29" s="1"/>
  <c r="DM84"/>
  <c r="DX84" s="1"/>
  <c r="EF84"/>
  <c r="DN56" i="9" l="1"/>
  <c r="AG56"/>
  <c r="DN12"/>
  <c r="AG12"/>
  <c r="DN90"/>
  <c r="AG90"/>
  <c r="AG102"/>
  <c r="DN102"/>
  <c r="AG99"/>
  <c r="DN99"/>
  <c r="DN26"/>
  <c r="AG26"/>
  <c r="DN34"/>
  <c r="AG34"/>
  <c r="DN79"/>
  <c r="AG79"/>
  <c r="DN43"/>
  <c r="AG43"/>
  <c r="DN33"/>
  <c r="AG33"/>
  <c r="DN67"/>
  <c r="AG67"/>
  <c r="DN41"/>
  <c r="AG41"/>
  <c r="DN45"/>
  <c r="AG45"/>
  <c r="DN72"/>
  <c r="AG72"/>
  <c r="AG47"/>
  <c r="DN47"/>
  <c r="AG9"/>
  <c r="DN9"/>
  <c r="DN81"/>
  <c r="AG81"/>
  <c r="AH81" s="1"/>
  <c r="AL81" s="1"/>
  <c r="DN95"/>
  <c r="AG95"/>
  <c r="DN38"/>
  <c r="AG38"/>
  <c r="DN70"/>
  <c r="AG70"/>
  <c r="DN57"/>
  <c r="AG57"/>
  <c r="DN25"/>
  <c r="AG25"/>
  <c r="DN39"/>
  <c r="AG39"/>
  <c r="DN16"/>
  <c r="AG16"/>
  <c r="DN88"/>
  <c r="AG88"/>
  <c r="DN85"/>
  <c r="AG85"/>
  <c r="DN74"/>
  <c r="AG74"/>
  <c r="DF78" i="12"/>
  <c r="AY78"/>
  <c r="AZ78" s="1"/>
  <c r="DG78" s="1"/>
  <c r="DM93" i="15"/>
  <c r="DX93" s="1"/>
  <c r="EF93"/>
  <c r="T18" i="22"/>
  <c r="AG18" s="1"/>
  <c r="T18" i="21"/>
  <c r="CC40" i="12"/>
  <c r="BT40"/>
  <c r="BT94" i="9"/>
  <c r="CC94"/>
  <c r="EB94"/>
  <c r="EC94" s="1"/>
  <c r="CG94"/>
  <c r="CH94" s="1"/>
  <c r="CG93" i="19"/>
  <c r="CH93" s="1"/>
  <c r="EB93"/>
  <c r="EC93"/>
  <c r="CC93"/>
  <c r="BT93"/>
  <c r="AH100"/>
  <c r="AM100"/>
  <c r="BA100" s="1"/>
  <c r="AM77" i="15"/>
  <c r="BA77" s="1"/>
  <c r="AY77"/>
  <c r="AZ77" s="1"/>
  <c r="DG77" s="1"/>
  <c r="DF77"/>
  <c r="AH46"/>
  <c r="AL46" s="1"/>
  <c r="AM46"/>
  <c r="BA46" s="1"/>
  <c r="BB46" s="1"/>
  <c r="BF46" s="1"/>
  <c r="BT15" i="19"/>
  <c r="CC15"/>
  <c r="DN91" i="12"/>
  <c r="AG91"/>
  <c r="DN92"/>
  <c r="AG92"/>
  <c r="BB48" i="15"/>
  <c r="BG48"/>
  <c r="T48" i="19" s="1"/>
  <c r="AG48" s="1"/>
  <c r="AH84" i="22"/>
  <c r="AM84"/>
  <c r="BA84" s="1"/>
  <c r="AH75" i="12"/>
  <c r="AM75"/>
  <c r="BA75" s="1"/>
  <c r="DM82" i="19"/>
  <c r="DX82" s="1"/>
  <c r="EF82"/>
  <c r="AG31" i="22"/>
  <c r="DN31"/>
  <c r="BG54" i="15"/>
  <c r="T54" i="19" s="1"/>
  <c r="AG54" s="1"/>
  <c r="BB54" i="15"/>
  <c r="AM86"/>
  <c r="BA86" s="1"/>
  <c r="DF86"/>
  <c r="AY86"/>
  <c r="AZ86" s="1"/>
  <c r="DG86" s="1"/>
  <c r="EB32" i="5"/>
  <c r="EC32" s="1"/>
  <c r="CG32"/>
  <c r="CH32" s="1"/>
  <c r="AZ32"/>
  <c r="CC32"/>
  <c r="DF19" i="9"/>
  <c r="AY19"/>
  <c r="AZ19" s="1"/>
  <c r="DG19" s="1"/>
  <c r="AH103"/>
  <c r="AM103"/>
  <c r="BA103" s="1"/>
  <c r="BB80" i="19"/>
  <c r="BF80" s="1"/>
  <c r="BG80" s="1"/>
  <c r="EF28" i="9"/>
  <c r="DM28"/>
  <c r="DX28" s="1"/>
  <c r="AM40" i="15"/>
  <c r="BA40" s="1"/>
  <c r="DF40"/>
  <c r="AY40"/>
  <c r="AZ40" s="1"/>
  <c r="DG40" s="1"/>
  <c r="T37" i="22"/>
  <c r="AG37" s="1"/>
  <c r="T37" i="21"/>
  <c r="BX69" i="12"/>
  <c r="DI69"/>
  <c r="DL69" s="1"/>
  <c r="BS69"/>
  <c r="BV69"/>
  <c r="DW69" s="1"/>
  <c r="BY69"/>
  <c r="BZ69" s="1"/>
  <c r="AM100" i="15"/>
  <c r="BA100" s="1"/>
  <c r="AH100"/>
  <c r="BW77" i="12"/>
  <c r="CD77"/>
  <c r="DJ77"/>
  <c r="DJ46"/>
  <c r="BW46"/>
  <c r="CD46"/>
  <c r="DJ18" i="15"/>
  <c r="BW18"/>
  <c r="CD18"/>
  <c r="DJ84" i="19"/>
  <c r="CD84"/>
  <c r="BW84"/>
  <c r="T49" i="22"/>
  <c r="AG49" s="1"/>
  <c r="T49" i="21"/>
  <c r="CG37" i="5"/>
  <c r="CH37" s="1"/>
  <c r="EB37"/>
  <c r="EC37" s="1"/>
  <c r="AM93" i="22"/>
  <c r="BA93" s="1"/>
  <c r="AH93"/>
  <c r="BV28" i="12"/>
  <c r="DW28" s="1"/>
  <c r="BY28"/>
  <c r="BZ28" s="1"/>
  <c r="BX28"/>
  <c r="DI28"/>
  <c r="DL28" s="1"/>
  <c r="BS28"/>
  <c r="AG61" i="9"/>
  <c r="DN61"/>
  <c r="AG27"/>
  <c r="DN27"/>
  <c r="DN35"/>
  <c r="AG35"/>
  <c r="DN14"/>
  <c r="AG14"/>
  <c r="DN23"/>
  <c r="AG23"/>
  <c r="DN50"/>
  <c r="AG50"/>
  <c r="DN32"/>
  <c r="AG32"/>
  <c r="DN42"/>
  <c r="AG42"/>
  <c r="DN51"/>
  <c r="AG51"/>
  <c r="DN59"/>
  <c r="AG59"/>
  <c r="DN52"/>
  <c r="AG52"/>
  <c r="AG63"/>
  <c r="DN63"/>
  <c r="DN83"/>
  <c r="AG83"/>
  <c r="DN89"/>
  <c r="AG89"/>
  <c r="DN97"/>
  <c r="AG97"/>
  <c r="DN71"/>
  <c r="AG71"/>
  <c r="DN98"/>
  <c r="AG98"/>
  <c r="DN96"/>
  <c r="AG96"/>
  <c r="DN62"/>
  <c r="AG62"/>
  <c r="DN60"/>
  <c r="AG60"/>
  <c r="DJ80" i="15"/>
  <c r="BW80"/>
  <c r="CD80"/>
  <c r="T101" i="22"/>
  <c r="T101" i="21"/>
  <c r="BY18" i="19"/>
  <c r="BZ18" s="1"/>
  <c r="DI18"/>
  <c r="DL18" s="1"/>
  <c r="BS18"/>
  <c r="BV18"/>
  <c r="BX18"/>
  <c r="DW18"/>
  <c r="EB40" i="12"/>
  <c r="EC40"/>
  <c r="CG40"/>
  <c r="CH40" s="1"/>
  <c r="BW86"/>
  <c r="CD86"/>
  <c r="DJ86"/>
  <c r="DN94"/>
  <c r="AG94"/>
  <c r="AH94" s="1"/>
  <c r="AL94" s="1"/>
  <c r="EB15" i="19"/>
  <c r="EC15" s="1"/>
  <c r="CG15"/>
  <c r="CH15" s="1"/>
  <c r="T15" i="22"/>
  <c r="AG15" s="1"/>
  <c r="T15" i="21"/>
  <c r="DN84"/>
  <c r="AG84"/>
  <c r="DM78" i="9"/>
  <c r="DX78" s="1"/>
  <c r="EF78"/>
  <c r="AG31" i="21"/>
  <c r="DN31"/>
  <c r="DJ74" i="5"/>
  <c r="EF74" s="1"/>
  <c r="BW74"/>
  <c r="EB74"/>
  <c r="EC74"/>
  <c r="AY80" i="19"/>
  <c r="AZ80" s="1"/>
  <c r="DG80" s="1"/>
  <c r="DF80"/>
  <c r="BG53" i="15"/>
  <c r="T53" i="19" s="1"/>
  <c r="AG53" s="1"/>
  <c r="BB53" i="15"/>
  <c r="EF15"/>
  <c r="DM15"/>
  <c r="DX15" s="1"/>
  <c r="BX49" i="19"/>
  <c r="BS49"/>
  <c r="BY49"/>
  <c r="BZ49" s="1"/>
  <c r="DI49"/>
  <c r="DL49" s="1"/>
  <c r="BV49"/>
  <c r="DW49" s="1"/>
  <c r="AM104" i="9"/>
  <c r="BA104" s="1"/>
  <c r="AH104"/>
  <c r="AZ37" i="5"/>
  <c r="CC37"/>
  <c r="AG93" i="21"/>
  <c r="DN93"/>
  <c r="AM78" i="12"/>
  <c r="BA78" s="1"/>
  <c r="AM19" i="9"/>
  <c r="BA19" s="1"/>
  <c r="BB19" s="1"/>
  <c r="BF19" s="1"/>
  <c r="BG69" i="12"/>
  <c r="T69" i="15" s="1"/>
  <c r="BG28" i="12"/>
  <c r="T28" i="15" s="1"/>
  <c r="BW50" i="21"/>
  <c r="DJ50"/>
  <c r="CD50"/>
  <c r="CG10"/>
  <c r="CH10" s="1"/>
  <c r="EC10"/>
  <c r="EB10"/>
  <c r="BT10"/>
  <c r="CC10"/>
  <c r="DG8"/>
  <c r="DM30"/>
  <c r="DX30" s="1"/>
  <c r="EF30"/>
  <c r="CC55"/>
  <c r="BT55"/>
  <c r="EC55"/>
  <c r="CG55"/>
  <c r="CH55" s="1"/>
  <c r="EB55"/>
  <c r="DJ8"/>
  <c r="CD8"/>
  <c r="BW8"/>
  <c r="CH8"/>
  <c r="DG33" i="19"/>
  <c r="BB33"/>
  <c r="AG61"/>
  <c r="BW61" i="15"/>
  <c r="CD61"/>
  <c r="DJ61"/>
  <c r="CH61"/>
  <c r="BF80" i="5"/>
  <c r="BG11"/>
  <c r="T11" i="9" s="1"/>
  <c r="DI11" i="5"/>
  <c r="BV11"/>
  <c r="DW11" s="1"/>
  <c r="BY11"/>
  <c r="BZ11" s="1"/>
  <c r="BS11"/>
  <c r="BB66"/>
  <c r="BF66" s="1"/>
  <c r="BG66" s="1"/>
  <c r="T66" i="9" s="1"/>
  <c r="BB55" i="5"/>
  <c r="BF55" s="1"/>
  <c r="BG55" s="1"/>
  <c r="T55" i="9" s="1"/>
  <c r="BB76" i="5"/>
  <c r="BF76" s="1"/>
  <c r="BG76" s="1"/>
  <c r="T76" i="9" s="1"/>
  <c r="BB87" i="5"/>
  <c r="BF87" s="1"/>
  <c r="BG87" s="1"/>
  <c r="T87" i="9" s="1"/>
  <c r="BG7" i="2"/>
  <c r="T8" i="5"/>
  <c r="BG13"/>
  <c r="T13" i="9" s="1"/>
  <c r="BV13" i="5"/>
  <c r="DW13" s="1"/>
  <c r="BY13"/>
  <c r="BZ13" s="1"/>
  <c r="BX13"/>
  <c r="DI13"/>
  <c r="DL13" s="1"/>
  <c r="BS13"/>
  <c r="BB58"/>
  <c r="BF58" s="1"/>
  <c r="BG58" s="1"/>
  <c r="T58" i="9" s="1"/>
  <c r="BS93" i="5"/>
  <c r="BV93"/>
  <c r="BX93"/>
  <c r="DI93"/>
  <c r="DL93" s="1"/>
  <c r="DW93"/>
  <c r="BY93"/>
  <c r="BZ93" s="1"/>
  <c r="BB73"/>
  <c r="BF73" s="1"/>
  <c r="BG73" s="1"/>
  <c r="T73" i="9" s="1"/>
  <c r="AZ43" i="5"/>
  <c r="CC43"/>
  <c r="AY68"/>
  <c r="AZ68" s="1"/>
  <c r="DG68" s="1"/>
  <c r="DF68"/>
  <c r="EB50"/>
  <c r="EC50" s="1"/>
  <c r="CG50"/>
  <c r="CH50" s="1"/>
  <c r="AZ50"/>
  <c r="CC50"/>
  <c r="AM29"/>
  <c r="BA29" s="1"/>
  <c r="DF29"/>
  <c r="AY29"/>
  <c r="AZ29" s="1"/>
  <c r="DG29" s="1"/>
  <c r="BT18"/>
  <c r="CC18"/>
  <c r="EB18"/>
  <c r="EC18" s="1"/>
  <c r="CG18"/>
  <c r="CH18" s="1"/>
  <c r="BB21"/>
  <c r="BF21" s="1"/>
  <c r="BG21" s="1"/>
  <c r="T21" i="9" s="1"/>
  <c r="AG21" s="1"/>
  <c r="DM94" i="5"/>
  <c r="DX94" s="1"/>
  <c r="EF94"/>
  <c r="CG56"/>
  <c r="CH56" s="1"/>
  <c r="EB56"/>
  <c r="EC56"/>
  <c r="BB22"/>
  <c r="BF22" s="1"/>
  <c r="BG22" s="1"/>
  <c r="T22" i="9" s="1"/>
  <c r="DJ19" i="5"/>
  <c r="DM19" s="1"/>
  <c r="DX19" s="1"/>
  <c r="CD19"/>
  <c r="BW19"/>
  <c r="AY64"/>
  <c r="AZ64" s="1"/>
  <c r="DG64" s="1"/>
  <c r="DF64"/>
  <c r="DF10"/>
  <c r="AY10"/>
  <c r="AL7"/>
  <c r="DI105"/>
  <c r="DL105" s="1"/>
  <c r="BX105"/>
  <c r="BS105"/>
  <c r="BY105"/>
  <c r="BZ105" s="1"/>
  <c r="BV105"/>
  <c r="DW105" s="1"/>
  <c r="BG65"/>
  <c r="T65" i="9" s="1"/>
  <c r="BY65" i="5"/>
  <c r="BZ65" s="1"/>
  <c r="BV65"/>
  <c r="DI65"/>
  <c r="DL65" s="1"/>
  <c r="BX65"/>
  <c r="BS65"/>
  <c r="BB36"/>
  <c r="BF36" s="1"/>
  <c r="BG36" s="1"/>
  <c r="T36" i="9" s="1"/>
  <c r="BG84" i="5"/>
  <c r="T84" i="9" s="1"/>
  <c r="BV84" i="5"/>
  <c r="DW84" s="1"/>
  <c r="BY84"/>
  <c r="BZ84" s="1"/>
  <c r="BX84"/>
  <c r="DI84"/>
  <c r="DL84" s="1"/>
  <c r="BS84"/>
  <c r="CG43"/>
  <c r="CH43" s="1"/>
  <c r="EB43"/>
  <c r="EC43" s="1"/>
  <c r="BB68"/>
  <c r="BF68" s="1"/>
  <c r="DW81"/>
  <c r="BX81"/>
  <c r="DI81"/>
  <c r="DL81" s="1"/>
  <c r="BS81"/>
  <c r="BV81"/>
  <c r="BY81"/>
  <c r="BZ81" s="1"/>
  <c r="DF11"/>
  <c r="AY11"/>
  <c r="AZ11" s="1"/>
  <c r="DG11" s="1"/>
  <c r="AZ80"/>
  <c r="BB30"/>
  <c r="BF30" s="1"/>
  <c r="BG30" s="1"/>
  <c r="T30" i="9" s="1"/>
  <c r="BG24" i="5"/>
  <c r="T24" i="9" s="1"/>
  <c r="BV24" i="5"/>
  <c r="BY24"/>
  <c r="BZ24" s="1"/>
  <c r="BX24"/>
  <c r="DI24"/>
  <c r="DL24" s="1"/>
  <c r="BS24"/>
  <c r="AY66"/>
  <c r="AZ66" s="1"/>
  <c r="DG66" s="1"/>
  <c r="DF66"/>
  <c r="BB49"/>
  <c r="BF49" s="1"/>
  <c r="BG49" s="1"/>
  <c r="T49" i="9" s="1"/>
  <c r="AG49" s="1"/>
  <c r="AH49" s="1"/>
  <c r="AL49" s="1"/>
  <c r="AY76" i="5"/>
  <c r="AZ76" s="1"/>
  <c r="DG76" s="1"/>
  <c r="DF76"/>
  <c r="DW76"/>
  <c r="DF55"/>
  <c r="AY55"/>
  <c r="AZ55" s="1"/>
  <c r="DG55" s="1"/>
  <c r="DW55"/>
  <c r="BG17"/>
  <c r="T17" i="9" s="1"/>
  <c r="BX17" i="5"/>
  <c r="DI17"/>
  <c r="BS17"/>
  <c r="BV17"/>
  <c r="BY17"/>
  <c r="BZ17" s="1"/>
  <c r="AZ56"/>
  <c r="CC56"/>
  <c r="DI15"/>
  <c r="DL15" s="1"/>
  <c r="BV15"/>
  <c r="DW15" s="1"/>
  <c r="BX15"/>
  <c r="BS15"/>
  <c r="BY15"/>
  <c r="BZ15" s="1"/>
  <c r="DG31"/>
  <c r="BW31"/>
  <c r="CD31"/>
  <c r="AY87"/>
  <c r="AZ87" s="1"/>
  <c r="DG87" s="1"/>
  <c r="DF87"/>
  <c r="BY74"/>
  <c r="BZ74" s="1"/>
  <c r="DI74"/>
  <c r="DL74" s="1"/>
  <c r="BB20"/>
  <c r="BG20"/>
  <c r="T20" i="9" s="1"/>
  <c r="DL17" i="5"/>
  <c r="AM64"/>
  <c r="BA64" s="1"/>
  <c r="BB64" s="1"/>
  <c r="BF64" s="1"/>
  <c r="AM10"/>
  <c r="BA10" s="1"/>
  <c r="BB10" s="1"/>
  <c r="BF10" s="1"/>
  <c r="DW10" s="1"/>
  <c r="BG105"/>
  <c r="T105" i="9" s="1"/>
  <c r="CH44" i="2"/>
  <c r="CH7" s="1"/>
  <c r="CG7"/>
  <c r="DG7"/>
  <c r="BW44"/>
  <c r="BW7" s="1"/>
  <c r="CD44"/>
  <c r="CD7" s="1"/>
  <c r="DJ44"/>
  <c r="DJ7" s="1"/>
  <c r="BT7"/>
  <c r="DX10"/>
  <c r="T80" i="22" l="1"/>
  <c r="AG80" s="1"/>
  <c r="T80" i="21"/>
  <c r="DN17" i="9"/>
  <c r="AG17"/>
  <c r="DN30"/>
  <c r="AG30"/>
  <c r="AH30" s="1"/>
  <c r="AL30" s="1"/>
  <c r="DN84"/>
  <c r="AG84"/>
  <c r="DN58"/>
  <c r="AG58"/>
  <c r="AH58" s="1"/>
  <c r="AL58" s="1"/>
  <c r="AG13"/>
  <c r="AH13" s="1"/>
  <c r="AL13" s="1"/>
  <c r="DN13"/>
  <c r="DN76"/>
  <c r="AG76"/>
  <c r="DN66"/>
  <c r="AG66"/>
  <c r="DN28" i="15"/>
  <c r="AG28"/>
  <c r="BG19" i="9"/>
  <c r="DI19"/>
  <c r="DL19" s="1"/>
  <c r="BX19"/>
  <c r="BS19"/>
  <c r="BY19"/>
  <c r="BZ19" s="1"/>
  <c r="BV19"/>
  <c r="BB78" i="12"/>
  <c r="BF78" s="1"/>
  <c r="BG78"/>
  <c r="T78" i="15" s="1"/>
  <c r="AH93" i="21"/>
  <c r="AL93" s="1"/>
  <c r="AM93"/>
  <c r="BA93" s="1"/>
  <c r="DG37" i="5"/>
  <c r="CD37"/>
  <c r="BW37"/>
  <c r="BB104" i="9"/>
  <c r="BG104"/>
  <c r="T104" i="12" s="1"/>
  <c r="BT49" i="19"/>
  <c r="CC49"/>
  <c r="AH84" i="21"/>
  <c r="AL84" s="1"/>
  <c r="AM84" s="1"/>
  <c r="BA84" s="1"/>
  <c r="AG15"/>
  <c r="DN15"/>
  <c r="AM94" i="12"/>
  <c r="BA94" s="1"/>
  <c r="DF94"/>
  <c r="AY94"/>
  <c r="AZ94" s="1"/>
  <c r="DG94" s="1"/>
  <c r="DM86"/>
  <c r="DX86" s="1"/>
  <c r="EF86"/>
  <c r="DN101" i="21"/>
  <c r="AG101"/>
  <c r="DM80" i="15"/>
  <c r="DX80" s="1"/>
  <c r="EF80"/>
  <c r="AH63" i="9"/>
  <c r="AM63"/>
  <c r="BA63" s="1"/>
  <c r="AH27"/>
  <c r="AM27"/>
  <c r="BA27" s="1"/>
  <c r="AH61"/>
  <c r="AM61"/>
  <c r="BA61" s="1"/>
  <c r="DN49" i="21"/>
  <c r="AG49"/>
  <c r="DM84" i="19"/>
  <c r="DX84" s="1"/>
  <c r="EF84"/>
  <c r="DM46" i="12"/>
  <c r="DX46" s="1"/>
  <c r="EF46"/>
  <c r="BT69"/>
  <c r="CC69"/>
  <c r="EB69"/>
  <c r="EC69" s="1"/>
  <c r="CG69"/>
  <c r="CH69" s="1"/>
  <c r="AM37" i="22"/>
  <c r="BA37" s="1"/>
  <c r="AH37"/>
  <c r="BB103" i="9"/>
  <c r="BG103"/>
  <c r="T103" i="12" s="1"/>
  <c r="DG32" i="5"/>
  <c r="CD32"/>
  <c r="BW32"/>
  <c r="BG75" i="12"/>
  <c r="T75" i="15" s="1"/>
  <c r="BB75" i="12"/>
  <c r="BB84" i="22"/>
  <c r="BG84"/>
  <c r="AM48" i="19"/>
  <c r="BA48" s="1"/>
  <c r="AH48"/>
  <c r="AH92" i="12"/>
  <c r="AM92"/>
  <c r="BA92" s="1"/>
  <c r="AH91"/>
  <c r="AM91"/>
  <c r="BA91" s="1"/>
  <c r="BG46" i="15"/>
  <c r="T46" i="19" s="1"/>
  <c r="AG46" s="1"/>
  <c r="BY46" i="15"/>
  <c r="BZ46" s="1"/>
  <c r="BV46"/>
  <c r="DI46"/>
  <c r="BX46"/>
  <c r="BS46"/>
  <c r="BB77"/>
  <c r="BF77" s="1"/>
  <c r="BG77"/>
  <c r="T77" i="19" s="1"/>
  <c r="AG77" s="1"/>
  <c r="AH77" s="1"/>
  <c r="AL77" s="1"/>
  <c r="DJ40" i="12"/>
  <c r="BW40"/>
  <c r="CD40"/>
  <c r="DN18" i="21"/>
  <c r="AG18"/>
  <c r="AH74" i="9"/>
  <c r="AL74" s="1"/>
  <c r="AM74" s="1"/>
  <c r="BA74" s="1"/>
  <c r="BB74" s="1"/>
  <c r="BF74" s="1"/>
  <c r="AM85"/>
  <c r="BA85" s="1"/>
  <c r="AH85"/>
  <c r="AH88"/>
  <c r="AM88"/>
  <c r="BA88" s="1"/>
  <c r="AH16"/>
  <c r="AM16"/>
  <c r="BA16" s="1"/>
  <c r="AH39"/>
  <c r="AM39"/>
  <c r="BA39" s="1"/>
  <c r="AM25"/>
  <c r="BA25" s="1"/>
  <c r="AH25"/>
  <c r="AH57"/>
  <c r="AM57"/>
  <c r="BA57" s="1"/>
  <c r="AH70"/>
  <c r="AM70"/>
  <c r="BA70" s="1"/>
  <c r="AH38"/>
  <c r="AM38"/>
  <c r="BA38" s="1"/>
  <c r="AH95"/>
  <c r="AM95"/>
  <c r="BA95" s="1"/>
  <c r="AM81"/>
  <c r="BA81" s="1"/>
  <c r="BB81" s="1"/>
  <c r="BF81" s="1"/>
  <c r="DW81" s="1"/>
  <c r="DF81"/>
  <c r="AY81"/>
  <c r="AZ81" s="1"/>
  <c r="DG81" s="1"/>
  <c r="AH9"/>
  <c r="AM9"/>
  <c r="AH47"/>
  <c r="AM47"/>
  <c r="BA47" s="1"/>
  <c r="AM99"/>
  <c r="BA99" s="1"/>
  <c r="AH99"/>
  <c r="AH102"/>
  <c r="AM102"/>
  <c r="BA102" s="1"/>
  <c r="DW19"/>
  <c r="DN105"/>
  <c r="AG105"/>
  <c r="DN20"/>
  <c r="AG20"/>
  <c r="AM49"/>
  <c r="BA49" s="1"/>
  <c r="BB49" s="1"/>
  <c r="BF49" s="1"/>
  <c r="AY49"/>
  <c r="AZ49" s="1"/>
  <c r="DG49" s="1"/>
  <c r="DF49"/>
  <c r="DN24"/>
  <c r="AG24"/>
  <c r="AH24" s="1"/>
  <c r="AL24" s="1"/>
  <c r="DN36"/>
  <c r="AG36"/>
  <c r="AH36" s="1"/>
  <c r="AL36" s="1"/>
  <c r="AG65"/>
  <c r="DN65"/>
  <c r="DN22"/>
  <c r="AG22"/>
  <c r="AH21"/>
  <c r="AL21" s="1"/>
  <c r="AM21"/>
  <c r="BA21" s="1"/>
  <c r="BB21" s="1"/>
  <c r="BF21" s="1"/>
  <c r="DN73"/>
  <c r="AG73"/>
  <c r="AH73" s="1"/>
  <c r="AL73" s="1"/>
  <c r="DN87"/>
  <c r="AG87"/>
  <c r="AH87" s="1"/>
  <c r="AL87" s="1"/>
  <c r="DN55"/>
  <c r="AG55"/>
  <c r="DN11"/>
  <c r="AG11"/>
  <c r="AH11" s="1"/>
  <c r="AL11" s="1"/>
  <c r="DN69" i="15"/>
  <c r="AG69"/>
  <c r="EB49" i="19"/>
  <c r="EC49" s="1"/>
  <c r="CG49"/>
  <c r="CH49" s="1"/>
  <c r="AH53"/>
  <c r="AM53"/>
  <c r="BA53" s="1"/>
  <c r="AH31" i="21"/>
  <c r="AM31"/>
  <c r="BA31" s="1"/>
  <c r="AH15" i="22"/>
  <c r="AM15"/>
  <c r="BA15" s="1"/>
  <c r="CG18" i="19"/>
  <c r="CH18" s="1"/>
  <c r="EB18"/>
  <c r="EC18" s="1"/>
  <c r="BT18"/>
  <c r="CC18"/>
  <c r="AG101" i="22"/>
  <c r="DN101"/>
  <c r="AH60" i="9"/>
  <c r="AL60" s="1"/>
  <c r="AM60"/>
  <c r="BA60" s="1"/>
  <c r="BB60" s="1"/>
  <c r="BF60" s="1"/>
  <c r="AH62"/>
  <c r="AM62"/>
  <c r="BA62" s="1"/>
  <c r="AH96"/>
  <c r="AM96"/>
  <c r="BA96" s="1"/>
  <c r="AH98"/>
  <c r="AM98"/>
  <c r="BA98" s="1"/>
  <c r="AH71"/>
  <c r="AM71"/>
  <c r="BA71" s="1"/>
  <c r="AM97"/>
  <c r="BA97" s="1"/>
  <c r="AH97"/>
  <c r="AH89"/>
  <c r="AM89"/>
  <c r="BA89" s="1"/>
  <c r="AH83"/>
  <c r="AM83"/>
  <c r="BA83" s="1"/>
  <c r="AM52"/>
  <c r="BA52" s="1"/>
  <c r="AH52"/>
  <c r="AH59"/>
  <c r="AM59"/>
  <c r="BA59" s="1"/>
  <c r="AM51"/>
  <c r="BA51" s="1"/>
  <c r="AH51"/>
  <c r="AH42"/>
  <c r="AM42"/>
  <c r="BA42" s="1"/>
  <c r="AH32"/>
  <c r="AM32"/>
  <c r="BA32" s="1"/>
  <c r="AH50"/>
  <c r="AL50" s="1"/>
  <c r="AM50"/>
  <c r="BA50" s="1"/>
  <c r="AH23"/>
  <c r="AL23" s="1"/>
  <c r="AM23"/>
  <c r="BA23" s="1"/>
  <c r="AH14"/>
  <c r="AM14"/>
  <c r="BA14" s="1"/>
  <c r="AM35"/>
  <c r="BA35" s="1"/>
  <c r="AH35"/>
  <c r="CC28" i="12"/>
  <c r="BT28"/>
  <c r="EB28"/>
  <c r="EC28" s="1"/>
  <c r="CG28"/>
  <c r="CH28" s="1"/>
  <c r="BG93" i="22"/>
  <c r="BB93"/>
  <c r="AH49"/>
  <c r="AM49"/>
  <c r="BA49" s="1"/>
  <c r="DM18" i="15"/>
  <c r="DX18" s="1"/>
  <c r="EF18"/>
  <c r="DM77" i="12"/>
  <c r="DX77" s="1"/>
  <c r="EF77"/>
  <c r="BB100" i="15"/>
  <c r="BG100"/>
  <c r="AG37" i="21"/>
  <c r="DN37"/>
  <c r="BB40" i="15"/>
  <c r="BF40" s="1"/>
  <c r="BG40"/>
  <c r="T40" i="19" s="1"/>
  <c r="AG40" s="1"/>
  <c r="BX80"/>
  <c r="BY80"/>
  <c r="BZ80" s="1"/>
  <c r="DI80"/>
  <c r="DL80" s="1"/>
  <c r="BS80"/>
  <c r="BV80"/>
  <c r="DW80" s="1"/>
  <c r="BB86" i="15"/>
  <c r="BF86" s="1"/>
  <c r="BG86" s="1"/>
  <c r="T86" i="19" s="1"/>
  <c r="AG86" s="1"/>
  <c r="AH86" s="1"/>
  <c r="AL86" s="1"/>
  <c r="AM54"/>
  <c r="BA54" s="1"/>
  <c r="AH54"/>
  <c r="AM31" i="22"/>
  <c r="BA31" s="1"/>
  <c r="AH31"/>
  <c r="DJ15" i="19"/>
  <c r="CD15"/>
  <c r="BW15"/>
  <c r="AY46" i="15"/>
  <c r="AZ46" s="1"/>
  <c r="DG46" s="1"/>
  <c r="DF46"/>
  <c r="DW46"/>
  <c r="BB100" i="19"/>
  <c r="BF100" s="1"/>
  <c r="BG100" s="1"/>
  <c r="BW93"/>
  <c r="DJ93"/>
  <c r="CD93"/>
  <c r="DJ94" i="9"/>
  <c r="BW94"/>
  <c r="CD94"/>
  <c r="AM18" i="22"/>
  <c r="BA18" s="1"/>
  <c r="AH18"/>
  <c r="AH72" i="9"/>
  <c r="AM72"/>
  <c r="BA72" s="1"/>
  <c r="AH45"/>
  <c r="AM45"/>
  <c r="BA45" s="1"/>
  <c r="AH41"/>
  <c r="AM41"/>
  <c r="BA41" s="1"/>
  <c r="AH67"/>
  <c r="AM67"/>
  <c r="BA67" s="1"/>
  <c r="AM33"/>
  <c r="BA33" s="1"/>
  <c r="AH33"/>
  <c r="AH43"/>
  <c r="AL43" s="1"/>
  <c r="AM43" s="1"/>
  <c r="BA43" s="1"/>
  <c r="BB43" s="1"/>
  <c r="BF43" s="1"/>
  <c r="AH79"/>
  <c r="AM79"/>
  <c r="BA79" s="1"/>
  <c r="AM34"/>
  <c r="BA34" s="1"/>
  <c r="AH34"/>
  <c r="AM26"/>
  <c r="BA26" s="1"/>
  <c r="AH26"/>
  <c r="AH90"/>
  <c r="AM90"/>
  <c r="BA90" s="1"/>
  <c r="AH12"/>
  <c r="AM12"/>
  <c r="BA12" s="1"/>
  <c r="AH56"/>
  <c r="AM56"/>
  <c r="BA56" s="1"/>
  <c r="DJ55" i="21"/>
  <c r="BW55"/>
  <c r="CD55"/>
  <c r="BW10"/>
  <c r="DJ10"/>
  <c r="CD10"/>
  <c r="DM50"/>
  <c r="DX50" s="1"/>
  <c r="EF50"/>
  <c r="EF8"/>
  <c r="DM8"/>
  <c r="BF33" i="19"/>
  <c r="AH61"/>
  <c r="AM61"/>
  <c r="EF61" i="15"/>
  <c r="DM61"/>
  <c r="DI80" i="5"/>
  <c r="DL80" s="1"/>
  <c r="BS80"/>
  <c r="BV80"/>
  <c r="DW80" s="1"/>
  <c r="BX80"/>
  <c r="BY80"/>
  <c r="BZ80" s="1"/>
  <c r="BG80"/>
  <c r="BT15"/>
  <c r="CC15"/>
  <c r="CG17"/>
  <c r="CH17" s="1"/>
  <c r="EB17"/>
  <c r="EC17" s="1"/>
  <c r="CC24"/>
  <c r="BT24"/>
  <c r="BY68"/>
  <c r="BZ68" s="1"/>
  <c r="BV68"/>
  <c r="DI68"/>
  <c r="DL68" s="1"/>
  <c r="BX68"/>
  <c r="BS68"/>
  <c r="BG64"/>
  <c r="T64" i="9" s="1"/>
  <c r="AG64" s="1"/>
  <c r="DI64" i="5"/>
  <c r="DL64" s="1"/>
  <c r="BX64"/>
  <c r="BS64"/>
  <c r="BY64"/>
  <c r="BZ64" s="1"/>
  <c r="BV64"/>
  <c r="CC74"/>
  <c r="CG74"/>
  <c r="CH74" s="1"/>
  <c r="EB15"/>
  <c r="EC15" s="1"/>
  <c r="CG15"/>
  <c r="CH15" s="1"/>
  <c r="DG56"/>
  <c r="CD56"/>
  <c r="BW56"/>
  <c r="BX49"/>
  <c r="DI49"/>
  <c r="DL49" s="1"/>
  <c r="BS49"/>
  <c r="BV49"/>
  <c r="DW49" s="1"/>
  <c r="BY49"/>
  <c r="BZ49" s="1"/>
  <c r="BX30"/>
  <c r="BV30"/>
  <c r="DW30" s="1"/>
  <c r="BY30"/>
  <c r="BZ30" s="1"/>
  <c r="BS30"/>
  <c r="DI30"/>
  <c r="DL30" s="1"/>
  <c r="DG80"/>
  <c r="CC81"/>
  <c r="BT81"/>
  <c r="EB81"/>
  <c r="EC81"/>
  <c r="CG81"/>
  <c r="CH81" s="1"/>
  <c r="CC84"/>
  <c r="BT84"/>
  <c r="CG84"/>
  <c r="CH84" s="1"/>
  <c r="EB84"/>
  <c r="EC84" s="1"/>
  <c r="BT65"/>
  <c r="CC65"/>
  <c r="CG105"/>
  <c r="CH105" s="1"/>
  <c r="EB105"/>
  <c r="EC105" s="1"/>
  <c r="AZ10"/>
  <c r="AY7"/>
  <c r="BS22"/>
  <c r="BY22"/>
  <c r="BZ22" s="1"/>
  <c r="DI22"/>
  <c r="DL22" s="1"/>
  <c r="BV22"/>
  <c r="DW22" s="1"/>
  <c r="BX22"/>
  <c r="BV21"/>
  <c r="DW21" s="1"/>
  <c r="BY21"/>
  <c r="BZ21" s="1"/>
  <c r="DI21"/>
  <c r="DL21" s="1"/>
  <c r="BS21"/>
  <c r="CD18"/>
  <c r="DJ18"/>
  <c r="BW18"/>
  <c r="DG43"/>
  <c r="CD43"/>
  <c r="BW43"/>
  <c r="BV73"/>
  <c r="DW73" s="1"/>
  <c r="BY73"/>
  <c r="BZ73" s="1"/>
  <c r="BX73"/>
  <c r="DI73"/>
  <c r="DL73" s="1"/>
  <c r="BS73"/>
  <c r="EB93"/>
  <c r="CG93"/>
  <c r="CH93" s="1"/>
  <c r="EC93"/>
  <c r="CC93"/>
  <c r="BT93"/>
  <c r="BV58"/>
  <c r="BY58"/>
  <c r="BZ58" s="1"/>
  <c r="BX58"/>
  <c r="DI58"/>
  <c r="DL58" s="1"/>
  <c r="BS58"/>
  <c r="DW58"/>
  <c r="CC11"/>
  <c r="BT11"/>
  <c r="BG68"/>
  <c r="T68" i="9" s="1"/>
  <c r="DW64" i="5"/>
  <c r="DW68"/>
  <c r="BG10"/>
  <c r="T10" i="9" s="1"/>
  <c r="BY10" i="5"/>
  <c r="BV10"/>
  <c r="DI10"/>
  <c r="BX10"/>
  <c r="BS10"/>
  <c r="EF31"/>
  <c r="DM31"/>
  <c r="DX31" s="1"/>
  <c r="CC17"/>
  <c r="BT17"/>
  <c r="CG24"/>
  <c r="CH24" s="1"/>
  <c r="EB24"/>
  <c r="EC24" s="1"/>
  <c r="BX36"/>
  <c r="DI36"/>
  <c r="DL36" s="1"/>
  <c r="BS36"/>
  <c r="BV36"/>
  <c r="BY36"/>
  <c r="BZ36" s="1"/>
  <c r="DW36"/>
  <c r="CG65"/>
  <c r="CH65" s="1"/>
  <c r="EB65"/>
  <c r="EC65"/>
  <c r="BT105"/>
  <c r="CC105"/>
  <c r="BB29"/>
  <c r="BF29" s="1"/>
  <c r="BG29" s="1"/>
  <c r="T29" i="9" s="1"/>
  <c r="DG50" i="5"/>
  <c r="CD50"/>
  <c r="BW50"/>
  <c r="BT13"/>
  <c r="CC13"/>
  <c r="EC13"/>
  <c r="CG13"/>
  <c r="CH13" s="1"/>
  <c r="EB13"/>
  <c r="DN8"/>
  <c r="DN160" s="1"/>
  <c r="T7"/>
  <c r="AG8"/>
  <c r="BY87"/>
  <c r="BZ87" s="1"/>
  <c r="BV87"/>
  <c r="DW87" s="1"/>
  <c r="DI87"/>
  <c r="DL87" s="1"/>
  <c r="BX87"/>
  <c r="BS87"/>
  <c r="BY76"/>
  <c r="BZ76" s="1"/>
  <c r="BX76"/>
  <c r="DI76"/>
  <c r="DL76" s="1"/>
  <c r="BV76"/>
  <c r="BS76"/>
  <c r="BY55"/>
  <c r="BZ55" s="1"/>
  <c r="BV55"/>
  <c r="DI55"/>
  <c r="DL55" s="1"/>
  <c r="BX55"/>
  <c r="BS55"/>
  <c r="BY66"/>
  <c r="BZ66" s="1"/>
  <c r="BV66"/>
  <c r="DW66" s="1"/>
  <c r="DI66"/>
  <c r="DL66" s="1"/>
  <c r="BX66"/>
  <c r="BS66"/>
  <c r="DF7"/>
  <c r="DL11"/>
  <c r="EF44" i="2"/>
  <c r="DM44"/>
  <c r="BG43" i="9" l="1"/>
  <c r="T43" i="12" s="1"/>
  <c r="BV43" i="9"/>
  <c r="DW43" s="1"/>
  <c r="BX43"/>
  <c r="BY43"/>
  <c r="BZ43" s="1"/>
  <c r="DI43"/>
  <c r="BS43"/>
  <c r="AM86" i="19"/>
  <c r="BA86" s="1"/>
  <c r="DF86"/>
  <c r="AY86"/>
  <c r="AZ86" s="1"/>
  <c r="DG86" s="1"/>
  <c r="BG74" i="9"/>
  <c r="T74" i="12" s="1"/>
  <c r="BY74" i="9"/>
  <c r="BZ74" s="1"/>
  <c r="BX74"/>
  <c r="DI74"/>
  <c r="BV74"/>
  <c r="BS74"/>
  <c r="BB84" i="21"/>
  <c r="BF84" s="1"/>
  <c r="DN29" i="9"/>
  <c r="AG29"/>
  <c r="AH29" s="1"/>
  <c r="AL29" s="1"/>
  <c r="DN68"/>
  <c r="AG68"/>
  <c r="AH64"/>
  <c r="AL64" s="1"/>
  <c r="AM64"/>
  <c r="BA64" s="1"/>
  <c r="BB64" s="1"/>
  <c r="BF64" s="1"/>
  <c r="BB56"/>
  <c r="BG56"/>
  <c r="T56" i="12" s="1"/>
  <c r="BG12" i="9"/>
  <c r="T12" i="12" s="1"/>
  <c r="BB12" i="9"/>
  <c r="BB90"/>
  <c r="BG90"/>
  <c r="T90" i="12" s="1"/>
  <c r="BG79" i="9"/>
  <c r="T79" i="12" s="1"/>
  <c r="BB79" i="9"/>
  <c r="BB67"/>
  <c r="BG67"/>
  <c r="T67" i="12" s="1"/>
  <c r="BG41" i="9"/>
  <c r="T41" i="12" s="1"/>
  <c r="BB41" i="9"/>
  <c r="BB45"/>
  <c r="BG45"/>
  <c r="T45" i="12" s="1"/>
  <c r="BB72" i="9"/>
  <c r="BG72"/>
  <c r="T72" i="12" s="1"/>
  <c r="EF94" i="9"/>
  <c r="DM94"/>
  <c r="DX94" s="1"/>
  <c r="EF93" i="19"/>
  <c r="DM93"/>
  <c r="DX93" s="1"/>
  <c r="EC80"/>
  <c r="EB80"/>
  <c r="CG80"/>
  <c r="CH80" s="1"/>
  <c r="DW40" i="15"/>
  <c r="BX40"/>
  <c r="DI40"/>
  <c r="DL40" s="1"/>
  <c r="BS40"/>
  <c r="BV40"/>
  <c r="BY40"/>
  <c r="BZ40" s="1"/>
  <c r="AH37" i="21"/>
  <c r="AM37"/>
  <c r="BA37" s="1"/>
  <c r="BB35" i="9"/>
  <c r="BG35"/>
  <c r="T35" i="12" s="1"/>
  <c r="AY23" i="9"/>
  <c r="AZ23" s="1"/>
  <c r="DG23" s="1"/>
  <c r="DF23"/>
  <c r="DF50"/>
  <c r="AY50"/>
  <c r="AZ50" s="1"/>
  <c r="DG50" s="1"/>
  <c r="BB51"/>
  <c r="BG51"/>
  <c r="T51" i="12" s="1"/>
  <c r="BG52" i="9"/>
  <c r="T52" i="12" s="1"/>
  <c r="BB52" i="9"/>
  <c r="BG97"/>
  <c r="T97" i="12" s="1"/>
  <c r="BB97" i="9"/>
  <c r="AY60"/>
  <c r="AZ60" s="1"/>
  <c r="DG60" s="1"/>
  <c r="DF60"/>
  <c r="DW60"/>
  <c r="AH101" i="22"/>
  <c r="AM101"/>
  <c r="BA101" s="1"/>
  <c r="BW18" i="19"/>
  <c r="DJ18"/>
  <c r="CD18"/>
  <c r="DF21" i="9"/>
  <c r="AY21"/>
  <c r="AZ21" s="1"/>
  <c r="DG21" s="1"/>
  <c r="AH65"/>
  <c r="AM65"/>
  <c r="BA65" s="1"/>
  <c r="BB65" s="1"/>
  <c r="BF65" s="1"/>
  <c r="AH20"/>
  <c r="AM20"/>
  <c r="BA20" s="1"/>
  <c r="AH105"/>
  <c r="AL105" s="1"/>
  <c r="AM105" s="1"/>
  <c r="BA105" s="1"/>
  <c r="BB105" s="1"/>
  <c r="BF105" s="1"/>
  <c r="BB99"/>
  <c r="BG99"/>
  <c r="T99" i="12" s="1"/>
  <c r="BA9" i="9"/>
  <c r="BB95"/>
  <c r="BG95"/>
  <c r="T95" i="12" s="1"/>
  <c r="BB38" i="9"/>
  <c r="BG38"/>
  <c r="BB70"/>
  <c r="BG70"/>
  <c r="T70" i="12" s="1"/>
  <c r="BG57" i="9"/>
  <c r="T57" i="12" s="1"/>
  <c r="BB57" i="9"/>
  <c r="BB39"/>
  <c r="BG39"/>
  <c r="T39" i="12" s="1"/>
  <c r="BG16" i="9"/>
  <c r="T16" i="12" s="1"/>
  <c r="BB16" i="9"/>
  <c r="BB88"/>
  <c r="BG88"/>
  <c r="T88" i="12" s="1"/>
  <c r="AH18" i="21"/>
  <c r="AL18" s="1"/>
  <c r="AM18" s="1"/>
  <c r="BA18" s="1"/>
  <c r="EF40" i="12"/>
  <c r="DM40"/>
  <c r="DX40" s="1"/>
  <c r="DI77" i="15"/>
  <c r="DL77" s="1"/>
  <c r="BX77"/>
  <c r="BS77"/>
  <c r="BY77"/>
  <c r="BZ77" s="1"/>
  <c r="BV77"/>
  <c r="DW77" s="1"/>
  <c r="CG46"/>
  <c r="CH46" s="1"/>
  <c r="EB46"/>
  <c r="EC46" s="1"/>
  <c r="AH46" i="19"/>
  <c r="AL46" s="1"/>
  <c r="AM46"/>
  <c r="BA46" s="1"/>
  <c r="BB46" s="1"/>
  <c r="BF46" s="1"/>
  <c r="BB48"/>
  <c r="BG48"/>
  <c r="DN75" i="15"/>
  <c r="AG75"/>
  <c r="DN103" i="12"/>
  <c r="AG103"/>
  <c r="AH49" i="21"/>
  <c r="AL49" s="1"/>
  <c r="AM49"/>
  <c r="BA49" s="1"/>
  <c r="BB61" i="9"/>
  <c r="BG61"/>
  <c r="BB27"/>
  <c r="BG27"/>
  <c r="T27" i="12" s="1"/>
  <c r="BB63" i="9"/>
  <c r="BG63"/>
  <c r="T63" i="12" s="1"/>
  <c r="AH101" i="21"/>
  <c r="AM101"/>
  <c r="BA101" s="1"/>
  <c r="DN104" i="12"/>
  <c r="AG104"/>
  <c r="DM37" i="5"/>
  <c r="DX37" s="1"/>
  <c r="EF37"/>
  <c r="DF93" i="21"/>
  <c r="AY93"/>
  <c r="AZ93" s="1"/>
  <c r="DG93" s="1"/>
  <c r="BY78" i="12"/>
  <c r="BZ78" s="1"/>
  <c r="BS78"/>
  <c r="DI78"/>
  <c r="DL78" s="1"/>
  <c r="BV78"/>
  <c r="DW78" s="1"/>
  <c r="CG19" i="9"/>
  <c r="CH19" s="1"/>
  <c r="EB19"/>
  <c r="EC19" s="1"/>
  <c r="AM13"/>
  <c r="BA13" s="1"/>
  <c r="BB13" s="1"/>
  <c r="BF13" s="1"/>
  <c r="AY13"/>
  <c r="AZ13" s="1"/>
  <c r="DG13" s="1"/>
  <c r="DF13"/>
  <c r="AM80" i="22"/>
  <c r="BA80" s="1"/>
  <c r="AH80"/>
  <c r="DN10" i="9"/>
  <c r="DN160" s="1"/>
  <c r="AG10"/>
  <c r="T7"/>
  <c r="BG26"/>
  <c r="T26" i="12" s="1"/>
  <c r="BB26" i="9"/>
  <c r="BB34"/>
  <c r="BG34"/>
  <c r="T34" i="12" s="1"/>
  <c r="DF43" i="9"/>
  <c r="AY43"/>
  <c r="AZ43" s="1"/>
  <c r="DG43" s="1"/>
  <c r="BB33"/>
  <c r="BG33"/>
  <c r="BB18" i="22"/>
  <c r="BG18"/>
  <c r="BX100" i="19"/>
  <c r="BY100"/>
  <c r="BZ100" s="1"/>
  <c r="DI100"/>
  <c r="DL100" s="1"/>
  <c r="BS100"/>
  <c r="BV100"/>
  <c r="DW100" s="1"/>
  <c r="DM15"/>
  <c r="DX15" s="1"/>
  <c r="EF15"/>
  <c r="BG31" i="22"/>
  <c r="BB31"/>
  <c r="BB54" i="19"/>
  <c r="BG54"/>
  <c r="DW86" i="15"/>
  <c r="BV86"/>
  <c r="BY86"/>
  <c r="BZ86" s="1"/>
  <c r="BX86"/>
  <c r="DI86"/>
  <c r="DL86" s="1"/>
  <c r="BS86"/>
  <c r="CC80" i="19"/>
  <c r="BT80"/>
  <c r="AH40"/>
  <c r="AL40" s="1"/>
  <c r="BB49" i="22"/>
  <c r="BG49"/>
  <c r="CD28" i="12"/>
  <c r="DJ28"/>
  <c r="BW28"/>
  <c r="BG14" i="9"/>
  <c r="T14" i="12" s="1"/>
  <c r="BB14" i="9"/>
  <c r="BB23"/>
  <c r="BF23" s="1"/>
  <c r="BG23"/>
  <c r="T23" i="12" s="1"/>
  <c r="BB50" i="9"/>
  <c r="BF50" s="1"/>
  <c r="BG50" s="1"/>
  <c r="BG32"/>
  <c r="T32" i="12" s="1"/>
  <c r="BB32" i="9"/>
  <c r="BB42"/>
  <c r="BG42"/>
  <c r="T42" i="12" s="1"/>
  <c r="BG59" i="9"/>
  <c r="T59" i="12" s="1"/>
  <c r="BB59" i="9"/>
  <c r="BB83"/>
  <c r="BG83"/>
  <c r="T83" i="12" s="1"/>
  <c r="BG89" i="9"/>
  <c r="T89" i="12" s="1"/>
  <c r="BB89" i="9"/>
  <c r="BG71"/>
  <c r="T71" i="12" s="1"/>
  <c r="BB71" i="9"/>
  <c r="BB98"/>
  <c r="BG98"/>
  <c r="T98" i="12" s="1"/>
  <c r="BG96" i="9"/>
  <c r="T96" i="12" s="1"/>
  <c r="BB96" i="9"/>
  <c r="BB62"/>
  <c r="BG62"/>
  <c r="T62" i="12" s="1"/>
  <c r="BG60" i="9"/>
  <c r="T60" i="12" s="1"/>
  <c r="BY60" i="9"/>
  <c r="BZ60" s="1"/>
  <c r="BX60"/>
  <c r="BV60"/>
  <c r="DI60"/>
  <c r="DL60" s="1"/>
  <c r="BS60"/>
  <c r="BB15" i="22"/>
  <c r="BG15"/>
  <c r="BB31" i="21"/>
  <c r="BG31"/>
  <c r="BB53" i="19"/>
  <c r="BG53"/>
  <c r="AH69" i="15"/>
  <c r="AL69" s="1"/>
  <c r="AM69" s="1"/>
  <c r="BA69" s="1"/>
  <c r="AM11" i="9"/>
  <c r="BA11" s="1"/>
  <c r="BB11" s="1"/>
  <c r="BF11" s="1"/>
  <c r="DF11"/>
  <c r="AY11"/>
  <c r="AZ11" s="1"/>
  <c r="DG11" s="1"/>
  <c r="AH55"/>
  <c r="AL55" s="1"/>
  <c r="AM55"/>
  <c r="BA55" s="1"/>
  <c r="BB55" s="1"/>
  <c r="BF55" s="1"/>
  <c r="AM87"/>
  <c r="BA87" s="1"/>
  <c r="BB87" s="1"/>
  <c r="BF87" s="1"/>
  <c r="DF87"/>
  <c r="AY87"/>
  <c r="AZ87" s="1"/>
  <c r="DG87" s="1"/>
  <c r="AM73"/>
  <c r="BA73" s="1"/>
  <c r="BB73" s="1"/>
  <c r="BF73" s="1"/>
  <c r="DF73"/>
  <c r="AY73"/>
  <c r="AZ73" s="1"/>
  <c r="DG73" s="1"/>
  <c r="BG21"/>
  <c r="T21" i="12" s="1"/>
  <c r="BY21" i="9"/>
  <c r="BZ21" s="1"/>
  <c r="BS21"/>
  <c r="DI21"/>
  <c r="DL21" s="1"/>
  <c r="BV21"/>
  <c r="DW21" s="1"/>
  <c r="AH22"/>
  <c r="AL22" s="1"/>
  <c r="AM22" s="1"/>
  <c r="BA22" s="1"/>
  <c r="AM36"/>
  <c r="BA36" s="1"/>
  <c r="BB36" s="1"/>
  <c r="BF36" s="1"/>
  <c r="DW36" s="1"/>
  <c r="AY36"/>
  <c r="AZ36" s="1"/>
  <c r="DG36" s="1"/>
  <c r="DF36"/>
  <c r="AM24"/>
  <c r="BA24" s="1"/>
  <c r="BB24" s="1"/>
  <c r="BF24" s="1"/>
  <c r="DW24" s="1"/>
  <c r="DF24"/>
  <c r="AY24"/>
  <c r="AZ24" s="1"/>
  <c r="DG24" s="1"/>
  <c r="BG49"/>
  <c r="BX49"/>
  <c r="DI49"/>
  <c r="DL49" s="1"/>
  <c r="BS49"/>
  <c r="BV49"/>
  <c r="DW49" s="1"/>
  <c r="BY49"/>
  <c r="BZ49" s="1"/>
  <c r="BB102"/>
  <c r="BG102"/>
  <c r="T102" i="12" s="1"/>
  <c r="BB47" i="9"/>
  <c r="BG47"/>
  <c r="T47" i="12" s="1"/>
  <c r="BG81" i="9"/>
  <c r="T81" i="12" s="1"/>
  <c r="BV81" i="9"/>
  <c r="BY81"/>
  <c r="BZ81" s="1"/>
  <c r="BX81"/>
  <c r="DI81"/>
  <c r="DL81" s="1"/>
  <c r="BS81"/>
  <c r="BB25"/>
  <c r="BG25"/>
  <c r="T25" i="12" s="1"/>
  <c r="BB85" i="9"/>
  <c r="BG85"/>
  <c r="T85" i="12" s="1"/>
  <c r="AY74" i="9"/>
  <c r="AZ74" s="1"/>
  <c r="DG74" s="1"/>
  <c r="DF74"/>
  <c r="DW74"/>
  <c r="AM77" i="19"/>
  <c r="BA77" s="1"/>
  <c r="BB77" s="1"/>
  <c r="BF77" s="1"/>
  <c r="DF77"/>
  <c r="AY77"/>
  <c r="AZ77" s="1"/>
  <c r="DG77" s="1"/>
  <c r="BT46" i="15"/>
  <c r="CC46"/>
  <c r="BG91" i="12"/>
  <c r="BB91"/>
  <c r="BB92"/>
  <c r="BG92"/>
  <c r="EF32" i="5"/>
  <c r="DM32"/>
  <c r="DX32" s="1"/>
  <c r="BG37" i="22"/>
  <c r="BB37"/>
  <c r="DJ69" i="12"/>
  <c r="BW69"/>
  <c r="CD69"/>
  <c r="BB94"/>
  <c r="BF94" s="1"/>
  <c r="BG94"/>
  <c r="T94" i="15" s="1"/>
  <c r="AH15" i="21"/>
  <c r="AL15" s="1"/>
  <c r="AM15"/>
  <c r="BA15" s="1"/>
  <c r="AY84"/>
  <c r="AZ84" s="1"/>
  <c r="DG84" s="1"/>
  <c r="DF84"/>
  <c r="DJ49" i="19"/>
  <c r="CD49"/>
  <c r="BW49"/>
  <c r="BB93" i="21"/>
  <c r="BF93" s="1"/>
  <c r="DW93" s="1"/>
  <c r="DN78" i="15"/>
  <c r="AG78"/>
  <c r="BT19" i="9"/>
  <c r="CC19"/>
  <c r="AH28" i="15"/>
  <c r="AL28" s="1"/>
  <c r="AM28" s="1"/>
  <c r="BA28" s="1"/>
  <c r="BB28" s="1"/>
  <c r="BF28" s="1"/>
  <c r="AH66" i="9"/>
  <c r="AL66" s="1"/>
  <c r="AM66" s="1"/>
  <c r="BA66" s="1"/>
  <c r="BB66" s="1"/>
  <c r="BF66" s="1"/>
  <c r="AH76"/>
  <c r="AL76" s="1"/>
  <c r="AM76" s="1"/>
  <c r="BA76" s="1"/>
  <c r="BB76" s="1"/>
  <c r="BF76" s="1"/>
  <c r="AM58"/>
  <c r="BA58" s="1"/>
  <c r="BB58" s="1"/>
  <c r="BF58" s="1"/>
  <c r="DW58" s="1"/>
  <c r="AY58"/>
  <c r="AZ58" s="1"/>
  <c r="DG58" s="1"/>
  <c r="DF58"/>
  <c r="AH84"/>
  <c r="AL84" s="1"/>
  <c r="AM84" s="1"/>
  <c r="BA84" s="1"/>
  <c r="BB84" s="1"/>
  <c r="BF84" s="1"/>
  <c r="AM30"/>
  <c r="BA30" s="1"/>
  <c r="BB30" s="1"/>
  <c r="BF30" s="1"/>
  <c r="DF30"/>
  <c r="AY30"/>
  <c r="AZ30" s="1"/>
  <c r="DG30" s="1"/>
  <c r="AH17"/>
  <c r="AL17" s="1"/>
  <c r="AM17"/>
  <c r="BA17" s="1"/>
  <c r="BB17" s="1"/>
  <c r="BF17" s="1"/>
  <c r="DN80" i="21"/>
  <c r="AG80"/>
  <c r="DL46" i="15"/>
  <c r="EF10" i="21"/>
  <c r="DM10"/>
  <c r="DX10" s="1"/>
  <c r="EF55"/>
  <c r="DM55"/>
  <c r="DX55" s="1"/>
  <c r="DX8"/>
  <c r="BA61" i="19"/>
  <c r="BV33"/>
  <c r="BY33"/>
  <c r="BX33"/>
  <c r="DI33"/>
  <c r="BS33"/>
  <c r="BG33"/>
  <c r="DX61" i="15"/>
  <c r="BT80" i="5"/>
  <c r="CC80"/>
  <c r="CG80"/>
  <c r="CH80" s="1"/>
  <c r="EC80"/>
  <c r="EB80"/>
  <c r="EB66"/>
  <c r="EC66" s="1"/>
  <c r="CG66"/>
  <c r="CH66" s="1"/>
  <c r="EB76"/>
  <c r="EC76" s="1"/>
  <c r="CG76"/>
  <c r="CH76" s="1"/>
  <c r="BT87"/>
  <c r="CC87"/>
  <c r="EB58"/>
  <c r="EC58"/>
  <c r="CG58"/>
  <c r="CH58" s="1"/>
  <c r="BT73"/>
  <c r="CC73"/>
  <c r="EB73"/>
  <c r="EC73" s="1"/>
  <c r="CG73"/>
  <c r="CH73" s="1"/>
  <c r="CD84"/>
  <c r="DJ84"/>
  <c r="BW84"/>
  <c r="CG30"/>
  <c r="CH30" s="1"/>
  <c r="EB30"/>
  <c r="EC30" s="1"/>
  <c r="EF56"/>
  <c r="DM56"/>
  <c r="DX56" s="1"/>
  <c r="CD74"/>
  <c r="CC64"/>
  <c r="BT64"/>
  <c r="BT68"/>
  <c r="CC68"/>
  <c r="DJ15"/>
  <c r="CD15"/>
  <c r="BW15"/>
  <c r="BT55"/>
  <c r="CC55"/>
  <c r="CD13"/>
  <c r="DJ13"/>
  <c r="DM13" s="1"/>
  <c r="DX13" s="1"/>
  <c r="BW13"/>
  <c r="CC36"/>
  <c r="BT36"/>
  <c r="CG36"/>
  <c r="CH36" s="1"/>
  <c r="EB36"/>
  <c r="EC36" s="1"/>
  <c r="BT10"/>
  <c r="CC10"/>
  <c r="DL10"/>
  <c r="BZ10"/>
  <c r="CC58"/>
  <c r="BT58"/>
  <c r="CC66"/>
  <c r="BT66"/>
  <c r="CG55"/>
  <c r="CH55" s="1"/>
  <c r="EB55"/>
  <c r="EC55"/>
  <c r="CC76"/>
  <c r="BT76"/>
  <c r="CG87"/>
  <c r="CH87" s="1"/>
  <c r="EB87"/>
  <c r="EC87" s="1"/>
  <c r="AM8"/>
  <c r="AG7"/>
  <c r="AH8"/>
  <c r="AH7" s="1"/>
  <c r="DM50"/>
  <c r="DX50" s="1"/>
  <c r="EF50"/>
  <c r="DW29"/>
  <c r="DI29"/>
  <c r="DL29" s="1"/>
  <c r="BS29"/>
  <c r="BS7" s="1"/>
  <c r="BV29"/>
  <c r="BY29"/>
  <c r="BZ29" s="1"/>
  <c r="DJ105"/>
  <c r="BW105"/>
  <c r="CD105"/>
  <c r="DJ17"/>
  <c r="BW17"/>
  <c r="CD17"/>
  <c r="CG10"/>
  <c r="BX7"/>
  <c r="EB10"/>
  <c r="EC10"/>
  <c r="BW11"/>
  <c r="CD11"/>
  <c r="DJ11"/>
  <c r="DJ93"/>
  <c r="CD93"/>
  <c r="BW93"/>
  <c r="EF43"/>
  <c r="DM43"/>
  <c r="DX43" s="1"/>
  <c r="DM18"/>
  <c r="DX18" s="1"/>
  <c r="EF18"/>
  <c r="BT21"/>
  <c r="CC21"/>
  <c r="EB22"/>
  <c r="EC22" s="1"/>
  <c r="CG22"/>
  <c r="CH22" s="1"/>
  <c r="CC22"/>
  <c r="BT22"/>
  <c r="DG10"/>
  <c r="AZ7"/>
  <c r="BW65"/>
  <c r="CD65"/>
  <c r="DJ65"/>
  <c r="DJ81"/>
  <c r="BW81"/>
  <c r="CD81"/>
  <c r="BT30"/>
  <c r="CC30"/>
  <c r="CC49"/>
  <c r="BT49"/>
  <c r="CG49"/>
  <c r="CH49" s="1"/>
  <c r="EB49"/>
  <c r="EC49" s="1"/>
  <c r="EB64"/>
  <c r="EC64"/>
  <c r="CG64"/>
  <c r="CH64" s="1"/>
  <c r="CG68"/>
  <c r="CH68" s="1"/>
  <c r="EB68"/>
  <c r="EC68" s="1"/>
  <c r="DJ24"/>
  <c r="BW24"/>
  <c r="CD24"/>
  <c r="BF7"/>
  <c r="BV7"/>
  <c r="DX44" i="2"/>
  <c r="DM7"/>
  <c r="BG84" i="9" l="1"/>
  <c r="DI84"/>
  <c r="BX84"/>
  <c r="BS84"/>
  <c r="BY84"/>
  <c r="BZ84" s="1"/>
  <c r="BV84"/>
  <c r="DW84" s="1"/>
  <c r="BG76"/>
  <c r="T76" i="12" s="1"/>
  <c r="BY76" i="9"/>
  <c r="BZ76" s="1"/>
  <c r="BX76"/>
  <c r="DI76"/>
  <c r="BV76"/>
  <c r="BS76"/>
  <c r="BG28" i="15"/>
  <c r="T28" i="19" s="1"/>
  <c r="AG28" s="1"/>
  <c r="BY28" i="15"/>
  <c r="BZ28" s="1"/>
  <c r="BV28"/>
  <c r="DW28" s="1"/>
  <c r="DI28"/>
  <c r="BX28"/>
  <c r="BS28"/>
  <c r="BB22" i="9"/>
  <c r="BF22" s="1"/>
  <c r="BG66"/>
  <c r="T66" i="12" s="1"/>
  <c r="BY66" i="9"/>
  <c r="BZ66" s="1"/>
  <c r="BV66"/>
  <c r="DW66" s="1"/>
  <c r="DI66"/>
  <c r="BX66"/>
  <c r="BS66"/>
  <c r="BB69" i="15"/>
  <c r="BF69" s="1"/>
  <c r="BB18" i="21"/>
  <c r="BF18" s="1"/>
  <c r="BG105" i="9"/>
  <c r="T105" i="12" s="1"/>
  <c r="DI105" i="9"/>
  <c r="BX105"/>
  <c r="BS105"/>
  <c r="BY105"/>
  <c r="BZ105" s="1"/>
  <c r="BV105"/>
  <c r="DW105" s="1"/>
  <c r="AY17"/>
  <c r="AZ17" s="1"/>
  <c r="DG17" s="1"/>
  <c r="DF17"/>
  <c r="DW17"/>
  <c r="AH78" i="15"/>
  <c r="AL78" s="1"/>
  <c r="AM78"/>
  <c r="BA78" s="1"/>
  <c r="BB78" s="1"/>
  <c r="BF78" s="1"/>
  <c r="DM49" i="19"/>
  <c r="DX49" s="1"/>
  <c r="EF49"/>
  <c r="DF15" i="21"/>
  <c r="AY15"/>
  <c r="AZ15" s="1"/>
  <c r="DG15" s="1"/>
  <c r="BV94" i="12"/>
  <c r="BY94"/>
  <c r="BZ94" s="1"/>
  <c r="BX94"/>
  <c r="DI94"/>
  <c r="DL94" s="1"/>
  <c r="BS94"/>
  <c r="DW94"/>
  <c r="T92" i="19"/>
  <c r="T92" i="15"/>
  <c r="BG77" i="19"/>
  <c r="BY77"/>
  <c r="BZ77" s="1"/>
  <c r="DI77"/>
  <c r="DL77" s="1"/>
  <c r="BS77"/>
  <c r="BV77"/>
  <c r="DW77" s="1"/>
  <c r="BX77"/>
  <c r="DN85" i="12"/>
  <c r="AG85"/>
  <c r="DN25"/>
  <c r="AG25"/>
  <c r="CC81" i="9"/>
  <c r="BT81"/>
  <c r="EB81"/>
  <c r="EC81"/>
  <c r="CG81"/>
  <c r="CH81" s="1"/>
  <c r="DN47" i="12"/>
  <c r="AG47"/>
  <c r="DN102"/>
  <c r="AG102"/>
  <c r="BT49" i="9"/>
  <c r="CC49"/>
  <c r="EB49"/>
  <c r="EC49" s="1"/>
  <c r="CG49"/>
  <c r="CH49" s="1"/>
  <c r="CC21"/>
  <c r="BT21"/>
  <c r="DN21" i="12"/>
  <c r="AG21"/>
  <c r="BG87" i="9"/>
  <c r="T87" i="12" s="1"/>
  <c r="BV87" i="9"/>
  <c r="DW87" s="1"/>
  <c r="BY87"/>
  <c r="BZ87" s="1"/>
  <c r="BX87"/>
  <c r="DI87"/>
  <c r="DL87" s="1"/>
  <c r="BS87"/>
  <c r="DF55"/>
  <c r="AY55"/>
  <c r="AZ55" s="1"/>
  <c r="DG55" s="1"/>
  <c r="DW55"/>
  <c r="T53" i="22"/>
  <c r="AG53" s="1"/>
  <c r="T53" i="21"/>
  <c r="CC60" i="9"/>
  <c r="BT60"/>
  <c r="DN62" i="12"/>
  <c r="AG62"/>
  <c r="DN98"/>
  <c r="AG98"/>
  <c r="DN83"/>
  <c r="AG83"/>
  <c r="DN42"/>
  <c r="AG42"/>
  <c r="DN23"/>
  <c r="AG23"/>
  <c r="AH23" s="1"/>
  <c r="AL23" s="1"/>
  <c r="AY40" i="19"/>
  <c r="AZ40" s="1"/>
  <c r="DG40" s="1"/>
  <c r="DF40"/>
  <c r="BT100"/>
  <c r="CC100"/>
  <c r="DN34" i="12"/>
  <c r="AG34"/>
  <c r="BG80" i="22"/>
  <c r="BB80"/>
  <c r="BT78" i="12"/>
  <c r="CC78"/>
  <c r="AY49" i="21"/>
  <c r="AZ49" s="1"/>
  <c r="DG49" s="1"/>
  <c r="DF49"/>
  <c r="AY46" i="19"/>
  <c r="AZ46" s="1"/>
  <c r="DG46" s="1"/>
  <c r="DF46"/>
  <c r="DW46"/>
  <c r="EB77" i="15"/>
  <c r="EC77" s="1"/>
  <c r="CG77"/>
  <c r="CH77" s="1"/>
  <c r="DN88" i="12"/>
  <c r="AG88"/>
  <c r="DN39"/>
  <c r="AG39"/>
  <c r="DN70"/>
  <c r="AG70"/>
  <c r="DN95"/>
  <c r="AG95"/>
  <c r="DN99"/>
  <c r="AG99"/>
  <c r="BG20" i="9"/>
  <c r="T20" i="12" s="1"/>
  <c r="BB20" i="9"/>
  <c r="BG65"/>
  <c r="T65" i="12" s="1"/>
  <c r="DI65" i="9"/>
  <c r="DL65" s="1"/>
  <c r="BX65"/>
  <c r="BS65"/>
  <c r="BY65"/>
  <c r="BZ65" s="1"/>
  <c r="BV65"/>
  <c r="DW65"/>
  <c r="DN51" i="12"/>
  <c r="AG51"/>
  <c r="DN35"/>
  <c r="AG35"/>
  <c r="BB37" i="21"/>
  <c r="BG37"/>
  <c r="CC40" i="15"/>
  <c r="BT40"/>
  <c r="EB40"/>
  <c r="EC40"/>
  <c r="CG40"/>
  <c r="CH40" s="1"/>
  <c r="DN41" i="12"/>
  <c r="AG41"/>
  <c r="DN79"/>
  <c r="AG79"/>
  <c r="DN12"/>
  <c r="AG12"/>
  <c r="DF64" i="9"/>
  <c r="AY64"/>
  <c r="AZ64" s="1"/>
  <c r="DG64" s="1"/>
  <c r="DW64"/>
  <c r="BS84" i="21"/>
  <c r="BX84"/>
  <c r="BV84"/>
  <c r="DW84" s="1"/>
  <c r="DI84"/>
  <c r="DL84" s="1"/>
  <c r="BY84"/>
  <c r="BZ84" s="1"/>
  <c r="EB74" i="9"/>
  <c r="EC74"/>
  <c r="CG74"/>
  <c r="CH74" s="1"/>
  <c r="DN74" i="12"/>
  <c r="AG74"/>
  <c r="AH74" s="1"/>
  <c r="AL74" s="1"/>
  <c r="BB86" i="19"/>
  <c r="BF86" s="1"/>
  <c r="CG43" i="9"/>
  <c r="CH43" s="1"/>
  <c r="EB43"/>
  <c r="EC43" s="1"/>
  <c r="DN43" i="12"/>
  <c r="AG43"/>
  <c r="BG93" i="21"/>
  <c r="DL43" i="9"/>
  <c r="AH80" i="21"/>
  <c r="AL80" s="1"/>
  <c r="BG17" i="9"/>
  <c r="T17" i="12" s="1"/>
  <c r="BY17" i="9"/>
  <c r="BZ17" s="1"/>
  <c r="BV17"/>
  <c r="DI17"/>
  <c r="DL17" s="1"/>
  <c r="BX17"/>
  <c r="BS17"/>
  <c r="BG30"/>
  <c r="T30" i="12" s="1"/>
  <c r="BV30" i="9"/>
  <c r="DW30" s="1"/>
  <c r="BY30"/>
  <c r="BZ30" s="1"/>
  <c r="BX30"/>
  <c r="DI30"/>
  <c r="DL30" s="1"/>
  <c r="BS30"/>
  <c r="DF84"/>
  <c r="AY84"/>
  <c r="AZ84" s="1"/>
  <c r="DG84" s="1"/>
  <c r="BG58"/>
  <c r="T58" i="12" s="1"/>
  <c r="BX58" i="9"/>
  <c r="DI58"/>
  <c r="DL58" s="1"/>
  <c r="BS58"/>
  <c r="BV58"/>
  <c r="BY58"/>
  <c r="BZ58" s="1"/>
  <c r="DF76"/>
  <c r="AY76"/>
  <c r="AZ76" s="1"/>
  <c r="DG76" s="1"/>
  <c r="DW76"/>
  <c r="DF66"/>
  <c r="AY66"/>
  <c r="AZ66" s="1"/>
  <c r="DG66" s="1"/>
  <c r="AY28" i="15"/>
  <c r="AZ28" s="1"/>
  <c r="DG28" s="1"/>
  <c r="DF28"/>
  <c r="DJ19" i="9"/>
  <c r="DM19" s="1"/>
  <c r="DX19" s="1"/>
  <c r="BW19"/>
  <c r="CD19"/>
  <c r="BV93" i="21"/>
  <c r="BS93"/>
  <c r="BX93"/>
  <c r="BY93"/>
  <c r="BZ93" s="1"/>
  <c r="DI93"/>
  <c r="DL93" s="1"/>
  <c r="BB15"/>
  <c r="BF15" s="1"/>
  <c r="BG15"/>
  <c r="DN94" i="15"/>
  <c r="AG94"/>
  <c r="DM69" i="12"/>
  <c r="DX69" s="1"/>
  <c r="EF69"/>
  <c r="T91" i="19"/>
  <c r="T91" i="15"/>
  <c r="DJ46"/>
  <c r="BW46"/>
  <c r="CD46"/>
  <c r="DN81" i="12"/>
  <c r="AG81"/>
  <c r="AH81" s="1"/>
  <c r="AL81" s="1"/>
  <c r="BG24" i="9"/>
  <c r="T24" i="12" s="1"/>
  <c r="BX24" i="9"/>
  <c r="DI24"/>
  <c r="DL24" s="1"/>
  <c r="BS24"/>
  <c r="BV24"/>
  <c r="BY24"/>
  <c r="BZ24" s="1"/>
  <c r="BG36"/>
  <c r="T36" i="12" s="1"/>
  <c r="BV36" i="9"/>
  <c r="BY36"/>
  <c r="BZ36" s="1"/>
  <c r="BX36"/>
  <c r="DI36"/>
  <c r="DL36" s="1"/>
  <c r="BS36"/>
  <c r="DF22"/>
  <c r="AY22"/>
  <c r="AZ22" s="1"/>
  <c r="DG22" s="1"/>
  <c r="BG73"/>
  <c r="T73" i="12" s="1"/>
  <c r="DI73" i="9"/>
  <c r="DL73" s="1"/>
  <c r="BV73"/>
  <c r="DW73" s="1"/>
  <c r="BS73"/>
  <c r="BX73"/>
  <c r="BY73"/>
  <c r="BZ73" s="1"/>
  <c r="BG55"/>
  <c r="T55" i="12" s="1"/>
  <c r="BY55" i="9"/>
  <c r="BZ55" s="1"/>
  <c r="BX55"/>
  <c r="DI55"/>
  <c r="DL55" s="1"/>
  <c r="BV55"/>
  <c r="BS55"/>
  <c r="BG11"/>
  <c r="T11" i="12" s="1"/>
  <c r="BV11" i="9"/>
  <c r="DW11" s="1"/>
  <c r="BY11"/>
  <c r="BZ11" s="1"/>
  <c r="DI11"/>
  <c r="DL11" s="1"/>
  <c r="BS11"/>
  <c r="AY69" i="15"/>
  <c r="AZ69" s="1"/>
  <c r="DG69" s="1"/>
  <c r="DF69"/>
  <c r="CG60" i="9"/>
  <c r="CH60" s="1"/>
  <c r="EB60"/>
  <c r="EC60" s="1"/>
  <c r="DN60" i="12"/>
  <c r="AG60"/>
  <c r="AH60" s="1"/>
  <c r="AL60" s="1"/>
  <c r="DN96"/>
  <c r="AG96"/>
  <c r="DN71"/>
  <c r="AG71"/>
  <c r="DN89"/>
  <c r="AG89"/>
  <c r="DN59"/>
  <c r="AG59"/>
  <c r="DN32"/>
  <c r="AG32"/>
  <c r="DW50" i="9"/>
  <c r="BV50"/>
  <c r="BX50"/>
  <c r="BS50"/>
  <c r="BY50"/>
  <c r="BZ50" s="1"/>
  <c r="DI50"/>
  <c r="DL50" s="1"/>
  <c r="DW23"/>
  <c r="BX23"/>
  <c r="BY23"/>
  <c r="BZ23" s="1"/>
  <c r="DI23"/>
  <c r="DL23" s="1"/>
  <c r="BS23"/>
  <c r="BV23"/>
  <c r="DN14" i="12"/>
  <c r="AG14"/>
  <c r="DM28"/>
  <c r="DX28" s="1"/>
  <c r="EF28"/>
  <c r="BW80" i="19"/>
  <c r="DJ80"/>
  <c r="CD80"/>
  <c r="CC86" i="15"/>
  <c r="BT86"/>
  <c r="EB86"/>
  <c r="EC86"/>
  <c r="CG86"/>
  <c r="CH86" s="1"/>
  <c r="T54" i="22"/>
  <c r="AG54" s="1"/>
  <c r="T54" i="21"/>
  <c r="CG100" i="19"/>
  <c r="CH100" s="1"/>
  <c r="EB100"/>
  <c r="EC100" s="1"/>
  <c r="DN26" i="12"/>
  <c r="AG26"/>
  <c r="AH10" i="9"/>
  <c r="AG7"/>
  <c r="BG13"/>
  <c r="T13" i="12" s="1"/>
  <c r="DI13" i="9"/>
  <c r="DL13" s="1"/>
  <c r="BX13"/>
  <c r="BS13"/>
  <c r="BY13"/>
  <c r="BZ13" s="1"/>
  <c r="BV13"/>
  <c r="DW13" s="1"/>
  <c r="AH104" i="12"/>
  <c r="AM104"/>
  <c r="BA104" s="1"/>
  <c r="BG101" i="21"/>
  <c r="BB101"/>
  <c r="DN63" i="12"/>
  <c r="AG63"/>
  <c r="DN27"/>
  <c r="AG27"/>
  <c r="BB49" i="21"/>
  <c r="BF49" s="1"/>
  <c r="BG49"/>
  <c r="AH103" i="12"/>
  <c r="AM103"/>
  <c r="BA103" s="1"/>
  <c r="AH75" i="15"/>
  <c r="AM75"/>
  <c r="BA75" s="1"/>
  <c r="T48" i="21"/>
  <c r="T48" i="22"/>
  <c r="AG48" s="1"/>
  <c r="BG46" i="19"/>
  <c r="DI46"/>
  <c r="DL46" s="1"/>
  <c r="BV46"/>
  <c r="BX46"/>
  <c r="BS46"/>
  <c r="BY46"/>
  <c r="BZ46" s="1"/>
  <c r="CC77" i="15"/>
  <c r="BT77"/>
  <c r="DF18" i="21"/>
  <c r="AY18"/>
  <c r="AZ18" s="1"/>
  <c r="DG18" s="1"/>
  <c r="DW18"/>
  <c r="DN16" i="12"/>
  <c r="AG16"/>
  <c r="DN57"/>
  <c r="AG57"/>
  <c r="BB9" i="9"/>
  <c r="BG9"/>
  <c r="DF105"/>
  <c r="AY105"/>
  <c r="AZ105" s="1"/>
  <c r="DG105" s="1"/>
  <c r="EF18" i="19"/>
  <c r="DM18"/>
  <c r="DX18" s="1"/>
  <c r="BB101" i="22"/>
  <c r="BG101"/>
  <c r="DN97" i="12"/>
  <c r="AG97"/>
  <c r="DN52"/>
  <c r="AG52"/>
  <c r="DN72"/>
  <c r="AG72"/>
  <c r="DN45"/>
  <c r="AG45"/>
  <c r="DN67"/>
  <c r="AG67"/>
  <c r="DN90"/>
  <c r="AG90"/>
  <c r="DN56"/>
  <c r="AG56"/>
  <c r="BG64" i="9"/>
  <c r="T64" i="12" s="1"/>
  <c r="DI64" i="9"/>
  <c r="DL64" s="1"/>
  <c r="BX64"/>
  <c r="BS64"/>
  <c r="BY64"/>
  <c r="BZ64" s="1"/>
  <c r="BV64"/>
  <c r="AH68"/>
  <c r="AL68" s="1"/>
  <c r="AM68"/>
  <c r="BA68" s="1"/>
  <c r="BB68" s="1"/>
  <c r="BF68" s="1"/>
  <c r="AM29"/>
  <c r="BA29" s="1"/>
  <c r="BB29" s="1"/>
  <c r="BF29" s="1"/>
  <c r="DF29"/>
  <c r="DW29"/>
  <c r="AY29"/>
  <c r="AZ29" s="1"/>
  <c r="DG29" s="1"/>
  <c r="BT74"/>
  <c r="CC74"/>
  <c r="CC43"/>
  <c r="BT43"/>
  <c r="AM40" i="19"/>
  <c r="BA40" s="1"/>
  <c r="BG84" i="21"/>
  <c r="DL74" i="9"/>
  <c r="T33" i="22"/>
  <c r="T33" i="21"/>
  <c r="DL33" i="19"/>
  <c r="BZ33"/>
  <c r="BT33"/>
  <c r="CC33"/>
  <c r="EB33"/>
  <c r="EC33" s="1"/>
  <c r="CG33"/>
  <c r="DW33"/>
  <c r="BB61"/>
  <c r="BG61"/>
  <c r="DJ80" i="5"/>
  <c r="BW80"/>
  <c r="CD80"/>
  <c r="DL7"/>
  <c r="EF24"/>
  <c r="DM24"/>
  <c r="DX24" s="1"/>
  <c r="DJ49"/>
  <c r="BW49"/>
  <c r="CD49"/>
  <c r="EF81"/>
  <c r="DM81"/>
  <c r="DX81" s="1"/>
  <c r="DJ22"/>
  <c r="CD22"/>
  <c r="BW22"/>
  <c r="DM93"/>
  <c r="DX93" s="1"/>
  <c r="EF93"/>
  <c r="EF11"/>
  <c r="DM11"/>
  <c r="DX11" s="1"/>
  <c r="CH10"/>
  <c r="CH7" s="1"/>
  <c r="CG7"/>
  <c r="DM105"/>
  <c r="DX105" s="1"/>
  <c r="EF105"/>
  <c r="AM7"/>
  <c r="BA8"/>
  <c r="BW66"/>
  <c r="CD66"/>
  <c r="DJ66"/>
  <c r="CD58"/>
  <c r="DJ58"/>
  <c r="BW58"/>
  <c r="BW10"/>
  <c r="CD10"/>
  <c r="DJ10"/>
  <c r="DJ64"/>
  <c r="BW64"/>
  <c r="CD64"/>
  <c r="DM84"/>
  <c r="DX84" s="1"/>
  <c r="EF84"/>
  <c r="DJ87"/>
  <c r="BW87"/>
  <c r="CD87"/>
  <c r="BY7"/>
  <c r="DI7"/>
  <c r="DJ30"/>
  <c r="BW30"/>
  <c r="CD30"/>
  <c r="EF65"/>
  <c r="DM65"/>
  <c r="DX65" s="1"/>
  <c r="DG7"/>
  <c r="EF10"/>
  <c r="DM10"/>
  <c r="DJ21"/>
  <c r="BW21"/>
  <c r="CD21"/>
  <c r="EF17"/>
  <c r="DM17"/>
  <c r="DX17" s="1"/>
  <c r="CC29"/>
  <c r="CC7" s="1"/>
  <c r="BT29"/>
  <c r="BT7" s="1"/>
  <c r="BW76"/>
  <c r="DJ76"/>
  <c r="CD76"/>
  <c r="CD36"/>
  <c r="DJ36"/>
  <c r="BW36"/>
  <c r="DJ55"/>
  <c r="BW55"/>
  <c r="CD55"/>
  <c r="DM15"/>
  <c r="DX15" s="1"/>
  <c r="EF15"/>
  <c r="BW68"/>
  <c r="CD68"/>
  <c r="DJ68"/>
  <c r="DM74"/>
  <c r="DX74" s="1"/>
  <c r="CD73"/>
  <c r="DJ73"/>
  <c r="BW73"/>
  <c r="BZ7"/>
  <c r="BW43" i="9" l="1"/>
  <c r="DJ43"/>
  <c r="CD43"/>
  <c r="BG68"/>
  <c r="T68" i="12" s="1"/>
  <c r="BY68" i="9"/>
  <c r="BZ68" s="1"/>
  <c r="BV68"/>
  <c r="DI68"/>
  <c r="BX68"/>
  <c r="BS68"/>
  <c r="CC64"/>
  <c r="BT64"/>
  <c r="AH56" i="12"/>
  <c r="AM56"/>
  <c r="BA56" s="1"/>
  <c r="AH90"/>
  <c r="AM90"/>
  <c r="BA90" s="1"/>
  <c r="AH67"/>
  <c r="AL67" s="1"/>
  <c r="AH45"/>
  <c r="AM45"/>
  <c r="BA45" s="1"/>
  <c r="AH72"/>
  <c r="AM72"/>
  <c r="BA72" s="1"/>
  <c r="AH52"/>
  <c r="AM52"/>
  <c r="BA52" s="1"/>
  <c r="AH97"/>
  <c r="AM97"/>
  <c r="BA97" s="1"/>
  <c r="BW77" i="15"/>
  <c r="CD77"/>
  <c r="DJ77"/>
  <c r="CG46" i="19"/>
  <c r="CH46" s="1"/>
  <c r="EB46"/>
  <c r="EC46" s="1"/>
  <c r="AM48" i="22"/>
  <c r="BA48" s="1"/>
  <c r="AH48"/>
  <c r="BG75" i="15"/>
  <c r="T75" i="19" s="1"/>
  <c r="AG75" s="1"/>
  <c r="BB75" i="15"/>
  <c r="BB103" i="12"/>
  <c r="BG103"/>
  <c r="AH27"/>
  <c r="AM27"/>
  <c r="BA27" s="1"/>
  <c r="AH63"/>
  <c r="AM63"/>
  <c r="BA63" s="1"/>
  <c r="BB104"/>
  <c r="BG104"/>
  <c r="T104" i="15" s="1"/>
  <c r="BT13" i="9"/>
  <c r="CC13"/>
  <c r="AH26" i="12"/>
  <c r="AM26"/>
  <c r="BA26" s="1"/>
  <c r="AG54" i="21"/>
  <c r="DN54"/>
  <c r="EF80" i="19"/>
  <c r="DM80"/>
  <c r="DX80" s="1"/>
  <c r="AH14" i="12"/>
  <c r="AM14"/>
  <c r="BA14" s="1"/>
  <c r="CG23" i="9"/>
  <c r="CH23" s="1"/>
  <c r="EC23"/>
  <c r="EB23"/>
  <c r="BT50"/>
  <c r="CC50"/>
  <c r="AM32" i="12"/>
  <c r="BA32" s="1"/>
  <c r="AH32"/>
  <c r="AM59"/>
  <c r="BA59" s="1"/>
  <c r="AH59"/>
  <c r="AH89"/>
  <c r="AM89"/>
  <c r="BA89" s="1"/>
  <c r="AH71"/>
  <c r="AM71"/>
  <c r="BA71" s="1"/>
  <c r="AM96"/>
  <c r="BA96" s="1"/>
  <c r="AH96"/>
  <c r="AM60"/>
  <c r="BA60" s="1"/>
  <c r="AY60"/>
  <c r="AZ60" s="1"/>
  <c r="DG60" s="1"/>
  <c r="DF60"/>
  <c r="BT11" i="9"/>
  <c r="CC11"/>
  <c r="DN11" i="12"/>
  <c r="AG11"/>
  <c r="CG55" i="9"/>
  <c r="CH55" s="1"/>
  <c r="EB55"/>
  <c r="EC55"/>
  <c r="DN55" i="12"/>
  <c r="AG55"/>
  <c r="CG73" i="9"/>
  <c r="CH73" s="1"/>
  <c r="EB73"/>
  <c r="EC73" s="1"/>
  <c r="DN73" i="12"/>
  <c r="AG73"/>
  <c r="DN36"/>
  <c r="AG36"/>
  <c r="AH36" s="1"/>
  <c r="AL36" s="1"/>
  <c r="DN24"/>
  <c r="AG24"/>
  <c r="AH24" s="1"/>
  <c r="AL24" s="1"/>
  <c r="DN91" i="15"/>
  <c r="AG91"/>
  <c r="AH94"/>
  <c r="AL94" s="1"/>
  <c r="AM94"/>
  <c r="BA94" s="1"/>
  <c r="BB94" s="1"/>
  <c r="BF94" s="1"/>
  <c r="EC93" i="21"/>
  <c r="CG93"/>
  <c r="CH93" s="1"/>
  <c r="EB93"/>
  <c r="DN58" i="12"/>
  <c r="AG58"/>
  <c r="DN30"/>
  <c r="AG30"/>
  <c r="CG17" i="9"/>
  <c r="CH17" s="1"/>
  <c r="EB17"/>
  <c r="EC17" s="1"/>
  <c r="DN17" i="12"/>
  <c r="AG17"/>
  <c r="DF80" i="21"/>
  <c r="AY80"/>
  <c r="AZ80" s="1"/>
  <c r="DG80" s="1"/>
  <c r="BY86" i="19"/>
  <c r="BZ86" s="1"/>
  <c r="DI86"/>
  <c r="DL86" s="1"/>
  <c r="BV86"/>
  <c r="BX86"/>
  <c r="BS86"/>
  <c r="DW86"/>
  <c r="CC84" i="21"/>
  <c r="BT84"/>
  <c r="AM12" i="12"/>
  <c r="BA12" s="1"/>
  <c r="AH12"/>
  <c r="AH79"/>
  <c r="AM79"/>
  <c r="BA79" s="1"/>
  <c r="AH41"/>
  <c r="AM41"/>
  <c r="BA41" s="1"/>
  <c r="BT65" i="9"/>
  <c r="CC65"/>
  <c r="AM99" i="12"/>
  <c r="BA99" s="1"/>
  <c r="AH99"/>
  <c r="AM95"/>
  <c r="BA95" s="1"/>
  <c r="AH95"/>
  <c r="AH70"/>
  <c r="AM70"/>
  <c r="BA70" s="1"/>
  <c r="AH39"/>
  <c r="AM39"/>
  <c r="BA39" s="1"/>
  <c r="AH88"/>
  <c r="AM88"/>
  <c r="BA88" s="1"/>
  <c r="BW78"/>
  <c r="CD78"/>
  <c r="DJ78"/>
  <c r="DJ100" i="19"/>
  <c r="CD100"/>
  <c r="BW100"/>
  <c r="AM23" i="12"/>
  <c r="BA23" s="1"/>
  <c r="BB23" s="1"/>
  <c r="BF23" s="1"/>
  <c r="DW23" s="1"/>
  <c r="DF23"/>
  <c r="AY23"/>
  <c r="AZ23" s="1"/>
  <c r="DG23" s="1"/>
  <c r="AH42"/>
  <c r="AM42"/>
  <c r="BA42" s="1"/>
  <c r="AH83"/>
  <c r="AM83"/>
  <c r="BA83" s="1"/>
  <c r="AH98"/>
  <c r="AM98"/>
  <c r="BA98" s="1"/>
  <c r="AH62"/>
  <c r="AM62"/>
  <c r="BA62" s="1"/>
  <c r="CD60" i="9"/>
  <c r="BW60"/>
  <c r="DJ60"/>
  <c r="AG53" i="21"/>
  <c r="DN53"/>
  <c r="DN87" i="12"/>
  <c r="AG87"/>
  <c r="CD49" i="9"/>
  <c r="DJ49"/>
  <c r="BW49"/>
  <c r="DJ81"/>
  <c r="BW81"/>
  <c r="CD81"/>
  <c r="AH25" i="12"/>
  <c r="AM25"/>
  <c r="BA25" s="1"/>
  <c r="AH85"/>
  <c r="AM85"/>
  <c r="BA85" s="1"/>
  <c r="CG77" i="19"/>
  <c r="CH77" s="1"/>
  <c r="EB77"/>
  <c r="EC77" s="1"/>
  <c r="BT77"/>
  <c r="CC77"/>
  <c r="DN92" i="15"/>
  <c r="AG92"/>
  <c r="BG78"/>
  <c r="T78" i="19" s="1"/>
  <c r="AG78" s="1"/>
  <c r="AH78" s="1"/>
  <c r="AL78" s="1"/>
  <c r="DI78" i="15"/>
  <c r="BV78"/>
  <c r="DW78" s="1"/>
  <c r="BY78"/>
  <c r="BZ78" s="1"/>
  <c r="BS78"/>
  <c r="CG105" i="9"/>
  <c r="CH105" s="1"/>
  <c r="EB105"/>
  <c r="EC105" s="1"/>
  <c r="DN105" i="12"/>
  <c r="AG105"/>
  <c r="DI18" i="21"/>
  <c r="DL18" s="1"/>
  <c r="BX18"/>
  <c r="BV18"/>
  <c r="BY18"/>
  <c r="BZ18" s="1"/>
  <c r="BS18"/>
  <c r="DI69" i="15"/>
  <c r="DL69" s="1"/>
  <c r="BX69"/>
  <c r="BS69"/>
  <c r="BY69"/>
  <c r="BZ69" s="1"/>
  <c r="BV69"/>
  <c r="DW69" s="1"/>
  <c r="EB66" i="9"/>
  <c r="EC66" s="1"/>
  <c r="CG66"/>
  <c r="CH66" s="1"/>
  <c r="DN66" i="12"/>
  <c r="AG66"/>
  <c r="AH66" s="1"/>
  <c r="AL66" s="1"/>
  <c r="BV22" i="9"/>
  <c r="DW22" s="1"/>
  <c r="BY22"/>
  <c r="BZ22" s="1"/>
  <c r="DI22"/>
  <c r="DL22" s="1"/>
  <c r="BS22"/>
  <c r="BX22"/>
  <c r="CG28" i="15"/>
  <c r="CH28" s="1"/>
  <c r="EB28"/>
  <c r="EC28" s="1"/>
  <c r="AH28" i="19"/>
  <c r="AL28" s="1"/>
  <c r="AM28"/>
  <c r="BA28" s="1"/>
  <c r="BB28" s="1"/>
  <c r="BF28" s="1"/>
  <c r="CG76" i="9"/>
  <c r="CH76" s="1"/>
  <c r="EB76"/>
  <c r="EC76" s="1"/>
  <c r="DN76" i="12"/>
  <c r="AG76"/>
  <c r="CG84" i="9"/>
  <c r="CH84" s="1"/>
  <c r="EB84"/>
  <c r="EC84" s="1"/>
  <c r="BB40" i="19"/>
  <c r="BF40" s="1"/>
  <c r="BG40" s="1"/>
  <c r="BW74" i="9"/>
  <c r="DJ74"/>
  <c r="CD74"/>
  <c r="BG29"/>
  <c r="T29" i="12" s="1"/>
  <c r="DI29" i="9"/>
  <c r="DL29" s="1"/>
  <c r="BS29"/>
  <c r="BV29"/>
  <c r="BY29"/>
  <c r="BZ29" s="1"/>
  <c r="AY68"/>
  <c r="AZ68" s="1"/>
  <c r="DG68" s="1"/>
  <c r="DF68"/>
  <c r="DW68"/>
  <c r="EB64"/>
  <c r="EC64"/>
  <c r="CG64"/>
  <c r="CH64" s="1"/>
  <c r="DN64" i="12"/>
  <c r="AG64"/>
  <c r="T9"/>
  <c r="AM57"/>
  <c r="BA57" s="1"/>
  <c r="AH57"/>
  <c r="AM16"/>
  <c r="BA16" s="1"/>
  <c r="AH16"/>
  <c r="CC46" i="19"/>
  <c r="BT46"/>
  <c r="T46" i="21"/>
  <c r="T46" i="22"/>
  <c r="AG46" s="1"/>
  <c r="AG48" i="21"/>
  <c r="DN48"/>
  <c r="DI49"/>
  <c r="DL49" s="1"/>
  <c r="BV49"/>
  <c r="DW49" s="1"/>
  <c r="BY49"/>
  <c r="BZ49" s="1"/>
  <c r="BS49"/>
  <c r="BX49"/>
  <c r="CG13" i="9"/>
  <c r="CH13" s="1"/>
  <c r="EB13"/>
  <c r="EC13"/>
  <c r="DN13" i="12"/>
  <c r="AG13"/>
  <c r="AL10" i="9"/>
  <c r="AH7"/>
  <c r="AH54" i="22"/>
  <c r="AM54"/>
  <c r="BA54" s="1"/>
  <c r="DJ86" i="15"/>
  <c r="BW86"/>
  <c r="CD86"/>
  <c r="BT23" i="9"/>
  <c r="CC23"/>
  <c r="CG50"/>
  <c r="CH50" s="1"/>
  <c r="EB50"/>
  <c r="EC50" s="1"/>
  <c r="BT55"/>
  <c r="CC55"/>
  <c r="BT73"/>
  <c r="CC73"/>
  <c r="CC36"/>
  <c r="BT36"/>
  <c r="CG36"/>
  <c r="CH36" s="1"/>
  <c r="EB36"/>
  <c r="EC36" s="1"/>
  <c r="BT24"/>
  <c r="CC24"/>
  <c r="EB24"/>
  <c r="EC24" s="1"/>
  <c r="CG24"/>
  <c r="CH24" s="1"/>
  <c r="AM81" i="12"/>
  <c r="BA81" s="1"/>
  <c r="DF81"/>
  <c r="AY81"/>
  <c r="AZ81" s="1"/>
  <c r="DG81" s="1"/>
  <c r="DM46" i="15"/>
  <c r="DX46" s="1"/>
  <c r="EF46"/>
  <c r="DN91" i="19"/>
  <c r="AG91"/>
  <c r="BV15" i="21"/>
  <c r="DW15" s="1"/>
  <c r="BS15"/>
  <c r="DI15"/>
  <c r="DL15" s="1"/>
  <c r="BX15"/>
  <c r="BY15"/>
  <c r="BZ15" s="1"/>
  <c r="BT93"/>
  <c r="CC93"/>
  <c r="BT58" i="9"/>
  <c r="CC58"/>
  <c r="EC58"/>
  <c r="CG58"/>
  <c r="CH58" s="1"/>
  <c r="EB58"/>
  <c r="BT30"/>
  <c r="CC30"/>
  <c r="EB30"/>
  <c r="EC30" s="1"/>
  <c r="CG30"/>
  <c r="CH30" s="1"/>
  <c r="BT17"/>
  <c r="CC17"/>
  <c r="AH43" i="12"/>
  <c r="AL43" s="1"/>
  <c r="AM43" s="1"/>
  <c r="BA43" s="1"/>
  <c r="AM74"/>
  <c r="BA74" s="1"/>
  <c r="DF74"/>
  <c r="AY74"/>
  <c r="AZ74" s="1"/>
  <c r="DG74" s="1"/>
  <c r="CG84" i="21"/>
  <c r="CH84" s="1"/>
  <c r="EB84"/>
  <c r="EC84" s="1"/>
  <c r="DJ40" i="15"/>
  <c r="BW40"/>
  <c r="CD40"/>
  <c r="AH35" i="12"/>
  <c r="AM35"/>
  <c r="BA35" s="1"/>
  <c r="AH51"/>
  <c r="AM51"/>
  <c r="BA51" s="1"/>
  <c r="CG65" i="9"/>
  <c r="CH65" s="1"/>
  <c r="EB65"/>
  <c r="EC65"/>
  <c r="DN65" i="12"/>
  <c r="AG65"/>
  <c r="DN20"/>
  <c r="AG20"/>
  <c r="AH34"/>
  <c r="AM34"/>
  <c r="BA34" s="1"/>
  <c r="AH53" i="22"/>
  <c r="AM53"/>
  <c r="BA53" s="1"/>
  <c r="CC87" i="9"/>
  <c r="BT87"/>
  <c r="CG87"/>
  <c r="CH87" s="1"/>
  <c r="EB87"/>
  <c r="EC87" s="1"/>
  <c r="AH21" i="12"/>
  <c r="AL21" s="1"/>
  <c r="AM21"/>
  <c r="BA21" s="1"/>
  <c r="BB21" s="1"/>
  <c r="BF21" s="1"/>
  <c r="BW21" i="9"/>
  <c r="CD21"/>
  <c r="DJ21"/>
  <c r="AM102" i="12"/>
  <c r="BA102" s="1"/>
  <c r="AH102"/>
  <c r="AH47"/>
  <c r="AM47"/>
  <c r="BA47" s="1"/>
  <c r="T77" i="21"/>
  <c r="T77" i="22"/>
  <c r="AG77" s="1"/>
  <c r="DN92" i="19"/>
  <c r="AG92"/>
  <c r="BT94" i="12"/>
  <c r="CC94"/>
  <c r="EB94"/>
  <c r="EC94" s="1"/>
  <c r="CG94"/>
  <c r="CH94" s="1"/>
  <c r="DF78" i="15"/>
  <c r="AY78"/>
  <c r="AZ78" s="1"/>
  <c r="DG78" s="1"/>
  <c r="BT105" i="9"/>
  <c r="CC105"/>
  <c r="CC66"/>
  <c r="BT66"/>
  <c r="BT28" i="15"/>
  <c r="CC28"/>
  <c r="CC76" i="9"/>
  <c r="BT76"/>
  <c r="BT84"/>
  <c r="CC84"/>
  <c r="AM80" i="21"/>
  <c r="BA80" s="1"/>
  <c r="BG86" i="19"/>
  <c r="DL105" i="9"/>
  <c r="BG18" i="21"/>
  <c r="BG69" i="15"/>
  <c r="T69" i="19" s="1"/>
  <c r="AG69" s="1"/>
  <c r="AH69" s="1"/>
  <c r="AL69" s="1"/>
  <c r="DL66" i="9"/>
  <c r="BG22"/>
  <c r="T22" i="12" s="1"/>
  <c r="DL28" i="15"/>
  <c r="DL76" i="9"/>
  <c r="DL84"/>
  <c r="T61" i="22"/>
  <c r="AG61" s="1"/>
  <c r="T61" i="21"/>
  <c r="AG33" i="22"/>
  <c r="DN33" i="21"/>
  <c r="AG33"/>
  <c r="CH33" i="19"/>
  <c r="DJ33"/>
  <c r="BW33"/>
  <c r="CD33"/>
  <c r="EF80" i="5"/>
  <c r="DM80"/>
  <c r="DX80" s="1"/>
  <c r="EF73"/>
  <c r="DM73"/>
  <c r="DX73" s="1"/>
  <c r="EF68"/>
  <c r="DM68"/>
  <c r="DX68" s="1"/>
  <c r="EF76"/>
  <c r="DM76"/>
  <c r="DX76" s="1"/>
  <c r="DJ29"/>
  <c r="DJ7" s="1"/>
  <c r="BW29"/>
  <c r="CD29"/>
  <c r="EF21"/>
  <c r="DM21"/>
  <c r="DX21" s="1"/>
  <c r="DM30"/>
  <c r="DX30" s="1"/>
  <c r="EF30"/>
  <c r="EF64"/>
  <c r="DM64"/>
  <c r="DX64" s="1"/>
  <c r="EF58"/>
  <c r="DM58"/>
  <c r="DX58" s="1"/>
  <c r="DM66"/>
  <c r="DX66" s="1"/>
  <c r="EF66"/>
  <c r="EF49"/>
  <c r="DM49"/>
  <c r="DX49" s="1"/>
  <c r="BW7"/>
  <c r="EF55"/>
  <c r="DM55"/>
  <c r="DX55" s="1"/>
  <c r="EF36"/>
  <c r="DM36"/>
  <c r="DX36" s="1"/>
  <c r="DX10"/>
  <c r="EF87"/>
  <c r="DM87"/>
  <c r="DX87" s="1"/>
  <c r="BA7"/>
  <c r="BB8"/>
  <c r="BB7" s="1"/>
  <c r="BG8"/>
  <c r="BG7" s="1"/>
  <c r="DM22"/>
  <c r="DX22" s="1"/>
  <c r="EF22"/>
  <c r="CD7"/>
  <c r="BB43" i="12" l="1"/>
  <c r="BF43" s="1"/>
  <c r="T40" i="22"/>
  <c r="AG40" s="1"/>
  <c r="T40" i="21"/>
  <c r="T86" i="22"/>
  <c r="AG86" s="1"/>
  <c r="T86" i="21"/>
  <c r="CD76" i="9"/>
  <c r="BW76"/>
  <c r="DJ76"/>
  <c r="BW66"/>
  <c r="CD66"/>
  <c r="DJ66"/>
  <c r="AH92" i="19"/>
  <c r="AM92"/>
  <c r="BA92" s="1"/>
  <c r="AH77" i="22"/>
  <c r="AM77"/>
  <c r="BA77" s="1"/>
  <c r="BB47" i="12"/>
  <c r="BG47"/>
  <c r="EF21" i="9"/>
  <c r="DM21"/>
  <c r="DX21" s="1"/>
  <c r="DF21" i="12"/>
  <c r="AY21"/>
  <c r="AZ21" s="1"/>
  <c r="DG21" s="1"/>
  <c r="BG51"/>
  <c r="BB51"/>
  <c r="BG35"/>
  <c r="BB35"/>
  <c r="EF40" i="15"/>
  <c r="DM40"/>
  <c r="DX40" s="1"/>
  <c r="CD58" i="9"/>
  <c r="DJ58"/>
  <c r="BW58"/>
  <c r="DJ93" i="21"/>
  <c r="CD93"/>
  <c r="BW93"/>
  <c r="EB15"/>
  <c r="EC15" s="1"/>
  <c r="CG15"/>
  <c r="CH15" s="1"/>
  <c r="CC15"/>
  <c r="BT15"/>
  <c r="AH91" i="19"/>
  <c r="AM91"/>
  <c r="BA91" s="1"/>
  <c r="BB81" i="12"/>
  <c r="BF81" s="1"/>
  <c r="DJ24" i="9"/>
  <c r="BW24"/>
  <c r="CD24"/>
  <c r="CD73"/>
  <c r="DJ73"/>
  <c r="BW73"/>
  <c r="CD55"/>
  <c r="BW55"/>
  <c r="DJ55"/>
  <c r="CD23"/>
  <c r="BW23"/>
  <c r="DJ23"/>
  <c r="BB54" i="22"/>
  <c r="BG54"/>
  <c r="AH13" i="12"/>
  <c r="AL13" s="1"/>
  <c r="CC49" i="21"/>
  <c r="BT49"/>
  <c r="AM46" i="22"/>
  <c r="BA46" s="1"/>
  <c r="AH46"/>
  <c r="BW46" i="19"/>
  <c r="DJ46"/>
  <c r="CD46"/>
  <c r="AH64" i="12"/>
  <c r="AL64" s="1"/>
  <c r="AM64"/>
  <c r="BA64" s="1"/>
  <c r="BB64" s="1"/>
  <c r="BF64" s="1"/>
  <c r="BT29" i="9"/>
  <c r="CC29"/>
  <c r="DN29" i="12"/>
  <c r="AG29"/>
  <c r="AH29" s="1"/>
  <c r="AL29" s="1"/>
  <c r="DM74" i="9"/>
  <c r="DX74" s="1"/>
  <c r="EF74"/>
  <c r="DF28" i="19"/>
  <c r="AY28"/>
  <c r="AZ28" s="1"/>
  <c r="DG28" s="1"/>
  <c r="CC22" i="9"/>
  <c r="BT22"/>
  <c r="AM66" i="12"/>
  <c r="BA66" s="1"/>
  <c r="AY66"/>
  <c r="AZ66" s="1"/>
  <c r="DG66" s="1"/>
  <c r="DF66"/>
  <c r="CC69" i="15"/>
  <c r="BT69"/>
  <c r="CG18" i="21"/>
  <c r="CH18" s="1"/>
  <c r="EB18"/>
  <c r="EC18" s="1"/>
  <c r="AH105" i="12"/>
  <c r="AL105" s="1"/>
  <c r="CC78" i="15"/>
  <c r="BT78"/>
  <c r="AM78" i="19"/>
  <c r="BA78" s="1"/>
  <c r="AY78"/>
  <c r="AZ78" s="1"/>
  <c r="DG78" s="1"/>
  <c r="DF78"/>
  <c r="DJ77"/>
  <c r="CD77"/>
  <c r="BW77"/>
  <c r="AH53" i="21"/>
  <c r="AM53"/>
  <c r="BA53" s="1"/>
  <c r="BB62" i="12"/>
  <c r="BG62"/>
  <c r="T62" i="15" s="1"/>
  <c r="BB98" i="12"/>
  <c r="BG98"/>
  <c r="BG83"/>
  <c r="T83" i="15" s="1"/>
  <c r="BB83" i="12"/>
  <c r="BB42"/>
  <c r="BG42"/>
  <c r="DM100" i="19"/>
  <c r="DX100" s="1"/>
  <c r="EF100"/>
  <c r="BB88" i="12"/>
  <c r="BG88"/>
  <c r="BB39"/>
  <c r="BG39"/>
  <c r="T39" i="15" s="1"/>
  <c r="BB70" i="12"/>
  <c r="BG70"/>
  <c r="BB41"/>
  <c r="BG41"/>
  <c r="T41" i="15" s="1"/>
  <c r="BB79" i="12"/>
  <c r="BG79"/>
  <c r="CD84" i="21"/>
  <c r="DJ84"/>
  <c r="BW84"/>
  <c r="EC86" i="19"/>
  <c r="EB86"/>
  <c r="CG86"/>
  <c r="CH86" s="1"/>
  <c r="AH17" i="12"/>
  <c r="AL17" s="1"/>
  <c r="AH30"/>
  <c r="AL30" s="1"/>
  <c r="AH58"/>
  <c r="AL58" s="1"/>
  <c r="DF94" i="15"/>
  <c r="AY94"/>
  <c r="AZ94" s="1"/>
  <c r="DG94" s="1"/>
  <c r="DW94"/>
  <c r="AH11" i="12"/>
  <c r="AL11" s="1"/>
  <c r="AM11"/>
  <c r="BA11" s="1"/>
  <c r="BB11" s="1"/>
  <c r="BF11" s="1"/>
  <c r="BG71"/>
  <c r="BB71"/>
  <c r="BG89"/>
  <c r="BB89"/>
  <c r="AH54" i="21"/>
  <c r="AM54"/>
  <c r="BA54" s="1"/>
  <c r="DJ13" i="9"/>
  <c r="DM13" s="1"/>
  <c r="DX13" s="1"/>
  <c r="BW13"/>
  <c r="CD13"/>
  <c r="AH75" i="19"/>
  <c r="AM75"/>
  <c r="BA75" s="1"/>
  <c r="BB48" i="22"/>
  <c r="BG48"/>
  <c r="BG97" i="12"/>
  <c r="BB97"/>
  <c r="BG52"/>
  <c r="BB52"/>
  <c r="BB72"/>
  <c r="BG72"/>
  <c r="T72" i="15" s="1"/>
  <c r="BB45" i="12"/>
  <c r="BG45"/>
  <c r="DF67"/>
  <c r="DL67" s="1"/>
  <c r="AY67"/>
  <c r="BV67"/>
  <c r="BY67"/>
  <c r="BZ67" s="1"/>
  <c r="DW67"/>
  <c r="BX67"/>
  <c r="BB90"/>
  <c r="BG90"/>
  <c r="BG56"/>
  <c r="T56" i="15" s="1"/>
  <c r="BB56" i="12"/>
  <c r="DJ64" i="9"/>
  <c r="BW64"/>
  <c r="CD64"/>
  <c r="CC68"/>
  <c r="BT68"/>
  <c r="DL68"/>
  <c r="DN22" i="12"/>
  <c r="AG22"/>
  <c r="AM69" i="19"/>
  <c r="BA69" s="1"/>
  <c r="BB69" s="1"/>
  <c r="BF69" s="1"/>
  <c r="DF69"/>
  <c r="AY69"/>
  <c r="AZ69" s="1"/>
  <c r="DG69" s="1"/>
  <c r="BB80" i="21"/>
  <c r="BF80" s="1"/>
  <c r="BW84" i="9"/>
  <c r="CD84"/>
  <c r="DJ84"/>
  <c r="DJ28" i="15"/>
  <c r="BW28"/>
  <c r="CD28"/>
  <c r="BW105" i="9"/>
  <c r="CD105"/>
  <c r="DJ105"/>
  <c r="CD94" i="12"/>
  <c r="DJ94"/>
  <c r="BW94"/>
  <c r="DN77" i="21"/>
  <c r="AG77"/>
  <c r="BG102" i="12"/>
  <c r="BB102"/>
  <c r="BG21"/>
  <c r="T21" i="15" s="1"/>
  <c r="AG21" s="1"/>
  <c r="BY21" i="12"/>
  <c r="BZ21" s="1"/>
  <c r="BS21"/>
  <c r="DI21"/>
  <c r="DL21" s="1"/>
  <c r="BV21"/>
  <c r="DW21" s="1"/>
  <c r="CD87" i="9"/>
  <c r="DJ87"/>
  <c r="BW87"/>
  <c r="BB53" i="22"/>
  <c r="BG53"/>
  <c r="BB34" i="12"/>
  <c r="BG34"/>
  <c r="AH20"/>
  <c r="AM20"/>
  <c r="BA20" s="1"/>
  <c r="AM65"/>
  <c r="BA65" s="1"/>
  <c r="AH65"/>
  <c r="BB74"/>
  <c r="BF74" s="1"/>
  <c r="DF43"/>
  <c r="AY43"/>
  <c r="AZ43" s="1"/>
  <c r="DG43" s="1"/>
  <c r="DJ17" i="9"/>
  <c r="BW17"/>
  <c r="CD17"/>
  <c r="CD30"/>
  <c r="DJ30"/>
  <c r="BW30"/>
  <c r="DJ36"/>
  <c r="BW36"/>
  <c r="CD36"/>
  <c r="EF86" i="15"/>
  <c r="DM86"/>
  <c r="DX86" s="1"/>
  <c r="AM10" i="9"/>
  <c r="DF10"/>
  <c r="DF7" s="1"/>
  <c r="AL7"/>
  <c r="AY10"/>
  <c r="CG49" i="21"/>
  <c r="CH49" s="1"/>
  <c r="EB49"/>
  <c r="EC49" s="1"/>
  <c r="AM48"/>
  <c r="BA48" s="1"/>
  <c r="AH48"/>
  <c r="AG46"/>
  <c r="DN46"/>
  <c r="BB16" i="12"/>
  <c r="BG16"/>
  <c r="BB57"/>
  <c r="BG57"/>
  <c r="T57" i="15" s="1"/>
  <c r="AG9" i="12"/>
  <c r="DN9"/>
  <c r="DI40" i="19"/>
  <c r="DL40" s="1"/>
  <c r="BV40"/>
  <c r="BX40"/>
  <c r="BS40"/>
  <c r="BY40"/>
  <c r="BZ40" s="1"/>
  <c r="DW40"/>
  <c r="AH76" i="12"/>
  <c r="AL76" s="1"/>
  <c r="AM76"/>
  <c r="BA76" s="1"/>
  <c r="BG28" i="19"/>
  <c r="BV28"/>
  <c r="DW28" s="1"/>
  <c r="BX28"/>
  <c r="BS28"/>
  <c r="BY28"/>
  <c r="BZ28" s="1"/>
  <c r="DI28"/>
  <c r="DL28" s="1"/>
  <c r="EB22" i="9"/>
  <c r="EC22" s="1"/>
  <c r="CG22"/>
  <c r="CH22" s="1"/>
  <c r="EB69" i="15"/>
  <c r="EC69" s="1"/>
  <c r="CG69"/>
  <c r="CH69" s="1"/>
  <c r="CC18" i="21"/>
  <c r="BT18"/>
  <c r="AM92" i="15"/>
  <c r="BA92" s="1"/>
  <c r="AH92"/>
  <c r="BG85" i="12"/>
  <c r="BB85"/>
  <c r="BG25"/>
  <c r="T25" i="15" s="1"/>
  <c r="BB25" i="12"/>
  <c r="EF81" i="9"/>
  <c r="DM81"/>
  <c r="DX81" s="1"/>
  <c r="EF49"/>
  <c r="DM49"/>
  <c r="DX49" s="1"/>
  <c r="AH87" i="12"/>
  <c r="AL87" s="1"/>
  <c r="AM87"/>
  <c r="BA87" s="1"/>
  <c r="DM60" i="9"/>
  <c r="DX60" s="1"/>
  <c r="EF60"/>
  <c r="BG23" i="12"/>
  <c r="T23" i="15" s="1"/>
  <c r="BX23" i="12"/>
  <c r="DI23"/>
  <c r="DL23" s="1"/>
  <c r="BS23"/>
  <c r="BV23"/>
  <c r="BY23"/>
  <c r="BZ23" s="1"/>
  <c r="DM78"/>
  <c r="DX78" s="1"/>
  <c r="EF78"/>
  <c r="BB95"/>
  <c r="BG95"/>
  <c r="BB99"/>
  <c r="BG99"/>
  <c r="DJ65" i="9"/>
  <c r="BW65"/>
  <c r="CD65"/>
  <c r="BB12" i="12"/>
  <c r="BG12"/>
  <c r="BT86" i="19"/>
  <c r="CC86"/>
  <c r="BG94" i="15"/>
  <c r="T94" i="19" s="1"/>
  <c r="AG94" s="1"/>
  <c r="AH94" s="1"/>
  <c r="AL94" s="1"/>
  <c r="BY94" i="15"/>
  <c r="BZ94" s="1"/>
  <c r="BV94"/>
  <c r="DI94"/>
  <c r="DL94" s="1"/>
  <c r="BX94"/>
  <c r="BS94"/>
  <c r="AH91"/>
  <c r="AM91"/>
  <c r="BA91" s="1"/>
  <c r="AM24" i="12"/>
  <c r="BA24" s="1"/>
  <c r="BB24" s="1"/>
  <c r="BF24" s="1"/>
  <c r="AY24"/>
  <c r="AZ24" s="1"/>
  <c r="DG24" s="1"/>
  <c r="DF24"/>
  <c r="AM36"/>
  <c r="BA36" s="1"/>
  <c r="AY36"/>
  <c r="AZ36" s="1"/>
  <c r="DG36" s="1"/>
  <c r="DF36"/>
  <c r="AH73"/>
  <c r="AL73" s="1"/>
  <c r="AH55"/>
  <c r="AL55" s="1"/>
  <c r="DJ11" i="9"/>
  <c r="BW11"/>
  <c r="CD11"/>
  <c r="BB60" i="12"/>
  <c r="BF60" s="1"/>
  <c r="BG60"/>
  <c r="T60" i="15" s="1"/>
  <c r="BB96" i="12"/>
  <c r="BG96"/>
  <c r="BB59"/>
  <c r="BG59"/>
  <c r="BB32"/>
  <c r="BG32"/>
  <c r="DJ50" i="9"/>
  <c r="CD50"/>
  <c r="BW50"/>
  <c r="BB14" i="12"/>
  <c r="BG14"/>
  <c r="BB26"/>
  <c r="BG26"/>
  <c r="DN104" i="15"/>
  <c r="AG104"/>
  <c r="BG63" i="12"/>
  <c r="BB63"/>
  <c r="BB27"/>
  <c r="BG27"/>
  <c r="T103" i="19"/>
  <c r="T103" i="15"/>
  <c r="EF77"/>
  <c r="DM77"/>
  <c r="DX77" s="1"/>
  <c r="EB68" i="9"/>
  <c r="EC68" s="1"/>
  <c r="CG68"/>
  <c r="CH68" s="1"/>
  <c r="DN68" i="12"/>
  <c r="AG68"/>
  <c r="AH68" s="1"/>
  <c r="AL68" s="1"/>
  <c r="EF43" i="9"/>
  <c r="DM43"/>
  <c r="DX43" s="1"/>
  <c r="DL78" i="15"/>
  <c r="AM67" i="12"/>
  <c r="BA67" s="1"/>
  <c r="AH33" i="22"/>
  <c r="AM33"/>
  <c r="AH61"/>
  <c r="AM61"/>
  <c r="BA61" s="1"/>
  <c r="AM33" i="21"/>
  <c r="AH33"/>
  <c r="DN61"/>
  <c r="AG61"/>
  <c r="EF33" i="19"/>
  <c r="DM33"/>
  <c r="DM29" i="5"/>
  <c r="DX29" s="1"/>
  <c r="EF29"/>
  <c r="DM7"/>
  <c r="BG67" i="12" l="1"/>
  <c r="BB67"/>
  <c r="DN103" i="19"/>
  <c r="AG103"/>
  <c r="T63"/>
  <c r="T63" i="15"/>
  <c r="T59" i="19"/>
  <c r="T59" i="15"/>
  <c r="T96" i="19"/>
  <c r="T96" i="15"/>
  <c r="DM11" i="9"/>
  <c r="DX11" s="1"/>
  <c r="EF11"/>
  <c r="DF73" i="12"/>
  <c r="AY73"/>
  <c r="AZ73" s="1"/>
  <c r="DG73" s="1"/>
  <c r="BG24"/>
  <c r="T24" i="15" s="1"/>
  <c r="DI24" i="12"/>
  <c r="DL24" s="1"/>
  <c r="BV24"/>
  <c r="BS24"/>
  <c r="BX24"/>
  <c r="BY24"/>
  <c r="BZ24" s="1"/>
  <c r="AM94" i="19"/>
  <c r="BA94" s="1"/>
  <c r="DF94"/>
  <c r="DL94" s="1"/>
  <c r="DW94"/>
  <c r="BY94"/>
  <c r="BZ94" s="1"/>
  <c r="BX94"/>
  <c r="BV94"/>
  <c r="AY94"/>
  <c r="BW86"/>
  <c r="DJ86"/>
  <c r="CD86"/>
  <c r="T99"/>
  <c r="T99" i="15"/>
  <c r="T95" i="19"/>
  <c r="T95" i="15"/>
  <c r="BT23" i="12"/>
  <c r="CC23"/>
  <c r="EC23"/>
  <c r="CG23"/>
  <c r="CH23" s="1"/>
  <c r="EB23"/>
  <c r="BB87"/>
  <c r="BF87" s="1"/>
  <c r="BG87" s="1"/>
  <c r="T87" i="15" s="1"/>
  <c r="CD18" i="21"/>
  <c r="DJ18"/>
  <c r="BW18"/>
  <c r="CC28" i="19"/>
  <c r="BT28"/>
  <c r="BB76" i="12"/>
  <c r="BF76" s="1"/>
  <c r="BT40" i="19"/>
  <c r="CC40"/>
  <c r="AH9" i="12"/>
  <c r="AM9"/>
  <c r="AH46" i="21"/>
  <c r="AL46" s="1"/>
  <c r="AM46"/>
  <c r="BA46" s="1"/>
  <c r="BG48"/>
  <c r="BB48"/>
  <c r="DM36" i="9"/>
  <c r="DX36" s="1"/>
  <c r="EF36"/>
  <c r="EF30"/>
  <c r="DM30"/>
  <c r="DX30" s="1"/>
  <c r="EF17"/>
  <c r="DM17"/>
  <c r="DX17" s="1"/>
  <c r="DW74" i="12"/>
  <c r="DI74"/>
  <c r="DL74" s="1"/>
  <c r="BV74"/>
  <c r="BS74"/>
  <c r="BX74"/>
  <c r="BY74"/>
  <c r="BZ74" s="1"/>
  <c r="BG65"/>
  <c r="T65" i="15" s="1"/>
  <c r="BB65" i="12"/>
  <c r="DM87" i="9"/>
  <c r="DX87" s="1"/>
  <c r="EF87"/>
  <c r="BT21" i="12"/>
  <c r="CC21"/>
  <c r="AH21" i="15"/>
  <c r="AL21" s="1"/>
  <c r="AM21" s="1"/>
  <c r="BA21" s="1"/>
  <c r="BB21" s="1"/>
  <c r="BF21" s="1"/>
  <c r="T102" i="19"/>
  <c r="T102" i="15"/>
  <c r="EF94" i="12"/>
  <c r="DM94"/>
  <c r="DX94" s="1"/>
  <c r="EF105" i="9"/>
  <c r="DM105"/>
  <c r="DX105" s="1"/>
  <c r="EF84"/>
  <c r="DM84"/>
  <c r="DX84" s="1"/>
  <c r="BV80" i="21"/>
  <c r="DW80" s="1"/>
  <c r="BS80"/>
  <c r="DI80"/>
  <c r="DL80" s="1"/>
  <c r="BY80"/>
  <c r="BZ80" s="1"/>
  <c r="BX80"/>
  <c r="AH22" i="12"/>
  <c r="AL22" s="1"/>
  <c r="DJ68" i="9"/>
  <c r="BW68"/>
  <c r="CD68"/>
  <c r="EF64"/>
  <c r="DM64"/>
  <c r="DX64" s="1"/>
  <c r="DN56" i="15"/>
  <c r="AG56"/>
  <c r="T52" i="19"/>
  <c r="T52" i="15"/>
  <c r="T97" i="19"/>
  <c r="T97" i="15"/>
  <c r="BG54" i="21"/>
  <c r="BB54"/>
  <c r="BG11" i="12"/>
  <c r="T11" i="15" s="1"/>
  <c r="DI11" i="12"/>
  <c r="BS11"/>
  <c r="BV11"/>
  <c r="DW11" s="1"/>
  <c r="BY11"/>
  <c r="BZ11" s="1"/>
  <c r="DF58"/>
  <c r="AY58"/>
  <c r="AZ58" s="1"/>
  <c r="DG58" s="1"/>
  <c r="DF30"/>
  <c r="AY30"/>
  <c r="AZ30" s="1"/>
  <c r="DG30" s="1"/>
  <c r="DF17"/>
  <c r="AY17"/>
  <c r="AZ17" s="1"/>
  <c r="DG17" s="1"/>
  <c r="DN83" i="15"/>
  <c r="AG83"/>
  <c r="BB78" i="19"/>
  <c r="BF78" s="1"/>
  <c r="AY105" i="12"/>
  <c r="AZ105" s="1"/>
  <c r="DG105" s="1"/>
  <c r="DF105"/>
  <c r="CD22" i="9"/>
  <c r="BW22"/>
  <c r="DJ22"/>
  <c r="AM29" i="12"/>
  <c r="BA29" s="1"/>
  <c r="BB29" s="1"/>
  <c r="BF29" s="1"/>
  <c r="DF29"/>
  <c r="AY29"/>
  <c r="AZ29" s="1"/>
  <c r="DG29" s="1"/>
  <c r="DW29"/>
  <c r="BG64"/>
  <c r="T64" i="15" s="1"/>
  <c r="DI64" i="12"/>
  <c r="BX64"/>
  <c r="BS64"/>
  <c r="BY64"/>
  <c r="BZ64" s="1"/>
  <c r="BV64"/>
  <c r="BB46" i="22"/>
  <c r="BG46"/>
  <c r="DF13" i="12"/>
  <c r="AY13"/>
  <c r="AZ13" s="1"/>
  <c r="DG13" s="1"/>
  <c r="EF55" i="9"/>
  <c r="DM55"/>
  <c r="DX55" s="1"/>
  <c r="DM73"/>
  <c r="DX73" s="1"/>
  <c r="EF73"/>
  <c r="EF24"/>
  <c r="DM24"/>
  <c r="DX24" s="1"/>
  <c r="DW81" i="12"/>
  <c r="BX81"/>
  <c r="DI81"/>
  <c r="DL81" s="1"/>
  <c r="BS81"/>
  <c r="BV81"/>
  <c r="BY81"/>
  <c r="BZ81" s="1"/>
  <c r="T35" i="19"/>
  <c r="T35" i="15"/>
  <c r="T51" i="19"/>
  <c r="T51" i="15"/>
  <c r="DM76" i="9"/>
  <c r="DX76" s="1"/>
  <c r="EF76"/>
  <c r="AH86" i="22"/>
  <c r="AM86"/>
  <c r="BA86" s="1"/>
  <c r="AM40"/>
  <c r="BA40" s="1"/>
  <c r="AH40"/>
  <c r="DI43" i="12"/>
  <c r="DL43" s="1"/>
  <c r="BV43"/>
  <c r="DW43" s="1"/>
  <c r="BS43"/>
  <c r="BY43"/>
  <c r="BZ43" s="1"/>
  <c r="BX43"/>
  <c r="T32" i="19"/>
  <c r="T32" i="15"/>
  <c r="DN60"/>
  <c r="AG60"/>
  <c r="AH60" s="1"/>
  <c r="AL60" s="1"/>
  <c r="DF55" i="12"/>
  <c r="AY55"/>
  <c r="AZ55" s="1"/>
  <c r="DG55" s="1"/>
  <c r="BB36"/>
  <c r="BF36" s="1"/>
  <c r="CG94" i="15"/>
  <c r="CH94" s="1"/>
  <c r="EB94"/>
  <c r="EC94" s="1"/>
  <c r="AM68" i="12"/>
  <c r="BA68" s="1"/>
  <c r="DF68"/>
  <c r="AY68"/>
  <c r="AZ68" s="1"/>
  <c r="DG68" s="1"/>
  <c r="DN103" i="15"/>
  <c r="AG103"/>
  <c r="T27" i="19"/>
  <c r="T27" i="15"/>
  <c r="AH104"/>
  <c r="AM104"/>
  <c r="BA104" s="1"/>
  <c r="T26" i="19"/>
  <c r="T26" i="15"/>
  <c r="T14" i="19"/>
  <c r="T14" i="15"/>
  <c r="EF50" i="9"/>
  <c r="DM50"/>
  <c r="DX50" s="1"/>
  <c r="DI60" i="12"/>
  <c r="DL60" s="1"/>
  <c r="BX60"/>
  <c r="BS60"/>
  <c r="BY60"/>
  <c r="BZ60" s="1"/>
  <c r="BV60"/>
  <c r="DW60"/>
  <c r="BG91" i="15"/>
  <c r="BB91"/>
  <c r="BT94"/>
  <c r="CC94"/>
  <c r="T12" i="19"/>
  <c r="T12" i="15"/>
  <c r="EF65" i="9"/>
  <c r="DM65"/>
  <c r="DX65" s="1"/>
  <c r="DN23" i="15"/>
  <c r="AG23"/>
  <c r="AH23" s="1"/>
  <c r="AL23" s="1"/>
  <c r="DF87" i="12"/>
  <c r="AY87"/>
  <c r="AZ87" s="1"/>
  <c r="DG87" s="1"/>
  <c r="DN25" i="15"/>
  <c r="AG25"/>
  <c r="T85" i="19"/>
  <c r="T85" i="15"/>
  <c r="BG92"/>
  <c r="BB92"/>
  <c r="CG28" i="19"/>
  <c r="CH28" s="1"/>
  <c r="EB28"/>
  <c r="EC28" s="1"/>
  <c r="T28" i="22"/>
  <c r="AG28" s="1"/>
  <c r="T28" i="21"/>
  <c r="AY76" i="12"/>
  <c r="AZ76" s="1"/>
  <c r="DG76" s="1"/>
  <c r="DF76"/>
  <c r="DW76"/>
  <c r="EC40" i="19"/>
  <c r="EB40"/>
  <c r="CG40"/>
  <c r="CH40" s="1"/>
  <c r="DN57" i="15"/>
  <c r="AG57"/>
  <c r="T16" i="19"/>
  <c r="T16" i="15"/>
  <c r="AZ10" i="9"/>
  <c r="AY7"/>
  <c r="BA10"/>
  <c r="AM7"/>
  <c r="BB20" i="12"/>
  <c r="BG20"/>
  <c r="T20" i="15" s="1"/>
  <c r="T34" i="19"/>
  <c r="T34" i="15"/>
  <c r="AH77" i="21"/>
  <c r="AL77" s="1"/>
  <c r="AM77"/>
  <c r="BA77" s="1"/>
  <c r="DM28" i="15"/>
  <c r="DX28" s="1"/>
  <c r="EF28"/>
  <c r="BG69" i="19"/>
  <c r="BV69"/>
  <c r="DW69" s="1"/>
  <c r="BX69"/>
  <c r="BS69"/>
  <c r="BY69"/>
  <c r="BZ69" s="1"/>
  <c r="DI69"/>
  <c r="DL69" s="1"/>
  <c r="T90"/>
  <c r="T90" i="15"/>
  <c r="EC67" i="12"/>
  <c r="CG67"/>
  <c r="CH67" s="1"/>
  <c r="EB67"/>
  <c r="AZ67"/>
  <c r="CC67"/>
  <c r="T45" i="19"/>
  <c r="T45" i="15"/>
  <c r="AG72"/>
  <c r="DN72"/>
  <c r="BG75" i="19"/>
  <c r="BB75"/>
  <c r="T89"/>
  <c r="T89" i="15"/>
  <c r="T71" i="19"/>
  <c r="AG71" s="1"/>
  <c r="T71" i="15"/>
  <c r="DF11" i="12"/>
  <c r="AY11"/>
  <c r="AZ11" s="1"/>
  <c r="DG11" s="1"/>
  <c r="DM84" i="21"/>
  <c r="DX84" s="1"/>
  <c r="EF84"/>
  <c r="T79" i="19"/>
  <c r="T79" i="15"/>
  <c r="DN41"/>
  <c r="AG41"/>
  <c r="T70" i="19"/>
  <c r="T70" i="15"/>
  <c r="DN39"/>
  <c r="AG39"/>
  <c r="T88" i="19"/>
  <c r="T88" i="15"/>
  <c r="T42" i="19"/>
  <c r="T42" i="15"/>
  <c r="T98" i="19"/>
  <c r="T98" i="15"/>
  <c r="DN62"/>
  <c r="AG62"/>
  <c r="BG53" i="21"/>
  <c r="BB53"/>
  <c r="EF77" i="19"/>
  <c r="DM77"/>
  <c r="DX77" s="1"/>
  <c r="BW78" i="15"/>
  <c r="CD78"/>
  <c r="DJ78"/>
  <c r="DJ69"/>
  <c r="BW69"/>
  <c r="CD69"/>
  <c r="BB66" i="12"/>
  <c r="BF66" s="1"/>
  <c r="BG66" s="1"/>
  <c r="T66" i="15" s="1"/>
  <c r="DJ29" i="9"/>
  <c r="BW29"/>
  <c r="CD29"/>
  <c r="AY64" i="12"/>
  <c r="AZ64" s="1"/>
  <c r="DG64" s="1"/>
  <c r="DF64"/>
  <c r="DW64"/>
  <c r="DM46" i="19"/>
  <c r="DX46" s="1"/>
  <c r="EF46"/>
  <c r="DJ49" i="21"/>
  <c r="BW49"/>
  <c r="CD49"/>
  <c r="EF23" i="9"/>
  <c r="DM23"/>
  <c r="DX23" s="1"/>
  <c r="BG91" i="19"/>
  <c r="BB91"/>
  <c r="DJ15" i="21"/>
  <c r="BW15"/>
  <c r="CD15"/>
  <c r="EF93"/>
  <c r="DM93"/>
  <c r="DX93" s="1"/>
  <c r="DM58" i="9"/>
  <c r="DX58" s="1"/>
  <c r="EF58"/>
  <c r="T47" i="19"/>
  <c r="T47" i="15"/>
  <c r="BG77" i="22"/>
  <c r="BB77"/>
  <c r="BB92" i="19"/>
  <c r="BG92"/>
  <c r="EF66" i="9"/>
  <c r="DM66"/>
  <c r="DX66" s="1"/>
  <c r="DN86" i="21"/>
  <c r="AG86"/>
  <c r="DN40"/>
  <c r="AG40"/>
  <c r="DW24" i="12"/>
  <c r="AM55"/>
  <c r="BA55" s="1"/>
  <c r="AM73"/>
  <c r="BA73" s="1"/>
  <c r="BG74"/>
  <c r="T74" i="15" s="1"/>
  <c r="BG80" i="21"/>
  <c r="AM58" i="12"/>
  <c r="BA58" s="1"/>
  <c r="BB58" s="1"/>
  <c r="BF58" s="1"/>
  <c r="AM30"/>
  <c r="BA30" s="1"/>
  <c r="AM17"/>
  <c r="BA17" s="1"/>
  <c r="AM105"/>
  <c r="BA105" s="1"/>
  <c r="AM13"/>
  <c r="BA13" s="1"/>
  <c r="BG81"/>
  <c r="T81" i="15" s="1"/>
  <c r="BG43" i="12"/>
  <c r="T43" i="15" s="1"/>
  <c r="BB61" i="22"/>
  <c r="BG61"/>
  <c r="AH61" i="21"/>
  <c r="AM61"/>
  <c r="BA61" s="1"/>
  <c r="BA33"/>
  <c r="BA33" i="22"/>
  <c r="DX33" i="19"/>
  <c r="BG21" i="15" l="1"/>
  <c r="T21" i="19" s="1"/>
  <c r="AG21" s="1"/>
  <c r="BY21" i="15"/>
  <c r="BZ21" s="1"/>
  <c r="BS21"/>
  <c r="DI21"/>
  <c r="BV21"/>
  <c r="DW21" s="1"/>
  <c r="DN66"/>
  <c r="AG66"/>
  <c r="DN87"/>
  <c r="AG87"/>
  <c r="AH87" s="1"/>
  <c r="AL87" s="1"/>
  <c r="DN81"/>
  <c r="AG81"/>
  <c r="BB17" i="12"/>
  <c r="BF17" s="1"/>
  <c r="BG17"/>
  <c r="T17" i="15" s="1"/>
  <c r="BG58" i="12"/>
  <c r="T58" i="15" s="1"/>
  <c r="BX58" i="12"/>
  <c r="DI58"/>
  <c r="DL58" s="1"/>
  <c r="BS58"/>
  <c r="BV58"/>
  <c r="BY58"/>
  <c r="BZ58" s="1"/>
  <c r="AG74" i="15"/>
  <c r="AH74" s="1"/>
  <c r="AL74" s="1"/>
  <c r="DN74"/>
  <c r="BB55" i="12"/>
  <c r="BF55" s="1"/>
  <c r="BG55" s="1"/>
  <c r="AH40" i="21"/>
  <c r="AL40" s="1"/>
  <c r="AM40" s="1"/>
  <c r="BA40" s="1"/>
  <c r="AH86"/>
  <c r="AL86" s="1"/>
  <c r="AM86" s="1"/>
  <c r="BA86" s="1"/>
  <c r="T92" i="22"/>
  <c r="T92" i="21"/>
  <c r="AG47" i="15"/>
  <c r="DN47"/>
  <c r="EF15" i="21"/>
  <c r="DM15"/>
  <c r="DX15" s="1"/>
  <c r="T91"/>
  <c r="T91" i="22"/>
  <c r="DM69" i="15"/>
  <c r="DX69" s="1"/>
  <c r="EF69"/>
  <c r="AH62"/>
  <c r="AM62"/>
  <c r="BA62" s="1"/>
  <c r="AG98"/>
  <c r="DN98"/>
  <c r="DN42"/>
  <c r="AG42"/>
  <c r="DN88"/>
  <c r="AG88"/>
  <c r="AH39"/>
  <c r="AM39"/>
  <c r="BA39" s="1"/>
  <c r="AG70"/>
  <c r="DN70"/>
  <c r="AH41"/>
  <c r="AM41"/>
  <c r="BA41" s="1"/>
  <c r="AG79"/>
  <c r="DN79"/>
  <c r="AG71"/>
  <c r="DN71"/>
  <c r="DN89"/>
  <c r="AG89"/>
  <c r="AG45"/>
  <c r="DN45"/>
  <c r="DN90" i="19"/>
  <c r="AG90"/>
  <c r="EB69"/>
  <c r="EC69" s="1"/>
  <c r="CG69"/>
  <c r="CH69" s="1"/>
  <c r="T69" i="22"/>
  <c r="AG69" s="1"/>
  <c r="T69" i="21"/>
  <c r="AG69" s="1"/>
  <c r="DF77"/>
  <c r="AY77"/>
  <c r="AZ77" s="1"/>
  <c r="DG77" s="1"/>
  <c r="DN34" i="19"/>
  <c r="AG34"/>
  <c r="BB10" i="9"/>
  <c r="BA7"/>
  <c r="DG10"/>
  <c r="AZ7"/>
  <c r="DN16" i="19"/>
  <c r="AG16"/>
  <c r="AM28" i="22"/>
  <c r="BA28" s="1"/>
  <c r="AH28"/>
  <c r="DN85" i="19"/>
  <c r="AG85"/>
  <c r="DN12"/>
  <c r="AG12"/>
  <c r="DJ94" i="15"/>
  <c r="BW94"/>
  <c r="CD94"/>
  <c r="CC60" i="12"/>
  <c r="BT60"/>
  <c r="DN14" i="19"/>
  <c r="AG14"/>
  <c r="DN26"/>
  <c r="AG26"/>
  <c r="DN27"/>
  <c r="AG27"/>
  <c r="BB68" i="12"/>
  <c r="BF68" s="1"/>
  <c r="BS36"/>
  <c r="BX36"/>
  <c r="DI36"/>
  <c r="DL36" s="1"/>
  <c r="BV36"/>
  <c r="BY36"/>
  <c r="BZ36" s="1"/>
  <c r="DW36"/>
  <c r="AM60" i="15"/>
  <c r="BA60" s="1"/>
  <c r="BB60" s="1"/>
  <c r="BF60" s="1"/>
  <c r="DF60"/>
  <c r="AY60"/>
  <c r="AZ60" s="1"/>
  <c r="DG60" s="1"/>
  <c r="DN32"/>
  <c r="AG32"/>
  <c r="BB86" i="22"/>
  <c r="BG86"/>
  <c r="AG51" i="15"/>
  <c r="DN51"/>
  <c r="DN35"/>
  <c r="AG35"/>
  <c r="BT81" i="12"/>
  <c r="CC81"/>
  <c r="EC81"/>
  <c r="CG81"/>
  <c r="CH81" s="1"/>
  <c r="EB81"/>
  <c r="CC64"/>
  <c r="BT64"/>
  <c r="DM22" i="9"/>
  <c r="DX22" s="1"/>
  <c r="EF22"/>
  <c r="BS78" i="19"/>
  <c r="BV78"/>
  <c r="DW78" s="1"/>
  <c r="BY78"/>
  <c r="BZ78" s="1"/>
  <c r="DI78"/>
  <c r="DL78" s="1"/>
  <c r="DN97" i="15"/>
  <c r="AG97"/>
  <c r="AG52"/>
  <c r="DN52"/>
  <c r="AH56"/>
  <c r="AM56"/>
  <c r="BA56" s="1"/>
  <c r="EF68" i="9"/>
  <c r="DM68"/>
  <c r="DX68" s="1"/>
  <c r="DF22" i="12"/>
  <c r="DL22" s="1"/>
  <c r="BV22"/>
  <c r="DW22" s="1"/>
  <c r="AY22"/>
  <c r="BX22"/>
  <c r="BY22"/>
  <c r="BZ22" s="1"/>
  <c r="BT80" i="21"/>
  <c r="CC80"/>
  <c r="AG102" i="15"/>
  <c r="DN102"/>
  <c r="BT74" i="12"/>
  <c r="CC74"/>
  <c r="BB46" i="21"/>
  <c r="BG46"/>
  <c r="DJ40" i="19"/>
  <c r="CD40"/>
  <c r="BW40"/>
  <c r="BY76" i="12"/>
  <c r="BZ76" s="1"/>
  <c r="BV76"/>
  <c r="DI76"/>
  <c r="DL76" s="1"/>
  <c r="BX76"/>
  <c r="BS76"/>
  <c r="EF18" i="21"/>
  <c r="DM18"/>
  <c r="DX18" s="1"/>
  <c r="DJ23" i="12"/>
  <c r="BW23"/>
  <c r="CD23"/>
  <c r="DN95" i="19"/>
  <c r="AG95"/>
  <c r="DN99"/>
  <c r="AG99"/>
  <c r="EF86"/>
  <c r="DM86"/>
  <c r="DX86" s="1"/>
  <c r="CC94"/>
  <c r="AZ94"/>
  <c r="EB94"/>
  <c r="EC94" s="1"/>
  <c r="CG94"/>
  <c r="CH94" s="1"/>
  <c r="BG94"/>
  <c r="BB94"/>
  <c r="CG24" i="12"/>
  <c r="CH24" s="1"/>
  <c r="EB24"/>
  <c r="EC24" s="1"/>
  <c r="DN24" i="15"/>
  <c r="AG24"/>
  <c r="DN96" i="19"/>
  <c r="AG96"/>
  <c r="DN59"/>
  <c r="AG59"/>
  <c r="DN63"/>
  <c r="AG63"/>
  <c r="T67"/>
  <c r="T67" i="15"/>
  <c r="DL64" i="12"/>
  <c r="DW58"/>
  <c r="DL11"/>
  <c r="DN43" i="15"/>
  <c r="AG43"/>
  <c r="AH43" s="1"/>
  <c r="AL43" s="1"/>
  <c r="BB13" i="12"/>
  <c r="BF13" s="1"/>
  <c r="BG13"/>
  <c r="BB105"/>
  <c r="BF105" s="1"/>
  <c r="BG105"/>
  <c r="T105" i="15" s="1"/>
  <c r="BB30" i="12"/>
  <c r="BF30" s="1"/>
  <c r="BG30"/>
  <c r="BB73"/>
  <c r="BF73" s="1"/>
  <c r="BG73" s="1"/>
  <c r="T73" i="15" s="1"/>
  <c r="DN47" i="19"/>
  <c r="AG47"/>
  <c r="EF49" i="21"/>
  <c r="DM49"/>
  <c r="DX49" s="1"/>
  <c r="EF29" i="9"/>
  <c r="DM29"/>
  <c r="DX29" s="1"/>
  <c r="BX66" i="12"/>
  <c r="DI66"/>
  <c r="DL66" s="1"/>
  <c r="BS66"/>
  <c r="BV66"/>
  <c r="DW66" s="1"/>
  <c r="BY66"/>
  <c r="BZ66" s="1"/>
  <c r="EF78" i="15"/>
  <c r="DM78"/>
  <c r="DX78" s="1"/>
  <c r="DN98" i="19"/>
  <c r="AG98"/>
  <c r="DN42"/>
  <c r="AG42"/>
  <c r="DN88"/>
  <c r="AG88"/>
  <c r="DN70"/>
  <c r="AG70"/>
  <c r="AG79"/>
  <c r="DN79"/>
  <c r="AH71"/>
  <c r="AM71"/>
  <c r="BA71" s="1"/>
  <c r="DN89"/>
  <c r="AG89"/>
  <c r="T75" i="22"/>
  <c r="AG75" s="1"/>
  <c r="T75" i="21"/>
  <c r="AH72" i="15"/>
  <c r="AM72"/>
  <c r="BA72" s="1"/>
  <c r="DN45" i="19"/>
  <c r="AG45"/>
  <c r="DG67" i="12"/>
  <c r="CD67"/>
  <c r="BW67"/>
  <c r="AG90" i="15"/>
  <c r="DN90"/>
  <c r="BT69" i="19"/>
  <c r="CC69"/>
  <c r="BB77" i="21"/>
  <c r="BF77" s="1"/>
  <c r="BG77" s="1"/>
  <c r="DN34" i="15"/>
  <c r="AG34"/>
  <c r="DN20"/>
  <c r="AG20"/>
  <c r="DN16"/>
  <c r="AG16"/>
  <c r="AH57"/>
  <c r="AM57"/>
  <c r="BA57" s="1"/>
  <c r="AG28" i="21"/>
  <c r="DN28"/>
  <c r="DN85" i="15"/>
  <c r="AG85"/>
  <c r="AH25"/>
  <c r="AM25"/>
  <c r="BA25" s="1"/>
  <c r="AM23"/>
  <c r="BA23" s="1"/>
  <c r="AY23"/>
  <c r="AZ23" s="1"/>
  <c r="DG23" s="1"/>
  <c r="DF23"/>
  <c r="DN12"/>
  <c r="AG12"/>
  <c r="EB60" i="12"/>
  <c r="EC60" s="1"/>
  <c r="CG60"/>
  <c r="CH60" s="1"/>
  <c r="DN14" i="15"/>
  <c r="AG14"/>
  <c r="DN26"/>
  <c r="AG26"/>
  <c r="BG104"/>
  <c r="T104" i="19" s="1"/>
  <c r="AG104" s="1"/>
  <c r="BB104" i="15"/>
  <c r="DN27"/>
  <c r="AG27"/>
  <c r="AH103"/>
  <c r="AM103"/>
  <c r="BA103" s="1"/>
  <c r="DN32" i="19"/>
  <c r="AG32"/>
  <c r="CG43" i="12"/>
  <c r="CH43" s="1"/>
  <c r="EB43"/>
  <c r="EC43" s="1"/>
  <c r="BT43"/>
  <c r="CC43"/>
  <c r="BG40" i="22"/>
  <c r="BB40"/>
  <c r="DN51" i="19"/>
  <c r="AG51"/>
  <c r="DN35"/>
  <c r="AG35"/>
  <c r="EC64" i="12"/>
  <c r="EB64"/>
  <c r="CG64"/>
  <c r="CH64" s="1"/>
  <c r="DN64" i="15"/>
  <c r="AG64"/>
  <c r="BG29" i="12"/>
  <c r="T29" i="15" s="1"/>
  <c r="BV29" i="12"/>
  <c r="BY29"/>
  <c r="BZ29" s="1"/>
  <c r="DI29"/>
  <c r="DL29" s="1"/>
  <c r="BS29"/>
  <c r="AH83" i="15"/>
  <c r="AM83"/>
  <c r="BA83" s="1"/>
  <c r="BT11" i="12"/>
  <c r="CC11"/>
  <c r="DN11" i="15"/>
  <c r="AG11"/>
  <c r="AH11" s="1"/>
  <c r="AL11" s="1"/>
  <c r="DN97" i="19"/>
  <c r="AG97"/>
  <c r="DN52"/>
  <c r="AG52"/>
  <c r="EB80" i="21"/>
  <c r="CG80"/>
  <c r="CH80" s="1"/>
  <c r="EC80"/>
  <c r="DN102" i="19"/>
  <c r="AG102"/>
  <c r="DF21" i="15"/>
  <c r="AY21"/>
  <c r="AZ21" s="1"/>
  <c r="DG21" s="1"/>
  <c r="BW21" i="12"/>
  <c r="CD21"/>
  <c r="DJ21"/>
  <c r="DN65" i="15"/>
  <c r="AG65"/>
  <c r="EC74" i="12"/>
  <c r="EB74"/>
  <c r="CG74"/>
  <c r="CH74" s="1"/>
  <c r="DW46" i="21"/>
  <c r="BV46"/>
  <c r="DF46"/>
  <c r="DL46" s="1"/>
  <c r="BY46"/>
  <c r="BZ46" s="1"/>
  <c r="BX46"/>
  <c r="AY46"/>
  <c r="BA9" i="12"/>
  <c r="DJ28" i="19"/>
  <c r="CD28"/>
  <c r="BW28"/>
  <c r="BY87" i="12"/>
  <c r="BZ87" s="1"/>
  <c r="BV87"/>
  <c r="DW87" s="1"/>
  <c r="DI87"/>
  <c r="DL87" s="1"/>
  <c r="BX87"/>
  <c r="BS87"/>
  <c r="AG95" i="15"/>
  <c r="DN95"/>
  <c r="AG99"/>
  <c r="DN99"/>
  <c r="BT24" i="12"/>
  <c r="CC24"/>
  <c r="AG96" i="15"/>
  <c r="DN96"/>
  <c r="AG59"/>
  <c r="DN59"/>
  <c r="DN63"/>
  <c r="AG63"/>
  <c r="AH103" i="19"/>
  <c r="AM103"/>
  <c r="BA103" s="1"/>
  <c r="BG36" i="12"/>
  <c r="T36" i="15" s="1"/>
  <c r="BG78" i="19"/>
  <c r="AM22" i="12"/>
  <c r="BA22" s="1"/>
  <c r="BG76"/>
  <c r="T76" i="15" s="1"/>
  <c r="BG33" i="22"/>
  <c r="BB33"/>
  <c r="BB33" i="21"/>
  <c r="BF33" s="1"/>
  <c r="BB61"/>
  <c r="BG61"/>
  <c r="BB40" l="1"/>
  <c r="BF40" s="1"/>
  <c r="DN73" i="15"/>
  <c r="AG73"/>
  <c r="BG86" i="21"/>
  <c r="BB86"/>
  <c r="AG76" i="15"/>
  <c r="DN76"/>
  <c r="T78" i="22"/>
  <c r="AG78" s="1"/>
  <c r="T78" i="21"/>
  <c r="BB103" i="19"/>
  <c r="BG103"/>
  <c r="AH63" i="15"/>
  <c r="AM63"/>
  <c r="BA63" s="1"/>
  <c r="CC87" i="12"/>
  <c r="BT87"/>
  <c r="CC46" i="21"/>
  <c r="AZ46"/>
  <c r="AH102" i="19"/>
  <c r="AM102"/>
  <c r="BA102" s="1"/>
  <c r="CD11" i="12"/>
  <c r="DJ11"/>
  <c r="BW11"/>
  <c r="AH64" i="15"/>
  <c r="AL64" s="1"/>
  <c r="AM64"/>
  <c r="BA64" s="1"/>
  <c r="BB64" s="1"/>
  <c r="BF64" s="1"/>
  <c r="CD43" i="12"/>
  <c r="BW43"/>
  <c r="DJ43"/>
  <c r="AM104" i="19"/>
  <c r="BA104" s="1"/>
  <c r="AH104"/>
  <c r="BB25" i="15"/>
  <c r="BG25"/>
  <c r="T25" i="19" s="1"/>
  <c r="AG25" s="1"/>
  <c r="AH85" i="15"/>
  <c r="AM85"/>
  <c r="BA85" s="1"/>
  <c r="BG57"/>
  <c r="T57" i="19" s="1"/>
  <c r="AG57" s="1"/>
  <c r="BB57" i="15"/>
  <c r="AH16"/>
  <c r="AM16"/>
  <c r="BA16" s="1"/>
  <c r="AM20"/>
  <c r="BA20" s="1"/>
  <c r="AH20"/>
  <c r="AH34"/>
  <c r="AM34"/>
  <c r="BA34" s="1"/>
  <c r="DM67" i="12"/>
  <c r="DX67" s="1"/>
  <c r="EF67"/>
  <c r="AH75" i="22"/>
  <c r="AM75"/>
  <c r="BA75" s="1"/>
  <c r="AH79" i="19"/>
  <c r="AM79"/>
  <c r="BA79" s="1"/>
  <c r="AH47"/>
  <c r="AM47"/>
  <c r="BA47" s="1"/>
  <c r="DN105" i="15"/>
  <c r="AG105"/>
  <c r="AM43"/>
  <c r="BA43" s="1"/>
  <c r="AY43"/>
  <c r="AZ43" s="1"/>
  <c r="DG43" s="1"/>
  <c r="DF43"/>
  <c r="AG67"/>
  <c r="DN67"/>
  <c r="AH63" i="19"/>
  <c r="AM63"/>
  <c r="BA63" s="1"/>
  <c r="AM59"/>
  <c r="BA59" s="1"/>
  <c r="AH59"/>
  <c r="AM96"/>
  <c r="BA96" s="1"/>
  <c r="AH96"/>
  <c r="AH24" i="15"/>
  <c r="AL24" s="1"/>
  <c r="AM24"/>
  <c r="BA24" s="1"/>
  <c r="BB24" s="1"/>
  <c r="BF24" s="1"/>
  <c r="DG94" i="19"/>
  <c r="BW94"/>
  <c r="CD94"/>
  <c r="AH99"/>
  <c r="AM99"/>
  <c r="BA99" s="1"/>
  <c r="AH95"/>
  <c r="AM95"/>
  <c r="BA95" s="1"/>
  <c r="DM23" i="12"/>
  <c r="DX23" s="1"/>
  <c r="EF23"/>
  <c r="CG76"/>
  <c r="CH76" s="1"/>
  <c r="EB76"/>
  <c r="EC76" s="1"/>
  <c r="DM40" i="19"/>
  <c r="DX40" s="1"/>
  <c r="EF40"/>
  <c r="CD74" i="12"/>
  <c r="DJ74"/>
  <c r="BW74"/>
  <c r="AH102" i="15"/>
  <c r="AM102"/>
  <c r="BA102" s="1"/>
  <c r="BW80" i="21"/>
  <c r="CD80"/>
  <c r="DJ80"/>
  <c r="EB22" i="12"/>
  <c r="EC22" s="1"/>
  <c r="CG22"/>
  <c r="CH22" s="1"/>
  <c r="BG56" i="15"/>
  <c r="T56" i="19" s="1"/>
  <c r="AG56" s="1"/>
  <c r="BB56" i="15"/>
  <c r="AH97"/>
  <c r="AM97"/>
  <c r="BA97" s="1"/>
  <c r="DJ64" i="12"/>
  <c r="BW64"/>
  <c r="CD64"/>
  <c r="DJ81"/>
  <c r="BW81"/>
  <c r="CD81"/>
  <c r="AH51" i="15"/>
  <c r="AM51"/>
  <c r="BA51" s="1"/>
  <c r="BG60"/>
  <c r="T60" i="19" s="1"/>
  <c r="AG60" s="1"/>
  <c r="AH60" s="1"/>
  <c r="AL60" s="1"/>
  <c r="BV60" i="15"/>
  <c r="BY60"/>
  <c r="BZ60" s="1"/>
  <c r="BX60"/>
  <c r="DI60"/>
  <c r="DL60" s="1"/>
  <c r="BS60"/>
  <c r="BT36" i="12"/>
  <c r="CC36"/>
  <c r="BV68"/>
  <c r="BY68"/>
  <c r="BZ68" s="1"/>
  <c r="BX68"/>
  <c r="DI68"/>
  <c r="DL68" s="1"/>
  <c r="BS68"/>
  <c r="DW68"/>
  <c r="AH12" i="19"/>
  <c r="AM12"/>
  <c r="BA12" s="1"/>
  <c r="AH85"/>
  <c r="AM85"/>
  <c r="BA85" s="1"/>
  <c r="AH16"/>
  <c r="AM16"/>
  <c r="BA16" s="1"/>
  <c r="AH34"/>
  <c r="AM34"/>
  <c r="BA34" s="1"/>
  <c r="AH69" i="21"/>
  <c r="AL69" s="1"/>
  <c r="AH90" i="19"/>
  <c r="AM90"/>
  <c r="BA90" s="1"/>
  <c r="AH89" i="15"/>
  <c r="AM89"/>
  <c r="BA89" s="1"/>
  <c r="BB41"/>
  <c r="BG41"/>
  <c r="T41" i="19" s="1"/>
  <c r="AG41" s="1"/>
  <c r="BB39" i="15"/>
  <c r="BG39"/>
  <c r="T39" i="19" s="1"/>
  <c r="AG39" s="1"/>
  <c r="AM88" i="15"/>
  <c r="BA88" s="1"/>
  <c r="AH88"/>
  <c r="AH42"/>
  <c r="AM42"/>
  <c r="BA42" s="1"/>
  <c r="BG62"/>
  <c r="T62" i="19" s="1"/>
  <c r="AG62" s="1"/>
  <c r="BB62" i="15"/>
  <c r="AG91" i="22"/>
  <c r="DN91"/>
  <c r="DN92" i="21"/>
  <c r="AG92"/>
  <c r="CC58" i="12"/>
  <c r="BT58"/>
  <c r="CG58"/>
  <c r="CH58" s="1"/>
  <c r="EC58"/>
  <c r="EB58"/>
  <c r="DN17" i="15"/>
  <c r="AG17"/>
  <c r="AH81"/>
  <c r="AL81" s="1"/>
  <c r="AM81"/>
  <c r="BA81" s="1"/>
  <c r="BB81" s="1"/>
  <c r="BF81" s="1"/>
  <c r="AM87"/>
  <c r="BA87" s="1"/>
  <c r="DF87"/>
  <c r="AY87"/>
  <c r="AZ87" s="1"/>
  <c r="DG87" s="1"/>
  <c r="AH66"/>
  <c r="AL66" s="1"/>
  <c r="BT21"/>
  <c r="CC21"/>
  <c r="AH21" i="19"/>
  <c r="AL21" s="1"/>
  <c r="BG22" i="12"/>
  <c r="T22" i="15" s="1"/>
  <c r="BB22" i="12"/>
  <c r="DN36" i="15"/>
  <c r="AG36"/>
  <c r="AH59"/>
  <c r="AM59"/>
  <c r="BA59" s="1"/>
  <c r="AH96"/>
  <c r="AM96"/>
  <c r="BA96" s="1"/>
  <c r="DJ24" i="12"/>
  <c r="CD24"/>
  <c r="BW24"/>
  <c r="AM99" i="15"/>
  <c r="BA99" s="1"/>
  <c r="AH99"/>
  <c r="AH95"/>
  <c r="AM95"/>
  <c r="BA95" s="1"/>
  <c r="EB87" i="12"/>
  <c r="EC87" s="1"/>
  <c r="CG87"/>
  <c r="CH87" s="1"/>
  <c r="EF28" i="19"/>
  <c r="DM28"/>
  <c r="DX28" s="1"/>
  <c r="BB9" i="12"/>
  <c r="BG9"/>
  <c r="EB46" i="21"/>
  <c r="EC46" s="1"/>
  <c r="CG46"/>
  <c r="CH46" s="1"/>
  <c r="AH65" i="15"/>
  <c r="AM65"/>
  <c r="BA65" s="1"/>
  <c r="EF21" i="12"/>
  <c r="DM21"/>
  <c r="DX21" s="1"/>
  <c r="AM52" i="19"/>
  <c r="BA52" s="1"/>
  <c r="AH52"/>
  <c r="AH97"/>
  <c r="AM97"/>
  <c r="BA97" s="1"/>
  <c r="AM11" i="15"/>
  <c r="BA11" s="1"/>
  <c r="AY11"/>
  <c r="DF11"/>
  <c r="BG83"/>
  <c r="T83" i="19" s="1"/>
  <c r="AG83" s="1"/>
  <c r="BB83" i="15"/>
  <c r="CC29" i="12"/>
  <c r="BT29"/>
  <c r="DN29" i="15"/>
  <c r="AG29"/>
  <c r="AH29" s="1"/>
  <c r="AL29" s="1"/>
  <c r="AM35" i="19"/>
  <c r="BA35" s="1"/>
  <c r="AH35"/>
  <c r="AH51"/>
  <c r="AM51"/>
  <c r="BA51" s="1"/>
  <c r="AH32"/>
  <c r="AM32"/>
  <c r="BA32" s="1"/>
  <c r="BG103" i="15"/>
  <c r="BB103"/>
  <c r="AH27"/>
  <c r="AM27"/>
  <c r="BA27" s="1"/>
  <c r="AH26"/>
  <c r="AM26"/>
  <c r="BA26" s="1"/>
  <c r="AH14"/>
  <c r="AM14"/>
  <c r="BA14" s="1"/>
  <c r="AH12"/>
  <c r="AM12"/>
  <c r="BA12" s="1"/>
  <c r="BB23"/>
  <c r="BF23" s="1"/>
  <c r="AH28" i="21"/>
  <c r="AL28" s="1"/>
  <c r="BV77"/>
  <c r="DW77" s="1"/>
  <c r="BS77"/>
  <c r="BY77"/>
  <c r="BZ77" s="1"/>
  <c r="BX77"/>
  <c r="DI77"/>
  <c r="DJ69" i="19"/>
  <c r="BW69"/>
  <c r="CD69"/>
  <c r="AH90" i="15"/>
  <c r="AM90"/>
  <c r="BA90" s="1"/>
  <c r="AM45" i="19"/>
  <c r="BA45" s="1"/>
  <c r="AH45"/>
  <c r="BG72" i="15"/>
  <c r="T72" i="19" s="1"/>
  <c r="AG72" s="1"/>
  <c r="BB72" i="15"/>
  <c r="AG75" i="21"/>
  <c r="DN75"/>
  <c r="AH89" i="19"/>
  <c r="AM89"/>
  <c r="BA89" s="1"/>
  <c r="BB71"/>
  <c r="BF71" s="1"/>
  <c r="AH70"/>
  <c r="AM70"/>
  <c r="BA70" s="1"/>
  <c r="AH88"/>
  <c r="AM88"/>
  <c r="BA88" s="1"/>
  <c r="AH42"/>
  <c r="AM42"/>
  <c r="BA42" s="1"/>
  <c r="AH98"/>
  <c r="AM98"/>
  <c r="BA98" s="1"/>
  <c r="BT66" i="12"/>
  <c r="CC66"/>
  <c r="EB66"/>
  <c r="EC66" s="1"/>
  <c r="CG66"/>
  <c r="CH66" s="1"/>
  <c r="BV73"/>
  <c r="DW73" s="1"/>
  <c r="BS73"/>
  <c r="DI73"/>
  <c r="DL73" s="1"/>
  <c r="BX73"/>
  <c r="BY73"/>
  <c r="BZ73" s="1"/>
  <c r="BX30"/>
  <c r="DI30"/>
  <c r="DL30" s="1"/>
  <c r="BS30"/>
  <c r="BV30"/>
  <c r="DW30" s="1"/>
  <c r="BY30"/>
  <c r="BZ30" s="1"/>
  <c r="DI105"/>
  <c r="DL105" s="1"/>
  <c r="BV105"/>
  <c r="DW105" s="1"/>
  <c r="BY105"/>
  <c r="BZ105" s="1"/>
  <c r="BX105"/>
  <c r="BS105"/>
  <c r="BY13"/>
  <c r="BZ13" s="1"/>
  <c r="BX13"/>
  <c r="DI13"/>
  <c r="DL13" s="1"/>
  <c r="BV13"/>
  <c r="DW13" s="1"/>
  <c r="BS13"/>
  <c r="DN67" i="19"/>
  <c r="AG67"/>
  <c r="T94" i="22"/>
  <c r="AG94" s="1"/>
  <c r="T94" i="21"/>
  <c r="BT76" i="12"/>
  <c r="CC76"/>
  <c r="AZ22"/>
  <c r="CC22"/>
  <c r="AH52" i="15"/>
  <c r="AM52"/>
  <c r="BA52" s="1"/>
  <c r="CC78" i="19"/>
  <c r="BT78"/>
  <c r="AH35" i="15"/>
  <c r="AM35"/>
  <c r="BA35" s="1"/>
  <c r="AM32"/>
  <c r="BA32" s="1"/>
  <c r="AH32"/>
  <c r="CG36" i="12"/>
  <c r="CH36" s="1"/>
  <c r="EB36"/>
  <c r="EC36" s="1"/>
  <c r="AM27" i="19"/>
  <c r="BA27" s="1"/>
  <c r="AH27"/>
  <c r="AH26"/>
  <c r="AM26"/>
  <c r="BA26" s="1"/>
  <c r="AM14"/>
  <c r="BA14" s="1"/>
  <c r="AH14"/>
  <c r="BW60" i="12"/>
  <c r="CD60"/>
  <c r="DJ60"/>
  <c r="EF94" i="15"/>
  <c r="DM94"/>
  <c r="DX94" s="1"/>
  <c r="BG28" i="22"/>
  <c r="BB28"/>
  <c r="DG7" i="9"/>
  <c r="BF10"/>
  <c r="BB7"/>
  <c r="AH69" i="22"/>
  <c r="AM69"/>
  <c r="BA69" s="1"/>
  <c r="AH45" i="15"/>
  <c r="AM45"/>
  <c r="BA45" s="1"/>
  <c r="AH71"/>
  <c r="AM71"/>
  <c r="BA71" s="1"/>
  <c r="AH79"/>
  <c r="AM79"/>
  <c r="BA79" s="1"/>
  <c r="AH70"/>
  <c r="AM70"/>
  <c r="BA70" s="1"/>
  <c r="AH98"/>
  <c r="AM98"/>
  <c r="BA98" s="1"/>
  <c r="DN91" i="21"/>
  <c r="AG91"/>
  <c r="AH47" i="15"/>
  <c r="AM47"/>
  <c r="BA47" s="1"/>
  <c r="DN92" i="22"/>
  <c r="AG92"/>
  <c r="DW86" i="21"/>
  <c r="AY86"/>
  <c r="BY86"/>
  <c r="BZ86" s="1"/>
  <c r="DF86"/>
  <c r="DL86" s="1"/>
  <c r="BX86"/>
  <c r="BV86"/>
  <c r="DF40"/>
  <c r="AY40"/>
  <c r="AZ40" s="1"/>
  <c r="DG40" s="1"/>
  <c r="DW40"/>
  <c r="BX55" i="12"/>
  <c r="DI55"/>
  <c r="DL55" s="1"/>
  <c r="BS55"/>
  <c r="BV55"/>
  <c r="BY55"/>
  <c r="BZ55" s="1"/>
  <c r="DW55"/>
  <c r="AM74" i="15"/>
  <c r="BA74" s="1"/>
  <c r="BB74" s="1"/>
  <c r="BF74" s="1"/>
  <c r="DF74"/>
  <c r="AY74"/>
  <c r="AZ74" s="1"/>
  <c r="DG74" s="1"/>
  <c r="AG58"/>
  <c r="DN58"/>
  <c r="BX17" i="12"/>
  <c r="BY17"/>
  <c r="BZ17" s="1"/>
  <c r="BS17"/>
  <c r="BV17"/>
  <c r="DI17"/>
  <c r="DL17" s="1"/>
  <c r="DW17"/>
  <c r="DW60" i="15"/>
  <c r="BG68" i="12"/>
  <c r="T68" i="15" s="1"/>
  <c r="DL77" i="21"/>
  <c r="DL21" i="15"/>
  <c r="BG33" i="21"/>
  <c r="BX33"/>
  <c r="DI33"/>
  <c r="BS33"/>
  <c r="BY33"/>
  <c r="BV33"/>
  <c r="BG74" i="15" l="1"/>
  <c r="T74" i="19" s="1"/>
  <c r="AG74" s="1"/>
  <c r="AH74" s="1"/>
  <c r="AL74" s="1"/>
  <c r="BV74" i="15"/>
  <c r="BY74"/>
  <c r="BZ74" s="1"/>
  <c r="BX74"/>
  <c r="DI74"/>
  <c r="DL74" s="1"/>
  <c r="BS74"/>
  <c r="CC55" i="12"/>
  <c r="BT55"/>
  <c r="EB86" i="21"/>
  <c r="CG86"/>
  <c r="CH86" s="1"/>
  <c r="EC86"/>
  <c r="BG10" i="9"/>
  <c r="BF7"/>
  <c r="BV10"/>
  <c r="BV7" s="1"/>
  <c r="BY10"/>
  <c r="BX10"/>
  <c r="DI10"/>
  <c r="BS10"/>
  <c r="DW10"/>
  <c r="DM60" i="12"/>
  <c r="DX60" s="1"/>
  <c r="EF60"/>
  <c r="BB14" i="19"/>
  <c r="BG14"/>
  <c r="BB27"/>
  <c r="BG27"/>
  <c r="BB32" i="15"/>
  <c r="BG32"/>
  <c r="DG22" i="12"/>
  <c r="BW22"/>
  <c r="CD22"/>
  <c r="AH94" i="22"/>
  <c r="AM94"/>
  <c r="BA94" s="1"/>
  <c r="CG13" i="12"/>
  <c r="CH13" s="1"/>
  <c r="EB13"/>
  <c r="EC13"/>
  <c r="CC105"/>
  <c r="BT105"/>
  <c r="CD66"/>
  <c r="DJ66"/>
  <c r="BW66"/>
  <c r="BY71" i="19"/>
  <c r="BZ71" s="1"/>
  <c r="DI71"/>
  <c r="DL71" s="1"/>
  <c r="BS71"/>
  <c r="BV71"/>
  <c r="DW71" s="1"/>
  <c r="BX71"/>
  <c r="AM75" i="21"/>
  <c r="BA75" s="1"/>
  <c r="AH75"/>
  <c r="AM72" i="19"/>
  <c r="BA72" s="1"/>
  <c r="AH72"/>
  <c r="BB45"/>
  <c r="BG45"/>
  <c r="DF28" i="21"/>
  <c r="AY28"/>
  <c r="AZ28" s="1"/>
  <c r="DG28" s="1"/>
  <c r="DW23" i="15"/>
  <c r="BX23"/>
  <c r="BY23"/>
  <c r="BZ23" s="1"/>
  <c r="DI23"/>
  <c r="DL23" s="1"/>
  <c r="BV23"/>
  <c r="BS23"/>
  <c r="BB35" i="19"/>
  <c r="BG35"/>
  <c r="AM83"/>
  <c r="BA83" s="1"/>
  <c r="AH83"/>
  <c r="BB11" i="15"/>
  <c r="BF11" s="1"/>
  <c r="BG11"/>
  <c r="T11" i="19" s="1"/>
  <c r="AG11" s="1"/>
  <c r="AH11" s="1"/>
  <c r="AL11" s="1"/>
  <c r="BB52"/>
  <c r="BG52"/>
  <c r="T9"/>
  <c r="T9" i="15"/>
  <c r="BG95"/>
  <c r="BB95"/>
  <c r="DM24" i="12"/>
  <c r="DX24" s="1"/>
  <c r="EF24"/>
  <c r="DN22" i="15"/>
  <c r="AG22"/>
  <c r="DF21" i="19"/>
  <c r="AY21"/>
  <c r="AZ21" s="1"/>
  <c r="DG21" s="1"/>
  <c r="BW21" i="15"/>
  <c r="CD21"/>
  <c r="DJ21"/>
  <c r="DF66"/>
  <c r="AY66"/>
  <c r="AZ66" s="1"/>
  <c r="DG66" s="1"/>
  <c r="BG81"/>
  <c r="T81" i="19" s="1"/>
  <c r="AG81" s="1"/>
  <c r="DI81" i="15"/>
  <c r="BX81"/>
  <c r="BS81"/>
  <c r="BY81"/>
  <c r="BZ81" s="1"/>
  <c r="BV81"/>
  <c r="AH17"/>
  <c r="AL17" s="1"/>
  <c r="AM17" s="1"/>
  <c r="BA17" s="1"/>
  <c r="AM91" i="22"/>
  <c r="BA91" s="1"/>
  <c r="AH91"/>
  <c r="AH62" i="19"/>
  <c r="AM62"/>
  <c r="BA62" s="1"/>
  <c r="BB88" i="15"/>
  <c r="BG88"/>
  <c r="AY69" i="21"/>
  <c r="AZ69" s="1"/>
  <c r="DG69" s="1"/>
  <c r="DF69"/>
  <c r="CC68" i="12"/>
  <c r="BT68"/>
  <c r="CG68"/>
  <c r="CH68" s="1"/>
  <c r="EB68"/>
  <c r="EC68" s="1"/>
  <c r="CD36"/>
  <c r="DJ36"/>
  <c r="BW36"/>
  <c r="AM60" i="19"/>
  <c r="BA60" s="1"/>
  <c r="BB60" s="1"/>
  <c r="BF60" s="1"/>
  <c r="AY60"/>
  <c r="AZ60" s="1"/>
  <c r="DG60" s="1"/>
  <c r="DF60"/>
  <c r="DW60"/>
  <c r="DM64" i="12"/>
  <c r="DX64" s="1"/>
  <c r="EF64"/>
  <c r="AM56" i="19"/>
  <c r="BA56" s="1"/>
  <c r="AH56"/>
  <c r="BG102" i="15"/>
  <c r="BB102"/>
  <c r="BG24"/>
  <c r="T24" i="19" s="1"/>
  <c r="AG24" s="1"/>
  <c r="AH24" s="1"/>
  <c r="AL24" s="1"/>
  <c r="DI24" i="15"/>
  <c r="BY24"/>
  <c r="BZ24" s="1"/>
  <c r="BS24"/>
  <c r="BV24"/>
  <c r="BX24"/>
  <c r="BB63" i="19"/>
  <c r="BG63"/>
  <c r="BB43" i="15"/>
  <c r="BF43" s="1"/>
  <c r="BB20"/>
  <c r="BG20"/>
  <c r="T20" i="19" s="1"/>
  <c r="AG20" s="1"/>
  <c r="AM57"/>
  <c r="BA57" s="1"/>
  <c r="AH57"/>
  <c r="BB104"/>
  <c r="BG104"/>
  <c r="BG64" i="15"/>
  <c r="T64" i="19" s="1"/>
  <c r="AG64" s="1"/>
  <c r="AH64" s="1"/>
  <c r="AL64" s="1"/>
  <c r="DI64" i="15"/>
  <c r="BX64"/>
  <c r="BS64"/>
  <c r="BY64"/>
  <c r="BZ64" s="1"/>
  <c r="BV64"/>
  <c r="AH78" i="22"/>
  <c r="AM78"/>
  <c r="BA78" s="1"/>
  <c r="AH76" i="15"/>
  <c r="AL76" s="1"/>
  <c r="BS40" i="21"/>
  <c r="BX40"/>
  <c r="DI40"/>
  <c r="DL40" s="1"/>
  <c r="BV40"/>
  <c r="BY40"/>
  <c r="BZ40" s="1"/>
  <c r="AG68" i="15"/>
  <c r="DN68"/>
  <c r="BT17" i="12"/>
  <c r="CC17"/>
  <c r="EB17"/>
  <c r="EC17" s="1"/>
  <c r="CG17"/>
  <c r="CH17" s="1"/>
  <c r="AH58" i="15"/>
  <c r="AL58" s="1"/>
  <c r="EB55" i="12"/>
  <c r="EC55"/>
  <c r="CG55"/>
  <c r="CH55" s="1"/>
  <c r="DJ76"/>
  <c r="BW76"/>
  <c r="CD76"/>
  <c r="AZ86" i="21"/>
  <c r="CC86"/>
  <c r="AH92" i="22"/>
  <c r="AM92"/>
  <c r="BA92" s="1"/>
  <c r="BG47" i="15"/>
  <c r="BB47"/>
  <c r="AH91" i="21"/>
  <c r="AM91"/>
  <c r="BA91" s="1"/>
  <c r="BB98" i="15"/>
  <c r="BG98"/>
  <c r="BG70"/>
  <c r="BB70"/>
  <c r="BG79"/>
  <c r="BB79"/>
  <c r="BG71"/>
  <c r="BB71"/>
  <c r="BG45"/>
  <c r="BB45"/>
  <c r="BB69" i="22"/>
  <c r="BG69"/>
  <c r="BB26" i="19"/>
  <c r="BG26"/>
  <c r="BG35" i="15"/>
  <c r="BB35"/>
  <c r="CD78" i="19"/>
  <c r="BW78"/>
  <c r="DJ78"/>
  <c r="BG52" i="15"/>
  <c r="BB52"/>
  <c r="AG94" i="21"/>
  <c r="DN94"/>
  <c r="AH67" i="19"/>
  <c r="AM67"/>
  <c r="BA67" s="1"/>
  <c r="CC13" i="12"/>
  <c r="BT13"/>
  <c r="CG105"/>
  <c r="CH105" s="1"/>
  <c r="EB105"/>
  <c r="EC105" s="1"/>
  <c r="BT30"/>
  <c r="CC30"/>
  <c r="EB30"/>
  <c r="EC30" s="1"/>
  <c r="CG30"/>
  <c r="CH30" s="1"/>
  <c r="CG73"/>
  <c r="CH73" s="1"/>
  <c r="EB73"/>
  <c r="EC73" s="1"/>
  <c r="BT73"/>
  <c r="CC73"/>
  <c r="BB98" i="19"/>
  <c r="BG98"/>
  <c r="BB42"/>
  <c r="BG42"/>
  <c r="BG88"/>
  <c r="BB88"/>
  <c r="BB70"/>
  <c r="BG70"/>
  <c r="BG89"/>
  <c r="BB89"/>
  <c r="BG90" i="15"/>
  <c r="BB90"/>
  <c r="DM69" i="19"/>
  <c r="DX69" s="1"/>
  <c r="EF69"/>
  <c r="CG77" i="21"/>
  <c r="CH77" s="1"/>
  <c r="EB77"/>
  <c r="EC77" s="1"/>
  <c r="CC77"/>
  <c r="BT77"/>
  <c r="BB12" i="15"/>
  <c r="BG12"/>
  <c r="BB14"/>
  <c r="BG14"/>
  <c r="BG26"/>
  <c r="BB26"/>
  <c r="BG27"/>
  <c r="BB27"/>
  <c r="BB32" i="19"/>
  <c r="BG32"/>
  <c r="BB51"/>
  <c r="BG51"/>
  <c r="AM29" i="15"/>
  <c r="BA29" s="1"/>
  <c r="BB29" s="1"/>
  <c r="BF29" s="1"/>
  <c r="DF29"/>
  <c r="AY29"/>
  <c r="AZ29" s="1"/>
  <c r="DG29" s="1"/>
  <c r="DW29"/>
  <c r="DJ29" i="12"/>
  <c r="BW29"/>
  <c r="CD29"/>
  <c r="AZ11" i="15"/>
  <c r="BG97" i="19"/>
  <c r="BB97"/>
  <c r="BG65" i="15"/>
  <c r="T65" i="19" s="1"/>
  <c r="AG65" s="1"/>
  <c r="BB65" i="15"/>
  <c r="BB99"/>
  <c r="BG99"/>
  <c r="BB96"/>
  <c r="BG96"/>
  <c r="BB59"/>
  <c r="BG59"/>
  <c r="AH36"/>
  <c r="AL36" s="1"/>
  <c r="BB87"/>
  <c r="BF87" s="1"/>
  <c r="DF81"/>
  <c r="AY81"/>
  <c r="AZ81" s="1"/>
  <c r="DG81" s="1"/>
  <c r="DW81"/>
  <c r="DJ58" i="12"/>
  <c r="BW58"/>
  <c r="CD58"/>
  <c r="AM92" i="21"/>
  <c r="BA92" s="1"/>
  <c r="AH92"/>
  <c r="BG42" i="15"/>
  <c r="BB42"/>
  <c r="AM39" i="19"/>
  <c r="BA39" s="1"/>
  <c r="AH39"/>
  <c r="AM41"/>
  <c r="BA41" s="1"/>
  <c r="AH41"/>
  <c r="BB89" i="15"/>
  <c r="BG89"/>
  <c r="BG90" i="19"/>
  <c r="BB90"/>
  <c r="BB34"/>
  <c r="BG34"/>
  <c r="BB16"/>
  <c r="BG16"/>
  <c r="BB85"/>
  <c r="BG85"/>
  <c r="BG12"/>
  <c r="BB12"/>
  <c r="BT60" i="15"/>
  <c r="CC60"/>
  <c r="EB60"/>
  <c r="EC60" s="1"/>
  <c r="CG60"/>
  <c r="CH60" s="1"/>
  <c r="BG51"/>
  <c r="BB51"/>
  <c r="EF81" i="12"/>
  <c r="DM81"/>
  <c r="DX81" s="1"/>
  <c r="BB97" i="15"/>
  <c r="BG97"/>
  <c r="DM80" i="21"/>
  <c r="DX80" s="1"/>
  <c r="EF80"/>
  <c r="DM74" i="12"/>
  <c r="DX74" s="1"/>
  <c r="EF74"/>
  <c r="BB95" i="19"/>
  <c r="BG95"/>
  <c r="BB99"/>
  <c r="BG99"/>
  <c r="EF94"/>
  <c r="DM94"/>
  <c r="DX94" s="1"/>
  <c r="DF24" i="15"/>
  <c r="AY24"/>
  <c r="AZ24" s="1"/>
  <c r="DG24" s="1"/>
  <c r="DW24"/>
  <c r="BG96" i="19"/>
  <c r="BB96"/>
  <c r="BB59"/>
  <c r="BG59"/>
  <c r="AM67" i="15"/>
  <c r="BA67" s="1"/>
  <c r="AH67"/>
  <c r="AH105"/>
  <c r="AL105" s="1"/>
  <c r="AM105"/>
  <c r="BA105" s="1"/>
  <c r="BB105" s="1"/>
  <c r="BF105" s="1"/>
  <c r="BB47" i="19"/>
  <c r="BG47"/>
  <c r="BB79"/>
  <c r="BG79"/>
  <c r="BB75" i="22"/>
  <c r="BG75"/>
  <c r="BG34" i="15"/>
  <c r="BB34"/>
  <c r="BB16"/>
  <c r="BG16"/>
  <c r="BB85"/>
  <c r="BG85"/>
  <c r="AM25" i="19"/>
  <c r="BA25" s="1"/>
  <c r="AH25"/>
  <c r="EF43" i="12"/>
  <c r="DM43"/>
  <c r="DX43" s="1"/>
  <c r="DF64" i="15"/>
  <c r="AY64"/>
  <c r="AZ64" s="1"/>
  <c r="DG64" s="1"/>
  <c r="DW64"/>
  <c r="EF11" i="12"/>
  <c r="DM11"/>
  <c r="DX11" s="1"/>
  <c r="BG102" i="19"/>
  <c r="BB102"/>
  <c r="CD46" i="21"/>
  <c r="DG46"/>
  <c r="BW46"/>
  <c r="DJ87" i="12"/>
  <c r="BW87"/>
  <c r="CD87"/>
  <c r="BG63" i="15"/>
  <c r="BB63"/>
  <c r="T103" i="22"/>
  <c r="T103" i="21"/>
  <c r="AG78"/>
  <c r="DN78"/>
  <c r="AH73" i="15"/>
  <c r="AL73" s="1"/>
  <c r="DW74"/>
  <c r="BG71" i="19"/>
  <c r="AM28" i="21"/>
  <c r="BA28" s="1"/>
  <c r="BG23" i="15"/>
  <c r="T23" i="19" s="1"/>
  <c r="AG23" s="1"/>
  <c r="AM21"/>
  <c r="BA21" s="1"/>
  <c r="AM66" i="15"/>
  <c r="BA66" s="1"/>
  <c r="BB66" s="1"/>
  <c r="BF66" s="1"/>
  <c r="AM69" i="21"/>
  <c r="BA69" s="1"/>
  <c r="BG40"/>
  <c r="BZ33"/>
  <c r="DL33"/>
  <c r="DW33"/>
  <c r="BT33"/>
  <c r="CC33"/>
  <c r="EB33"/>
  <c r="EC33" s="1"/>
  <c r="CG33"/>
  <c r="BB17" i="15" l="1"/>
  <c r="BF17" s="1"/>
  <c r="BB69" i="21"/>
  <c r="BF69" s="1"/>
  <c r="AH23" i="19"/>
  <c r="AL23" s="1"/>
  <c r="DF73" i="15"/>
  <c r="AY73"/>
  <c r="AZ73" s="1"/>
  <c r="DG73" s="1"/>
  <c r="AH78" i="21"/>
  <c r="AL78" s="1"/>
  <c r="AG103" i="22"/>
  <c r="DN103"/>
  <c r="T102"/>
  <c r="T102" i="21"/>
  <c r="T79"/>
  <c r="T79" i="22"/>
  <c r="T47"/>
  <c r="T47" i="21"/>
  <c r="BG105" i="15"/>
  <c r="T105" i="19" s="1"/>
  <c r="AG105" s="1"/>
  <c r="AH105" s="1"/>
  <c r="AL105" s="1"/>
  <c r="DI105" i="15"/>
  <c r="BV105"/>
  <c r="DW105" s="1"/>
  <c r="BS105"/>
  <c r="BX105"/>
  <c r="BY105"/>
  <c r="BZ105" s="1"/>
  <c r="T59" i="22"/>
  <c r="T59" i="21"/>
  <c r="DJ60" i="15"/>
  <c r="BW60"/>
  <c r="CD60"/>
  <c r="T12" i="21"/>
  <c r="T12" i="22"/>
  <c r="T90"/>
  <c r="T90" i="21"/>
  <c r="BG41" i="19"/>
  <c r="BB41"/>
  <c r="BG39"/>
  <c r="BB39"/>
  <c r="BG92" i="21"/>
  <c r="BB92"/>
  <c r="BX87" i="15"/>
  <c r="DI87"/>
  <c r="DL87" s="1"/>
  <c r="BS87"/>
  <c r="BV87"/>
  <c r="DW87" s="1"/>
  <c r="BY87"/>
  <c r="BZ87" s="1"/>
  <c r="DF36"/>
  <c r="AY36"/>
  <c r="AZ36" s="1"/>
  <c r="DG36" s="1"/>
  <c r="AH65" i="19"/>
  <c r="AM65"/>
  <c r="BA65" s="1"/>
  <c r="T97" i="22"/>
  <c r="T97" i="21"/>
  <c r="DG11" i="15"/>
  <c r="T51" i="22"/>
  <c r="T51" i="21"/>
  <c r="T32" i="22"/>
  <c r="T32" i="21"/>
  <c r="DJ77"/>
  <c r="BW77"/>
  <c r="CD77"/>
  <c r="T70" i="22"/>
  <c r="T70" i="21"/>
  <c r="T42" i="22"/>
  <c r="T42" i="21"/>
  <c r="T98" i="22"/>
  <c r="T98" i="21"/>
  <c r="DJ13" i="12"/>
  <c r="DM13" s="1"/>
  <c r="DX13" s="1"/>
  <c r="BW13"/>
  <c r="CD13"/>
  <c r="BB67" i="19"/>
  <c r="BG67"/>
  <c r="EF78"/>
  <c r="DM78"/>
  <c r="DX78" s="1"/>
  <c r="DG86" i="21"/>
  <c r="BW86"/>
  <c r="CD86"/>
  <c r="AY58" i="15"/>
  <c r="AZ58" s="1"/>
  <c r="DG58" s="1"/>
  <c r="DF58"/>
  <c r="DJ17" i="12"/>
  <c r="BW17"/>
  <c r="CD17"/>
  <c r="AH68" i="15"/>
  <c r="AL68" s="1"/>
  <c r="CC40" i="21"/>
  <c r="BT40"/>
  <c r="DF76" i="15"/>
  <c r="AY76"/>
  <c r="AZ76" s="1"/>
  <c r="DG76" s="1"/>
  <c r="EB64"/>
  <c r="EC64"/>
  <c r="CG64"/>
  <c r="CH64" s="1"/>
  <c r="AM64" i="19"/>
  <c r="BA64" s="1"/>
  <c r="AY64"/>
  <c r="AZ64" s="1"/>
  <c r="DG64" s="1"/>
  <c r="DF64"/>
  <c r="BB57"/>
  <c r="BG57"/>
  <c r="BV43" i="15"/>
  <c r="DW43" s="1"/>
  <c r="BY43"/>
  <c r="BZ43" s="1"/>
  <c r="BX43"/>
  <c r="DI43"/>
  <c r="DL43" s="1"/>
  <c r="BS43"/>
  <c r="AM24" i="19"/>
  <c r="BA24" s="1"/>
  <c r="AY24"/>
  <c r="AZ24" s="1"/>
  <c r="DG24" s="1"/>
  <c r="DF24"/>
  <c r="BB56"/>
  <c r="BG56"/>
  <c r="BG60"/>
  <c r="BX60"/>
  <c r="BY60"/>
  <c r="BZ60" s="1"/>
  <c r="BS60"/>
  <c r="DI60"/>
  <c r="DL60" s="1"/>
  <c r="BV60"/>
  <c r="EF36" i="12"/>
  <c r="DM36"/>
  <c r="DX36" s="1"/>
  <c r="CD68"/>
  <c r="DJ68"/>
  <c r="BW68"/>
  <c r="BB62" i="19"/>
  <c r="BG62"/>
  <c r="CC81" i="15"/>
  <c r="BT81"/>
  <c r="DM21"/>
  <c r="DX21" s="1"/>
  <c r="EF21"/>
  <c r="AG9"/>
  <c r="DN9"/>
  <c r="DN160" s="1"/>
  <c r="T7"/>
  <c r="T52" i="22"/>
  <c r="T52" i="21"/>
  <c r="AM11" i="19"/>
  <c r="BA11" s="1"/>
  <c r="AY11"/>
  <c r="DF11"/>
  <c r="T35" i="21"/>
  <c r="T35" i="22"/>
  <c r="CC23" i="15"/>
  <c r="BT23"/>
  <c r="EC23"/>
  <c r="EB23"/>
  <c r="CG23"/>
  <c r="CH23" s="1"/>
  <c r="T45" i="22"/>
  <c r="T45" i="21"/>
  <c r="CG71" i="19"/>
  <c r="CH71" s="1"/>
  <c r="EB71"/>
  <c r="EC71" s="1"/>
  <c r="BT71"/>
  <c r="CC71"/>
  <c r="EF66" i="12"/>
  <c r="DM66"/>
  <c r="DX66" s="1"/>
  <c r="DJ105"/>
  <c r="CD105"/>
  <c r="BW105"/>
  <c r="T27" i="22"/>
  <c r="T27" i="21"/>
  <c r="T14" i="22"/>
  <c r="T14" i="21"/>
  <c r="DL10" i="9"/>
  <c r="DL7" s="1"/>
  <c r="DI7"/>
  <c r="BZ10"/>
  <c r="BZ7" s="1"/>
  <c r="BY7"/>
  <c r="AM74" i="19"/>
  <c r="BA74" s="1"/>
  <c r="DF74"/>
  <c r="AY74"/>
  <c r="AZ74" s="1"/>
  <c r="DG74" s="1"/>
  <c r="DL81" i="15"/>
  <c r="BB21" i="19"/>
  <c r="BF21" s="1"/>
  <c r="BG66" i="15"/>
  <c r="T66" i="19" s="1"/>
  <c r="AG66" s="1"/>
  <c r="AH66" s="1"/>
  <c r="AL66" s="1"/>
  <c r="BY66" i="15"/>
  <c r="BZ66" s="1"/>
  <c r="BV66"/>
  <c r="DW66" s="1"/>
  <c r="DI66"/>
  <c r="DL66" s="1"/>
  <c r="BX66"/>
  <c r="BS66"/>
  <c r="BB28" i="21"/>
  <c r="BF28" s="1"/>
  <c r="AG103"/>
  <c r="DN103"/>
  <c r="DM87" i="12"/>
  <c r="DX87" s="1"/>
  <c r="EF87"/>
  <c r="EF46" i="21"/>
  <c r="DM46"/>
  <c r="DX46" s="1"/>
  <c r="BB25" i="19"/>
  <c r="BG25"/>
  <c r="AY105" i="15"/>
  <c r="AZ105" s="1"/>
  <c r="DG105" s="1"/>
  <c r="DF105"/>
  <c r="BB67"/>
  <c r="BG67"/>
  <c r="T96" i="22"/>
  <c r="T96" i="21"/>
  <c r="T99"/>
  <c r="T99" i="22"/>
  <c r="T95" i="21"/>
  <c r="T95" i="22"/>
  <c r="T85"/>
  <c r="T85" i="21"/>
  <c r="T16"/>
  <c r="T16" i="22"/>
  <c r="T34"/>
  <c r="T34" i="21"/>
  <c r="DM58" i="12"/>
  <c r="DX58" s="1"/>
  <c r="EF58"/>
  <c r="DM29"/>
  <c r="DX29" s="1"/>
  <c r="EF29"/>
  <c r="BG29" i="15"/>
  <c r="T29" i="19" s="1"/>
  <c r="AG29" s="1"/>
  <c r="DI29" i="15"/>
  <c r="DL29" s="1"/>
  <c r="BV29"/>
  <c r="BY29"/>
  <c r="BZ29" s="1"/>
  <c r="BS29"/>
  <c r="T89" i="22"/>
  <c r="T89" i="21"/>
  <c r="T88"/>
  <c r="T88" i="22"/>
  <c r="CD73" i="12"/>
  <c r="DJ73"/>
  <c r="BW73"/>
  <c r="CD30"/>
  <c r="DJ30"/>
  <c r="BW30"/>
  <c r="AM94" i="21"/>
  <c r="BA94" s="1"/>
  <c r="AH94"/>
  <c r="T26"/>
  <c r="T26" i="22"/>
  <c r="BG91" i="21"/>
  <c r="BB91"/>
  <c r="BB92" i="22"/>
  <c r="BG92"/>
  <c r="DM76" i="12"/>
  <c r="DX76" s="1"/>
  <c r="EF76"/>
  <c r="EC40" i="21"/>
  <c r="CG40"/>
  <c r="CH40" s="1"/>
  <c r="EB40"/>
  <c r="BG78" i="22"/>
  <c r="BB78"/>
  <c r="CC64" i="15"/>
  <c r="BT64"/>
  <c r="T104" i="21"/>
  <c r="T104" i="22"/>
  <c r="AG104" s="1"/>
  <c r="AH20" i="19"/>
  <c r="AM20"/>
  <c r="BA20" s="1"/>
  <c r="T63" i="22"/>
  <c r="T63" i="21"/>
  <c r="EB24" i="15"/>
  <c r="EC24" s="1"/>
  <c r="CG24"/>
  <c r="CH24" s="1"/>
  <c r="BT24"/>
  <c r="CC24"/>
  <c r="BB91" i="22"/>
  <c r="BG91"/>
  <c r="DF17" i="15"/>
  <c r="AY17"/>
  <c r="DW17"/>
  <c r="EB81"/>
  <c r="EC81"/>
  <c r="CG81"/>
  <c r="CH81" s="1"/>
  <c r="AH81" i="19"/>
  <c r="AL81" s="1"/>
  <c r="AM81"/>
  <c r="BA81" s="1"/>
  <c r="AH22" i="15"/>
  <c r="AL22" s="1"/>
  <c r="AM22"/>
  <c r="BA22" s="1"/>
  <c r="BB22" s="1"/>
  <c r="BF22" s="1"/>
  <c r="DN9" i="19"/>
  <c r="DN160" s="1"/>
  <c r="AG9"/>
  <c r="BV11" i="15"/>
  <c r="BY11"/>
  <c r="DI11"/>
  <c r="BS11"/>
  <c r="BB83" i="19"/>
  <c r="BG83"/>
  <c r="BB72"/>
  <c r="BG72"/>
  <c r="BB75" i="21"/>
  <c r="BG75"/>
  <c r="BG94" i="22"/>
  <c r="BB94"/>
  <c r="DM22" i="12"/>
  <c r="DX22" s="1"/>
  <c r="EF22"/>
  <c r="BS7" i="9"/>
  <c r="BT10"/>
  <c r="CC10"/>
  <c r="CC7" s="1"/>
  <c r="EC10"/>
  <c r="CG10"/>
  <c r="BX7"/>
  <c r="EB10"/>
  <c r="T10" i="12"/>
  <c r="BG7" i="9"/>
  <c r="CD55" i="12"/>
  <c r="DJ55"/>
  <c r="BW55"/>
  <c r="BT74" i="15"/>
  <c r="CC74"/>
  <c r="EC74"/>
  <c r="EB74"/>
  <c r="CG74"/>
  <c r="CH74" s="1"/>
  <c r="AM73"/>
  <c r="BA73" s="1"/>
  <c r="BG87"/>
  <c r="T87" i="19" s="1"/>
  <c r="AG87" s="1"/>
  <c r="AH87" s="1"/>
  <c r="AL87" s="1"/>
  <c r="AM36" i="15"/>
  <c r="BA36" s="1"/>
  <c r="BB36" s="1"/>
  <c r="BF36" s="1"/>
  <c r="AM58"/>
  <c r="BA58" s="1"/>
  <c r="BB58" s="1"/>
  <c r="BF58" s="1"/>
  <c r="DW58" s="1"/>
  <c r="AM76"/>
  <c r="BA76" s="1"/>
  <c r="BB76" s="1"/>
  <c r="BF76" s="1"/>
  <c r="DL64"/>
  <c r="BG43"/>
  <c r="T43" i="19" s="1"/>
  <c r="AG43" s="1"/>
  <c r="DL24" i="15"/>
  <c r="CD33" i="21"/>
  <c r="DJ33"/>
  <c r="BW33"/>
  <c r="CH33"/>
  <c r="AH43" i="19" l="1"/>
  <c r="AL43" s="1"/>
  <c r="BG76" i="15"/>
  <c r="T76" i="19" s="1"/>
  <c r="AG76" s="1"/>
  <c r="DI76" i="15"/>
  <c r="DL76" s="1"/>
  <c r="BX76"/>
  <c r="BS76"/>
  <c r="BY76"/>
  <c r="BZ76" s="1"/>
  <c r="BV76"/>
  <c r="BG36"/>
  <c r="T36" i="19" s="1"/>
  <c r="AG36" s="1"/>
  <c r="BY36" i="15"/>
  <c r="BZ36" s="1"/>
  <c r="BV36"/>
  <c r="DI36"/>
  <c r="DL36" s="1"/>
  <c r="BX36"/>
  <c r="BS36"/>
  <c r="BB73"/>
  <c r="BF73" s="1"/>
  <c r="DN10" i="12"/>
  <c r="DN160" s="1"/>
  <c r="AG10"/>
  <c r="T7"/>
  <c r="DJ10" i="9"/>
  <c r="BW10"/>
  <c r="BW7" s="1"/>
  <c r="CD10"/>
  <c r="CD7" s="1"/>
  <c r="BT7"/>
  <c r="T72" i="22"/>
  <c r="AG72" s="1"/>
  <c r="T72" i="21"/>
  <c r="T83"/>
  <c r="T83" i="22"/>
  <c r="AG83" s="1"/>
  <c r="DL11" i="15"/>
  <c r="DW11"/>
  <c r="AH9" i="19"/>
  <c r="AM9"/>
  <c r="BG22" i="15"/>
  <c r="T22" i="19" s="1"/>
  <c r="AG22" s="1"/>
  <c r="BS22" i="15"/>
  <c r="BV22"/>
  <c r="DW22" s="1"/>
  <c r="DI22"/>
  <c r="BY22"/>
  <c r="BZ22" s="1"/>
  <c r="BX22"/>
  <c r="BB81" i="19"/>
  <c r="BF81" s="1"/>
  <c r="DJ24" i="15"/>
  <c r="BW24"/>
  <c r="CD24"/>
  <c r="AG63" i="22"/>
  <c r="DN63"/>
  <c r="AG104" i="21"/>
  <c r="DN104"/>
  <c r="AG26" i="22"/>
  <c r="DN26"/>
  <c r="DM73" i="12"/>
  <c r="DX73" s="1"/>
  <c r="EF73"/>
  <c r="DN88" i="22"/>
  <c r="AG88"/>
  <c r="AG89" i="21"/>
  <c r="DN89"/>
  <c r="BT29" i="15"/>
  <c r="CC29"/>
  <c r="AH29" i="19"/>
  <c r="AL29" s="1"/>
  <c r="AM29"/>
  <c r="BA29" s="1"/>
  <c r="BB29" s="1"/>
  <c r="BF29" s="1"/>
  <c r="AG34" i="22"/>
  <c r="DN34"/>
  <c r="AG16" i="21"/>
  <c r="DN16"/>
  <c r="AG85" i="22"/>
  <c r="DN85"/>
  <c r="AG95" i="21"/>
  <c r="DN95"/>
  <c r="AG99"/>
  <c r="DN99"/>
  <c r="AG96" i="22"/>
  <c r="DN96"/>
  <c r="AH103" i="21"/>
  <c r="AM103"/>
  <c r="BA103" s="1"/>
  <c r="BX28"/>
  <c r="BY28"/>
  <c r="BZ28" s="1"/>
  <c r="BS28"/>
  <c r="DI28"/>
  <c r="DL28" s="1"/>
  <c r="BV28"/>
  <c r="DW28" s="1"/>
  <c r="EB66" i="15"/>
  <c r="EC66" s="1"/>
  <c r="CG66"/>
  <c r="CH66" s="1"/>
  <c r="AM66" i="19"/>
  <c r="BA66" s="1"/>
  <c r="AY66"/>
  <c r="AZ66" s="1"/>
  <c r="DG66" s="1"/>
  <c r="DF66"/>
  <c r="BY21"/>
  <c r="BZ21" s="1"/>
  <c r="DI21"/>
  <c r="DL21" s="1"/>
  <c r="BS21"/>
  <c r="BV21"/>
  <c r="DW21" s="1"/>
  <c r="DN14" i="21"/>
  <c r="AG14"/>
  <c r="AG27"/>
  <c r="DN27"/>
  <c r="DM105" i="12"/>
  <c r="DX105" s="1"/>
  <c r="EF105"/>
  <c r="DJ71" i="19"/>
  <c r="CD71"/>
  <c r="BW71"/>
  <c r="AG45" i="22"/>
  <c r="DN45"/>
  <c r="CD23" i="15"/>
  <c r="BW23"/>
  <c r="DJ23"/>
  <c r="AG35" i="22"/>
  <c r="DN35"/>
  <c r="AZ11" i="19"/>
  <c r="AG52" i="21"/>
  <c r="DN52"/>
  <c r="AH9" i="15"/>
  <c r="AH7" s="1"/>
  <c r="AM9"/>
  <c r="AG7"/>
  <c r="DM68" i="12"/>
  <c r="DX68" s="1"/>
  <c r="EF68"/>
  <c r="BT60" i="19"/>
  <c r="CC60"/>
  <c r="CG60"/>
  <c r="CH60" s="1"/>
  <c r="EB60"/>
  <c r="EC60" s="1"/>
  <c r="T56" i="22"/>
  <c r="AG56" s="1"/>
  <c r="T56" i="21"/>
  <c r="CC43" i="15"/>
  <c r="BT43"/>
  <c r="CG43"/>
  <c r="CH43" s="1"/>
  <c r="EB43"/>
  <c r="EC43" s="1"/>
  <c r="BB64" i="19"/>
  <c r="BF64" s="1"/>
  <c r="DF68" i="15"/>
  <c r="AY68"/>
  <c r="AZ68" s="1"/>
  <c r="DG68" s="1"/>
  <c r="DN98" i="22"/>
  <c r="AG98"/>
  <c r="AG42"/>
  <c r="DN42"/>
  <c r="DN70"/>
  <c r="AG70"/>
  <c r="AG32" i="21"/>
  <c r="DN32"/>
  <c r="AG51"/>
  <c r="DN51"/>
  <c r="AG97"/>
  <c r="DN97"/>
  <c r="BG65" i="19"/>
  <c r="BB65"/>
  <c r="AG90" i="21"/>
  <c r="DN90"/>
  <c r="AG12" i="22"/>
  <c r="DN12"/>
  <c r="EF60" i="15"/>
  <c r="DM60"/>
  <c r="DX60" s="1"/>
  <c r="AG59" i="22"/>
  <c r="DN59"/>
  <c r="CG105" i="15"/>
  <c r="CH105" s="1"/>
  <c r="EB105"/>
  <c r="EC105" s="1"/>
  <c r="AM105" i="19"/>
  <c r="BA105" s="1"/>
  <c r="DF105"/>
  <c r="DL105" s="1"/>
  <c r="AY105"/>
  <c r="BX105"/>
  <c r="BY105"/>
  <c r="BZ105" s="1"/>
  <c r="BV105"/>
  <c r="DW105" s="1"/>
  <c r="AG47" i="22"/>
  <c r="DN47"/>
  <c r="DN79" i="21"/>
  <c r="AG79"/>
  <c r="AG102" i="22"/>
  <c r="DN102"/>
  <c r="AH103"/>
  <c r="AM103"/>
  <c r="BA103" s="1"/>
  <c r="BV78" i="21"/>
  <c r="DW78" s="1"/>
  <c r="BY78"/>
  <c r="BZ78" s="1"/>
  <c r="DF78"/>
  <c r="DL78" s="1"/>
  <c r="AY78"/>
  <c r="AY23" i="19"/>
  <c r="AZ23" s="1"/>
  <c r="DG23" s="1"/>
  <c r="DF23"/>
  <c r="BY69" i="21"/>
  <c r="BZ69" s="1"/>
  <c r="BS69"/>
  <c r="BV69"/>
  <c r="DW69" s="1"/>
  <c r="BX69"/>
  <c r="DI69"/>
  <c r="DL69" s="1"/>
  <c r="BY17" i="15"/>
  <c r="BZ17" s="1"/>
  <c r="BX17"/>
  <c r="BS17"/>
  <c r="DI17"/>
  <c r="DL17" s="1"/>
  <c r="BV17"/>
  <c r="DW76"/>
  <c r="DW36"/>
  <c r="BG58"/>
  <c r="T58" i="19" s="1"/>
  <c r="AG58" s="1"/>
  <c r="BY58" i="15"/>
  <c r="BZ58" s="1"/>
  <c r="BV58"/>
  <c r="DI58"/>
  <c r="DL58" s="1"/>
  <c r="BX58"/>
  <c r="BS58"/>
  <c r="AM87" i="19"/>
  <c r="BA87" s="1"/>
  <c r="DF87"/>
  <c r="AY87"/>
  <c r="AZ87" s="1"/>
  <c r="DG87" s="1"/>
  <c r="DJ74" i="15"/>
  <c r="BW74"/>
  <c r="CD74"/>
  <c r="EF55" i="12"/>
  <c r="DM55"/>
  <c r="DX55" s="1"/>
  <c r="CH10" i="9"/>
  <c r="CH7" s="1"/>
  <c r="CG7"/>
  <c r="CC11" i="15"/>
  <c r="BT11"/>
  <c r="BZ11"/>
  <c r="AY22"/>
  <c r="AZ22" s="1"/>
  <c r="DG22" s="1"/>
  <c r="DF22"/>
  <c r="DF7" s="1"/>
  <c r="DF81" i="19"/>
  <c r="AY81"/>
  <c r="AZ81" s="1"/>
  <c r="DG81" s="1"/>
  <c r="AZ17" i="15"/>
  <c r="AG63" i="21"/>
  <c r="DN63"/>
  <c r="BB20" i="19"/>
  <c r="BG20"/>
  <c r="AH104" i="22"/>
  <c r="AM104"/>
  <c r="BA104" s="1"/>
  <c r="BW64" i="15"/>
  <c r="CD64"/>
  <c r="DJ64"/>
  <c r="AG26" i="21"/>
  <c r="DN26"/>
  <c r="BB94"/>
  <c r="BG94"/>
  <c r="DM30" i="12"/>
  <c r="DX30" s="1"/>
  <c r="EF30"/>
  <c r="AG88" i="21"/>
  <c r="DN88"/>
  <c r="DN89" i="22"/>
  <c r="AG89"/>
  <c r="DN34" i="21"/>
  <c r="AG34"/>
  <c r="AG16" i="22"/>
  <c r="DN16"/>
  <c r="AG85" i="21"/>
  <c r="DN85"/>
  <c r="AG95" i="22"/>
  <c r="DN95"/>
  <c r="AG99"/>
  <c r="DN99"/>
  <c r="AG96" i="21"/>
  <c r="DN96"/>
  <c r="CC66" i="15"/>
  <c r="BT66"/>
  <c r="BB74" i="19"/>
  <c r="BF74" s="1"/>
  <c r="BG74" s="1"/>
  <c r="AG14" i="22"/>
  <c r="DN14"/>
  <c r="AG27"/>
  <c r="DN27"/>
  <c r="AG45" i="21"/>
  <c r="DN45"/>
  <c r="AG35"/>
  <c r="DN35"/>
  <c r="BB11" i="19"/>
  <c r="BF11" s="1"/>
  <c r="BG11" s="1"/>
  <c r="DN52" i="22"/>
  <c r="AG52"/>
  <c r="BW81" i="15"/>
  <c r="CD81"/>
  <c r="DJ81"/>
  <c r="T62" i="22"/>
  <c r="AG62" s="1"/>
  <c r="T62" i="21"/>
  <c r="T60"/>
  <c r="T60" i="22"/>
  <c r="AG60" s="1"/>
  <c r="BB24" i="19"/>
  <c r="BF24" s="1"/>
  <c r="BG24"/>
  <c r="T57" i="22"/>
  <c r="AG57" s="1"/>
  <c r="T57" i="21"/>
  <c r="CD40"/>
  <c r="DJ40"/>
  <c r="BW40"/>
  <c r="EF17" i="12"/>
  <c r="DM17"/>
  <c r="DX17" s="1"/>
  <c r="EF86" i="21"/>
  <c r="DM86"/>
  <c r="DX86" s="1"/>
  <c r="AG98"/>
  <c r="DN98"/>
  <c r="AG42"/>
  <c r="DN42"/>
  <c r="AG70"/>
  <c r="DN70"/>
  <c r="EF77"/>
  <c r="DM77"/>
  <c r="DX77" s="1"/>
  <c r="AG32" i="22"/>
  <c r="DN32"/>
  <c r="DN51"/>
  <c r="AG51"/>
  <c r="AG97"/>
  <c r="DN97"/>
  <c r="CC87" i="15"/>
  <c r="BT87"/>
  <c r="CG87"/>
  <c r="CH87" s="1"/>
  <c r="EB87"/>
  <c r="EC87" s="1"/>
  <c r="T39" i="21"/>
  <c r="T39" i="22"/>
  <c r="AG39" s="1"/>
  <c r="T41" i="21"/>
  <c r="T41" i="22"/>
  <c r="AG41" s="1"/>
  <c r="AG90"/>
  <c r="DN90"/>
  <c r="AG12" i="21"/>
  <c r="DN12"/>
  <c r="AG59"/>
  <c r="DN59"/>
  <c r="CC105" i="15"/>
  <c r="BT105"/>
  <c r="AG47" i="21"/>
  <c r="DN47"/>
  <c r="DN79" i="22"/>
  <c r="AG79"/>
  <c r="AG102" i="21"/>
  <c r="DN102"/>
  <c r="AL7" i="15"/>
  <c r="BG28" i="21"/>
  <c r="BG21" i="19"/>
  <c r="AM68" i="15"/>
  <c r="BA68" s="1"/>
  <c r="BB68" s="1"/>
  <c r="BF68" s="1"/>
  <c r="DW68" s="1"/>
  <c r="DL105"/>
  <c r="AM78" i="21"/>
  <c r="BA78" s="1"/>
  <c r="AM23" i="19"/>
  <c r="BA23" s="1"/>
  <c r="BB23" s="1"/>
  <c r="BF23" s="1"/>
  <c r="BG69" i="21"/>
  <c r="BG17" i="15"/>
  <c r="T17" i="19" s="1"/>
  <c r="EF33" i="21"/>
  <c r="DM33"/>
  <c r="T11" i="22" l="1"/>
  <c r="AG11" s="1"/>
  <c r="T11" i="21"/>
  <c r="T74" i="22"/>
  <c r="AG74" s="1"/>
  <c r="T74" i="21"/>
  <c r="AH102"/>
  <c r="AM102"/>
  <c r="BA102" s="1"/>
  <c r="AM47"/>
  <c r="BA47" s="1"/>
  <c r="AH47"/>
  <c r="AM59"/>
  <c r="BA59" s="1"/>
  <c r="AH59"/>
  <c r="AH12"/>
  <c r="AM12"/>
  <c r="BA12" s="1"/>
  <c r="AH90" i="22"/>
  <c r="AM90"/>
  <c r="BA90" s="1"/>
  <c r="AG41" i="21"/>
  <c r="DN41"/>
  <c r="AG39"/>
  <c r="DN39"/>
  <c r="AM97" i="22"/>
  <c r="BA97" s="1"/>
  <c r="AH97"/>
  <c r="AM51"/>
  <c r="BA51" s="1"/>
  <c r="AH51"/>
  <c r="AM57"/>
  <c r="BA57" s="1"/>
  <c r="AH57"/>
  <c r="DI24" i="19"/>
  <c r="DL24" s="1"/>
  <c r="BS24"/>
  <c r="BV24"/>
  <c r="BX24"/>
  <c r="BY24"/>
  <c r="BZ24" s="1"/>
  <c r="DW24"/>
  <c r="AG60" i="21"/>
  <c r="DN60"/>
  <c r="AM62" i="22"/>
  <c r="BA62" s="1"/>
  <c r="AH62"/>
  <c r="AH52"/>
  <c r="AM52"/>
  <c r="BA52" s="1"/>
  <c r="DJ66" i="15"/>
  <c r="BW66"/>
  <c r="CD66"/>
  <c r="AH34" i="21"/>
  <c r="AM34"/>
  <c r="BA34" s="1"/>
  <c r="AH89" i="22"/>
  <c r="AM89"/>
  <c r="BA89" s="1"/>
  <c r="DM64" i="15"/>
  <c r="DX64" s="1"/>
  <c r="EF64"/>
  <c r="AM63" i="21"/>
  <c r="BA63" s="1"/>
  <c r="AH63"/>
  <c r="DG17" i="15"/>
  <c r="AZ7"/>
  <c r="CD11"/>
  <c r="DJ11"/>
  <c r="BW11"/>
  <c r="BB87" i="19"/>
  <c r="BF87" s="1"/>
  <c r="BG87"/>
  <c r="CG58" i="15"/>
  <c r="CH58" s="1"/>
  <c r="EB58"/>
  <c r="EC58"/>
  <c r="AH58" i="19"/>
  <c r="AL58" s="1"/>
  <c r="AM58" s="1"/>
  <c r="BA58" s="1"/>
  <c r="BB58" s="1"/>
  <c r="BF58" s="1"/>
  <c r="CG17" i="15"/>
  <c r="EB17"/>
  <c r="EC17" s="1"/>
  <c r="AZ78" i="21"/>
  <c r="CC78"/>
  <c r="BG103" i="22"/>
  <c r="BB103"/>
  <c r="AH79" i="21"/>
  <c r="AM79"/>
  <c r="BA79" s="1"/>
  <c r="EB105" i="19"/>
  <c r="EC105" s="1"/>
  <c r="CG105"/>
  <c r="CH105" s="1"/>
  <c r="AM70" i="22"/>
  <c r="BA70" s="1"/>
  <c r="AH70"/>
  <c r="AM98"/>
  <c r="BA98" s="1"/>
  <c r="AH98"/>
  <c r="BX64" i="19"/>
  <c r="BY64"/>
  <c r="BZ64" s="1"/>
  <c r="DI64"/>
  <c r="DL64" s="1"/>
  <c r="BS64"/>
  <c r="BV64"/>
  <c r="DW64"/>
  <c r="AH56" i="22"/>
  <c r="AM56"/>
  <c r="BA56" s="1"/>
  <c r="BW60" i="19"/>
  <c r="DJ60"/>
  <c r="CD60"/>
  <c r="BA9" i="15"/>
  <c r="AM7"/>
  <c r="DM23"/>
  <c r="DX23" s="1"/>
  <c r="EF23"/>
  <c r="AH45" i="22"/>
  <c r="AM45"/>
  <c r="BA45" s="1"/>
  <c r="AH14" i="21"/>
  <c r="AM14"/>
  <c r="BA14" s="1"/>
  <c r="BB66" i="19"/>
  <c r="BF66" s="1"/>
  <c r="BG66" s="1"/>
  <c r="BG103" i="21"/>
  <c r="BB103"/>
  <c r="BG29" i="19"/>
  <c r="DI29"/>
  <c r="BV29"/>
  <c r="BS29"/>
  <c r="BY29"/>
  <c r="BZ29" s="1"/>
  <c r="AH88" i="22"/>
  <c r="AM88"/>
  <c r="BA88" s="1"/>
  <c r="EF24" i="15"/>
  <c r="DM24"/>
  <c r="DX24" s="1"/>
  <c r="DW81" i="19"/>
  <c r="DI81"/>
  <c r="DL81" s="1"/>
  <c r="BS81"/>
  <c r="BV81"/>
  <c r="BX81"/>
  <c r="BY81"/>
  <c r="BZ81" s="1"/>
  <c r="AM22"/>
  <c r="BA22" s="1"/>
  <c r="AH22"/>
  <c r="BA9"/>
  <c r="AH83" i="22"/>
  <c r="AM83"/>
  <c r="BA83" s="1"/>
  <c r="AG72" i="21"/>
  <c r="DN72"/>
  <c r="BX73" i="15"/>
  <c r="DI73"/>
  <c r="DL73" s="1"/>
  <c r="BS73"/>
  <c r="BV73"/>
  <c r="DW73" s="1"/>
  <c r="BY73"/>
  <c r="BZ73" s="1"/>
  <c r="EB36"/>
  <c r="EC36" s="1"/>
  <c r="CG36"/>
  <c r="CH36" s="1"/>
  <c r="AH36" i="19"/>
  <c r="AL36" s="1"/>
  <c r="AM36" s="1"/>
  <c r="BA36" s="1"/>
  <c r="CG76" i="15"/>
  <c r="CH76" s="1"/>
  <c r="EB76"/>
  <c r="EC76" s="1"/>
  <c r="AH76" i="19"/>
  <c r="AL76" s="1"/>
  <c r="AM76" s="1"/>
  <c r="BA76" s="1"/>
  <c r="DF43"/>
  <c r="AY43"/>
  <c r="AZ43" s="1"/>
  <c r="DG43" s="1"/>
  <c r="BG78" i="21"/>
  <c r="BB78"/>
  <c r="BG68" i="15"/>
  <c r="T68" i="19" s="1"/>
  <c r="AG68" s="1"/>
  <c r="AH68" s="1"/>
  <c r="AL68" s="1"/>
  <c r="BY68" i="15"/>
  <c r="BV68"/>
  <c r="BV7" s="1"/>
  <c r="DI68"/>
  <c r="DL68" s="1"/>
  <c r="BX68"/>
  <c r="BS68"/>
  <c r="T21" i="22"/>
  <c r="AG21" s="1"/>
  <c r="T21" i="21"/>
  <c r="AG17" i="19"/>
  <c r="BG23"/>
  <c r="BS23"/>
  <c r="BV23"/>
  <c r="DI23"/>
  <c r="DL23" s="1"/>
  <c r="BX23"/>
  <c r="BY23"/>
  <c r="BZ23" s="1"/>
  <c r="AH79" i="22"/>
  <c r="AM79"/>
  <c r="BA79" s="1"/>
  <c r="DJ105" i="15"/>
  <c r="CD105"/>
  <c r="BW105"/>
  <c r="AM41" i="22"/>
  <c r="BA41" s="1"/>
  <c r="AH41"/>
  <c r="AM39"/>
  <c r="BA39" s="1"/>
  <c r="AH39"/>
  <c r="CD87" i="15"/>
  <c r="DJ87"/>
  <c r="BW87"/>
  <c r="AM32" i="22"/>
  <c r="BA32" s="1"/>
  <c r="AH32"/>
  <c r="AM70" i="21"/>
  <c r="BA70" s="1"/>
  <c r="AH70"/>
  <c r="AM42"/>
  <c r="BA42" s="1"/>
  <c r="AH42"/>
  <c r="AM98"/>
  <c r="BA98" s="1"/>
  <c r="AH98"/>
  <c r="EF40"/>
  <c r="DM40"/>
  <c r="DX40" s="1"/>
  <c r="AG57"/>
  <c r="DN57"/>
  <c r="AM60" i="22"/>
  <c r="BA60" s="1"/>
  <c r="AH60"/>
  <c r="AG62" i="21"/>
  <c r="DN62"/>
  <c r="EF81" i="15"/>
  <c r="DM81"/>
  <c r="DX81" s="1"/>
  <c r="BY11" i="19"/>
  <c r="DI11"/>
  <c r="BS11"/>
  <c r="BV11"/>
  <c r="AH35" i="21"/>
  <c r="AM35"/>
  <c r="BA35" s="1"/>
  <c r="AM45"/>
  <c r="BA45" s="1"/>
  <c r="AH45"/>
  <c r="AH27" i="22"/>
  <c r="AM27"/>
  <c r="BA27" s="1"/>
  <c r="AH14"/>
  <c r="AM14"/>
  <c r="BA14" s="1"/>
  <c r="DI74" i="19"/>
  <c r="DL74" s="1"/>
  <c r="BS74"/>
  <c r="BV74"/>
  <c r="BX74"/>
  <c r="BY74"/>
  <c r="BZ74" s="1"/>
  <c r="DW74"/>
  <c r="AM96" i="21"/>
  <c r="BA96" s="1"/>
  <c r="AH96"/>
  <c r="AH99" i="22"/>
  <c r="AM99"/>
  <c r="BA99" s="1"/>
  <c r="AH95"/>
  <c r="AM95"/>
  <c r="BA95" s="1"/>
  <c r="AM85" i="21"/>
  <c r="BA85" s="1"/>
  <c r="AH85"/>
  <c r="AH16" i="22"/>
  <c r="AM16"/>
  <c r="BA16" s="1"/>
  <c r="AH88" i="21"/>
  <c r="AM88"/>
  <c r="BA88" s="1"/>
  <c r="AM26"/>
  <c r="BA26" s="1"/>
  <c r="AH26"/>
  <c r="BB104" i="22"/>
  <c r="BG104"/>
  <c r="T20"/>
  <c r="AG20" s="1"/>
  <c r="T20" i="21"/>
  <c r="EF74" i="15"/>
  <c r="DM74"/>
  <c r="DX74" s="1"/>
  <c r="BT58"/>
  <c r="CC58"/>
  <c r="CC17"/>
  <c r="BT17"/>
  <c r="CG69" i="21"/>
  <c r="CH69" s="1"/>
  <c r="EB69"/>
  <c r="EC69" s="1"/>
  <c r="CC69"/>
  <c r="BT69"/>
  <c r="AH102" i="22"/>
  <c r="AM102"/>
  <c r="BA102" s="1"/>
  <c r="AH47"/>
  <c r="AM47"/>
  <c r="BA47" s="1"/>
  <c r="CC105" i="19"/>
  <c r="AZ105"/>
  <c r="BG105"/>
  <c r="BB105"/>
  <c r="AH59" i="22"/>
  <c r="AM59"/>
  <c r="BA59" s="1"/>
  <c r="AH12"/>
  <c r="AM12"/>
  <c r="BA12" s="1"/>
  <c r="AM90" i="21"/>
  <c r="BA90" s="1"/>
  <c r="AH90"/>
  <c r="T65" i="22"/>
  <c r="AG65" s="1"/>
  <c r="T65" i="21"/>
  <c r="AM97"/>
  <c r="BA97" s="1"/>
  <c r="AH97"/>
  <c r="AH51"/>
  <c r="AM51"/>
  <c r="BA51" s="1"/>
  <c r="AH32"/>
  <c r="AM32"/>
  <c r="BA32" s="1"/>
  <c r="AM42" i="22"/>
  <c r="BA42" s="1"/>
  <c r="AH42"/>
  <c r="CD43" i="15"/>
  <c r="DJ43"/>
  <c r="BW43"/>
  <c r="AG56" i="21"/>
  <c r="DN56"/>
  <c r="AH52"/>
  <c r="AM52"/>
  <c r="BA52" s="1"/>
  <c r="DG11" i="19"/>
  <c r="AM35" i="22"/>
  <c r="BA35" s="1"/>
  <c r="AH35"/>
  <c r="DM71" i="19"/>
  <c r="DX71" s="1"/>
  <c r="EF71"/>
  <c r="AM27" i="21"/>
  <c r="BA27" s="1"/>
  <c r="AH27"/>
  <c r="BT21" i="19"/>
  <c r="CC21"/>
  <c r="BT28" i="21"/>
  <c r="CC28"/>
  <c r="CG28"/>
  <c r="CH28" s="1"/>
  <c r="EB28"/>
  <c r="EC28" s="1"/>
  <c r="AM96" i="22"/>
  <c r="BA96" s="1"/>
  <c r="AH96"/>
  <c r="AH99" i="21"/>
  <c r="AM99"/>
  <c r="BA99" s="1"/>
  <c r="AH95"/>
  <c r="AM95"/>
  <c r="BA95" s="1"/>
  <c r="AM85" i="22"/>
  <c r="BA85" s="1"/>
  <c r="AH85"/>
  <c r="AM16" i="21"/>
  <c r="BA16" s="1"/>
  <c r="AH16"/>
  <c r="AM34" i="22"/>
  <c r="BA34" s="1"/>
  <c r="AH34"/>
  <c r="DF29" i="19"/>
  <c r="AY29"/>
  <c r="AZ29" s="1"/>
  <c r="DG29" s="1"/>
  <c r="DW29"/>
  <c r="BW29" i="15"/>
  <c r="CD29"/>
  <c r="DJ29"/>
  <c r="AM89" i="21"/>
  <c r="BA89" s="1"/>
  <c r="AH89"/>
  <c r="AM26" i="22"/>
  <c r="BA26" s="1"/>
  <c r="AH26"/>
  <c r="AM104" i="21"/>
  <c r="BA104" s="1"/>
  <c r="AH104"/>
  <c r="AH63" i="22"/>
  <c r="AM63"/>
  <c r="BA63" s="1"/>
  <c r="EB22" i="15"/>
  <c r="EC22" s="1"/>
  <c r="CG22"/>
  <c r="CH22" s="1"/>
  <c r="BT22"/>
  <c r="CC22"/>
  <c r="AG83" i="21"/>
  <c r="DN83"/>
  <c r="AM72" i="22"/>
  <c r="BA72" s="1"/>
  <c r="AH72"/>
  <c r="DJ7" i="9"/>
  <c r="DM10"/>
  <c r="EF10"/>
  <c r="AH10" i="12"/>
  <c r="AG7"/>
  <c r="CC36" i="15"/>
  <c r="BT36"/>
  <c r="BT76"/>
  <c r="CC76"/>
  <c r="AY7"/>
  <c r="BF7"/>
  <c r="DW23" i="19"/>
  <c r="BG64"/>
  <c r="BG81"/>
  <c r="DL22" i="15"/>
  <c r="DL7" s="1"/>
  <c r="DI7"/>
  <c r="BG73"/>
  <c r="T73" i="19" s="1"/>
  <c r="AG73" s="1"/>
  <c r="AH73" s="1"/>
  <c r="AL73" s="1"/>
  <c r="AM43"/>
  <c r="BA43" s="1"/>
  <c r="DX33" i="21"/>
  <c r="BB76" i="19" l="1"/>
  <c r="BF76" s="1"/>
  <c r="BG76"/>
  <c r="BG36"/>
  <c r="BB36"/>
  <c r="T66" i="22"/>
  <c r="AG66" s="1"/>
  <c r="T66" i="21"/>
  <c r="BG58" i="19"/>
  <c r="DI58"/>
  <c r="BV58"/>
  <c r="BX58"/>
  <c r="BS58"/>
  <c r="BY58"/>
  <c r="BZ58" s="1"/>
  <c r="BB43"/>
  <c r="BF43" s="1"/>
  <c r="BG43"/>
  <c r="T64" i="22"/>
  <c r="AG64" s="1"/>
  <c r="T64" i="21"/>
  <c r="BW76" i="15"/>
  <c r="CD76"/>
  <c r="DJ76"/>
  <c r="BG72" i="22"/>
  <c r="BB72"/>
  <c r="AM83" i="21"/>
  <c r="BA83" s="1"/>
  <c r="AH83"/>
  <c r="DJ22" i="15"/>
  <c r="CD22"/>
  <c r="BW22"/>
  <c r="BB104" i="21"/>
  <c r="BG104"/>
  <c r="BB26" i="22"/>
  <c r="BG26"/>
  <c r="BB89" i="21"/>
  <c r="BG89"/>
  <c r="BG34" i="22"/>
  <c r="BB34"/>
  <c r="BG16" i="21"/>
  <c r="BB16"/>
  <c r="BB85" i="22"/>
  <c r="BG85"/>
  <c r="BB96"/>
  <c r="BG96"/>
  <c r="DJ28" i="21"/>
  <c r="CD28"/>
  <c r="BW28"/>
  <c r="BW21" i="19"/>
  <c r="DJ21"/>
  <c r="CD21"/>
  <c r="BB27" i="21"/>
  <c r="BG27"/>
  <c r="BG35" i="22"/>
  <c r="BB35"/>
  <c r="AH56" i="21"/>
  <c r="AM56"/>
  <c r="BA56" s="1"/>
  <c r="EF43" i="15"/>
  <c r="DM43"/>
  <c r="DX43" s="1"/>
  <c r="BB32" i="21"/>
  <c r="BG32"/>
  <c r="BG51"/>
  <c r="BB51"/>
  <c r="AG65"/>
  <c r="DN65"/>
  <c r="BG12" i="22"/>
  <c r="BB12"/>
  <c r="BG59"/>
  <c r="BB59"/>
  <c r="BW105" i="19"/>
  <c r="DG105"/>
  <c r="CD105"/>
  <c r="BB47" i="22"/>
  <c r="BG47"/>
  <c r="BG102"/>
  <c r="BB102"/>
  <c r="DJ69" i="21"/>
  <c r="CD69"/>
  <c r="BW69"/>
  <c r="BW17" i="15"/>
  <c r="DJ17"/>
  <c r="CD17"/>
  <c r="AG20" i="21"/>
  <c r="DN20"/>
  <c r="BB88"/>
  <c r="BG88"/>
  <c r="BG16" i="22"/>
  <c r="BB16"/>
  <c r="BB95"/>
  <c r="BG95"/>
  <c r="BB99"/>
  <c r="BG99"/>
  <c r="EB74" i="19"/>
  <c r="CG74"/>
  <c r="CH74" s="1"/>
  <c r="EC74"/>
  <c r="CC74"/>
  <c r="BT74"/>
  <c r="BG14" i="22"/>
  <c r="BB14"/>
  <c r="BB27"/>
  <c r="BG27"/>
  <c r="BB35" i="21"/>
  <c r="BG35"/>
  <c r="BT11" i="19"/>
  <c r="CC11"/>
  <c r="BZ11"/>
  <c r="AH62" i="21"/>
  <c r="AM62"/>
  <c r="BA62" s="1"/>
  <c r="BB60" i="22"/>
  <c r="BG60"/>
  <c r="AM57" i="21"/>
  <c r="BA57" s="1"/>
  <c r="AH57"/>
  <c r="BB98"/>
  <c r="BG98"/>
  <c r="BB42"/>
  <c r="BG42"/>
  <c r="BG70"/>
  <c r="BB70"/>
  <c r="BB32" i="22"/>
  <c r="BG32"/>
  <c r="EF87" i="15"/>
  <c r="DM87"/>
  <c r="DX87" s="1"/>
  <c r="EF105"/>
  <c r="DM105"/>
  <c r="DX105" s="1"/>
  <c r="EB23" i="19"/>
  <c r="CG23"/>
  <c r="CH23" s="1"/>
  <c r="EC23"/>
  <c r="T23" i="21"/>
  <c r="T23" i="22"/>
  <c r="AG23" s="1"/>
  <c r="AH17" i="19"/>
  <c r="AG7"/>
  <c r="AH21" i="22"/>
  <c r="AM21"/>
  <c r="BA21" s="1"/>
  <c r="EB68" i="15"/>
  <c r="EC68" s="1"/>
  <c r="CG68"/>
  <c r="CH68" s="1"/>
  <c r="AM68" i="19"/>
  <c r="BA68" s="1"/>
  <c r="BB68" s="1"/>
  <c r="BF68" s="1"/>
  <c r="DF68"/>
  <c r="AY68"/>
  <c r="AZ68" s="1"/>
  <c r="DG68" s="1"/>
  <c r="DW68"/>
  <c r="BT73" i="15"/>
  <c r="CC73"/>
  <c r="EB73"/>
  <c r="EC73" s="1"/>
  <c r="CG73"/>
  <c r="CH73" s="1"/>
  <c r="AH72" i="21"/>
  <c r="AM72"/>
  <c r="BA72" s="1"/>
  <c r="BG9" i="19"/>
  <c r="BB9"/>
  <c r="BB22"/>
  <c r="BF22" s="1"/>
  <c r="EC81"/>
  <c r="EB81"/>
  <c r="CG81"/>
  <c r="CH81" s="1"/>
  <c r="CC81"/>
  <c r="BT81"/>
  <c r="CC29"/>
  <c r="BT29"/>
  <c r="BG14" i="21"/>
  <c r="BB14"/>
  <c r="BG45" i="22"/>
  <c r="BB45"/>
  <c r="EB64" i="19"/>
  <c r="CG64"/>
  <c r="CH64" s="1"/>
  <c r="EC64"/>
  <c r="BB98" i="22"/>
  <c r="BG98"/>
  <c r="BB70"/>
  <c r="BG70"/>
  <c r="BW78" i="21"/>
  <c r="CD78"/>
  <c r="DG78"/>
  <c r="BX87" i="19"/>
  <c r="BS87"/>
  <c r="BY87"/>
  <c r="BZ87" s="1"/>
  <c r="DI87"/>
  <c r="DL87" s="1"/>
  <c r="BV87"/>
  <c r="DW87" s="1"/>
  <c r="EF17" i="15"/>
  <c r="DM17"/>
  <c r="DX17" s="1"/>
  <c r="DG7"/>
  <c r="BB63" i="21"/>
  <c r="BG63"/>
  <c r="BB52" i="22"/>
  <c r="BG52"/>
  <c r="EB24" i="19"/>
  <c r="EC24" s="1"/>
  <c r="CG24"/>
  <c r="CH24" s="1"/>
  <c r="BT24"/>
  <c r="CC24"/>
  <c r="BG90" i="22"/>
  <c r="BB90"/>
  <c r="BB12" i="21"/>
  <c r="BG12"/>
  <c r="BG102"/>
  <c r="BB102"/>
  <c r="AM74" i="22"/>
  <c r="BA74" s="1"/>
  <c r="AH74"/>
  <c r="AH11"/>
  <c r="AM11"/>
  <c r="BA11" s="1"/>
  <c r="DL29" i="19"/>
  <c r="AM73"/>
  <c r="BA73" s="1"/>
  <c r="DF73"/>
  <c r="AY73"/>
  <c r="AZ73" s="1"/>
  <c r="DG73" s="1"/>
  <c r="DJ36" i="15"/>
  <c r="BW36"/>
  <c r="CD36"/>
  <c r="AL10" i="12"/>
  <c r="AH7"/>
  <c r="DX10" i="9"/>
  <c r="DM7"/>
  <c r="BB63" i="22"/>
  <c r="BG63"/>
  <c r="DM29" i="15"/>
  <c r="DX29" s="1"/>
  <c r="EF29"/>
  <c r="BB95" i="21"/>
  <c r="BG95"/>
  <c r="BB99"/>
  <c r="BG99"/>
  <c r="BB52"/>
  <c r="BG52"/>
  <c r="BG42" i="22"/>
  <c r="BB42"/>
  <c r="BG97" i="21"/>
  <c r="BB97"/>
  <c r="AM65" i="22"/>
  <c r="BA65" s="1"/>
  <c r="AH65"/>
  <c r="BB90" i="21"/>
  <c r="BG90"/>
  <c r="T105" i="22"/>
  <c r="AG105" s="1"/>
  <c r="T105" i="21"/>
  <c r="AG105" s="1"/>
  <c r="BW58" i="15"/>
  <c r="CD58"/>
  <c r="DJ58"/>
  <c r="AH20" i="22"/>
  <c r="AM20"/>
  <c r="BA20" s="1"/>
  <c r="BG26" i="21"/>
  <c r="BB26"/>
  <c r="BB85"/>
  <c r="BG85"/>
  <c r="BB96"/>
  <c r="BG96"/>
  <c r="BB45"/>
  <c r="BG45"/>
  <c r="DW11" i="19"/>
  <c r="DL11"/>
  <c r="BB39" i="22"/>
  <c r="BG39"/>
  <c r="BB41"/>
  <c r="BG41"/>
  <c r="BB79"/>
  <c r="BG79"/>
  <c r="BT23" i="19"/>
  <c r="CC23"/>
  <c r="AG21" i="21"/>
  <c r="DN21"/>
  <c r="CC68" i="15"/>
  <c r="CC7" s="1"/>
  <c r="BT68"/>
  <c r="BS7"/>
  <c r="BZ68"/>
  <c r="BZ7" s="1"/>
  <c r="BY7"/>
  <c r="AY76" i="19"/>
  <c r="AZ76" s="1"/>
  <c r="DG76" s="1"/>
  <c r="DF76"/>
  <c r="DW76"/>
  <c r="BY36"/>
  <c r="BZ36" s="1"/>
  <c r="DW36"/>
  <c r="BV36"/>
  <c r="DF36"/>
  <c r="DL36" s="1"/>
  <c r="BX36"/>
  <c r="AY36"/>
  <c r="BB83" i="22"/>
  <c r="BG83"/>
  <c r="BB88"/>
  <c r="BG88"/>
  <c r="BY66" i="19"/>
  <c r="BZ66" s="1"/>
  <c r="DI66"/>
  <c r="DL66" s="1"/>
  <c r="BS66"/>
  <c r="BV66"/>
  <c r="DW66" s="1"/>
  <c r="BX66"/>
  <c r="BB9" i="15"/>
  <c r="BB7" s="1"/>
  <c r="BG9"/>
  <c r="BG7" s="1"/>
  <c r="BA7"/>
  <c r="DM60" i="19"/>
  <c r="DX60" s="1"/>
  <c r="EF60"/>
  <c r="BB56" i="22"/>
  <c r="BG56"/>
  <c r="CC64" i="19"/>
  <c r="BT64"/>
  <c r="BB79" i="21"/>
  <c r="BG79"/>
  <c r="CH17" i="15"/>
  <c r="CH7" s="1"/>
  <c r="CG7"/>
  <c r="DF58" i="19"/>
  <c r="AY58"/>
  <c r="AZ58" s="1"/>
  <c r="DG58" s="1"/>
  <c r="DW58"/>
  <c r="T87" i="22"/>
  <c r="AG87" s="1"/>
  <c r="T87" i="21"/>
  <c r="EF11" i="15"/>
  <c r="DM11"/>
  <c r="BB89" i="22"/>
  <c r="BG89"/>
  <c r="BB34" i="21"/>
  <c r="BG34"/>
  <c r="DM66" i="15"/>
  <c r="DX66" s="1"/>
  <c r="EF66"/>
  <c r="BB62" i="22"/>
  <c r="BG62"/>
  <c r="AH60" i="21"/>
  <c r="AL60" s="1"/>
  <c r="AM60" s="1"/>
  <c r="BA60" s="1"/>
  <c r="BG57" i="22"/>
  <c r="BB57"/>
  <c r="BB51"/>
  <c r="BG51"/>
  <c r="BB97"/>
  <c r="BG97"/>
  <c r="AH39" i="21"/>
  <c r="AM39"/>
  <c r="BA39" s="1"/>
  <c r="AH41"/>
  <c r="AM41"/>
  <c r="BA41" s="1"/>
  <c r="BB59"/>
  <c r="BG59"/>
  <c r="BB47"/>
  <c r="BG47"/>
  <c r="DN74"/>
  <c r="AG74"/>
  <c r="AG11"/>
  <c r="DN11"/>
  <c r="T7" i="19"/>
  <c r="BX7" i="15"/>
  <c r="BT7"/>
  <c r="BB60" i="21" l="1"/>
  <c r="BF60" s="1"/>
  <c r="AH74"/>
  <c r="AL74" s="1"/>
  <c r="BG41"/>
  <c r="BB41"/>
  <c r="BB39"/>
  <c r="BG39"/>
  <c r="DX11" i="15"/>
  <c r="AM87" i="22"/>
  <c r="BA87" s="1"/>
  <c r="AH87"/>
  <c r="DJ64" i="19"/>
  <c r="CD64"/>
  <c r="BW64"/>
  <c r="AZ36"/>
  <c r="CC36"/>
  <c r="BW68" i="15"/>
  <c r="CD68"/>
  <c r="DJ68"/>
  <c r="BG20" i="22"/>
  <c r="BB20"/>
  <c r="EF58" i="15"/>
  <c r="DM58"/>
  <c r="DX58" s="1"/>
  <c r="AH105" i="22"/>
  <c r="AM105"/>
  <c r="BA105" s="1"/>
  <c r="BB65"/>
  <c r="BG65"/>
  <c r="AY10" i="12"/>
  <c r="DF10"/>
  <c r="DF7" s="1"/>
  <c r="AL7"/>
  <c r="AM10"/>
  <c r="BB73" i="19"/>
  <c r="BF73" s="1"/>
  <c r="BG73"/>
  <c r="BG11" i="22"/>
  <c r="BB11"/>
  <c r="BT87" i="19"/>
  <c r="CC87"/>
  <c r="EF78" i="21"/>
  <c r="DM78"/>
  <c r="DX78" s="1"/>
  <c r="CD29" i="19"/>
  <c r="BW29"/>
  <c r="DJ29"/>
  <c r="BW81"/>
  <c r="DJ81"/>
  <c r="CD81"/>
  <c r="BV22"/>
  <c r="DW22" s="1"/>
  <c r="BX22"/>
  <c r="BS22"/>
  <c r="BY22"/>
  <c r="BZ22" s="1"/>
  <c r="DI22"/>
  <c r="DL22" s="1"/>
  <c r="BB72" i="21"/>
  <c r="BG72"/>
  <c r="BB21" i="22"/>
  <c r="BG21"/>
  <c r="AM23"/>
  <c r="BA23" s="1"/>
  <c r="AH23"/>
  <c r="BB57" i="21"/>
  <c r="BG57"/>
  <c r="BW74" i="19"/>
  <c r="DJ74"/>
  <c r="CD74"/>
  <c r="AH20" i="21"/>
  <c r="AM20"/>
  <c r="BA20" s="1"/>
  <c r="EF69"/>
  <c r="DM69"/>
  <c r="DX69" s="1"/>
  <c r="EF105" i="19"/>
  <c r="DM105"/>
  <c r="DX105" s="1"/>
  <c r="BG56" i="21"/>
  <c r="BB56"/>
  <c r="EF21" i="19"/>
  <c r="DM21"/>
  <c r="DX21" s="1"/>
  <c r="DM28" i="21"/>
  <c r="DX28" s="1"/>
  <c r="EF28"/>
  <c r="EF76" i="15"/>
  <c r="DM76"/>
  <c r="DX76" s="1"/>
  <c r="AM64" i="22"/>
  <c r="BA64" s="1"/>
  <c r="AH64"/>
  <c r="DI43" i="19"/>
  <c r="DL43" s="1"/>
  <c r="BV43"/>
  <c r="DW43" s="1"/>
  <c r="BX43"/>
  <c r="BS43"/>
  <c r="BY43"/>
  <c r="BZ43" s="1"/>
  <c r="BT58"/>
  <c r="CC58"/>
  <c r="T58" i="22"/>
  <c r="AG58" s="1"/>
  <c r="T58" i="21"/>
  <c r="AM66" i="22"/>
  <c r="BA66" s="1"/>
  <c r="AH66"/>
  <c r="T36"/>
  <c r="AG36" s="1"/>
  <c r="T36" i="21"/>
  <c r="DI76" i="19"/>
  <c r="DL76" s="1"/>
  <c r="BV76"/>
  <c r="BS76"/>
  <c r="BX76"/>
  <c r="BY76"/>
  <c r="BZ76" s="1"/>
  <c r="AH11" i="21"/>
  <c r="AL11" s="1"/>
  <c r="DW60"/>
  <c r="DF60"/>
  <c r="AY60"/>
  <c r="AZ60" s="1"/>
  <c r="DG60" s="1"/>
  <c r="AG87"/>
  <c r="DN87"/>
  <c r="EB66" i="19"/>
  <c r="EC66" s="1"/>
  <c r="CG66"/>
  <c r="CH66" s="1"/>
  <c r="BT66"/>
  <c r="CC66"/>
  <c r="CG36"/>
  <c r="CH36" s="1"/>
  <c r="EB36"/>
  <c r="EC36" s="1"/>
  <c r="AH21" i="21"/>
  <c r="AL21" s="1"/>
  <c r="AM21"/>
  <c r="BA21" s="1"/>
  <c r="DJ23" i="19"/>
  <c r="CD23"/>
  <c r="BW23"/>
  <c r="AH105" i="21"/>
  <c r="AM105"/>
  <c r="BA105" s="1"/>
  <c r="DM36" i="15"/>
  <c r="DX36" s="1"/>
  <c r="EF36"/>
  <c r="BG74" i="22"/>
  <c r="BB74"/>
  <c r="DJ24" i="19"/>
  <c r="CD24"/>
  <c r="BW24"/>
  <c r="CG87"/>
  <c r="CH87" s="1"/>
  <c r="EB87"/>
  <c r="EC87" s="1"/>
  <c r="T9" i="21"/>
  <c r="T9" i="22"/>
  <c r="DJ73" i="15"/>
  <c r="BW73"/>
  <c r="BW7" s="1"/>
  <c r="CD73"/>
  <c r="CD7" s="1"/>
  <c r="BG68" i="19"/>
  <c r="BY68"/>
  <c r="BZ68" s="1"/>
  <c r="DI68"/>
  <c r="DL68" s="1"/>
  <c r="BS68"/>
  <c r="BV68"/>
  <c r="BX68"/>
  <c r="AL17"/>
  <c r="AH7"/>
  <c r="DN23" i="21"/>
  <c r="AG23"/>
  <c r="BG62"/>
  <c r="BB62"/>
  <c r="DJ11" i="19"/>
  <c r="CD11"/>
  <c r="BW11"/>
  <c r="AM65" i="21"/>
  <c r="BA65" s="1"/>
  <c r="AH65"/>
  <c r="EF22" i="15"/>
  <c r="DM22"/>
  <c r="DX22" s="1"/>
  <c r="BB83" i="21"/>
  <c r="BG83"/>
  <c r="AG64"/>
  <c r="DN64"/>
  <c r="T43"/>
  <c r="T43" i="22"/>
  <c r="AG43" s="1"/>
  <c r="EC58" i="19"/>
  <c r="EB58"/>
  <c r="CG58"/>
  <c r="CH58" s="1"/>
  <c r="AG66" i="21"/>
  <c r="DN66"/>
  <c r="T76"/>
  <c r="T76" i="22"/>
  <c r="AG76" s="1"/>
  <c r="BG22" i="19"/>
  <c r="DL58"/>
  <c r="DN76" i="21" l="1"/>
  <c r="AG76"/>
  <c r="AM43" i="22"/>
  <c r="BA43" s="1"/>
  <c r="AH43"/>
  <c r="CG68" i="19"/>
  <c r="CH68" s="1"/>
  <c r="EB68"/>
  <c r="EC68" s="1"/>
  <c r="CC68"/>
  <c r="BT68"/>
  <c r="EF73" i="15"/>
  <c r="DM73"/>
  <c r="DX73" s="1"/>
  <c r="AG9" i="22"/>
  <c r="DN9"/>
  <c r="DN160" s="1"/>
  <c r="EF24" i="19"/>
  <c r="DM24"/>
  <c r="DX24" s="1"/>
  <c r="BB21" i="21"/>
  <c r="BF21" s="1"/>
  <c r="BG21" s="1"/>
  <c r="AY11"/>
  <c r="DF11"/>
  <c r="CC76" i="19"/>
  <c r="BT76"/>
  <c r="AH36" i="22"/>
  <c r="AM36"/>
  <c r="BA36" s="1"/>
  <c r="BG66"/>
  <c r="BB66"/>
  <c r="AH58"/>
  <c r="AM58"/>
  <c r="BA58" s="1"/>
  <c r="DJ58" i="19"/>
  <c r="CD58"/>
  <c r="BW58"/>
  <c r="BT43"/>
  <c r="CC43"/>
  <c r="BB20" i="21"/>
  <c r="BG20"/>
  <c r="BG23" i="22"/>
  <c r="BB23"/>
  <c r="CG22" i="19"/>
  <c r="CH22" s="1"/>
  <c r="EB22"/>
  <c r="EC22" s="1"/>
  <c r="BA10" i="12"/>
  <c r="AM7"/>
  <c r="AZ10"/>
  <c r="AY7"/>
  <c r="EF64" i="19"/>
  <c r="DM64"/>
  <c r="DX64" s="1"/>
  <c r="BB87" i="22"/>
  <c r="BG87"/>
  <c r="AY74" i="21"/>
  <c r="AZ74" s="1"/>
  <c r="DG74" s="1"/>
  <c r="DF74"/>
  <c r="BV60"/>
  <c r="BY60"/>
  <c r="BZ60" s="1"/>
  <c r="BS60"/>
  <c r="BX60"/>
  <c r="DI60"/>
  <c r="DL60" s="1"/>
  <c r="AH66"/>
  <c r="AL66" s="1"/>
  <c r="AM66" s="1"/>
  <c r="BA66" s="1"/>
  <c r="AH23"/>
  <c r="AL23" s="1"/>
  <c r="AM23" s="1"/>
  <c r="BA23" s="1"/>
  <c r="T22" i="22"/>
  <c r="AG22" s="1"/>
  <c r="T22" i="21"/>
  <c r="AH76" i="22"/>
  <c r="AM76"/>
  <c r="BA76" s="1"/>
  <c r="DN43" i="21"/>
  <c r="AG43"/>
  <c r="AH64"/>
  <c r="AL64" s="1"/>
  <c r="AM64" s="1"/>
  <c r="BA64" s="1"/>
  <c r="BG65"/>
  <c r="BB65"/>
  <c r="DM11" i="19"/>
  <c r="EF11"/>
  <c r="AM17"/>
  <c r="AY17"/>
  <c r="DF17"/>
  <c r="DF7" s="1"/>
  <c r="AL7"/>
  <c r="T68" i="22"/>
  <c r="AG68" s="1"/>
  <c r="T68" i="21"/>
  <c r="AG9"/>
  <c r="DN9"/>
  <c r="BB105"/>
  <c r="BG105"/>
  <c r="DM23" i="19"/>
  <c r="DX23" s="1"/>
  <c r="EF23"/>
  <c r="DF21" i="21"/>
  <c r="AY21"/>
  <c r="AZ21" s="1"/>
  <c r="DG21" s="1"/>
  <c r="BW66" i="19"/>
  <c r="DJ66"/>
  <c r="CD66"/>
  <c r="AH87" i="21"/>
  <c r="AL87" s="1"/>
  <c r="AM87"/>
  <c r="BA87" s="1"/>
  <c r="EB76" i="19"/>
  <c r="EC76" s="1"/>
  <c r="CG76"/>
  <c r="CH76" s="1"/>
  <c r="AG36" i="21"/>
  <c r="DN36"/>
  <c r="AG58"/>
  <c r="DN58"/>
  <c r="EB43" i="19"/>
  <c r="EC43" s="1"/>
  <c r="CG43"/>
  <c r="CH43" s="1"/>
  <c r="BG64" i="22"/>
  <c r="BB64"/>
  <c r="DM74" i="19"/>
  <c r="DX74" s="1"/>
  <c r="EF74"/>
  <c r="CC22"/>
  <c r="BT22"/>
  <c r="EF81"/>
  <c r="DM81"/>
  <c r="DX81" s="1"/>
  <c r="DM29"/>
  <c r="DX29" s="1"/>
  <c r="EF29"/>
  <c r="DJ87"/>
  <c r="CD87"/>
  <c r="BW87"/>
  <c r="BV73"/>
  <c r="DW73" s="1"/>
  <c r="BX73"/>
  <c r="BY73"/>
  <c r="BZ73" s="1"/>
  <c r="DI73"/>
  <c r="DL73" s="1"/>
  <c r="BS73"/>
  <c r="BG105" i="22"/>
  <c r="BB105"/>
  <c r="EF68" i="15"/>
  <c r="DM68"/>
  <c r="DX68" s="1"/>
  <c r="DJ7"/>
  <c r="DG36" i="19"/>
  <c r="BW36"/>
  <c r="CD36"/>
  <c r="AM11" i="21"/>
  <c r="BA11" s="1"/>
  <c r="DM7" i="15"/>
  <c r="AM74" i="21"/>
  <c r="BA74" s="1"/>
  <c r="BG60"/>
  <c r="BB66" l="1"/>
  <c r="BF66" s="1"/>
  <c r="BG66"/>
  <c r="BB23"/>
  <c r="BF23" s="1"/>
  <c r="BG23" s="1"/>
  <c r="BB64"/>
  <c r="BF64" s="1"/>
  <c r="BG64"/>
  <c r="BB74"/>
  <c r="BF74" s="1"/>
  <c r="BG74"/>
  <c r="BB11"/>
  <c r="BF11" s="1"/>
  <c r="EB73" i="19"/>
  <c r="EC73" s="1"/>
  <c r="CG73"/>
  <c r="CH73" s="1"/>
  <c r="DM87"/>
  <c r="DX87" s="1"/>
  <c r="EF87"/>
  <c r="AH58" i="21"/>
  <c r="AL58" s="1"/>
  <c r="AM36"/>
  <c r="BA36" s="1"/>
  <c r="AH36"/>
  <c r="AL36" s="1"/>
  <c r="AY87"/>
  <c r="AZ87" s="1"/>
  <c r="DG87" s="1"/>
  <c r="DF87"/>
  <c r="DM66" i="19"/>
  <c r="DX66" s="1"/>
  <c r="EF66"/>
  <c r="AM9" i="21"/>
  <c r="AH9"/>
  <c r="AM68" i="22"/>
  <c r="BA68" s="1"/>
  <c r="AH68"/>
  <c r="BA17" i="19"/>
  <c r="AM7"/>
  <c r="DX11"/>
  <c r="AH43" i="21"/>
  <c r="AL43" s="1"/>
  <c r="AM43"/>
  <c r="BA43" s="1"/>
  <c r="BB76" i="22"/>
  <c r="BG76"/>
  <c r="AG22" i="21"/>
  <c r="DN22"/>
  <c r="BT60"/>
  <c r="CC60"/>
  <c r="EF58" i="19"/>
  <c r="DM58"/>
  <c r="DX58" s="1"/>
  <c r="AM9" i="22"/>
  <c r="AH9"/>
  <c r="BG43"/>
  <c r="BB43"/>
  <c r="DM36" i="19"/>
  <c r="DX36" s="1"/>
  <c r="EF36"/>
  <c r="BT73"/>
  <c r="CC73"/>
  <c r="BW22"/>
  <c r="DJ22"/>
  <c r="CD22"/>
  <c r="BB87" i="21"/>
  <c r="BF87" s="1"/>
  <c r="AG68"/>
  <c r="DN68"/>
  <c r="AZ17" i="19"/>
  <c r="AY7"/>
  <c r="DF64" i="21"/>
  <c r="AY64"/>
  <c r="AZ64" s="1"/>
  <c r="DG64" s="1"/>
  <c r="DW64"/>
  <c r="AH22" i="22"/>
  <c r="AM22"/>
  <c r="BA22" s="1"/>
  <c r="AY23" i="21"/>
  <c r="AZ23" s="1"/>
  <c r="DG23" s="1"/>
  <c r="DF23"/>
  <c r="DW23"/>
  <c r="AY66"/>
  <c r="AZ66" s="1"/>
  <c r="DG66" s="1"/>
  <c r="DF66"/>
  <c r="CG60"/>
  <c r="CH60" s="1"/>
  <c r="EB60"/>
  <c r="EC60" s="1"/>
  <c r="DG10" i="12"/>
  <c r="AZ7"/>
  <c r="BB10"/>
  <c r="BA7"/>
  <c r="DJ43" i="19"/>
  <c r="CD43"/>
  <c r="BW43"/>
  <c r="BB58" i="22"/>
  <c r="BG58"/>
  <c r="BB36"/>
  <c r="BG36"/>
  <c r="BW76" i="19"/>
  <c r="DJ76"/>
  <c r="CD76"/>
  <c r="AZ11" i="21"/>
  <c r="BY21"/>
  <c r="BZ21" s="1"/>
  <c r="DI21"/>
  <c r="DL21" s="1"/>
  <c r="BS21"/>
  <c r="BV21"/>
  <c r="DW21" s="1"/>
  <c r="BW68" i="19"/>
  <c r="DJ68"/>
  <c r="CD68"/>
  <c r="AH76" i="21"/>
  <c r="AL76" s="1"/>
  <c r="AM76" s="1"/>
  <c r="BA76" s="1"/>
  <c r="BB76" l="1"/>
  <c r="BF76" s="1"/>
  <c r="BG76"/>
  <c r="DM68" i="19"/>
  <c r="DX68" s="1"/>
  <c r="EF68"/>
  <c r="CC21" i="21"/>
  <c r="BT21"/>
  <c r="DG11"/>
  <c r="DM76" i="19"/>
  <c r="DX76" s="1"/>
  <c r="EF76"/>
  <c r="EF43"/>
  <c r="DM43"/>
  <c r="DX43" s="1"/>
  <c r="BF10" i="12"/>
  <c r="BB7"/>
  <c r="DG7"/>
  <c r="BB22" i="22"/>
  <c r="BG22"/>
  <c r="DG17" i="19"/>
  <c r="AZ7"/>
  <c r="AH68" i="21"/>
  <c r="AL68" s="1"/>
  <c r="BX87"/>
  <c r="BV87"/>
  <c r="DW87" s="1"/>
  <c r="DI87"/>
  <c r="DL87" s="1"/>
  <c r="BY87"/>
  <c r="BZ87" s="1"/>
  <c r="BS87"/>
  <c r="EF22" i="19"/>
  <c r="DM22"/>
  <c r="DX22" s="1"/>
  <c r="BB43" i="21"/>
  <c r="BF43" s="1"/>
  <c r="BA9"/>
  <c r="BB36"/>
  <c r="BF36" s="1"/>
  <c r="AY58"/>
  <c r="AZ58" s="1"/>
  <c r="DG58" s="1"/>
  <c r="DF58"/>
  <c r="BV11"/>
  <c r="DI11"/>
  <c r="BS11"/>
  <c r="BY11"/>
  <c r="BV74"/>
  <c r="BS74"/>
  <c r="DI74"/>
  <c r="DL74" s="1"/>
  <c r="BX74"/>
  <c r="BY74"/>
  <c r="BZ74" s="1"/>
  <c r="DW74"/>
  <c r="BV64"/>
  <c r="BY64"/>
  <c r="BZ64" s="1"/>
  <c r="BS64"/>
  <c r="BX64"/>
  <c r="DI64"/>
  <c r="BS66"/>
  <c r="BX66"/>
  <c r="DI66"/>
  <c r="DL66" s="1"/>
  <c r="BV66"/>
  <c r="DW66" s="1"/>
  <c r="BY66"/>
  <c r="BZ66" s="1"/>
  <c r="DL64"/>
  <c r="DF76"/>
  <c r="AY76"/>
  <c r="AZ76" s="1"/>
  <c r="DG76" s="1"/>
  <c r="DW76"/>
  <c r="CD73" i="19"/>
  <c r="BW73"/>
  <c r="DJ73"/>
  <c r="BA9" i="22"/>
  <c r="BW60" i="21"/>
  <c r="CD60"/>
  <c r="DJ60"/>
  <c r="AH22"/>
  <c r="AL22" s="1"/>
  <c r="AM22"/>
  <c r="BA22" s="1"/>
  <c r="DF43"/>
  <c r="AY43"/>
  <c r="AZ43" s="1"/>
  <c r="DG43" s="1"/>
  <c r="BB17" i="19"/>
  <c r="BA7"/>
  <c r="BG68" i="22"/>
  <c r="BB68"/>
  <c r="DF36" i="21"/>
  <c r="AY36"/>
  <c r="AZ36" s="1"/>
  <c r="DG36" s="1"/>
  <c r="DW36"/>
  <c r="DI23"/>
  <c r="DL23" s="1"/>
  <c r="BV23"/>
  <c r="BY23"/>
  <c r="BZ23" s="1"/>
  <c r="BS23"/>
  <c r="BX23"/>
  <c r="BG87"/>
  <c r="AM58"/>
  <c r="BA58" s="1"/>
  <c r="BG11"/>
  <c r="EB23" l="1"/>
  <c r="EC23"/>
  <c r="CG23"/>
  <c r="CH23" s="1"/>
  <c r="BB58"/>
  <c r="BF58" s="1"/>
  <c r="BG58"/>
  <c r="CC23"/>
  <c r="BT23"/>
  <c r="BB22"/>
  <c r="BF22" s="1"/>
  <c r="BG22"/>
  <c r="DM60"/>
  <c r="DX60" s="1"/>
  <c r="EF60"/>
  <c r="BG9" i="22"/>
  <c r="BB9"/>
  <c r="EB66" i="21"/>
  <c r="EC66" s="1"/>
  <c r="CG66"/>
  <c r="CH66" s="1"/>
  <c r="BT64"/>
  <c r="CC64"/>
  <c r="BZ11"/>
  <c r="DL11"/>
  <c r="BY36"/>
  <c r="BZ36" s="1"/>
  <c r="BS36"/>
  <c r="BX36"/>
  <c r="DI36"/>
  <c r="BV36"/>
  <c r="BB9"/>
  <c r="BG9"/>
  <c r="BX43"/>
  <c r="DI43"/>
  <c r="DL43" s="1"/>
  <c r="BV43"/>
  <c r="DW43" s="1"/>
  <c r="BY43"/>
  <c r="BZ43" s="1"/>
  <c r="BS43"/>
  <c r="AY68"/>
  <c r="AZ68" s="1"/>
  <c r="DG68" s="1"/>
  <c r="DF68"/>
  <c r="BG10" i="12"/>
  <c r="BG7" s="1"/>
  <c r="BV10"/>
  <c r="BV7" s="1"/>
  <c r="BY10"/>
  <c r="BX10"/>
  <c r="DI10"/>
  <c r="BS10"/>
  <c r="BF7"/>
  <c r="DW10"/>
  <c r="BY76" i="21"/>
  <c r="BZ76" s="1"/>
  <c r="BV76"/>
  <c r="DI76"/>
  <c r="BS76"/>
  <c r="BX76"/>
  <c r="DL36"/>
  <c r="DL76"/>
  <c r="BF17" i="19"/>
  <c r="BB7"/>
  <c r="DF22" i="21"/>
  <c r="AY22"/>
  <c r="AZ22" s="1"/>
  <c r="DG22" s="1"/>
  <c r="EF73" i="19"/>
  <c r="DM73"/>
  <c r="DX73" s="1"/>
  <c r="BT66" i="21"/>
  <c r="CC66"/>
  <c r="EC64"/>
  <c r="CG64"/>
  <c r="CH64" s="1"/>
  <c r="EB64"/>
  <c r="EB74"/>
  <c r="EC74"/>
  <c r="CG74"/>
  <c r="CH74" s="1"/>
  <c r="CC74"/>
  <c r="BT74"/>
  <c r="BT11"/>
  <c r="CC11"/>
  <c r="DW11"/>
  <c r="BT87"/>
  <c r="CC87"/>
  <c r="EB87"/>
  <c r="EC87" s="1"/>
  <c r="CG87"/>
  <c r="CH87" s="1"/>
  <c r="DG7" i="19"/>
  <c r="DJ21" i="21"/>
  <c r="BW21"/>
  <c r="CD21"/>
  <c r="BG36"/>
  <c r="BG43"/>
  <c r="AM68"/>
  <c r="BA68" s="1"/>
  <c r="DJ66" l="1"/>
  <c r="BW66"/>
  <c r="CD66"/>
  <c r="DW17" i="19"/>
  <c r="BV17"/>
  <c r="BV7" s="1"/>
  <c r="BX17"/>
  <c r="BY17"/>
  <c r="DI17"/>
  <c r="BS17"/>
  <c r="BF7"/>
  <c r="BG17"/>
  <c r="BT76" i="21"/>
  <c r="CC76"/>
  <c r="DL10" i="12"/>
  <c r="DL7" s="1"/>
  <c r="DI7"/>
  <c r="BZ10"/>
  <c r="BZ7" s="1"/>
  <c r="BY7"/>
  <c r="CC43" i="21"/>
  <c r="BT43"/>
  <c r="CG43"/>
  <c r="CH43" s="1"/>
  <c r="EB43"/>
  <c r="EC43" s="1"/>
  <c r="EB36"/>
  <c r="EC36" s="1"/>
  <c r="CG36"/>
  <c r="CH36" s="1"/>
  <c r="CD64"/>
  <c r="DJ64"/>
  <c r="BW64"/>
  <c r="CD23"/>
  <c r="DJ23"/>
  <c r="BW23"/>
  <c r="EF21"/>
  <c r="DM21"/>
  <c r="DX21" s="1"/>
  <c r="CD11"/>
  <c r="DJ11"/>
  <c r="BW11"/>
  <c r="BB68"/>
  <c r="BF68" s="1"/>
  <c r="BG68" s="1"/>
  <c r="CD87"/>
  <c r="BW87"/>
  <c r="DJ87"/>
  <c r="DJ74"/>
  <c r="BW74"/>
  <c r="CD74"/>
  <c r="EB76"/>
  <c r="EC76" s="1"/>
  <c r="CG76"/>
  <c r="CH76" s="1"/>
  <c r="BT10" i="12"/>
  <c r="CC10"/>
  <c r="CC7" s="1"/>
  <c r="BS7"/>
  <c r="EC10"/>
  <c r="EB10"/>
  <c r="CG10"/>
  <c r="BX7"/>
  <c r="CC36" i="21"/>
  <c r="BT36"/>
  <c r="BS22"/>
  <c r="BX22"/>
  <c r="DI22"/>
  <c r="DL22" s="1"/>
  <c r="BV22"/>
  <c r="DW22" s="1"/>
  <c r="BY22"/>
  <c r="BZ22" s="1"/>
  <c r="BX58"/>
  <c r="BV58"/>
  <c r="BS58"/>
  <c r="DI58"/>
  <c r="DL58" s="1"/>
  <c r="BY58"/>
  <c r="BZ58" s="1"/>
  <c r="DW58"/>
  <c r="EC58" l="1"/>
  <c r="EB58"/>
  <c r="CG58"/>
  <c r="CH58" s="1"/>
  <c r="EB22"/>
  <c r="EC22" s="1"/>
  <c r="CG22"/>
  <c r="CH22" s="1"/>
  <c r="CC22"/>
  <c r="BT22"/>
  <c r="CH10" i="12"/>
  <c r="CH7" s="1"/>
  <c r="CG7"/>
  <c r="DM74" i="21"/>
  <c r="DX74" s="1"/>
  <c r="EF74"/>
  <c r="EF11"/>
  <c r="DM11"/>
  <c r="DM64"/>
  <c r="DX64" s="1"/>
  <c r="EF64"/>
  <c r="DJ43"/>
  <c r="BW43"/>
  <c r="CD43"/>
  <c r="T17" i="22"/>
  <c r="T17" i="21"/>
  <c r="BG7" i="19"/>
  <c r="BT17"/>
  <c r="CC17"/>
  <c r="CC7" s="1"/>
  <c r="BS7"/>
  <c r="BZ17"/>
  <c r="BZ7" s="1"/>
  <c r="BY7"/>
  <c r="DM66" i="21"/>
  <c r="DX66" s="1"/>
  <c r="EF66"/>
  <c r="BT58"/>
  <c r="CC58"/>
  <c r="DJ36"/>
  <c r="BW36"/>
  <c r="CD36"/>
  <c r="DJ10" i="12"/>
  <c r="BW10"/>
  <c r="BW7" s="1"/>
  <c r="CD10"/>
  <c r="CD7" s="1"/>
  <c r="BT7"/>
  <c r="DM87" i="21"/>
  <c r="DX87" s="1"/>
  <c r="EF87"/>
  <c r="BY68"/>
  <c r="BZ68" s="1"/>
  <c r="BS68"/>
  <c r="DI68"/>
  <c r="DL68" s="1"/>
  <c r="BX68"/>
  <c r="BV68"/>
  <c r="DW68"/>
  <c r="EF23"/>
  <c r="DM23"/>
  <c r="DX23" s="1"/>
  <c r="DJ76"/>
  <c r="CD76"/>
  <c r="BW76"/>
  <c r="DL17" i="19"/>
  <c r="DL7" s="1"/>
  <c r="DI7"/>
  <c r="EB17"/>
  <c r="EC17" s="1"/>
  <c r="CG17"/>
  <c r="BX7"/>
  <c r="CG68" i="21" l="1"/>
  <c r="CH68" s="1"/>
  <c r="EB68"/>
  <c r="EC68" s="1"/>
  <c r="CC68"/>
  <c r="BT68"/>
  <c r="CH17" i="19"/>
  <c r="CH7" s="1"/>
  <c r="CG7"/>
  <c r="EF76" i="21"/>
  <c r="DM76"/>
  <c r="DX76" s="1"/>
  <c r="DJ7" i="12"/>
  <c r="DM10"/>
  <c r="EF10"/>
  <c r="BW17" i="19"/>
  <c r="BW7" s="1"/>
  <c r="DJ17"/>
  <c r="CD17"/>
  <c r="CD7" s="1"/>
  <c r="BT7"/>
  <c r="DN17" i="21"/>
  <c r="DN160" s="1"/>
  <c r="AG17"/>
  <c r="T7"/>
  <c r="DM43"/>
  <c r="DX43" s="1"/>
  <c r="EF43"/>
  <c r="DJ22"/>
  <c r="BW22"/>
  <c r="CD22"/>
  <c r="EF36"/>
  <c r="DM36"/>
  <c r="DX36" s="1"/>
  <c r="BW58"/>
  <c r="CD58"/>
  <c r="DJ58"/>
  <c r="AG17" i="22"/>
  <c r="T7"/>
  <c r="DX11" i="21"/>
  <c r="DM58" l="1"/>
  <c r="DX58" s="1"/>
  <c r="EF58"/>
  <c r="AH17" i="22"/>
  <c r="AH7" s="1"/>
  <c r="AM17"/>
  <c r="AG7"/>
  <c r="EF22" i="21"/>
  <c r="DM22"/>
  <c r="DX22" s="1"/>
  <c r="AH17"/>
  <c r="AG7"/>
  <c r="DJ7" i="19"/>
  <c r="DM17"/>
  <c r="EF17"/>
  <c r="DX10" i="12"/>
  <c r="DM7"/>
  <c r="BW68" i="21"/>
  <c r="DJ68"/>
  <c r="CD68"/>
  <c r="EF68" l="1"/>
  <c r="DM68"/>
  <c r="DX68" s="1"/>
  <c r="DX17" i="19"/>
  <c r="DM7"/>
  <c r="AL17" i="21"/>
  <c r="AH7"/>
  <c r="BA17" i="22"/>
  <c r="AM7"/>
  <c r="BG17" l="1"/>
  <c r="BG7" s="1"/>
  <c r="BB17"/>
  <c r="BB7" s="1"/>
  <c r="BA7"/>
  <c r="DF17" i="21"/>
  <c r="DF7" s="1"/>
  <c r="AY17"/>
  <c r="AL7"/>
  <c r="AM17"/>
  <c r="BA17" l="1"/>
  <c r="AM7"/>
  <c r="AZ17"/>
  <c r="AY7"/>
  <c r="DG17" l="1"/>
  <c r="AZ7"/>
  <c r="BB17"/>
  <c r="BA7"/>
  <c r="BF17" l="1"/>
  <c r="BB7"/>
  <c r="DG7"/>
  <c r="BX17" l="1"/>
  <c r="BY17"/>
  <c r="BV17"/>
  <c r="BV7" s="1"/>
  <c r="BS17"/>
  <c r="DI17"/>
  <c r="BF7"/>
  <c r="DW17"/>
  <c r="BG17"/>
  <c r="BG7" s="1"/>
  <c r="DL17" l="1"/>
  <c r="DL7" s="1"/>
  <c r="DI7"/>
  <c r="CG17"/>
  <c r="EB17"/>
  <c r="EC17" s="1"/>
  <c r="BX7"/>
  <c r="BT17"/>
  <c r="CC17"/>
  <c r="CC7" s="1"/>
  <c r="BS7"/>
  <c r="BZ17"/>
  <c r="BZ7" s="1"/>
  <c r="BY7"/>
  <c r="CH17" l="1"/>
  <c r="CH7" s="1"/>
  <c r="CG7"/>
  <c r="BW17"/>
  <c r="BW7" s="1"/>
  <c r="CD17"/>
  <c r="CD7" s="1"/>
  <c r="DJ17"/>
  <c r="BT7"/>
  <c r="DJ7" l="1"/>
  <c r="EF17"/>
  <c r="DM17"/>
  <c r="DX17" l="1"/>
  <c r="DM7"/>
</calcChain>
</file>

<file path=xl/comments1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NA</author>
  </authors>
  <commentList>
    <comment ref="AG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ngày hôm trước</t>
        </r>
      </text>
    </comment>
    <comment ref="BA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= số lượng tồn cuối ca trước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AJ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BC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Bằng số cây nguyên ca sử dụng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Phần nguyên liệu cây cuối ca được tính bằng trọng lượng hộp sp cuối cùng.</t>
        </r>
      </text>
    </comment>
    <comment ref="D6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141.4
DC: 1.2</t>
        </r>
      </text>
    </comment>
    <comment ref="D81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14.7
DC: 1.5</t>
        </r>
      </text>
    </comment>
    <comment ref="D100" authorId="1">
      <text>
        <r>
          <rPr>
            <b/>
            <sz val="9"/>
            <color indexed="81"/>
            <rFont val="Tahoma"/>
            <family val="2"/>
          </rPr>
          <t>NA:</t>
        </r>
        <r>
          <rPr>
            <sz val="9"/>
            <color indexed="81"/>
            <rFont val="Tahoma"/>
            <family val="2"/>
          </rPr>
          <t xml:space="preserve">
dt: 4.0
dc: 2.2</t>
        </r>
      </text>
    </comment>
  </commentList>
</comments>
</file>

<file path=xl/sharedStrings.xml><?xml version="1.0" encoding="utf-8"?>
<sst xmlns="http://schemas.openxmlformats.org/spreadsheetml/2006/main" count="9997" uniqueCount="589">
  <si>
    <t>Phiếu Giao Nhận Và Sử Dụng Nguyên Liệu</t>
  </si>
  <si>
    <t>(BM 01/NL)</t>
  </si>
  <si>
    <t xml:space="preserve"> </t>
  </si>
  <si>
    <t>THÔNG TIN NGUYÊN LIỆU</t>
  </si>
  <si>
    <t>BÁO CÁO SẢN PHẨM CA 1</t>
  </si>
  <si>
    <t>BÁO CÁO SẢN PHẨM CA 2</t>
  </si>
  <si>
    <t>BÁO CÁO TỔNG SẢN PHẨM 2 CA</t>
  </si>
  <si>
    <t>NHẬP BÁO CÁO</t>
  </si>
  <si>
    <t>THEO DÕI NĂNG SUẤT</t>
  </si>
  <si>
    <t>Ca 1C</t>
  </si>
  <si>
    <t>Ca 2A</t>
  </si>
  <si>
    <t>Tổng 2 Ca</t>
  </si>
  <si>
    <t xml:space="preserve">
STT</t>
  </si>
  <si>
    <t xml:space="preserve">
MÁY</t>
  </si>
  <si>
    <t xml:space="preserve">
MÃ KHÁCH HÀNG</t>
  </si>
  <si>
    <t xml:space="preserve">
MÃ
 SẢN PHẨM</t>
  </si>
  <si>
    <t xml:space="preserve">Qui cách </t>
  </si>
  <si>
    <t>Tồn Đầu</t>
  </si>
  <si>
    <t xml:space="preserve">
Cấp 
mới </t>
  </si>
  <si>
    <t>Trọng lương/pcs</t>
  </si>
  <si>
    <t xml:space="preserve">
Kho
CNC
(pcs)
2
</t>
  </si>
  <si>
    <t>Kho 
SX2
( pcs)
2</t>
  </si>
  <si>
    <t>Kho 
chờ
 nhiệt luyện
(pcs)
3</t>
  </si>
  <si>
    <t>Kho 
Chờ 
rung
 bóng
(pcs)
4</t>
  </si>
  <si>
    <t>Kho 
Chờ GCN
(pcs)
5</t>
  </si>
  <si>
    <t>Kho QC
(pcs)
7</t>
  </si>
  <si>
    <t>Kho 
chờ xử lý
(pcs)
8</t>
  </si>
  <si>
    <t>Kho PP
(pcs)
9</t>
  </si>
  <si>
    <t xml:space="preserve">Tổng 
sản phẩm 02 ca </t>
  </si>
  <si>
    <t>Lũy kế
(Từ30/06
đến 30/07</t>
  </si>
  <si>
    <t>NGUYÊN LIỆU CA1</t>
  </si>
  <si>
    <t>SẢN PHẨM  CA1</t>
  </si>
  <si>
    <t xml:space="preserve">Chênh lệch 
định mức </t>
  </si>
  <si>
    <t>NGUYÊN LIỆU CA2</t>
  </si>
  <si>
    <t>SẢN PHẨM CA2</t>
  </si>
  <si>
    <t xml:space="preserve">Σ nguyên liệu sử sụng 2ca
</t>
  </si>
  <si>
    <t>Σ Số lượng sản phẩm 2ca</t>
  </si>
  <si>
    <t>Σ Chênh lệch
 định mức 2ca</t>
  </si>
  <si>
    <t>Σ Lũy kế 
Chênh lệch
 định mức 2ca</t>
  </si>
  <si>
    <t>PHOI</t>
  </si>
  <si>
    <t>Báo cáo hằng ngày</t>
  </si>
  <si>
    <t>192.188.1.171/vfi</t>
  </si>
  <si>
    <t>Loại máy</t>
  </si>
  <si>
    <t>1pcs/ giây</t>
  </si>
  <si>
    <t>Năng suất</t>
  </si>
  <si>
    <t>Định mức gia công</t>
  </si>
  <si>
    <t>Giá trị
gia công</t>
  </si>
  <si>
    <t>%
Năng suất</t>
  </si>
  <si>
    <t>%
Hàng
chỉnh
máy
/ca</t>
  </si>
  <si>
    <t>%
Hàng
hao
hụt
/ca</t>
  </si>
  <si>
    <t>Tổng Sản Phẩm 
Ca1</t>
  </si>
  <si>
    <t>Tổng N.L Ca1</t>
  </si>
  <si>
    <t>Tổng Mức Chênh Lệch Ca1</t>
  </si>
  <si>
    <t>Tổng Sản Phẩm 
Ca2</t>
  </si>
  <si>
    <t>Tổng N.L Ca2</t>
  </si>
  <si>
    <t>Tổng Mức Chênh Lệch Ca2</t>
  </si>
  <si>
    <t>Tổng Sản Phẩm 
2Ca</t>
  </si>
  <si>
    <t>Tổng N.L 2Ca</t>
  </si>
  <si>
    <t>Tổng Mức Chênh Lệch 2Ca</t>
  </si>
  <si>
    <t>SP KPH</t>
  </si>
  <si>
    <t>Định 
mức (pcs/ cây )</t>
  </si>
  <si>
    <t>Mã nhận dạng NL</t>
  </si>
  <si>
    <t>Mã NL VF</t>
  </si>
  <si>
    <t xml:space="preserve">Mã Nguyên Liệu </t>
  </si>
  <si>
    <t xml:space="preserve">Nhà cung cấp </t>
  </si>
  <si>
    <t>Đường Kính
( mm )</t>
  </si>
  <si>
    <t>Hình dạng</t>
  </si>
  <si>
    <t xml:space="preserve">Tiêu chuẩn </t>
  </si>
  <si>
    <t>Dài
(m)</t>
  </si>
  <si>
    <t>Trọng lượng
( Kg/cây)</t>
  </si>
  <si>
    <t>Số lot</t>
  </si>
  <si>
    <t>Định Mức NL 2Ca</t>
  </si>
  <si>
    <t>Tồn đầu ca 
( Cây)</t>
  </si>
  <si>
    <t>Sử dụng</t>
  </si>
  <si>
    <t>Tồn cuối
 ( Cây)</t>
  </si>
  <si>
    <t>Số hộp
( cái )</t>
  </si>
  <si>
    <t>Kho CNC</t>
  </si>
  <si>
    <t xml:space="preserve"> kho SX2
(gam)</t>
  </si>
  <si>
    <t>Kho nhiệt luyện
(gam)</t>
  </si>
  <si>
    <t>Kho Rung bóng
(gam)</t>
  </si>
  <si>
    <t xml:space="preserve"> GCN
(gam)</t>
  </si>
  <si>
    <t>Kho QC
(gam)</t>
  </si>
  <si>
    <t>Kho chờ xử lý
(gam)</t>
  </si>
  <si>
    <t>Giao PP
(gam)</t>
  </si>
  <si>
    <t>Tổng SP Ca 1</t>
  </si>
  <si>
    <t>Trọng lượng
(gam)</t>
  </si>
  <si>
    <t>Số lượng
(pcs)</t>
  </si>
  <si>
    <t>Tổng SP Ca 2</t>
  </si>
  <si>
    <t>Tổng SP 
2 Ca</t>
  </si>
  <si>
    <t>Tổng NL 
2 Ca sử dụng</t>
  </si>
  <si>
    <t>Tổng Mức Chênh Lệch Sản Phẩm</t>
  </si>
  <si>
    <t xml:space="preserve">Trọng lượng
( kg) </t>
  </si>
  <si>
    <t>Số lượng
(cây)</t>
  </si>
  <si>
    <t>Lũy kế</t>
  </si>
  <si>
    <t>Ngày:</t>
  </si>
  <si>
    <t xml:space="preserve">Lũy kế </t>
  </si>
  <si>
    <t>Ca1A</t>
  </si>
  <si>
    <t>Ca 2B</t>
  </si>
  <si>
    <t>Tồn đầu ca</t>
  </si>
  <si>
    <t>Cấp mới</t>
  </si>
  <si>
    <t>SL sử dụng</t>
  </si>
  <si>
    <t>Tồn cuối ca</t>
  </si>
  <si>
    <t>lot</t>
  </si>
  <si>
    <t>Số hộp</t>
  </si>
  <si>
    <t>SL</t>
  </si>
  <si>
    <t>Nội dung KPH</t>
  </si>
  <si>
    <t>Ghi chú</t>
  </si>
  <si>
    <t>OD</t>
  </si>
  <si>
    <t>ID</t>
  </si>
  <si>
    <t>Cây đầu ca</t>
  </si>
  <si>
    <t>Cây nguyên</t>
  </si>
  <si>
    <t>Cây cuối ca</t>
  </si>
  <si>
    <t>∑</t>
  </si>
  <si>
    <t>Σ
Trọng lượng (gam)</t>
  </si>
  <si>
    <t>Σ Số lượng 
 (pcs)</t>
  </si>
  <si>
    <t>Trọng lượng hộp cuối</t>
  </si>
  <si>
    <t>Trọng lượng chờ xử lý</t>
  </si>
  <si>
    <t>Trọng lượng phế phẩm</t>
  </si>
  <si>
    <t>TP1</t>
  </si>
  <si>
    <t>CXL 1</t>
  </si>
  <si>
    <t>PP1</t>
  </si>
  <si>
    <t>TP2</t>
  </si>
  <si>
    <t>CXL 2</t>
  </si>
  <si>
    <t>PP2</t>
  </si>
  <si>
    <t>Tl (g)</t>
  </si>
  <si>
    <t>Cây</t>
  </si>
  <si>
    <t>C01</t>
  </si>
  <si>
    <t>SM04</t>
  </si>
  <si>
    <t>D</t>
  </si>
  <si>
    <t>A6063-T5</t>
  </si>
  <si>
    <t>GW</t>
  </si>
  <si>
    <t>H9</t>
  </si>
  <si>
    <t>B15</t>
  </si>
  <si>
    <t>B15C010515</t>
  </si>
  <si>
    <t>C02</t>
  </si>
  <si>
    <t>Y5 1851</t>
  </si>
  <si>
    <t>B</t>
  </si>
  <si>
    <t>12L14</t>
  </si>
  <si>
    <t>TV</t>
  </si>
  <si>
    <t>A14</t>
  </si>
  <si>
    <t>C03</t>
  </si>
  <si>
    <t>B15C030515</t>
  </si>
  <si>
    <t>C04</t>
  </si>
  <si>
    <t>020</t>
  </si>
  <si>
    <t>C14</t>
  </si>
  <si>
    <t>C14C120515</t>
  </si>
  <si>
    <t>C05</t>
  </si>
  <si>
    <t>A</t>
  </si>
  <si>
    <t>C3604</t>
  </si>
  <si>
    <t>DC</t>
  </si>
  <si>
    <t>B12</t>
  </si>
  <si>
    <t>C06</t>
  </si>
  <si>
    <t>B15C060515</t>
  </si>
  <si>
    <t>C07</t>
  </si>
  <si>
    <t>H7</t>
  </si>
  <si>
    <t>C3602</t>
  </si>
  <si>
    <t>IB</t>
  </si>
  <si>
    <t>T</t>
  </si>
  <si>
    <t>C08</t>
  </si>
  <si>
    <t>S5</t>
  </si>
  <si>
    <t>H</t>
  </si>
  <si>
    <t>H11</t>
  </si>
  <si>
    <t>C09</t>
  </si>
  <si>
    <t>131100</t>
  </si>
  <si>
    <t>A15</t>
  </si>
  <si>
    <t>C10</t>
  </si>
  <si>
    <t>A15C100515</t>
  </si>
  <si>
    <t>C11</t>
  </si>
  <si>
    <t>A15C110515</t>
  </si>
  <si>
    <t>C12</t>
  </si>
  <si>
    <t>S90001</t>
  </si>
  <si>
    <t>B14</t>
  </si>
  <si>
    <t>C12B</t>
  </si>
  <si>
    <t>Y1 8800</t>
  </si>
  <si>
    <t>B14C12B0515</t>
  </si>
  <si>
    <t>C14C140515</t>
  </si>
  <si>
    <t>C15</t>
  </si>
  <si>
    <t>SC5</t>
  </si>
  <si>
    <t>B14C150515</t>
  </si>
  <si>
    <t>C16</t>
  </si>
  <si>
    <t>0604</t>
  </si>
  <si>
    <t>YH</t>
  </si>
  <si>
    <t>B12C160515</t>
  </si>
  <si>
    <t>C17</t>
  </si>
  <si>
    <t>A15C170515</t>
  </si>
  <si>
    <t>C18</t>
  </si>
  <si>
    <t>B15C180515</t>
  </si>
  <si>
    <t>C19</t>
  </si>
  <si>
    <t/>
  </si>
  <si>
    <t>C20</t>
  </si>
  <si>
    <t>Y1 5900</t>
  </si>
  <si>
    <t>C</t>
  </si>
  <si>
    <t>SUJ2</t>
  </si>
  <si>
    <t>C13</t>
  </si>
  <si>
    <t>C21</t>
  </si>
  <si>
    <t>A15C210515</t>
  </si>
  <si>
    <t>C22</t>
  </si>
  <si>
    <t>C14C220515</t>
  </si>
  <si>
    <t>C23</t>
  </si>
  <si>
    <t>SM02</t>
  </si>
  <si>
    <t>E14</t>
  </si>
  <si>
    <t>E14C230515</t>
  </si>
  <si>
    <t>C24</t>
  </si>
  <si>
    <t>CO15</t>
  </si>
  <si>
    <t>A14C240515</t>
  </si>
  <si>
    <t>C25</t>
  </si>
  <si>
    <t>N4</t>
  </si>
  <si>
    <t>WZ</t>
  </si>
  <si>
    <t>A08</t>
  </si>
  <si>
    <t>A08C250515</t>
  </si>
  <si>
    <t>C26</t>
  </si>
  <si>
    <t>555</t>
  </si>
  <si>
    <t>C27</t>
  </si>
  <si>
    <t>P9</t>
  </si>
  <si>
    <t>SUS304K</t>
  </si>
  <si>
    <t>SS</t>
  </si>
  <si>
    <t>C28</t>
  </si>
  <si>
    <t>C29</t>
  </si>
  <si>
    <t>B14C290515</t>
  </si>
  <si>
    <t>C30</t>
  </si>
  <si>
    <t>F3 91B</t>
  </si>
  <si>
    <t>A5052</t>
  </si>
  <si>
    <t>GA</t>
  </si>
  <si>
    <t>A14C300515</t>
  </si>
  <si>
    <t>C31</t>
  </si>
  <si>
    <t>Y1 800</t>
  </si>
  <si>
    <t>SUS303</t>
  </si>
  <si>
    <t>ME</t>
  </si>
  <si>
    <t>B13</t>
  </si>
  <si>
    <t>B13C310515</t>
  </si>
  <si>
    <t>C32</t>
  </si>
  <si>
    <t>A14C320515</t>
  </si>
  <si>
    <t>C33</t>
  </si>
  <si>
    <t>LD5</t>
  </si>
  <si>
    <t>MI</t>
  </si>
  <si>
    <t>A14C330515</t>
  </si>
  <si>
    <t>C34</t>
  </si>
  <si>
    <t>F3 104</t>
  </si>
  <si>
    <t>SUS303Cu</t>
  </si>
  <si>
    <t>A14C340515</t>
  </si>
  <si>
    <t>C35</t>
  </si>
  <si>
    <t>H4</t>
  </si>
  <si>
    <t>C36</t>
  </si>
  <si>
    <t>A14C360515</t>
  </si>
  <si>
    <t>C37</t>
  </si>
  <si>
    <t>P7</t>
  </si>
  <si>
    <t>A10</t>
  </si>
  <si>
    <t>A10C370515</t>
  </si>
  <si>
    <t>C38</t>
  </si>
  <si>
    <t>S12584</t>
  </si>
  <si>
    <t>C39</t>
  </si>
  <si>
    <t>0010</t>
  </si>
  <si>
    <t>B14C390515</t>
  </si>
  <si>
    <t>C40</t>
  </si>
  <si>
    <t>PL8</t>
  </si>
  <si>
    <t>C41</t>
  </si>
  <si>
    <t>3TH</t>
  </si>
  <si>
    <t>A12</t>
  </si>
  <si>
    <t>A12C410515</t>
  </si>
  <si>
    <t>C42</t>
  </si>
  <si>
    <t>F3 105A</t>
  </si>
  <si>
    <t>A14C420515</t>
  </si>
  <si>
    <t>C43</t>
  </si>
  <si>
    <t>V2.5</t>
  </si>
  <si>
    <t>SUS303CU</t>
  </si>
  <si>
    <t>A14C430515</t>
  </si>
  <si>
    <t>C44</t>
  </si>
  <si>
    <t>PL7</t>
  </si>
  <si>
    <t>C45</t>
  </si>
  <si>
    <t>C46</t>
  </si>
  <si>
    <t>P1</t>
  </si>
  <si>
    <t>SUS420J2</t>
  </si>
  <si>
    <t>A14C460515</t>
  </si>
  <si>
    <t>C47</t>
  </si>
  <si>
    <t>V25L30</t>
  </si>
  <si>
    <t>B14C470515</t>
  </si>
  <si>
    <t>C48</t>
  </si>
  <si>
    <t>A14C480515</t>
  </si>
  <si>
    <t>C49</t>
  </si>
  <si>
    <t>A23000</t>
  </si>
  <si>
    <t>A14C490515</t>
  </si>
  <si>
    <t>C50</t>
  </si>
  <si>
    <t>Y1 16S</t>
  </si>
  <si>
    <t>B14C500515</t>
  </si>
  <si>
    <t>C51</t>
  </si>
  <si>
    <t>A15C510515</t>
  </si>
  <si>
    <t>C52</t>
  </si>
  <si>
    <t>C53</t>
  </si>
  <si>
    <t>NUT4.5</t>
  </si>
  <si>
    <t>B13C530515</t>
  </si>
  <si>
    <t>C54</t>
  </si>
  <si>
    <t>SM05</t>
  </si>
  <si>
    <t>B14C540515</t>
  </si>
  <si>
    <t>C55</t>
  </si>
  <si>
    <t>B03</t>
  </si>
  <si>
    <t>A14C550515</t>
  </si>
  <si>
    <t>C56</t>
  </si>
  <si>
    <t>A4 92401</t>
  </si>
  <si>
    <t>CuBe2Pb</t>
  </si>
  <si>
    <t>FR</t>
  </si>
  <si>
    <t>C57</t>
  </si>
  <si>
    <t>Ốc đồng</t>
  </si>
  <si>
    <t>B14C570515</t>
  </si>
  <si>
    <t>C58</t>
  </si>
  <si>
    <t>A5 0803</t>
  </si>
  <si>
    <t>A2011-T3</t>
  </si>
  <si>
    <t>B14C580515</t>
  </si>
  <si>
    <t>C59</t>
  </si>
  <si>
    <t>A14C590515</t>
  </si>
  <si>
    <t>C60</t>
  </si>
  <si>
    <t>H2 233</t>
  </si>
  <si>
    <t>C61</t>
  </si>
  <si>
    <t>Y1 6800</t>
  </si>
  <si>
    <t>A14C610515</t>
  </si>
  <si>
    <t>C62</t>
  </si>
  <si>
    <t>A14C620515</t>
  </si>
  <si>
    <t>C63</t>
  </si>
  <si>
    <t>3201</t>
  </si>
  <si>
    <t>C2700</t>
  </si>
  <si>
    <t>C64</t>
  </si>
  <si>
    <t>C65</t>
  </si>
  <si>
    <t>Y1 7034</t>
  </si>
  <si>
    <t>B14C650515</t>
  </si>
  <si>
    <t>C66</t>
  </si>
  <si>
    <t>A14C660515</t>
  </si>
  <si>
    <t>C67</t>
  </si>
  <si>
    <t>1401G</t>
  </si>
  <si>
    <t>D14</t>
  </si>
  <si>
    <t>D14C670515</t>
  </si>
  <si>
    <t>C68</t>
  </si>
  <si>
    <t>A4 1401</t>
  </si>
  <si>
    <t>B14C680515</t>
  </si>
  <si>
    <t>C69</t>
  </si>
  <si>
    <t>A14C690515</t>
  </si>
  <si>
    <t>C70</t>
  </si>
  <si>
    <t>B14C700515</t>
  </si>
  <si>
    <t>C71</t>
  </si>
  <si>
    <t>GN59100</t>
  </si>
  <si>
    <t>S22C</t>
  </si>
  <si>
    <t>TT</t>
  </si>
  <si>
    <t>A12C710515</t>
  </si>
  <si>
    <t>C72</t>
  </si>
  <si>
    <t>A2 0100</t>
  </si>
  <si>
    <t>C73</t>
  </si>
  <si>
    <t>A14C730515</t>
  </si>
  <si>
    <t>C74</t>
  </si>
  <si>
    <t>1501</t>
  </si>
  <si>
    <t>D14C740515</t>
  </si>
  <si>
    <t>C75</t>
  </si>
  <si>
    <t>BA0</t>
  </si>
  <si>
    <t>B14C750515</t>
  </si>
  <si>
    <t>C76</t>
  </si>
  <si>
    <t>SA103</t>
  </si>
  <si>
    <t>B14C760515</t>
  </si>
  <si>
    <t>C77</t>
  </si>
  <si>
    <t>A14C770515</t>
  </si>
  <si>
    <t>CNC01</t>
  </si>
  <si>
    <t>A6 201</t>
  </si>
  <si>
    <t>CNC02</t>
  </si>
  <si>
    <t>A6 101</t>
  </si>
  <si>
    <t>A15CNC020515</t>
  </si>
  <si>
    <t>CNC03</t>
  </si>
  <si>
    <t>A2 3005</t>
  </si>
  <si>
    <t>A14CNC030515</t>
  </si>
  <si>
    <t>CNC04</t>
  </si>
  <si>
    <t>888Z0</t>
  </si>
  <si>
    <t>CNC05</t>
  </si>
  <si>
    <t>CNC06</t>
  </si>
  <si>
    <t>CNC07</t>
  </si>
  <si>
    <t>S14 - 01</t>
  </si>
  <si>
    <t>I14</t>
  </si>
  <si>
    <t>CNC08</t>
  </si>
  <si>
    <t>CNC09</t>
  </si>
  <si>
    <t>HA6</t>
  </si>
  <si>
    <t>A6061-T6</t>
  </si>
  <si>
    <t>CNC10</t>
  </si>
  <si>
    <t>HA12</t>
  </si>
  <si>
    <t>A14CNC100515</t>
  </si>
  <si>
    <t>CNC11</t>
  </si>
  <si>
    <t>701Z2</t>
  </si>
  <si>
    <t>CNC12</t>
  </si>
  <si>
    <t>S316000</t>
  </si>
  <si>
    <t>CNC12B</t>
  </si>
  <si>
    <t>575Z0</t>
  </si>
  <si>
    <t>SUS304</t>
  </si>
  <si>
    <t>CNC14</t>
  </si>
  <si>
    <t>V1 016</t>
  </si>
  <si>
    <t>C17300</t>
  </si>
  <si>
    <t>OR</t>
  </si>
  <si>
    <t>CNC15</t>
  </si>
  <si>
    <t>H8</t>
  </si>
  <si>
    <t>CNC16</t>
  </si>
  <si>
    <t>R6400</t>
  </si>
  <si>
    <t>WT</t>
  </si>
  <si>
    <t>B13CNC160515</t>
  </si>
  <si>
    <t>CNC17</t>
  </si>
  <si>
    <t>A14CNC170515</t>
  </si>
  <si>
    <t>CNC18</t>
  </si>
  <si>
    <t>CNC19</t>
  </si>
  <si>
    <t>V1 9603</t>
  </si>
  <si>
    <t>CNC20</t>
  </si>
  <si>
    <t>A14CNC200515</t>
  </si>
  <si>
    <t>CNC21</t>
  </si>
  <si>
    <t>P2124</t>
  </si>
  <si>
    <t>CNC22</t>
  </si>
  <si>
    <t>A6 02</t>
  </si>
  <si>
    <t>SUS316L</t>
  </si>
  <si>
    <t>Hàng Xuống Máy</t>
  </si>
  <si>
    <t>CẤP NGUYÊN LIỆU</t>
  </si>
  <si>
    <t>DUYỆT</t>
  </si>
  <si>
    <t>TRƯỞNG CA GIAO NHẬN</t>
  </si>
  <si>
    <t>KHO:</t>
  </si>
  <si>
    <t>SẢN XUẤT:</t>
  </si>
  <si>
    <t>CA1:</t>
  </si>
  <si>
    <t>CA2:</t>
  </si>
  <si>
    <t>Ngày:31.01.2015</t>
  </si>
  <si>
    <t>Ngày:02.02.2015</t>
  </si>
  <si>
    <t>B15C010615</t>
  </si>
  <si>
    <t>B15C030615</t>
  </si>
  <si>
    <t>C14C120615</t>
  </si>
  <si>
    <t>B15C060615</t>
  </si>
  <si>
    <t>A15C100615</t>
  </si>
  <si>
    <t>A15C110615</t>
  </si>
  <si>
    <t>C14C140615</t>
  </si>
  <si>
    <t>B14C12B0615</t>
  </si>
  <si>
    <t>B14C150615</t>
  </si>
  <si>
    <t>B12C160615</t>
  </si>
  <si>
    <t>A15C170615</t>
  </si>
  <si>
    <t>B15C180615</t>
  </si>
  <si>
    <t>A15C210615</t>
  </si>
  <si>
    <t>C14C220615</t>
  </si>
  <si>
    <t>E14C230615</t>
  </si>
  <si>
    <t>A14C240615</t>
  </si>
  <si>
    <t>A08C250615</t>
  </si>
  <si>
    <t>B14C290615</t>
  </si>
  <si>
    <t>A14C300615</t>
  </si>
  <si>
    <t>B13C310615</t>
  </si>
  <si>
    <t>A14C320615</t>
  </si>
  <si>
    <t>A14C330615</t>
  </si>
  <si>
    <t>A14C340615</t>
  </si>
  <si>
    <t>A14C360615</t>
  </si>
  <si>
    <t>A10C370615</t>
  </si>
  <si>
    <t>B14C390615</t>
  </si>
  <si>
    <t>A12C410615</t>
  </si>
  <si>
    <t>A14C420615</t>
  </si>
  <si>
    <t>A14C430615</t>
  </si>
  <si>
    <t>A14C460615</t>
  </si>
  <si>
    <t>B14C470615</t>
  </si>
  <si>
    <t>A14C480615</t>
  </si>
  <si>
    <t>A14C490615</t>
  </si>
  <si>
    <t>B14C500615</t>
  </si>
  <si>
    <t>A15C510615</t>
  </si>
  <si>
    <t>B13C530615</t>
  </si>
  <si>
    <t>B14C540615</t>
  </si>
  <si>
    <t>A14C550615</t>
  </si>
  <si>
    <t>B14C570615</t>
  </si>
  <si>
    <t>B14C580615</t>
  </si>
  <si>
    <t>A14C590615</t>
  </si>
  <si>
    <t>A14C610615</t>
  </si>
  <si>
    <t>A14C620615</t>
  </si>
  <si>
    <t>B14C650615</t>
  </si>
  <si>
    <t>A14C660615</t>
  </si>
  <si>
    <t>D14C670615</t>
  </si>
  <si>
    <t>B14C680615</t>
  </si>
  <si>
    <t>A14C690615</t>
  </si>
  <si>
    <t>B14C700615</t>
  </si>
  <si>
    <t>A12C710615</t>
  </si>
  <si>
    <t>A14C730615</t>
  </si>
  <si>
    <t>D14C740615</t>
  </si>
  <si>
    <t>B14C750615</t>
  </si>
  <si>
    <t>B14C760615</t>
  </si>
  <si>
    <t>A14C770615</t>
  </si>
  <si>
    <t>A15CNC020615</t>
  </si>
  <si>
    <t>A14CNC030615</t>
  </si>
  <si>
    <t>A14CNC100615</t>
  </si>
  <si>
    <t>B13CNC160615</t>
  </si>
  <si>
    <t>A14CNC170615</t>
  </si>
  <si>
    <t>A14CNC200615</t>
  </si>
  <si>
    <t>R6700</t>
  </si>
  <si>
    <t>B14C120615</t>
  </si>
  <si>
    <t>A14CNC210615</t>
  </si>
  <si>
    <t>B15CNC090615</t>
  </si>
  <si>
    <t>MESUS303-4x3-H9A10</t>
  </si>
  <si>
    <t>SUS303ME40DH9</t>
  </si>
  <si>
    <t>SUS303ME40DH93A10</t>
  </si>
  <si>
    <t>H2 739</t>
  </si>
  <si>
    <t>Ngày:03.02.2015</t>
  </si>
  <si>
    <t>A14C080615</t>
  </si>
  <si>
    <t>H2 819</t>
  </si>
  <si>
    <t>A14C260615</t>
  </si>
  <si>
    <t>Ngày:05.02.2015</t>
  </si>
  <si>
    <t>550</t>
  </si>
  <si>
    <t>SSSUS304K-4x3-H9A10</t>
  </si>
  <si>
    <t>SUS304KSS40DH9</t>
  </si>
  <si>
    <t>SUS304KSS40DH93A10</t>
  </si>
  <si>
    <t>P6</t>
  </si>
  <si>
    <t>T5</t>
  </si>
  <si>
    <t>B14C330615</t>
  </si>
  <si>
    <t>A14C540615</t>
  </si>
  <si>
    <t>A11C370615</t>
  </si>
  <si>
    <t>A11</t>
  </si>
  <si>
    <t>Ngày:06.02.2015</t>
  </si>
  <si>
    <t>H2 213</t>
  </si>
  <si>
    <t>Ngày:07.02.2015</t>
  </si>
  <si>
    <t>B14C640615</t>
  </si>
  <si>
    <t>S12 584</t>
  </si>
  <si>
    <t>WTA6061-T6-T17x7x3-H9B13</t>
  </si>
  <si>
    <t>A6061-T6WT177TH9</t>
  </si>
  <si>
    <t>A6061-T6WT177TH93B13</t>
  </si>
  <si>
    <t>R6600</t>
  </si>
  <si>
    <t>B14CNC160715</t>
  </si>
  <si>
    <t>B15C010715</t>
  </si>
  <si>
    <t>B15C030715</t>
  </si>
  <si>
    <t>C14C120715</t>
  </si>
  <si>
    <t>B15C060715</t>
  </si>
  <si>
    <t>A14C080715</t>
  </si>
  <si>
    <t>A15C100715</t>
  </si>
  <si>
    <t>A15C110715</t>
  </si>
  <si>
    <t>B14C12B0715</t>
  </si>
  <si>
    <t>C14C140715</t>
  </si>
  <si>
    <t>B14C150715</t>
  </si>
  <si>
    <t>B12C160715</t>
  </si>
  <si>
    <t>A15C170715</t>
  </si>
  <si>
    <t>A15C210715</t>
  </si>
  <si>
    <t>C14C220715</t>
  </si>
  <si>
    <t>E14C230715</t>
  </si>
  <si>
    <t>A14C260715</t>
  </si>
  <si>
    <t>B14C290715</t>
  </si>
  <si>
    <t>A14C300715</t>
  </si>
  <si>
    <t>A14C320715</t>
  </si>
  <si>
    <t>B14C330715</t>
  </si>
  <si>
    <t>A14C340715</t>
  </si>
  <si>
    <t>A14C360715</t>
  </si>
  <si>
    <t>A11C370715</t>
  </si>
  <si>
    <t>B14C390715</t>
  </si>
  <si>
    <t>A12C410715</t>
  </si>
  <si>
    <t>A14C420715</t>
  </si>
  <si>
    <t>A14C430715</t>
  </si>
  <si>
    <t>A14C460715</t>
  </si>
  <si>
    <t>B14C470715</t>
  </si>
  <si>
    <t>A14C480715</t>
  </si>
  <si>
    <t>A14C490715</t>
  </si>
  <si>
    <t>B14C500715</t>
  </si>
  <si>
    <t>A15C510715</t>
  </si>
  <si>
    <t>B13C530715</t>
  </si>
  <si>
    <t>A14C540715</t>
  </si>
  <si>
    <t>A14C550715</t>
  </si>
  <si>
    <t>B14C570715</t>
  </si>
  <si>
    <t>B14C580715</t>
  </si>
  <si>
    <t>A14C590715</t>
  </si>
  <si>
    <t>A14C610715</t>
  </si>
  <si>
    <t>A14C620715</t>
  </si>
  <si>
    <t>B14C640715</t>
  </si>
  <si>
    <t>B14C650715</t>
  </si>
  <si>
    <t>A14C660715</t>
  </si>
  <si>
    <t>D14C670715</t>
  </si>
  <si>
    <t>B14C680715</t>
  </si>
  <si>
    <t>A14C690715</t>
  </si>
  <si>
    <t>B14C700715</t>
  </si>
  <si>
    <t>A12C710715</t>
  </si>
  <si>
    <t>A14C730715</t>
  </si>
  <si>
    <t>D14C740715</t>
  </si>
  <si>
    <t>B14C750715</t>
  </si>
  <si>
    <t>B14C760715</t>
  </si>
  <si>
    <t>A14C770715</t>
  </si>
  <si>
    <t>A15CNC020715</t>
  </si>
  <si>
    <t>A14CNC030715</t>
  </si>
  <si>
    <t>B15CNC090715</t>
  </si>
  <si>
    <t>A14CNC100715</t>
  </si>
  <si>
    <t>A14CNC200715</t>
  </si>
  <si>
    <t>A14CNC210715</t>
  </si>
  <si>
    <t>Ngày:09.02.2015</t>
  </si>
  <si>
    <t>Máy</t>
  </si>
  <si>
    <t>SP</t>
  </si>
  <si>
    <t>CXL</t>
  </si>
  <si>
    <t>Oke</t>
  </si>
  <si>
    <t>PP</t>
  </si>
  <si>
    <t>ca 2</t>
  </si>
  <si>
    <t>ca 1</t>
  </si>
  <si>
    <t>CNC</t>
  </si>
  <si>
    <t>SX2</t>
  </si>
  <si>
    <t>NL</t>
  </si>
  <si>
    <t>RB</t>
  </si>
  <si>
    <t>GCN</t>
  </si>
  <si>
    <t>QC</t>
  </si>
  <si>
    <t>Tong hop</t>
  </si>
  <si>
    <t>04.02</t>
  </si>
  <si>
    <t>Sản Phẩm</t>
  </si>
  <si>
    <t>07.02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</si>
</sst>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#,##0.000"/>
    <numFmt numFmtId="165" formatCode="[$-409]d/mmm;@"/>
    <numFmt numFmtId="166" formatCode="#,##0.0"/>
    <numFmt numFmtId="167" formatCode="[$-409]d\-mmm;@"/>
    <numFmt numFmtId="168" formatCode="0.0"/>
    <numFmt numFmtId="169" formatCode="_(* #,##0.000_);_(* \(#,##0.000\);_(* &quot;-&quot;??_);_(@_)"/>
    <numFmt numFmtId="170" formatCode="_(* #,##0_);_(* \(#,##0\);_(* &quot;-&quot;??_);_(@_)"/>
    <numFmt numFmtId="171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2.5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499984740745262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indexed="64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ouble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ouble">
        <color auto="1"/>
      </right>
      <top/>
      <bottom style="dashed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21" fillId="0" borderId="0"/>
  </cellStyleXfs>
  <cellXfs count="413">
    <xf numFmtId="0" fontId="0" fillId="0" borderId="0" xfId="0"/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3" xfId="0" applyBorder="1" applyAlignment="1"/>
    <xf numFmtId="0" fontId="0" fillId="0" borderId="4" xfId="0" applyBorder="1" applyAlignment="1"/>
    <xf numFmtId="4" fontId="6" fillId="0" borderId="2" xfId="0" applyNumberFormat="1" applyFont="1" applyFill="1" applyBorder="1" applyAlignment="1">
      <alignment vertical="center"/>
    </xf>
    <xf numFmtId="4" fontId="6" fillId="0" borderId="3" xfId="0" applyNumberFormat="1" applyFont="1" applyFill="1" applyBorder="1" applyAlignment="1">
      <alignment vertical="center"/>
    </xf>
    <xf numFmtId="0" fontId="6" fillId="0" borderId="3" xfId="0" applyFont="1" applyFill="1" applyBorder="1" applyAlignment="1">
      <alignment horizontal="left" vertical="center"/>
    </xf>
    <xf numFmtId="4" fontId="6" fillId="0" borderId="4" xfId="0" applyNumberFormat="1" applyFont="1" applyFill="1" applyBorder="1" applyAlignment="1">
      <alignment vertical="center"/>
    </xf>
    <xf numFmtId="4" fontId="6" fillId="2" borderId="3" xfId="0" applyNumberFormat="1" applyFont="1" applyFill="1" applyBorder="1" applyAlignment="1">
      <alignment vertical="center"/>
    </xf>
    <xf numFmtId="4" fontId="6" fillId="2" borderId="4" xfId="0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4" fillId="0" borderId="9" xfId="2" applyFont="1" applyFill="1" applyBorder="1" applyAlignment="1">
      <alignment vertical="center" wrapText="1"/>
    </xf>
    <xf numFmtId="0" fontId="10" fillId="0" borderId="0" xfId="0" applyFont="1" applyFill="1"/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4" fontId="7" fillId="0" borderId="29" xfId="0" applyNumberFormat="1" applyFont="1" applyFill="1" applyBorder="1" applyAlignment="1">
      <alignment horizontal="center" vertical="center" wrapText="1"/>
    </xf>
    <xf numFmtId="3" fontId="8" fillId="0" borderId="33" xfId="0" applyNumberFormat="1" applyFont="1" applyFill="1" applyBorder="1"/>
    <xf numFmtId="0" fontId="8" fillId="0" borderId="1" xfId="0" applyFont="1" applyFill="1" applyBorder="1"/>
    <xf numFmtId="0" fontId="8" fillId="0" borderId="37" xfId="0" applyFont="1" applyFill="1" applyBorder="1"/>
    <xf numFmtId="0" fontId="8" fillId="0" borderId="38" xfId="0" applyFont="1" applyFill="1" applyBorder="1"/>
    <xf numFmtId="3" fontId="5" fillId="0" borderId="0" xfId="0" applyNumberFormat="1" applyFont="1" applyAlignment="1">
      <alignment horizontal="center" vertical="top"/>
    </xf>
    <xf numFmtId="3" fontId="5" fillId="0" borderId="0" xfId="0" applyNumberFormat="1" applyFont="1" applyAlignment="1">
      <alignment vertical="top"/>
    </xf>
    <xf numFmtId="3" fontId="5" fillId="0" borderId="0" xfId="0" applyNumberFormat="1" applyFont="1" applyFill="1" applyAlignment="1">
      <alignment vertical="top"/>
    </xf>
    <xf numFmtId="2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4" fontId="5" fillId="2" borderId="0" xfId="0" applyNumberFormat="1" applyFont="1" applyFill="1" applyAlignment="1">
      <alignment vertical="top"/>
    </xf>
    <xf numFmtId="3" fontId="5" fillId="2" borderId="0" xfId="0" applyNumberFormat="1" applyFont="1" applyFill="1" applyAlignment="1">
      <alignment vertical="top"/>
    </xf>
    <xf numFmtId="3" fontId="12" fillId="0" borderId="0" xfId="0" applyNumberFormat="1" applyFont="1" applyAlignment="1">
      <alignment vertical="top"/>
    </xf>
    <xf numFmtId="4" fontId="12" fillId="0" borderId="0" xfId="0" applyNumberFormat="1" applyFont="1" applyAlignment="1">
      <alignment vertical="top"/>
    </xf>
    <xf numFmtId="3" fontId="12" fillId="0" borderId="0" xfId="0" applyNumberFormat="1" applyFont="1" applyAlignment="1">
      <alignment vertical="top" wrapText="1"/>
    </xf>
    <xf numFmtId="0" fontId="13" fillId="0" borderId="39" xfId="0" applyFont="1" applyBorder="1" applyAlignment="1">
      <alignment horizontal="center" vertical="center"/>
    </xf>
    <xf numFmtId="0" fontId="14" fillId="0" borderId="40" xfId="0" applyFont="1" applyBorder="1"/>
    <xf numFmtId="0" fontId="14" fillId="0" borderId="41" xfId="0" applyFont="1" applyBorder="1"/>
    <xf numFmtId="0" fontId="14" fillId="0" borderId="41" xfId="0" applyFont="1" applyFill="1" applyBorder="1"/>
    <xf numFmtId="0" fontId="13" fillId="0" borderId="41" xfId="0" applyFont="1" applyBorder="1"/>
    <xf numFmtId="168" fontId="15" fillId="3" borderId="42" xfId="0" applyNumberFormat="1" applyFont="1" applyFill="1" applyBorder="1" applyAlignment="1">
      <alignment horizontal="center" vertical="center"/>
    </xf>
    <xf numFmtId="168" fontId="15" fillId="3" borderId="43" xfId="0" applyNumberFormat="1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/>
    </xf>
    <xf numFmtId="169" fontId="13" fillId="0" borderId="44" xfId="1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44" xfId="0" applyFont="1" applyBorder="1"/>
    <xf numFmtId="4" fontId="13" fillId="0" borderId="44" xfId="0" applyNumberFormat="1" applyFont="1" applyBorder="1"/>
    <xf numFmtId="3" fontId="13" fillId="0" borderId="41" xfId="0" applyNumberFormat="1" applyFont="1" applyBorder="1"/>
    <xf numFmtId="0" fontId="16" fillId="0" borderId="41" xfId="0" applyFont="1" applyBorder="1"/>
    <xf numFmtId="0" fontId="16" fillId="0" borderId="46" xfId="0" applyFont="1" applyBorder="1"/>
    <xf numFmtId="4" fontId="16" fillId="0" borderId="41" xfId="0" applyNumberFormat="1" applyFont="1" applyBorder="1"/>
    <xf numFmtId="4" fontId="16" fillId="0" borderId="42" xfId="1" applyNumberFormat="1" applyFont="1" applyBorder="1"/>
    <xf numFmtId="2" fontId="16" fillId="0" borderId="41" xfId="0" applyNumberFormat="1" applyFont="1" applyBorder="1"/>
    <xf numFmtId="2" fontId="17" fillId="0" borderId="42" xfId="0" applyNumberFormat="1" applyFont="1" applyBorder="1"/>
    <xf numFmtId="3" fontId="16" fillId="0" borderId="41" xfId="0" applyNumberFormat="1" applyFont="1" applyBorder="1"/>
    <xf numFmtId="43" fontId="16" fillId="0" borderId="41" xfId="1" applyFont="1" applyBorder="1"/>
    <xf numFmtId="4" fontId="13" fillId="0" borderId="41" xfId="0" applyNumberFormat="1" applyFont="1" applyBorder="1"/>
    <xf numFmtId="4" fontId="13" fillId="2" borderId="44" xfId="0" applyNumberFormat="1" applyFont="1" applyFill="1" applyBorder="1"/>
    <xf numFmtId="3" fontId="13" fillId="0" borderId="44" xfId="0" applyNumberFormat="1" applyFont="1" applyBorder="1"/>
    <xf numFmtId="0" fontId="13" fillId="2" borderId="44" xfId="0" applyFont="1" applyFill="1" applyBorder="1"/>
    <xf numFmtId="0" fontId="13" fillId="0" borderId="47" xfId="0" applyFont="1" applyBorder="1"/>
    <xf numFmtId="3" fontId="13" fillId="0" borderId="48" xfId="0" applyNumberFormat="1" applyFont="1" applyBorder="1"/>
    <xf numFmtId="3" fontId="13" fillId="0" borderId="49" xfId="0" applyNumberFormat="1" applyFont="1" applyBorder="1"/>
    <xf numFmtId="0" fontId="13" fillId="0" borderId="50" xfId="0" applyFont="1" applyBorder="1"/>
    <xf numFmtId="0" fontId="13" fillId="0" borderId="51" xfId="0" applyFont="1" applyBorder="1"/>
    <xf numFmtId="3" fontId="13" fillId="0" borderId="51" xfId="0" applyNumberFormat="1" applyFont="1" applyBorder="1"/>
    <xf numFmtId="0" fontId="13" fillId="0" borderId="52" xfId="0" applyFont="1" applyBorder="1"/>
    <xf numFmtId="2" fontId="13" fillId="0" borderId="41" xfId="0" applyNumberFormat="1" applyFont="1" applyBorder="1"/>
    <xf numFmtId="1" fontId="13" fillId="0" borderId="44" xfId="0" applyNumberFormat="1" applyFont="1" applyBorder="1"/>
    <xf numFmtId="170" fontId="13" fillId="0" borderId="41" xfId="1" applyNumberFormat="1" applyFont="1" applyBorder="1"/>
    <xf numFmtId="1" fontId="13" fillId="0" borderId="47" xfId="0" applyNumberFormat="1" applyFont="1" applyBorder="1"/>
    <xf numFmtId="1" fontId="13" fillId="0" borderId="45" xfId="0" applyNumberFormat="1" applyFont="1" applyBorder="1"/>
    <xf numFmtId="1" fontId="13" fillId="0" borderId="41" xfId="0" applyNumberFormat="1" applyFont="1" applyBorder="1"/>
    <xf numFmtId="1" fontId="13" fillId="0" borderId="41" xfId="0" applyNumberFormat="1" applyFont="1" applyBorder="1" applyAlignment="1">
      <alignment horizontal="center"/>
    </xf>
    <xf numFmtId="1" fontId="13" fillId="0" borderId="53" xfId="0" applyNumberFormat="1" applyFont="1" applyBorder="1"/>
    <xf numFmtId="3" fontId="13" fillId="0" borderId="0" xfId="0" applyNumberFormat="1" applyFont="1"/>
    <xf numFmtId="0" fontId="13" fillId="0" borderId="0" xfId="0" applyFont="1"/>
    <xf numFmtId="2" fontId="0" fillId="0" borderId="0" xfId="0" applyNumberFormat="1"/>
    <xf numFmtId="1" fontId="0" fillId="0" borderId="0" xfId="0" applyNumberFormat="1"/>
    <xf numFmtId="0" fontId="13" fillId="0" borderId="46" xfId="0" applyFont="1" applyBorder="1" applyAlignment="1">
      <alignment horizontal="center" vertical="center"/>
    </xf>
    <xf numFmtId="0" fontId="14" fillId="0" borderId="54" xfId="0" applyFont="1" applyBorder="1"/>
    <xf numFmtId="0" fontId="14" fillId="0" borderId="55" xfId="0" applyFont="1" applyBorder="1"/>
    <xf numFmtId="0" fontId="14" fillId="0" borderId="42" xfId="0" applyFont="1" applyFill="1" applyBorder="1"/>
    <xf numFmtId="0" fontId="13" fillId="0" borderId="56" xfId="0" applyFont="1" applyBorder="1"/>
    <xf numFmtId="0" fontId="13" fillId="0" borderId="42" xfId="0" applyFont="1" applyBorder="1"/>
    <xf numFmtId="0" fontId="13" fillId="0" borderId="42" xfId="0" applyFont="1" applyBorder="1" applyAlignment="1">
      <alignment horizontal="center"/>
    </xf>
    <xf numFmtId="169" fontId="13" fillId="0" borderId="42" xfId="1" applyNumberFormat="1" applyFont="1" applyBorder="1" applyAlignment="1">
      <alignment horizontal="center"/>
    </xf>
    <xf numFmtId="3" fontId="13" fillId="0" borderId="42" xfId="0" applyNumberFormat="1" applyFont="1" applyBorder="1"/>
    <xf numFmtId="0" fontId="16" fillId="0" borderId="42" xfId="0" applyFont="1" applyBorder="1"/>
    <xf numFmtId="4" fontId="16" fillId="0" borderId="42" xfId="0" applyNumberFormat="1" applyFont="1" applyBorder="1"/>
    <xf numFmtId="2" fontId="16" fillId="0" borderId="42" xfId="0" applyNumberFormat="1" applyFont="1" applyBorder="1"/>
    <xf numFmtId="3" fontId="16" fillId="0" borderId="42" xfId="0" applyNumberFormat="1" applyFont="1" applyBorder="1"/>
    <xf numFmtId="43" fontId="16" fillId="0" borderId="42" xfId="1" applyFont="1" applyBorder="1"/>
    <xf numFmtId="4" fontId="13" fillId="0" borderId="42" xfId="0" applyNumberFormat="1" applyFont="1" applyBorder="1"/>
    <xf numFmtId="0" fontId="13" fillId="2" borderId="42" xfId="0" applyFont="1" applyFill="1" applyBorder="1"/>
    <xf numFmtId="0" fontId="13" fillId="0" borderId="42" xfId="0" applyFont="1" applyFill="1" applyBorder="1"/>
    <xf numFmtId="0" fontId="13" fillId="0" borderId="55" xfId="0" applyFont="1" applyBorder="1"/>
    <xf numFmtId="3" fontId="13" fillId="0" borderId="54" xfId="0" applyNumberFormat="1" applyFont="1" applyBorder="1"/>
    <xf numFmtId="3" fontId="13" fillId="0" borderId="57" xfId="0" applyNumberFormat="1" applyFont="1" applyBorder="1"/>
    <xf numFmtId="0" fontId="13" fillId="0" borderId="58" xfId="0" applyFont="1" applyBorder="1"/>
    <xf numFmtId="0" fontId="13" fillId="0" borderId="46" xfId="0" applyFont="1" applyBorder="1"/>
    <xf numFmtId="3" fontId="13" fillId="0" borderId="46" xfId="0" applyNumberFormat="1" applyFont="1" applyBorder="1"/>
    <xf numFmtId="0" fontId="13" fillId="0" borderId="59" xfId="0" applyFont="1" applyBorder="1"/>
    <xf numFmtId="2" fontId="13" fillId="0" borderId="42" xfId="0" applyNumberFormat="1" applyFont="1" applyBorder="1"/>
    <xf numFmtId="1" fontId="13" fillId="0" borderId="60" xfId="0" applyNumberFormat="1" applyFont="1" applyBorder="1"/>
    <xf numFmtId="170" fontId="13" fillId="0" borderId="42" xfId="1" applyNumberFormat="1" applyFont="1" applyBorder="1"/>
    <xf numFmtId="1" fontId="13" fillId="0" borderId="55" xfId="0" applyNumberFormat="1" applyFont="1" applyBorder="1"/>
    <xf numFmtId="1" fontId="13" fillId="0" borderId="42" xfId="0" applyNumberFormat="1" applyFont="1" applyBorder="1"/>
    <xf numFmtId="1" fontId="13" fillId="0" borderId="42" xfId="0" applyNumberFormat="1" applyFont="1" applyBorder="1" applyAlignment="1">
      <alignment horizontal="center"/>
    </xf>
    <xf numFmtId="1" fontId="13" fillId="0" borderId="57" xfId="0" applyNumberFormat="1" applyFont="1" applyBorder="1"/>
    <xf numFmtId="1" fontId="13" fillId="0" borderId="42" xfId="0" applyNumberFormat="1" applyFont="1" applyFill="1" applyBorder="1"/>
    <xf numFmtId="49" fontId="7" fillId="0" borderId="42" xfId="0" applyNumberFormat="1" applyFont="1" applyFill="1" applyBorder="1" applyAlignment="1">
      <alignment horizontal="left"/>
    </xf>
    <xf numFmtId="0" fontId="14" fillId="0" borderId="42" xfId="0" quotePrefix="1" applyFont="1" applyFill="1" applyBorder="1" applyAlignment="1">
      <alignment horizontal="left"/>
    </xf>
    <xf numFmtId="0" fontId="14" fillId="4" borderId="42" xfId="0" quotePrefix="1" applyFont="1" applyFill="1" applyBorder="1" applyAlignment="1">
      <alignment horizontal="left"/>
    </xf>
    <xf numFmtId="0" fontId="14" fillId="0" borderId="42" xfId="0" applyFont="1" applyFill="1" applyBorder="1" applyAlignment="1">
      <alignment horizontal="left"/>
    </xf>
    <xf numFmtId="0" fontId="14" fillId="0" borderId="54" xfId="0" applyFont="1" applyFill="1" applyBorder="1"/>
    <xf numFmtId="0" fontId="14" fillId="0" borderId="55" xfId="0" applyFont="1" applyFill="1" applyBorder="1"/>
    <xf numFmtId="168" fontId="15" fillId="0" borderId="42" xfId="0" applyNumberFormat="1" applyFont="1" applyFill="1" applyBorder="1" applyAlignment="1">
      <alignment horizontal="center" vertical="center"/>
    </xf>
    <xf numFmtId="168" fontId="15" fillId="0" borderId="43" xfId="0" applyNumberFormat="1" applyFont="1" applyFill="1" applyBorder="1" applyAlignment="1">
      <alignment horizontal="center" vertical="center"/>
    </xf>
    <xf numFmtId="3" fontId="13" fillId="0" borderId="42" xfId="0" applyNumberFormat="1" applyFont="1" applyFill="1" applyBorder="1"/>
    <xf numFmtId="0" fontId="16" fillId="0" borderId="42" xfId="0" applyFont="1" applyFill="1" applyBorder="1"/>
    <xf numFmtId="3" fontId="16" fillId="0" borderId="42" xfId="0" applyNumberFormat="1" applyFont="1" applyFill="1" applyBorder="1"/>
    <xf numFmtId="2" fontId="16" fillId="0" borderId="42" xfId="0" applyNumberFormat="1" applyFont="1" applyFill="1" applyBorder="1"/>
    <xf numFmtId="4" fontId="13" fillId="0" borderId="42" xfId="0" applyNumberFormat="1" applyFont="1" applyFill="1" applyBorder="1"/>
    <xf numFmtId="4" fontId="13" fillId="0" borderId="41" xfId="0" applyNumberFormat="1" applyFont="1" applyFill="1" applyBorder="1"/>
    <xf numFmtId="0" fontId="13" fillId="0" borderId="55" xfId="0" applyFont="1" applyFill="1" applyBorder="1"/>
    <xf numFmtId="0" fontId="13" fillId="0" borderId="58" xfId="0" applyFont="1" applyFill="1" applyBorder="1"/>
    <xf numFmtId="0" fontId="13" fillId="0" borderId="46" xfId="0" applyFont="1" applyFill="1" applyBorder="1"/>
    <xf numFmtId="3" fontId="13" fillId="0" borderId="46" xfId="0" applyNumberFormat="1" applyFont="1" applyFill="1" applyBorder="1"/>
    <xf numFmtId="0" fontId="13" fillId="0" borderId="59" xfId="0" applyFont="1" applyFill="1" applyBorder="1"/>
    <xf numFmtId="2" fontId="13" fillId="0" borderId="42" xfId="0" applyNumberFormat="1" applyFont="1" applyFill="1" applyBorder="1"/>
    <xf numFmtId="170" fontId="13" fillId="0" borderId="42" xfId="1" applyNumberFormat="1" applyFont="1" applyFill="1" applyBorder="1"/>
    <xf numFmtId="1" fontId="13" fillId="0" borderId="55" xfId="0" applyNumberFormat="1" applyFont="1" applyFill="1" applyBorder="1"/>
    <xf numFmtId="1" fontId="13" fillId="0" borderId="42" xfId="0" applyNumberFormat="1" applyFont="1" applyFill="1" applyBorder="1" applyAlignment="1">
      <alignment horizontal="center"/>
    </xf>
    <xf numFmtId="1" fontId="13" fillId="0" borderId="57" xfId="0" applyNumberFormat="1" applyFont="1" applyFill="1" applyBorder="1"/>
    <xf numFmtId="3" fontId="13" fillId="0" borderId="0" xfId="0" applyNumberFormat="1" applyFont="1" applyFill="1"/>
    <xf numFmtId="0" fontId="13" fillId="0" borderId="0" xfId="0" applyFont="1" applyFill="1"/>
    <xf numFmtId="2" fontId="0" fillId="0" borderId="0" xfId="0" applyNumberFormat="1" applyFill="1"/>
    <xf numFmtId="0" fontId="0" fillId="0" borderId="0" xfId="0" applyFill="1"/>
    <xf numFmtId="0" fontId="13" fillId="0" borderId="56" xfId="0" applyFont="1" applyFill="1" applyBorder="1"/>
    <xf numFmtId="3" fontId="16" fillId="3" borderId="42" xfId="0" applyNumberFormat="1" applyFont="1" applyFill="1" applyBorder="1"/>
    <xf numFmtId="3" fontId="13" fillId="3" borderId="42" xfId="0" applyNumberFormat="1" applyFont="1" applyFill="1" applyBorder="1"/>
    <xf numFmtId="0" fontId="14" fillId="3" borderId="54" xfId="0" applyFont="1" applyFill="1" applyBorder="1"/>
    <xf numFmtId="0" fontId="14" fillId="3" borderId="55" xfId="0" applyFont="1" applyFill="1" applyBorder="1"/>
    <xf numFmtId="0" fontId="13" fillId="3" borderId="56" xfId="0" applyFont="1" applyFill="1" applyBorder="1"/>
    <xf numFmtId="0" fontId="13" fillId="3" borderId="42" xfId="0" applyFont="1" applyFill="1" applyBorder="1"/>
    <xf numFmtId="0" fontId="16" fillId="3" borderId="42" xfId="0" applyFont="1" applyFill="1" applyBorder="1"/>
    <xf numFmtId="2" fontId="16" fillId="3" borderId="42" xfId="0" applyNumberFormat="1" applyFont="1" applyFill="1" applyBorder="1"/>
    <xf numFmtId="4" fontId="13" fillId="3" borderId="42" xfId="0" applyNumberFormat="1" applyFont="1" applyFill="1" applyBorder="1"/>
    <xf numFmtId="0" fontId="13" fillId="3" borderId="55" xfId="0" applyFont="1" applyFill="1" applyBorder="1"/>
    <xf numFmtId="0" fontId="13" fillId="3" borderId="58" xfId="0" applyFont="1" applyFill="1" applyBorder="1"/>
    <xf numFmtId="0" fontId="13" fillId="3" borderId="46" xfId="0" applyFont="1" applyFill="1" applyBorder="1"/>
    <xf numFmtId="3" fontId="13" fillId="3" borderId="46" xfId="0" applyNumberFormat="1" applyFont="1" applyFill="1" applyBorder="1"/>
    <xf numFmtId="0" fontId="13" fillId="3" borderId="59" xfId="0" applyFont="1" applyFill="1" applyBorder="1"/>
    <xf numFmtId="0" fontId="13" fillId="3" borderId="0" xfId="0" applyFont="1" applyFill="1"/>
    <xf numFmtId="0" fontId="13" fillId="0" borderId="42" xfId="0" applyFont="1" applyFill="1" applyBorder="1" applyAlignment="1">
      <alignment horizontal="center"/>
    </xf>
    <xf numFmtId="169" fontId="13" fillId="0" borderId="42" xfId="1" applyNumberFormat="1" applyFont="1" applyFill="1" applyBorder="1" applyAlignment="1">
      <alignment horizontal="center"/>
    </xf>
    <xf numFmtId="4" fontId="16" fillId="0" borderId="42" xfId="0" applyNumberFormat="1" applyFont="1" applyFill="1" applyBorder="1"/>
    <xf numFmtId="0" fontId="14" fillId="4" borderId="42" xfId="0" applyFont="1" applyFill="1" applyBorder="1"/>
    <xf numFmtId="0" fontId="13" fillId="0" borderId="42" xfId="0" applyFont="1" applyFill="1" applyBorder="1" applyAlignment="1">
      <alignment horizontal="right"/>
    </xf>
    <xf numFmtId="0" fontId="14" fillId="4" borderId="42" xfId="0" applyFont="1" applyFill="1" applyBorder="1" applyAlignment="1">
      <alignment horizontal="left"/>
    </xf>
    <xf numFmtId="0" fontId="14" fillId="0" borderId="42" xfId="0" applyFont="1" applyFill="1" applyBorder="1" applyAlignment="1">
      <alignment horizontal="left" vertical="center"/>
    </xf>
    <xf numFmtId="0" fontId="14" fillId="0" borderId="42" xfId="0" quotePrefix="1" applyFont="1" applyFill="1" applyBorder="1"/>
    <xf numFmtId="49" fontId="7" fillId="4" borderId="61" xfId="0" applyNumberFormat="1" applyFont="1" applyFill="1" applyBorder="1" applyAlignment="1">
      <alignment horizontal="left"/>
    </xf>
    <xf numFmtId="0" fontId="13" fillId="0" borderId="62" xfId="0" applyFont="1" applyFill="1" applyBorder="1" applyAlignment="1">
      <alignment horizontal="center"/>
    </xf>
    <xf numFmtId="171" fontId="13" fillId="0" borderId="42" xfId="0" applyNumberFormat="1" applyFont="1" applyFill="1" applyBorder="1"/>
    <xf numFmtId="49" fontId="17" fillId="0" borderId="42" xfId="0" applyNumberFormat="1" applyFont="1" applyFill="1" applyBorder="1" applyAlignment="1">
      <alignment horizontal="left"/>
    </xf>
    <xf numFmtId="0" fontId="7" fillId="0" borderId="42" xfId="0" applyNumberFormat="1" applyFont="1" applyFill="1" applyBorder="1" applyAlignment="1">
      <alignment horizontal="left" vertical="justify"/>
    </xf>
    <xf numFmtId="1" fontId="13" fillId="3" borderId="42" xfId="0" applyNumberFormat="1" applyFont="1" applyFill="1" applyBorder="1"/>
    <xf numFmtId="164" fontId="13" fillId="0" borderId="42" xfId="0" applyNumberFormat="1" applyFont="1" applyFill="1" applyBorder="1"/>
    <xf numFmtId="0" fontId="8" fillId="0" borderId="42" xfId="0" applyFont="1" applyFill="1" applyBorder="1"/>
    <xf numFmtId="0" fontId="14" fillId="0" borderId="63" xfId="0" applyFont="1" applyBorder="1"/>
    <xf numFmtId="0" fontId="14" fillId="0" borderId="62" xfId="0" applyFont="1" applyFill="1" applyBorder="1"/>
    <xf numFmtId="0" fontId="13" fillId="0" borderId="64" xfId="0" applyFont="1" applyBorder="1"/>
    <xf numFmtId="0" fontId="13" fillId="0" borderId="65" xfId="0" applyFont="1" applyBorder="1"/>
    <xf numFmtId="3" fontId="13" fillId="0" borderId="66" xfId="0" applyNumberFormat="1" applyFont="1" applyBorder="1"/>
    <xf numFmtId="3" fontId="13" fillId="0" borderId="65" xfId="0" applyNumberFormat="1" applyFont="1" applyBorder="1"/>
    <xf numFmtId="0" fontId="13" fillId="0" borderId="67" xfId="0" applyFont="1" applyBorder="1"/>
    <xf numFmtId="1" fontId="13" fillId="0" borderId="62" xfId="0" applyNumberFormat="1" applyFont="1" applyBorder="1"/>
    <xf numFmtId="1" fontId="13" fillId="0" borderId="62" xfId="0" applyNumberFormat="1" applyFont="1" applyBorder="1" applyAlignment="1">
      <alignment horizontal="center"/>
    </xf>
    <xf numFmtId="1" fontId="13" fillId="0" borderId="68" xfId="0" applyNumberFormat="1" applyFont="1" applyBorder="1"/>
    <xf numFmtId="1" fontId="13" fillId="0" borderId="69" xfId="0" applyNumberFormat="1" applyFont="1" applyBorder="1"/>
    <xf numFmtId="0" fontId="14" fillId="0" borderId="70" xfId="0" applyFont="1" applyBorder="1"/>
    <xf numFmtId="0" fontId="14" fillId="4" borderId="43" xfId="0" applyFont="1" applyFill="1" applyBorder="1" applyAlignment="1">
      <alignment horizontal="left"/>
    </xf>
    <xf numFmtId="0" fontId="13" fillId="0" borderId="71" xfId="0" applyFont="1" applyBorder="1"/>
    <xf numFmtId="0" fontId="13" fillId="0" borderId="45" xfId="0" applyFont="1" applyBorder="1"/>
    <xf numFmtId="168" fontId="15" fillId="3" borderId="45" xfId="0" applyNumberFormat="1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/>
    </xf>
    <xf numFmtId="169" fontId="13" fillId="0" borderId="45" xfId="1" applyNumberFormat="1" applyFont="1" applyBorder="1" applyAlignment="1">
      <alignment horizontal="center"/>
    </xf>
    <xf numFmtId="3" fontId="13" fillId="0" borderId="45" xfId="0" applyNumberFormat="1" applyFont="1" applyBorder="1"/>
    <xf numFmtId="0" fontId="13" fillId="0" borderId="45" xfId="0" applyFont="1" applyFill="1" applyBorder="1"/>
    <xf numFmtId="0" fontId="16" fillId="0" borderId="45" xfId="0" applyFont="1" applyBorder="1"/>
    <xf numFmtId="2" fontId="16" fillId="0" borderId="45" xfId="0" applyNumberFormat="1" applyFont="1" applyBorder="1"/>
    <xf numFmtId="3" fontId="16" fillId="0" borderId="45" xfId="0" applyNumberFormat="1" applyFont="1" applyBorder="1"/>
    <xf numFmtId="4" fontId="16" fillId="0" borderId="45" xfId="0" applyNumberFormat="1" applyFont="1" applyBorder="1"/>
    <xf numFmtId="43" fontId="16" fillId="0" borderId="45" xfId="1" applyFont="1" applyBorder="1"/>
    <xf numFmtId="4" fontId="13" fillId="0" borderId="45" xfId="0" applyNumberFormat="1" applyFont="1" applyBorder="1"/>
    <xf numFmtId="0" fontId="13" fillId="2" borderId="45" xfId="0" applyFont="1" applyFill="1" applyBorder="1"/>
    <xf numFmtId="3" fontId="13" fillId="0" borderId="73" xfId="0" applyNumberFormat="1" applyFont="1" applyBorder="1"/>
    <xf numFmtId="3" fontId="13" fillId="0" borderId="74" xfId="0" applyNumberFormat="1" applyFont="1" applyBorder="1"/>
    <xf numFmtId="0" fontId="13" fillId="0" borderId="75" xfId="0" applyFont="1" applyBorder="1"/>
    <xf numFmtId="0" fontId="13" fillId="0" borderId="76" xfId="0" applyFont="1" applyBorder="1"/>
    <xf numFmtId="3" fontId="13" fillId="0" borderId="76" xfId="0" applyNumberFormat="1" applyFont="1" applyBorder="1"/>
    <xf numFmtId="0" fontId="13" fillId="0" borderId="77" xfId="0" applyFont="1" applyBorder="1"/>
    <xf numFmtId="2" fontId="13" fillId="0" borderId="45" xfId="0" applyNumberFormat="1" applyFont="1" applyBorder="1"/>
    <xf numFmtId="170" fontId="13" fillId="0" borderId="45" xfId="1" applyNumberFormat="1" applyFont="1" applyBorder="1"/>
    <xf numFmtId="1" fontId="13" fillId="0" borderId="78" xfId="0" applyNumberFormat="1" applyFont="1" applyBorder="1"/>
    <xf numFmtId="1" fontId="13" fillId="0" borderId="72" xfId="0" applyNumberFormat="1" applyFont="1" applyBorder="1"/>
    <xf numFmtId="1" fontId="13" fillId="0" borderId="72" xfId="0" applyNumberFormat="1" applyFont="1" applyBorder="1" applyAlignment="1">
      <alignment horizontal="center"/>
    </xf>
    <xf numFmtId="1" fontId="13" fillId="0" borderId="79" xfId="0" applyNumberFormat="1" applyFont="1" applyBorder="1"/>
    <xf numFmtId="1" fontId="13" fillId="0" borderId="80" xfId="0" applyNumberFormat="1" applyFont="1" applyBorder="1"/>
    <xf numFmtId="0" fontId="14" fillId="0" borderId="62" xfId="0" applyFont="1" applyBorder="1"/>
    <xf numFmtId="49" fontId="7" fillId="0" borderId="62" xfId="0" applyNumberFormat="1" applyFont="1" applyFill="1" applyBorder="1" applyAlignment="1">
      <alignment horizontal="left"/>
    </xf>
    <xf numFmtId="0" fontId="13" fillId="0" borderId="62" xfId="0" applyFont="1" applyBorder="1"/>
    <xf numFmtId="168" fontId="15" fillId="3" borderId="62" xfId="0" applyNumberFormat="1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/>
    </xf>
    <xf numFmtId="169" fontId="13" fillId="0" borderId="81" xfId="1" applyNumberFormat="1" applyFont="1" applyBorder="1" applyAlignment="1">
      <alignment horizontal="center"/>
    </xf>
    <xf numFmtId="3" fontId="13" fillId="0" borderId="62" xfId="0" applyNumberFormat="1" applyFont="1" applyBorder="1"/>
    <xf numFmtId="0" fontId="13" fillId="0" borderId="62" xfId="0" applyFont="1" applyFill="1" applyBorder="1"/>
    <xf numFmtId="0" fontId="16" fillId="0" borderId="62" xfId="0" applyFont="1" applyBorder="1"/>
    <xf numFmtId="2" fontId="16" fillId="0" borderId="62" xfId="0" applyNumberFormat="1" applyFont="1" applyBorder="1"/>
    <xf numFmtId="3" fontId="16" fillId="0" borderId="62" xfId="0" applyNumberFormat="1" applyFont="1" applyBorder="1"/>
    <xf numFmtId="4" fontId="16" fillId="0" borderId="62" xfId="0" applyNumberFormat="1" applyFont="1" applyBorder="1"/>
    <xf numFmtId="43" fontId="16" fillId="0" borderId="62" xfId="1" applyFont="1" applyBorder="1"/>
    <xf numFmtId="4" fontId="13" fillId="0" borderId="62" xfId="0" applyNumberFormat="1" applyFont="1" applyBorder="1"/>
    <xf numFmtId="0" fontId="13" fillId="2" borderId="62" xfId="0" applyFont="1" applyFill="1" applyBorder="1"/>
    <xf numFmtId="2" fontId="13" fillId="0" borderId="62" xfId="0" applyNumberFormat="1" applyFont="1" applyBorder="1"/>
    <xf numFmtId="170" fontId="13" fillId="0" borderId="62" xfId="1" applyNumberFormat="1" applyFont="1" applyBorder="1"/>
    <xf numFmtId="2" fontId="16" fillId="0" borderId="43" xfId="0" applyNumberFormat="1" applyFont="1" applyBorder="1"/>
    <xf numFmtId="0" fontId="16" fillId="0" borderId="0" xfId="0" applyFont="1" applyFill="1" applyBorder="1"/>
    <xf numFmtId="3" fontId="16" fillId="0" borderId="46" xfId="0" applyNumberFormat="1" applyFont="1" applyBorder="1"/>
    <xf numFmtId="49" fontId="7" fillId="4" borderId="42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 vertical="center"/>
    </xf>
    <xf numFmtId="4" fontId="7" fillId="0" borderId="29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49" fontId="7" fillId="0" borderId="61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 vertical="center"/>
    </xf>
    <xf numFmtId="4" fontId="7" fillId="0" borderId="29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 vertical="center"/>
    </xf>
    <xf numFmtId="4" fontId="7" fillId="0" borderId="29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4" fontId="7" fillId="0" borderId="29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4" fontId="7" fillId="0" borderId="29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49" fontId="17" fillId="4" borderId="42" xfId="0" applyNumberFormat="1" applyFont="1" applyFill="1" applyBorder="1" applyAlignment="1">
      <alignment horizontal="left"/>
    </xf>
    <xf numFmtId="0" fontId="7" fillId="4" borderId="42" xfId="0" applyNumberFormat="1" applyFont="1" applyFill="1" applyBorder="1" applyAlignment="1">
      <alignment horizontal="left" vertical="justify"/>
    </xf>
    <xf numFmtId="4" fontId="7" fillId="0" borderId="29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84" xfId="0" applyBorder="1"/>
    <xf numFmtId="3" fontId="0" fillId="0" borderId="84" xfId="0" applyNumberFormat="1" applyBorder="1"/>
    <xf numFmtId="3" fontId="0" fillId="0" borderId="85" xfId="0" applyNumberFormat="1" applyBorder="1"/>
    <xf numFmtId="3" fontId="0" fillId="0" borderId="86" xfId="0" applyNumberFormat="1" applyBorder="1"/>
    <xf numFmtId="3" fontId="0" fillId="0" borderId="84" xfId="0" applyNumberFormat="1" applyBorder="1" applyAlignment="1"/>
    <xf numFmtId="3" fontId="0" fillId="0" borderId="85" xfId="0" applyNumberFormat="1" applyBorder="1" applyAlignment="1"/>
    <xf numFmtId="3" fontId="0" fillId="0" borderId="86" xfId="0" applyNumberFormat="1" applyBorder="1" applyAlignment="1"/>
    <xf numFmtId="3" fontId="0" fillId="0" borderId="87" xfId="0" applyNumberFormat="1" applyBorder="1" applyAlignment="1">
      <alignment wrapText="1"/>
    </xf>
    <xf numFmtId="3" fontId="0" fillId="0" borderId="88" xfId="0" applyNumberFormat="1" applyBorder="1" applyAlignment="1">
      <alignment wrapText="1"/>
    </xf>
    <xf numFmtId="3" fontId="0" fillId="0" borderId="0" xfId="0" applyNumberFormat="1" applyBorder="1" applyAlignment="1"/>
    <xf numFmtId="3" fontId="0" fillId="0" borderId="0" xfId="0" applyNumberFormat="1" applyBorder="1"/>
    <xf numFmtId="49" fontId="0" fillId="0" borderId="0" xfId="0" applyNumberFormat="1"/>
    <xf numFmtId="0" fontId="22" fillId="0" borderId="84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3" fontId="22" fillId="0" borderId="85" xfId="0" applyNumberFormat="1" applyFont="1" applyBorder="1" applyAlignment="1">
      <alignment horizontal="center" vertical="center"/>
    </xf>
    <xf numFmtId="3" fontId="22" fillId="0" borderId="86" xfId="0" applyNumberFormat="1" applyFont="1" applyBorder="1" applyAlignment="1">
      <alignment horizontal="center" vertical="center"/>
    </xf>
    <xf numFmtId="3" fontId="22" fillId="0" borderId="84" xfId="0" applyNumberFormat="1" applyFont="1" applyBorder="1" applyAlignment="1">
      <alignment horizontal="center" vertical="center"/>
    </xf>
    <xf numFmtId="3" fontId="22" fillId="0" borderId="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3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21" xfId="0" applyFont="1" applyFill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82" xfId="0" applyFont="1" applyBorder="1" applyAlignment="1">
      <alignment horizontal="left"/>
    </xf>
    <xf numFmtId="0" fontId="5" fillId="0" borderId="83" xfId="0" applyFont="1" applyBorder="1" applyAlignment="1">
      <alignment horizontal="left"/>
    </xf>
    <xf numFmtId="0" fontId="5" fillId="0" borderId="82" xfId="0" applyFont="1" applyFill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3" fontId="7" fillId="0" borderId="19" xfId="0" applyNumberFormat="1" applyFont="1" applyFill="1" applyBorder="1" applyAlignment="1">
      <alignment horizontal="center" vertical="center" wrapText="1"/>
    </xf>
    <xf numFmtId="3" fontId="7" fillId="0" borderId="30" xfId="0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Fill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11" xfId="2" applyFont="1" applyFill="1" applyBorder="1" applyAlignment="1">
      <alignment horizontal="center" vertical="center" wrapText="1"/>
    </xf>
    <xf numFmtId="0" fontId="4" fillId="0" borderId="19" xfId="2" applyFont="1" applyFill="1" applyBorder="1" applyAlignment="1">
      <alignment horizontal="center" vertical="center" wrapText="1"/>
    </xf>
    <xf numFmtId="0" fontId="4" fillId="0" borderId="27" xfId="2" applyFont="1" applyFill="1" applyBorder="1" applyAlignment="1">
      <alignment horizontal="center" vertical="center" wrapText="1"/>
    </xf>
    <xf numFmtId="3" fontId="7" fillId="0" borderId="10" xfId="0" applyNumberFormat="1" applyFont="1" applyFill="1" applyBorder="1" applyAlignment="1">
      <alignment horizontal="center" vertical="center" wrapText="1"/>
    </xf>
    <xf numFmtId="3" fontId="7" fillId="0" borderId="2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3" fontId="7" fillId="2" borderId="29" xfId="0" applyNumberFormat="1" applyFont="1" applyFill="1" applyBorder="1" applyAlignment="1">
      <alignment horizontal="center" vertical="center" wrapText="1"/>
    </xf>
    <xf numFmtId="4" fontId="7" fillId="0" borderId="10" xfId="0" applyNumberFormat="1" applyFont="1" applyFill="1" applyBorder="1" applyAlignment="1">
      <alignment horizontal="center" vertical="center" wrapText="1"/>
    </xf>
    <xf numFmtId="4" fontId="7" fillId="0" borderId="29" xfId="0" applyNumberFormat="1" applyFont="1" applyFill="1" applyBorder="1" applyAlignment="1">
      <alignment horizontal="center" vertical="center" wrapText="1"/>
    </xf>
    <xf numFmtId="3" fontId="7" fillId="0" borderId="7" xfId="0" applyNumberFormat="1" applyFont="1" applyFill="1" applyBorder="1" applyAlignment="1">
      <alignment horizontal="center" vertical="center" wrapText="1"/>
    </xf>
    <xf numFmtId="3" fontId="7" fillId="0" borderId="9" xfId="0" applyNumberFormat="1" applyFont="1" applyFill="1" applyBorder="1" applyAlignment="1">
      <alignment horizontal="center" vertical="center" wrapText="1"/>
    </xf>
    <xf numFmtId="1" fontId="7" fillId="0" borderId="11" xfId="0" applyNumberFormat="1" applyFont="1" applyFill="1" applyBorder="1" applyAlignment="1">
      <alignment horizontal="center" vertical="center" wrapText="1"/>
    </xf>
    <xf numFmtId="1" fontId="7" fillId="0" borderId="19" xfId="0" applyNumberFormat="1" applyFont="1" applyFill="1" applyBorder="1" applyAlignment="1">
      <alignment horizontal="center" vertical="center" wrapText="1"/>
    </xf>
    <xf numFmtId="1" fontId="7" fillId="0" borderId="30" xfId="0" applyNumberFormat="1" applyFont="1" applyFill="1" applyBorder="1" applyAlignment="1">
      <alignment horizontal="center" vertical="center" wrapText="1"/>
    </xf>
    <xf numFmtId="3" fontId="7" fillId="0" borderId="14" xfId="0" applyNumberFormat="1" applyFont="1" applyFill="1" applyBorder="1" applyAlignment="1">
      <alignment horizontal="center" vertical="center" wrapText="1"/>
    </xf>
    <xf numFmtId="3" fontId="7" fillId="0" borderId="0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165" fontId="7" fillId="0" borderId="22" xfId="0" applyNumberFormat="1" applyFont="1" applyFill="1" applyBorder="1" applyAlignment="1">
      <alignment horizontal="center" vertical="center" wrapText="1"/>
    </xf>
    <xf numFmtId="165" fontId="7" fillId="0" borderId="35" xfId="0" applyNumberFormat="1" applyFont="1" applyFill="1" applyBorder="1" applyAlignment="1">
      <alignment horizontal="center" vertical="center" wrapText="1"/>
    </xf>
    <xf numFmtId="165" fontId="7" fillId="0" borderId="10" xfId="0" applyNumberFormat="1" applyFont="1" applyFill="1" applyBorder="1" applyAlignment="1">
      <alignment horizontal="center" vertical="center" wrapText="1"/>
    </xf>
    <xf numFmtId="165" fontId="7" fillId="0" borderId="29" xfId="0" applyNumberFormat="1" applyFont="1" applyFill="1" applyBorder="1" applyAlignment="1">
      <alignment horizontal="center" vertical="center" wrapText="1"/>
    </xf>
    <xf numFmtId="4" fontId="7" fillId="0" borderId="11" xfId="0" applyNumberFormat="1" applyFont="1" applyFill="1" applyBorder="1" applyAlignment="1">
      <alignment horizontal="center" vertical="center" wrapText="1"/>
    </xf>
    <xf numFmtId="4" fontId="7" fillId="0" borderId="30" xfId="0" applyNumberFormat="1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1" fontId="7" fillId="2" borderId="29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3" fontId="7" fillId="0" borderId="1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4" fontId="7" fillId="0" borderId="22" xfId="0" applyNumberFormat="1" applyFont="1" applyFill="1" applyBorder="1" applyAlignment="1">
      <alignment horizontal="center" vertical="center" wrapText="1"/>
    </xf>
    <xf numFmtId="4" fontId="7" fillId="0" borderId="35" xfId="0" applyNumberFormat="1" applyFont="1" applyFill="1" applyBorder="1" applyAlignment="1">
      <alignment horizontal="center" vertical="center" wrapText="1"/>
    </xf>
    <xf numFmtId="4" fontId="7" fillId="0" borderId="10" xfId="0" applyNumberFormat="1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 wrapText="1"/>
    </xf>
    <xf numFmtId="0" fontId="4" fillId="0" borderId="7" xfId="2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center" vertical="center" wrapText="1"/>
    </xf>
    <xf numFmtId="0" fontId="4" fillId="0" borderId="9" xfId="2" applyFont="1" applyFill="1" applyBorder="1" applyAlignment="1">
      <alignment horizontal="center" vertical="center" wrapText="1"/>
    </xf>
    <xf numFmtId="1" fontId="7" fillId="0" borderId="17" xfId="0" applyNumberFormat="1" applyFont="1" applyFill="1" applyBorder="1" applyAlignment="1">
      <alignment horizontal="center" vertical="center" wrapText="1"/>
    </xf>
    <xf numFmtId="1" fontId="7" fillId="0" borderId="8" xfId="0" applyNumberFormat="1" applyFont="1" applyFill="1" applyBorder="1" applyAlignment="1">
      <alignment horizontal="center" vertical="center" wrapText="1"/>
    </xf>
    <xf numFmtId="1" fontId="7" fillId="0" borderId="9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3" fontId="7" fillId="0" borderId="13" xfId="0" applyNumberFormat="1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 wrapText="1"/>
    </xf>
    <xf numFmtId="167" fontId="8" fillId="0" borderId="7" xfId="0" applyNumberFormat="1" applyFont="1" applyFill="1" applyBorder="1" applyAlignment="1">
      <alignment horizontal="center" vertical="center"/>
    </xf>
    <xf numFmtId="167" fontId="8" fillId="0" borderId="8" xfId="0" applyNumberFormat="1" applyFont="1" applyFill="1" applyBorder="1" applyAlignment="1">
      <alignment horizontal="center" vertical="center"/>
    </xf>
    <xf numFmtId="167" fontId="8" fillId="0" borderId="9" xfId="0" applyNumberFormat="1" applyFont="1" applyFill="1" applyBorder="1" applyAlignment="1">
      <alignment horizontal="center" vertical="center"/>
    </xf>
    <xf numFmtId="1" fontId="7" fillId="0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Fill="1" applyBorder="1" applyAlignment="1">
      <alignment horizontal="center" vertical="center" wrapText="1"/>
    </xf>
    <xf numFmtId="3" fontId="7" fillId="0" borderId="14" xfId="1" applyNumberFormat="1" applyFont="1" applyFill="1" applyBorder="1" applyAlignment="1">
      <alignment horizontal="center" vertical="center" wrapText="1"/>
    </xf>
    <xf numFmtId="3" fontId="7" fillId="0" borderId="0" xfId="1" applyNumberFormat="1" applyFont="1" applyFill="1" applyBorder="1" applyAlignment="1">
      <alignment horizontal="center" vertical="center" wrapText="1"/>
    </xf>
    <xf numFmtId="3" fontId="7" fillId="0" borderId="1" xfId="1" applyNumberFormat="1" applyFont="1" applyFill="1" applyBorder="1" applyAlignment="1">
      <alignment horizontal="center" vertical="center" wrapText="1"/>
    </xf>
    <xf numFmtId="3" fontId="7" fillId="0" borderId="11" xfId="1" applyNumberFormat="1" applyFont="1" applyFill="1" applyBorder="1" applyAlignment="1">
      <alignment horizontal="center" vertical="center" wrapText="1"/>
    </xf>
    <xf numFmtId="3" fontId="7" fillId="0" borderId="19" xfId="1" applyNumberFormat="1" applyFont="1" applyFill="1" applyBorder="1" applyAlignment="1">
      <alignment horizontal="center" vertical="center" wrapText="1"/>
    </xf>
    <xf numFmtId="3" fontId="7" fillId="0" borderId="30" xfId="1" applyNumberFormat="1" applyFont="1" applyFill="1" applyBorder="1" applyAlignment="1">
      <alignment horizontal="center" vertical="center" wrapText="1"/>
    </xf>
    <xf numFmtId="3" fontId="7" fillId="0" borderId="10" xfId="1" applyNumberFormat="1" applyFont="1" applyFill="1" applyBorder="1" applyAlignment="1">
      <alignment horizontal="center" vertical="center" wrapText="1"/>
    </xf>
    <xf numFmtId="3" fontId="7" fillId="0" borderId="29" xfId="1" applyNumberFormat="1" applyFont="1" applyFill="1" applyBorder="1" applyAlignment="1">
      <alignment horizontal="center" vertical="center" wrapText="1"/>
    </xf>
    <xf numFmtId="1" fontId="7" fillId="0" borderId="15" xfId="0" applyNumberFormat="1" applyFont="1" applyFill="1" applyBorder="1" applyAlignment="1">
      <alignment horizontal="center" vertical="center" wrapText="1"/>
    </xf>
    <xf numFmtId="1" fontId="7" fillId="0" borderId="34" xfId="0" applyNumberFormat="1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20" xfId="0" applyFont="1" applyFill="1" applyBorder="1" applyAlignment="1">
      <alignment horizontal="center" vertical="top" wrapText="1"/>
    </xf>
    <xf numFmtId="0" fontId="7" fillId="0" borderId="32" xfId="0" applyFont="1" applyFill="1" applyBorder="1" applyAlignment="1">
      <alignment horizontal="center" vertical="top" wrapText="1"/>
    </xf>
    <xf numFmtId="164" fontId="7" fillId="0" borderId="10" xfId="0" applyNumberFormat="1" applyFont="1" applyFill="1" applyBorder="1" applyAlignment="1">
      <alignment horizontal="center" vertical="center" wrapText="1"/>
    </xf>
    <xf numFmtId="164" fontId="7" fillId="0" borderId="29" xfId="0" applyNumberFormat="1" applyFont="1" applyFill="1" applyBorder="1" applyAlignment="1">
      <alignment horizontal="center" vertical="center" wrapText="1"/>
    </xf>
    <xf numFmtId="3" fontId="7" fillId="0" borderId="13" xfId="1" applyNumberFormat="1" applyFont="1" applyFill="1" applyBorder="1" applyAlignment="1">
      <alignment horizontal="center" vertical="center" wrapText="1"/>
    </xf>
    <xf numFmtId="3" fontId="7" fillId="0" borderId="21" xfId="1" applyNumberFormat="1" applyFont="1" applyFill="1" applyBorder="1" applyAlignment="1">
      <alignment horizontal="center" vertical="center" wrapText="1"/>
    </xf>
    <xf numFmtId="3" fontId="7" fillId="0" borderId="33" xfId="1" applyNumberFormat="1" applyFont="1" applyFill="1" applyBorder="1" applyAlignment="1">
      <alignment horizontal="center" vertical="center" wrapText="1"/>
    </xf>
    <xf numFmtId="4" fontId="7" fillId="0" borderId="16" xfId="0" applyNumberFormat="1" applyFont="1" applyFill="1" applyBorder="1" applyAlignment="1">
      <alignment horizontal="center" vertical="center" wrapText="1"/>
    </xf>
    <xf numFmtId="4" fontId="7" fillId="0" borderId="14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/>
    </xf>
    <xf numFmtId="0" fontId="11" fillId="0" borderId="10" xfId="0" applyFont="1" applyFill="1" applyBorder="1" applyAlignment="1">
      <alignment vertical="top"/>
    </xf>
    <xf numFmtId="0" fontId="7" fillId="0" borderId="9" xfId="0" applyNumberFormat="1" applyFont="1" applyFill="1" applyBorder="1" applyAlignment="1">
      <alignment horizontal="center" vertical="top" wrapText="1"/>
    </xf>
    <xf numFmtId="0" fontId="7" fillId="0" borderId="11" xfId="0" applyNumberFormat="1" applyFont="1" applyFill="1" applyBorder="1" applyAlignment="1">
      <alignment horizontal="center" vertical="top" wrapText="1"/>
    </xf>
    <xf numFmtId="0" fontId="7" fillId="0" borderId="19" xfId="0" applyNumberFormat="1" applyFont="1" applyFill="1" applyBorder="1" applyAlignment="1">
      <alignment horizontal="center" vertical="top" wrapText="1"/>
    </xf>
    <xf numFmtId="0" fontId="7" fillId="0" borderId="27" xfId="0" applyNumberFormat="1" applyFont="1" applyFill="1" applyBorder="1" applyAlignment="1">
      <alignment horizontal="center" vertical="top" wrapText="1"/>
    </xf>
    <xf numFmtId="4" fontId="7" fillId="0" borderId="9" xfId="0" applyNumberFormat="1" applyFont="1" applyFill="1" applyBorder="1" applyAlignment="1">
      <alignment horizontal="center" vertical="center" wrapText="1"/>
    </xf>
    <xf numFmtId="2" fontId="7" fillId="0" borderId="10" xfId="0" applyNumberFormat="1" applyFont="1" applyFill="1" applyBorder="1" applyAlignment="1">
      <alignment horizontal="center" vertical="center" wrapText="1"/>
    </xf>
    <xf numFmtId="4" fontId="7" fillId="0" borderId="19" xfId="0" applyNumberFormat="1" applyFont="1" applyFill="1" applyBorder="1" applyAlignment="1">
      <alignment horizontal="center" vertical="center" wrapText="1"/>
    </xf>
    <xf numFmtId="49" fontId="7" fillId="0" borderId="10" xfId="0" applyNumberFormat="1" applyFont="1" applyFill="1" applyBorder="1" applyAlignment="1">
      <alignment horizontal="center" vertical="center" wrapText="1"/>
    </xf>
    <xf numFmtId="166" fontId="7" fillId="0" borderId="10" xfId="0" applyNumberFormat="1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1" fontId="7" fillId="0" borderId="10" xfId="0" applyNumberFormat="1" applyFont="1" applyFill="1" applyBorder="1" applyAlignment="1">
      <alignment horizontal="center" vertical="center" wrapText="1"/>
    </xf>
    <xf numFmtId="1" fontId="7" fillId="0" borderId="29" xfId="0" applyNumberFormat="1" applyFont="1" applyFill="1" applyBorder="1" applyAlignment="1">
      <alignment horizontal="center" vertical="center" wrapText="1"/>
    </xf>
    <xf numFmtId="4" fontId="7" fillId="0" borderId="27" xfId="0" applyNumberFormat="1" applyFont="1" applyFill="1" applyBorder="1" applyAlignment="1">
      <alignment horizontal="center" vertical="center" wrapText="1"/>
    </xf>
    <xf numFmtId="4" fontId="7" fillId="0" borderId="23" xfId="0" applyNumberFormat="1" applyFont="1" applyFill="1" applyBorder="1" applyAlignment="1">
      <alignment horizontal="center" vertical="center" wrapText="1"/>
    </xf>
    <xf numFmtId="4" fontId="7" fillId="0" borderId="3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5" xfId="3"/>
    <cellStyle name="Normal_28-10" xfId="2"/>
  </cellStyles>
  <dxfs count="3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  <dxf>
      <font>
        <b/>
        <i val="0"/>
        <strike val="0"/>
        <u/>
        <color auto="1"/>
      </font>
      <fill>
        <patternFill>
          <bgColor theme="0" tint="-0.34998626667073579"/>
        </patternFill>
      </fill>
    </dxf>
    <dxf>
      <font>
        <b/>
        <i val="0"/>
        <u val="none"/>
        <color auto="1"/>
      </font>
      <fill>
        <patternFill>
          <bgColor rgb="FFF1AE6B"/>
        </patternFill>
      </fill>
    </dxf>
    <dxf>
      <font>
        <b/>
        <i val="0"/>
        <u val="none"/>
        <color theme="1"/>
      </font>
      <fill>
        <patternFill>
          <bgColor rgb="FFF1AE6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666750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68580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71437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666750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68580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71437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666750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68580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71437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809625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81915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84772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809625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81915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84772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809625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81915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84772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666750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68580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71437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809625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81915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84772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</xdr:row>
      <xdr:rowOff>238126</xdr:rowOff>
    </xdr:from>
    <xdr:to>
      <xdr:col>2</xdr:col>
      <xdr:colOff>142875</xdr:colOff>
      <xdr:row>5</xdr:row>
      <xdr:rowOff>104776</xdr:rowOff>
    </xdr:to>
    <xdr:sp macro="[1]!nguyenlieu" textlink="">
      <xdr:nvSpPr>
        <xdr:cNvPr id="2" name="Rectangle 1"/>
        <xdr:cNvSpPr/>
      </xdr:nvSpPr>
      <xdr:spPr>
        <a:xfrm>
          <a:off x="47625" y="876301"/>
          <a:ext cx="809625" cy="104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Nguyên</a:t>
          </a:r>
          <a:r>
            <a:rPr lang="en-US" sz="900" baseline="0"/>
            <a:t> liệu</a:t>
          </a:r>
        </a:p>
      </xdr:txBody>
    </xdr:sp>
    <xdr:clientData/>
  </xdr:twoCellAnchor>
  <xdr:twoCellAnchor>
    <xdr:from>
      <xdr:col>0</xdr:col>
      <xdr:colOff>28575</xdr:colOff>
      <xdr:row>3</xdr:row>
      <xdr:rowOff>295275</xdr:rowOff>
    </xdr:from>
    <xdr:to>
      <xdr:col>2</xdr:col>
      <xdr:colOff>133350</xdr:colOff>
      <xdr:row>4</xdr:row>
      <xdr:rowOff>161925</xdr:rowOff>
    </xdr:to>
    <xdr:sp macro="[1]!phuchoi" textlink="">
      <xdr:nvSpPr>
        <xdr:cNvPr id="3" name="Rectangle 2"/>
        <xdr:cNvSpPr/>
      </xdr:nvSpPr>
      <xdr:spPr>
        <a:xfrm>
          <a:off x="28575" y="714375"/>
          <a:ext cx="819150" cy="161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Full</a:t>
          </a:r>
          <a:endParaRPr lang="en-US" sz="900" baseline="0"/>
        </a:p>
      </xdr:txBody>
    </xdr:sp>
    <xdr:clientData/>
  </xdr:twoCellAnchor>
  <xdr:twoCellAnchor>
    <xdr:from>
      <xdr:col>0</xdr:col>
      <xdr:colOff>0</xdr:colOff>
      <xdr:row>5</xdr:row>
      <xdr:rowOff>142875</xdr:rowOff>
    </xdr:from>
    <xdr:to>
      <xdr:col>2</xdr:col>
      <xdr:colOff>133350</xdr:colOff>
      <xdr:row>6</xdr:row>
      <xdr:rowOff>38100</xdr:rowOff>
    </xdr:to>
    <xdr:sp macro="[1]!baocao" textlink="">
      <xdr:nvSpPr>
        <xdr:cNvPr id="4" name="Rectangle 3"/>
        <xdr:cNvSpPr/>
      </xdr:nvSpPr>
      <xdr:spPr>
        <a:xfrm>
          <a:off x="0" y="1019175"/>
          <a:ext cx="847725" cy="66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Báo</a:t>
          </a:r>
          <a:r>
            <a:rPr lang="en-US" sz="900" baseline="0"/>
            <a:t> cáo ngày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71\Users\NA\Desktop\1.SX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6 (1)"/>
      <sheetName val="31.5"/>
      <sheetName val="2.6"/>
      <sheetName val="3.6"/>
      <sheetName val="4.6"/>
      <sheetName val="05.06"/>
      <sheetName val="06.06"/>
      <sheetName val="07.06"/>
      <sheetName val="09.06"/>
      <sheetName val="10.06"/>
      <sheetName val="11.06"/>
      <sheetName val="12.06"/>
      <sheetName val="13.06"/>
      <sheetName val="14.06"/>
      <sheetName val="16.06"/>
      <sheetName val="17.06"/>
      <sheetName val="18.06"/>
      <sheetName val="19.06"/>
      <sheetName val="20.06"/>
      <sheetName val="21.06"/>
      <sheetName val="23.06"/>
      <sheetName val="24.06"/>
      <sheetName val="25.06"/>
      <sheetName val="26.06"/>
      <sheetName val="27.06"/>
      <sheetName val="28.06"/>
      <sheetName val="30.06"/>
      <sheetName val="30.06 (2)"/>
      <sheetName val="30.06 (3)"/>
      <sheetName val="1.SX1"/>
    </sheetNames>
    <definedNames>
      <definedName name="baocao"/>
      <definedName name="nguyenlieu"/>
      <definedName name="phuchoi"/>
    </definedNames>
    <sheetDataSet>
      <sheetData sheetId="0"/>
      <sheetData sheetId="1"/>
      <sheetData sheetId="2">
        <row r="8">
          <cell r="G8" t="str">
            <v>GWA6063-T5-17x3-H9C14</v>
          </cell>
        </row>
      </sheetData>
      <sheetData sheetId="3">
        <row r="8">
          <cell r="G8" t="str">
            <v>GWA6063-T5-17x3-H9C14</v>
          </cell>
        </row>
      </sheetData>
      <sheetData sheetId="4">
        <row r="8">
          <cell r="G8" t="str">
            <v>GWA6063-T5-17x3-H9C14</v>
          </cell>
        </row>
      </sheetData>
      <sheetData sheetId="5">
        <row r="8">
          <cell r="G8" t="str">
            <v>GWA6063-T5-17x3-H9C14</v>
          </cell>
        </row>
      </sheetData>
      <sheetData sheetId="6">
        <row r="8">
          <cell r="G8" t="str">
            <v>GWA6063-T5-17x3-H9C14</v>
          </cell>
        </row>
      </sheetData>
      <sheetData sheetId="7">
        <row r="8">
          <cell r="G8" t="str">
            <v>GWA6063-T5-17x3-H9C14</v>
          </cell>
        </row>
      </sheetData>
      <sheetData sheetId="8">
        <row r="8">
          <cell r="G8" t="str">
            <v>GWA6063-T5-17x3-H9C14</v>
          </cell>
        </row>
      </sheetData>
      <sheetData sheetId="9">
        <row r="8">
          <cell r="G8" t="str">
            <v>GWA6063-T5-17x3-H9C14</v>
          </cell>
        </row>
      </sheetData>
      <sheetData sheetId="10">
        <row r="8">
          <cell r="G8" t="str">
            <v>GWA6063-T5-17x3-H9C14</v>
          </cell>
        </row>
      </sheetData>
      <sheetData sheetId="11">
        <row r="8">
          <cell r="G8" t="str">
            <v>GWA6063-T5-17x3-H9C14</v>
          </cell>
        </row>
      </sheetData>
      <sheetData sheetId="12">
        <row r="8">
          <cell r="G8" t="str">
            <v>GWA6063-T5-17x3-H9C14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7">
          <cell r="AC7">
            <v>3299545</v>
          </cell>
        </row>
      </sheetData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F163"/>
  <sheetViews>
    <sheetView workbookViewId="0">
      <pane xSplit="4" ySplit="7" topLeftCell="S8" activePane="bottomRight" state="frozen"/>
      <selection pane="topRight" activeCell="E1" sqref="E1"/>
      <selection pane="bottomLeft" activeCell="A8" sqref="A8"/>
      <selection pane="bottomRight" activeCell="AL89" sqref="AL89"/>
    </sheetView>
  </sheetViews>
  <sheetFormatPr defaultRowHeight="15"/>
  <cols>
    <col min="1" max="1" width="4.140625" customWidth="1"/>
    <col min="2" max="2" width="6.5703125" customWidth="1"/>
    <col min="3" max="3" width="9.140625" hidden="1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94" width="9.140625" customWidth="1"/>
    <col min="95" max="108" width="9.140625" hidden="1" customWidth="1"/>
    <col min="109" max="110" width="9" hidden="1" customWidth="1"/>
    <col min="111" max="111" width="9" customWidth="1"/>
    <col min="112" max="113" width="9" hidden="1" customWidth="1"/>
    <col min="114" max="114" width="9" customWidth="1"/>
    <col min="115" max="117" width="9" hidden="1" customWidth="1"/>
    <col min="118" max="118" width="7" hidden="1" customWidth="1"/>
    <col min="119" max="120" width="6.7109375" hidden="1" customWidth="1"/>
    <col min="121" max="121" width="7.42578125" hidden="1" customWidth="1"/>
    <col min="122" max="122" width="12.28515625" hidden="1" customWidth="1"/>
    <col min="123" max="123" width="6.7109375" hidden="1" customWidth="1"/>
    <col min="124" max="124" width="9.140625" hidden="1" customWidth="1"/>
    <col min="125" max="125" width="13.7109375" hidden="1" customWidth="1"/>
    <col min="126" max="126" width="10.7109375" hidden="1" customWidth="1"/>
    <col min="127" max="152" width="9.140625" customWidth="1"/>
  </cols>
  <sheetData>
    <row r="1" spans="1:136" s="3" customFormat="1" ht="27" customHeight="1" thickBot="1">
      <c r="A1" s="402" t="s">
        <v>415</v>
      </c>
      <c r="B1" s="402"/>
      <c r="C1" s="402"/>
      <c r="D1" s="402"/>
      <c r="E1" s="1"/>
      <c r="F1" s="1"/>
      <c r="G1" s="1"/>
      <c r="H1" s="1"/>
      <c r="I1" s="1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1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5" t="s">
        <v>124</v>
      </c>
      <c r="AK6" s="25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5" t="s">
        <v>124</v>
      </c>
      <c r="BE6" s="25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118666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customHeight="1" thickBot="1">
      <c r="A7" s="30"/>
      <c r="D7" s="32"/>
      <c r="Q7" s="33"/>
      <c r="S7" s="31">
        <f>SUMIF(S8:S106,"&gt;0")</f>
        <v>2722</v>
      </c>
      <c r="T7" s="31">
        <f>SUM(T8:T106)</f>
        <v>1206.8600000000001</v>
      </c>
      <c r="U7" s="31">
        <f>SUM(U8:U106)</f>
        <v>948</v>
      </c>
      <c r="W7" s="31">
        <f t="shared" ref="W7:AD7" si="0">SUM(W8:W777)</f>
        <v>455</v>
      </c>
      <c r="X7" s="31">
        <f t="shared" si="0"/>
        <v>39049</v>
      </c>
      <c r="Y7" s="31">
        <f t="shared" si="0"/>
        <v>5186</v>
      </c>
      <c r="Z7" s="31">
        <f t="shared" si="0"/>
        <v>10669</v>
      </c>
      <c r="AA7" s="31">
        <f t="shared" si="0"/>
        <v>1950</v>
      </c>
      <c r="AB7" s="31">
        <f t="shared" si="0"/>
        <v>60009</v>
      </c>
      <c r="AC7" s="31">
        <f t="shared" si="0"/>
        <v>1348</v>
      </c>
      <c r="AD7" s="31">
        <f t="shared" si="0"/>
        <v>2194</v>
      </c>
      <c r="AE7" s="31">
        <f>SUM(AE8:AE777)</f>
        <v>118666</v>
      </c>
      <c r="AF7" s="31">
        <f>SUM(AF8:AF249)</f>
        <v>118666</v>
      </c>
      <c r="AG7" s="31">
        <f t="shared" ref="AG7:CP7" si="1">SUM(AG8:AG285)</f>
        <v>1206.8600000000001</v>
      </c>
      <c r="AH7" s="31">
        <f t="shared" si="1"/>
        <v>2.86</v>
      </c>
      <c r="AI7" s="31">
        <f t="shared" si="1"/>
        <v>374</v>
      </c>
      <c r="AJ7" s="31">
        <f t="shared" si="1"/>
        <v>3227</v>
      </c>
      <c r="AK7" s="31">
        <f t="shared" si="1"/>
        <v>93.915869544672063</v>
      </c>
      <c r="AL7" s="34">
        <f>SUM(AL8:AL285)</f>
        <v>371.82</v>
      </c>
      <c r="AM7" s="31">
        <f t="shared" si="1"/>
        <v>1783.0399999999997</v>
      </c>
      <c r="AN7" s="31">
        <f t="shared" si="1"/>
        <v>0</v>
      </c>
      <c r="AO7" s="31">
        <f t="shared" si="1"/>
        <v>8718.75</v>
      </c>
      <c r="AP7" s="31">
        <f t="shared" si="1"/>
        <v>70077.8</v>
      </c>
      <c r="AQ7" s="31">
        <f t="shared" si="1"/>
        <v>3180</v>
      </c>
      <c r="AR7" s="31">
        <f t="shared" si="1"/>
        <v>440</v>
      </c>
      <c r="AS7" s="31">
        <f t="shared" si="1"/>
        <v>1311</v>
      </c>
      <c r="AT7" s="31">
        <f t="shared" si="1"/>
        <v>13277</v>
      </c>
      <c r="AU7" s="31">
        <f t="shared" si="1"/>
        <v>1483</v>
      </c>
      <c r="AV7" s="31">
        <f t="shared" si="1"/>
        <v>3511</v>
      </c>
      <c r="AW7" s="31">
        <f t="shared" si="1"/>
        <v>101998.55</v>
      </c>
      <c r="AX7" s="31">
        <f t="shared" si="1"/>
        <v>64950</v>
      </c>
      <c r="AY7" s="31">
        <f t="shared" si="1"/>
        <v>-988.27579000000014</v>
      </c>
      <c r="AZ7" s="31">
        <f t="shared" si="1"/>
        <v>-421.3536625812859</v>
      </c>
      <c r="BA7" s="31">
        <f t="shared" si="1"/>
        <v>1783.0399999999997</v>
      </c>
      <c r="BB7" s="31">
        <f t="shared" si="1"/>
        <v>5.04</v>
      </c>
      <c r="BC7" s="31">
        <f t="shared" si="1"/>
        <v>298</v>
      </c>
      <c r="BD7" s="31">
        <f t="shared" si="1"/>
        <v>179</v>
      </c>
      <c r="BE7" s="31">
        <f t="shared" si="1"/>
        <v>96.85090302316452</v>
      </c>
      <c r="BF7" s="34">
        <f t="shared" si="1"/>
        <v>300.55999999999995</v>
      </c>
      <c r="BG7" s="31">
        <f t="shared" si="1"/>
        <v>1482.48</v>
      </c>
      <c r="BH7" s="31">
        <f t="shared" si="1"/>
        <v>0</v>
      </c>
      <c r="BI7" s="31">
        <f t="shared" si="1"/>
        <v>7210</v>
      </c>
      <c r="BJ7" s="31">
        <f t="shared" si="1"/>
        <v>52652.5</v>
      </c>
      <c r="BK7" s="31">
        <f t="shared" si="1"/>
        <v>3200</v>
      </c>
      <c r="BL7" s="31">
        <f t="shared" si="1"/>
        <v>458</v>
      </c>
      <c r="BM7" s="31">
        <f t="shared" si="1"/>
        <v>3077</v>
      </c>
      <c r="BN7" s="31">
        <f t="shared" si="1"/>
        <v>10851</v>
      </c>
      <c r="BO7" s="31">
        <f t="shared" si="1"/>
        <v>0</v>
      </c>
      <c r="BP7" s="31">
        <f t="shared" si="1"/>
        <v>2260</v>
      </c>
      <c r="BQ7" s="31">
        <f t="shared" si="1"/>
        <v>79708.5</v>
      </c>
      <c r="BR7" s="31">
        <f t="shared" si="1"/>
        <v>55912</v>
      </c>
      <c r="BS7" s="31">
        <f t="shared" si="1"/>
        <v>-1700.6133600000001</v>
      </c>
      <c r="BT7" s="31">
        <f t="shared" si="1"/>
        <v>-893.83128666355481</v>
      </c>
      <c r="BU7" s="31">
        <f t="shared" si="1"/>
        <v>118666</v>
      </c>
      <c r="BV7" s="34">
        <f t="shared" si="1"/>
        <v>672.37999999999988</v>
      </c>
      <c r="BW7" s="31">
        <f t="shared" si="1"/>
        <v>-1315.1849492448407</v>
      </c>
      <c r="BX7" s="31">
        <f t="shared" si="1"/>
        <v>453.63772</v>
      </c>
      <c r="BY7" s="34">
        <f t="shared" si="1"/>
        <v>672.37999999999988</v>
      </c>
      <c r="BZ7" s="35">
        <f t="shared" si="1"/>
        <v>672.37999999999988</v>
      </c>
      <c r="CA7" s="31">
        <f t="shared" si="1"/>
        <v>181.70705000000009</v>
      </c>
      <c r="CB7" s="31">
        <f t="shared" si="1"/>
        <v>120862</v>
      </c>
      <c r="CC7" s="31">
        <f t="shared" si="1"/>
        <v>-2688.8891500000004</v>
      </c>
      <c r="CD7" s="31">
        <f t="shared" si="1"/>
        <v>-1315.1849492448407</v>
      </c>
      <c r="CE7" s="36">
        <f t="shared" si="1"/>
        <v>0</v>
      </c>
      <c r="CF7" s="36">
        <f t="shared" si="1"/>
        <v>0</v>
      </c>
      <c r="CG7" s="34">
        <f t="shared" si="1"/>
        <v>294.91466999999994</v>
      </c>
      <c r="CH7" s="35">
        <f t="shared" si="1"/>
        <v>294.91466999999994</v>
      </c>
      <c r="CI7" s="31">
        <f t="shared" si="1"/>
        <v>3227</v>
      </c>
      <c r="CJ7" s="31">
        <f t="shared" si="1"/>
        <v>97004.55</v>
      </c>
      <c r="CK7" s="31">
        <f t="shared" si="1"/>
        <v>1483</v>
      </c>
      <c r="CL7" s="31">
        <f t="shared" si="1"/>
        <v>3511</v>
      </c>
      <c r="CM7" s="31">
        <f t="shared" si="1"/>
        <v>179</v>
      </c>
      <c r="CN7" s="31">
        <f t="shared" si="1"/>
        <v>77448.5</v>
      </c>
      <c r="CO7" s="31">
        <f t="shared" si="1"/>
        <v>0</v>
      </c>
      <c r="CP7" s="31">
        <f t="shared" si="1"/>
        <v>2260</v>
      </c>
      <c r="CQ7" s="31">
        <f t="shared" ref="CQ7:CV7" si="2">SUM(CQ8:CQ777)</f>
        <v>62925</v>
      </c>
      <c r="CR7" s="31">
        <f t="shared" si="2"/>
        <v>1348</v>
      </c>
      <c r="CS7" s="31">
        <f t="shared" si="2"/>
        <v>669</v>
      </c>
      <c r="CT7" s="31">
        <f t="shared" si="2"/>
        <v>54393</v>
      </c>
      <c r="CU7" s="31">
        <f t="shared" si="2"/>
        <v>0</v>
      </c>
      <c r="CV7" s="31">
        <f t="shared" si="2"/>
        <v>1525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64273</v>
      </c>
      <c r="DF7" s="38">
        <f t="shared" si="4"/>
        <v>371.82</v>
      </c>
      <c r="DG7" s="37">
        <f t="shared" si="4"/>
        <v>-421.3536625812859</v>
      </c>
      <c r="DH7" s="37">
        <f t="shared" si="4"/>
        <v>54393</v>
      </c>
      <c r="DI7" s="38">
        <f t="shared" si="4"/>
        <v>300.55999999999995</v>
      </c>
      <c r="DJ7" s="37">
        <f t="shared" si="4"/>
        <v>-893.83128666355481</v>
      </c>
      <c r="DK7" s="37">
        <f t="shared" si="4"/>
        <v>118666</v>
      </c>
      <c r="DL7" s="38">
        <f t="shared" si="4"/>
        <v>672.37999999999988</v>
      </c>
      <c r="DM7" s="37">
        <f t="shared" si="4"/>
        <v>-1315.1849492448407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v>17</v>
      </c>
      <c r="U8" s="52">
        <v>10</v>
      </c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148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47</v>
      </c>
      <c r="AE8" s="53">
        <f>IF(V8="","",SUM(W8:AC8))</f>
        <v>148</v>
      </c>
      <c r="AF8" s="54">
        <f>AE8</f>
        <v>148</v>
      </c>
      <c r="AG8" s="55">
        <f>T8</f>
        <v>17</v>
      </c>
      <c r="AH8" s="56">
        <f t="shared" ref="AH8:AH72" si="13">IFERROR(VALUE("0"&amp;RIGHT(AG8,(LEN(AG8)-LEN(TRUNC(AG8))))),"")</f>
        <v>0</v>
      </c>
      <c r="AI8" s="53">
        <v>2</v>
      </c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2</v>
      </c>
      <c r="AM8" s="55">
        <f>IF(V8="","",AG8+U8-AL8)</f>
        <v>25</v>
      </c>
      <c r="AN8" s="53"/>
      <c r="AO8" s="59"/>
      <c r="AP8" s="59">
        <f t="shared" ref="AP8:AP13" si="14">$CJ8</f>
        <v>1500</v>
      </c>
      <c r="AQ8" s="59"/>
      <c r="AR8" s="59"/>
      <c r="AS8" s="59"/>
      <c r="AT8" s="59"/>
      <c r="AU8" s="59">
        <f>CK8</f>
        <v>0</v>
      </c>
      <c r="AV8" s="59">
        <f>CL8</f>
        <v>475</v>
      </c>
      <c r="AW8" s="59">
        <f>SUM(AO8:AV8)</f>
        <v>1975</v>
      </c>
      <c r="AX8" s="59">
        <f>IF(V8="","",INT(AW8/$V8))</f>
        <v>195</v>
      </c>
      <c r="AY8" s="55">
        <f>IF(V8="","",AW8-AL8*$E8*$V8)</f>
        <v>561</v>
      </c>
      <c r="AZ8" s="59">
        <f>IF($V8="","",AY8/$V8)</f>
        <v>55.544554455445549</v>
      </c>
      <c r="BA8" s="55">
        <f>AM8</f>
        <v>25</v>
      </c>
      <c r="BB8" s="60">
        <f>VALUE("0"&amp;RIGHT(BA8,(LEN(BA8)-LEN(TRUNC(BA8)))))</f>
        <v>0</v>
      </c>
      <c r="BC8" s="53"/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0</v>
      </c>
      <c r="BG8" s="55">
        <f>IF(AA8="","",BA8-BF8)</f>
        <v>25</v>
      </c>
      <c r="BH8" s="44"/>
      <c r="BI8" s="44"/>
      <c r="BJ8" s="52">
        <f t="shared" ref="BJ8:BJ13" si="15">$CN8</f>
        <v>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0</v>
      </c>
      <c r="BR8" s="59">
        <f>IF(AA8="","",INT(BQ8/$V8))</f>
        <v>0</v>
      </c>
      <c r="BS8" s="59">
        <f>IF(AA8="","",-BF8*$E8*$V8+BQ8)</f>
        <v>0</v>
      </c>
      <c r="BT8" s="59">
        <f>IF($V8="","",BS8/$V8)</f>
        <v>0</v>
      </c>
      <c r="BU8" s="52">
        <f t="shared" ref="BU8:BU71" si="16">IFERROR(AE8,"")</f>
        <v>148</v>
      </c>
      <c r="BV8" s="61">
        <f t="shared" ref="BV8:BV73" si="17">IFERROR(BF8+AL8,"")</f>
        <v>2</v>
      </c>
      <c r="BW8" s="52">
        <f t="shared" ref="BW8:BW71" si="18">IFERROR(BT8+AZ8,"")</f>
        <v>55.544554455445549</v>
      </c>
      <c r="BX8" s="61">
        <f>IF($Q8="","",(BF8+AL8)*$Q8)</f>
        <v>3.6640000000000001</v>
      </c>
      <c r="BY8" s="61">
        <f>IFERROR(BF8+AL8,0)</f>
        <v>2</v>
      </c>
      <c r="BZ8" s="62">
        <f>BY8</f>
        <v>2</v>
      </c>
      <c r="CA8" s="51">
        <f>IFERROR((BQ8+AW8)/1000,"")</f>
        <v>1.9750000000000001</v>
      </c>
      <c r="CB8" s="63">
        <f t="shared" ref="CB8:CD39" si="19">IFERROR(BR8+AX8,"")</f>
        <v>195</v>
      </c>
      <c r="CC8" s="63">
        <f t="shared" si="19"/>
        <v>561</v>
      </c>
      <c r="CD8" s="63">
        <f t="shared" si="19"/>
        <v>55.544554455445549</v>
      </c>
      <c r="CE8" s="64"/>
      <c r="CF8" s="64"/>
      <c r="CG8" s="51">
        <f>IF(BX8="",0,(BX8-CA8)+((AV8+BP8)/1000))</f>
        <v>2.1640000000000001</v>
      </c>
      <c r="CH8" s="62">
        <f>CG8</f>
        <v>2.1640000000000001</v>
      </c>
      <c r="CI8" s="44"/>
      <c r="CJ8" s="44">
        <v>1500</v>
      </c>
      <c r="CK8" s="44"/>
      <c r="CL8" s="59">
        <v>475</v>
      </c>
      <c r="CM8" s="44"/>
      <c r="CN8" s="44"/>
      <c r="CO8" s="52"/>
      <c r="CP8" s="65"/>
      <c r="CQ8" s="66">
        <f>INT(IFERROR( CJ8/$V8,0))</f>
        <v>148</v>
      </c>
      <c r="CR8" s="66">
        <f t="shared" ref="CR8:CS23" si="20">INT(IFERROR( CK8/$V8,0))</f>
        <v>0</v>
      </c>
      <c r="CS8" s="66">
        <f t="shared" si="20"/>
        <v>47</v>
      </c>
      <c r="CT8" s="63">
        <f>INT(IFERROR( AE8-CQ8-CU8-CR8,0))</f>
        <v>0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148</v>
      </c>
      <c r="DF8" s="72">
        <f t="shared" ref="DF8:DF71" si="22">IFERROR(AL8,"")</f>
        <v>2</v>
      </c>
      <c r="DG8" s="73">
        <f t="shared" ref="DG8:DG71" si="23">IFERROR(AZ8,"")</f>
        <v>55.544554455445549</v>
      </c>
      <c r="DH8" s="74">
        <f t="shared" ref="DH8:DH71" si="24">IFERROR(CT8+CU8,"")</f>
        <v>0</v>
      </c>
      <c r="DI8" s="72">
        <f t="shared" ref="DI8:DI71" si="25">IFERROR(BF8,"")</f>
        <v>0</v>
      </c>
      <c r="DJ8" s="73">
        <f t="shared" ref="DJ8:DJ71" si="26">IFERROR(BT8,"")</f>
        <v>0</v>
      </c>
      <c r="DK8" s="74">
        <f t="shared" ref="DK8:DM23" si="27">IFERROR(DE8+DH8,"")</f>
        <v>148</v>
      </c>
      <c r="DL8" s="72">
        <f t="shared" si="27"/>
        <v>2</v>
      </c>
      <c r="DM8" s="75">
        <f t="shared" si="27"/>
        <v>55.544554455445549</v>
      </c>
      <c r="DN8" s="76">
        <f t="shared" ref="DN8:DO25" si="28">T8</f>
        <v>17</v>
      </c>
      <c r="DO8" s="73">
        <f>U8</f>
        <v>10</v>
      </c>
      <c r="DP8" s="77"/>
      <c r="DQ8" s="77"/>
      <c r="DR8" s="78" t="s">
        <v>133</v>
      </c>
      <c r="DS8" s="77"/>
      <c r="DT8" s="77"/>
      <c r="DU8" s="75"/>
      <c r="DV8" s="79"/>
      <c r="DW8" s="80">
        <f>IFERROR(AL8+BC8,"")</f>
        <v>2</v>
      </c>
      <c r="DX8" s="81">
        <f t="shared" ref="DX8:DX71" si="29">IFERROR(DK8+DL8+DM8,"")</f>
        <v>205.54455445544556</v>
      </c>
      <c r="DY8" s="80">
        <f>CQ8+CR8+CS8+CT8+CU8+CV8</f>
        <v>195</v>
      </c>
      <c r="DZ8">
        <f>IFERROR((AD8*V8/1000),0)</f>
        <v>0.47470000000000001</v>
      </c>
      <c r="EA8" s="82">
        <f>IFERROR((AE8*V8/1000),0)</f>
        <v>1.4947999999999999</v>
      </c>
      <c r="EB8" s="82">
        <f>BX8-EA8</f>
        <v>2.1692</v>
      </c>
      <c r="EC8" s="82">
        <f t="shared" ref="EC8:EC13" si="30">(BX8-CA8)+((AV8+BP8)/1000)</f>
        <v>2.1640000000000001</v>
      </c>
      <c r="EF8" s="83">
        <f>DG8+DJ8</f>
        <v>55.544554455445549</v>
      </c>
    </row>
    <row r="9" spans="1:136" ht="15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1">CONCATENATE(K9,J9,"-",IF(N9="D",L9,IF(N9="H",CONCATENATE(N9,L9),CONCATENATE(N9,L9,"x",M9))),"x",P9,"-",O9,R9)</f>
        <v>TV12L14-10x2.5-H9A14</v>
      </c>
      <c r="H9" s="46" t="str">
        <f t="shared" ref="H9:H72" si="32">CONCATENATE(J9,,K9,L9,M9,N9,O9)</f>
        <v>12L14TV100DH9</v>
      </c>
      <c r="I9" s="46" t="str">
        <f t="shared" ref="I9:I72" si="33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4">ROUND(CY9/E9,0)*2</f>
        <v>70</v>
      </c>
      <c r="T9" s="51"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5">IF(V9="","",SUM(W9:AC9))</f>
        <v>0</v>
      </c>
      <c r="AF9" s="54">
        <f t="shared" ref="AF9:AF72" si="36">AE9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7">IF(V9="","",IF(AJ9=0,1,AJ9/$V9/$E9))</f>
        <v>1</v>
      </c>
      <c r="AL9" s="58">
        <f t="shared" ref="AL9:AL75" si="38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9">CL9</f>
        <v>0</v>
      </c>
      <c r="AW9" s="96">
        <f t="shared" ref="AW9:AW72" si="40">SUM(AO9:AV9)</f>
        <v>0</v>
      </c>
      <c r="AX9" s="96">
        <f t="shared" ref="AX9:AX72" si="41">IF(V9="","",INT(AW9/$V9))</f>
        <v>0</v>
      </c>
      <c r="AY9" s="94">
        <f>IF(V9="","",AW9-AL9*$E9*$V9)</f>
        <v>0</v>
      </c>
      <c r="AZ9" s="94">
        <f t="shared" ref="AZ9:AZ72" si="42">IF($V9="","",AY9/$V9)</f>
        <v>0</v>
      </c>
      <c r="BA9" s="94">
        <f t="shared" ref="BA9:BA74" si="43">AM9</f>
        <v>0</v>
      </c>
      <c r="BB9" s="97">
        <f t="shared" ref="BB9:BB74" si="44">VALUE("0"&amp;RIGHT(BA9,(LEN(BA9)-LEN(TRUNC(BA9)))))</f>
        <v>0</v>
      </c>
      <c r="BC9" s="93"/>
      <c r="BD9" s="93">
        <f t="shared" ref="BD9:BD72" si="45">$CM9</f>
        <v>0</v>
      </c>
      <c r="BE9" s="95">
        <f t="shared" ref="BE9:BE72" si="46">IF(AA9="","",IF(BD9=0,1,BD9/$V9/$E9))</f>
        <v>1</v>
      </c>
      <c r="BF9" s="58">
        <f t="shared" ref="BF9:BF76" si="47">IF(V9="","",MAX(ROUNDUP((IF(BC9+BD9=0,0,BB9)+BC9+BE9-1),2),0))</f>
        <v>0</v>
      </c>
      <c r="BG9" s="94">
        <f t="shared" ref="BG9:BG72" si="48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9">SUM(BI9:BP9)</f>
        <v>0</v>
      </c>
      <c r="BR9" s="96">
        <f t="shared" ref="BR9:BR72" si="50">IF(AA9="","",INT(BQ9/$V9))</f>
        <v>0</v>
      </c>
      <c r="BS9" s="96">
        <f>IF(AA9="","",-BF9*$E9*$V9+BQ9)</f>
        <v>0</v>
      </c>
      <c r="BT9" s="96">
        <f t="shared" ref="BT9:BT72" si="51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2">IF($Q9="","",(BF9+AL9)*$Q9)</f>
        <v>0</v>
      </c>
      <c r="BY9" s="61">
        <f>IFERROR(BF9+AL9,0)</f>
        <v>0</v>
      </c>
      <c r="BZ9" s="62">
        <f t="shared" ref="BZ9:BZ72" si="53">BY9</f>
        <v>0</v>
      </c>
      <c r="CA9" s="98">
        <f t="shared" ref="CA9:CA72" si="54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5">IF(BX9="",0,(BX9-CA9)+((AV9+BP9)/1000))</f>
        <v>0</v>
      </c>
      <c r="CH9" s="62">
        <f t="shared" ref="CH9:CH72" si="56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7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8">INT(IFERROR( AE9-CQ9-CU9-CR9,0))</f>
        <v>0</v>
      </c>
      <c r="CU9" s="92">
        <f t="shared" ref="CU9:CV24" si="59">INT(IFERROR( AC9-CR9,0))</f>
        <v>0</v>
      </c>
      <c r="CV9" s="103">
        <f t="shared" si="59"/>
        <v>0</v>
      </c>
      <c r="CW9" s="104"/>
      <c r="CX9" s="105">
        <v>67</v>
      </c>
      <c r="CY9" s="106">
        <f t="shared" ref="CY9:CY72" si="60">INT(60/CX9*60*(12-(CEILING((60/CX9*60*12)/E9,1)*IF(CW9="T",0.45,IF(CW9="",5,3))/60)))</f>
        <v>282</v>
      </c>
      <c r="CZ9" s="106">
        <f t="shared" ref="CZ9:CZ72" si="61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si="28"/>
        <v>0</v>
      </c>
      <c r="DO9" s="76">
        <f t="shared" si="28"/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2">IFERROR(BU9+BV9,"")</f>
        <v>0</v>
      </c>
      <c r="DX9" s="81">
        <f t="shared" si="29"/>
        <v>0</v>
      </c>
      <c r="DY9" s="80">
        <f t="shared" ref="DY9:DY72" si="63">CQ9+CR9+CS9+CT9+CU9+CV9</f>
        <v>0</v>
      </c>
      <c r="DZ9">
        <f t="shared" ref="DZ9:DZ72" si="64">IFERROR((AD9*V9/1000),0)</f>
        <v>0</v>
      </c>
      <c r="EA9" s="82">
        <f t="shared" ref="EA9:EA72" si="65">IFERROR((AE9*V9/1000),0)</f>
        <v>0</v>
      </c>
      <c r="EB9" s="82">
        <f t="shared" ref="EB9:EB72" si="66">BX9-EA9</f>
        <v>0</v>
      </c>
      <c r="EC9" s="82">
        <f t="shared" si="30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1"/>
        <v>GWA6063-T5-17x3-H9B15</v>
      </c>
      <c r="H10" s="46" t="str">
        <f t="shared" si="32"/>
        <v>A6063-T5GW170DH9</v>
      </c>
      <c r="I10" s="46" t="str">
        <f t="shared" si="33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4"/>
        <v>22</v>
      </c>
      <c r="T10" s="51">
        <v>6</v>
      </c>
      <c r="U10" s="92">
        <v>20</v>
      </c>
      <c r="V10" s="89">
        <v>10.1</v>
      </c>
      <c r="W10" s="93">
        <f t="shared" si="5"/>
        <v>0</v>
      </c>
      <c r="X10" s="93">
        <f t="shared" si="6"/>
        <v>1445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14</v>
      </c>
      <c r="AE10" s="93">
        <f t="shared" si="35"/>
        <v>1445</v>
      </c>
      <c r="AF10" s="54">
        <f t="shared" si="36"/>
        <v>1445</v>
      </c>
      <c r="AG10" s="94">
        <f t="shared" ref="AG10:AG73" si="67">T10</f>
        <v>6</v>
      </c>
      <c r="AH10" s="56">
        <f t="shared" si="13"/>
        <v>0</v>
      </c>
      <c r="AI10" s="89">
        <v>9</v>
      </c>
      <c r="AJ10" s="93">
        <f t="shared" ref="AJ10:AJ73" si="68">$CI10</f>
        <v>0</v>
      </c>
      <c r="AK10" s="95">
        <f t="shared" si="37"/>
        <v>1</v>
      </c>
      <c r="AL10" s="58">
        <f t="shared" si="38"/>
        <v>9</v>
      </c>
      <c r="AM10" s="55">
        <f t="shared" ref="AM10:AM73" si="69">IF(V10="","",AG10+U10-AL10)</f>
        <v>17</v>
      </c>
      <c r="AN10" s="93"/>
      <c r="AO10" s="96"/>
      <c r="AP10" s="96">
        <f t="shared" si="14"/>
        <v>5900</v>
      </c>
      <c r="AQ10" s="96"/>
      <c r="AR10" s="96"/>
      <c r="AS10" s="96"/>
      <c r="AT10" s="96"/>
      <c r="AU10" s="96">
        <f t="shared" si="39"/>
        <v>0</v>
      </c>
      <c r="AV10" s="96">
        <f t="shared" si="39"/>
        <v>0</v>
      </c>
      <c r="AW10" s="96">
        <f t="shared" si="40"/>
        <v>5900</v>
      </c>
      <c r="AX10" s="96">
        <f t="shared" si="41"/>
        <v>584</v>
      </c>
      <c r="AY10" s="94">
        <f t="shared" ref="AY10:AY73" si="70">IF(V10="","",AW10-AL10*$E10*$V10)</f>
        <v>-463</v>
      </c>
      <c r="AZ10" s="94">
        <f t="shared" si="42"/>
        <v>-45.841584158415841</v>
      </c>
      <c r="BA10" s="94">
        <f t="shared" si="43"/>
        <v>17</v>
      </c>
      <c r="BB10" s="97">
        <f t="shared" si="44"/>
        <v>0</v>
      </c>
      <c r="BC10" s="93">
        <v>13</v>
      </c>
      <c r="BD10" s="93">
        <f t="shared" si="45"/>
        <v>0</v>
      </c>
      <c r="BE10" s="95">
        <f t="shared" si="46"/>
        <v>1</v>
      </c>
      <c r="BF10" s="58">
        <f t="shared" si="47"/>
        <v>13</v>
      </c>
      <c r="BG10" s="94">
        <f t="shared" si="48"/>
        <v>4</v>
      </c>
      <c r="BH10" s="89"/>
      <c r="BI10" s="89"/>
      <c r="BJ10" s="92">
        <f t="shared" si="15"/>
        <v>8700</v>
      </c>
      <c r="BK10" s="89"/>
      <c r="BL10" s="89"/>
      <c r="BM10" s="89"/>
      <c r="BN10" s="89"/>
      <c r="BO10" s="92">
        <f t="shared" ref="BO10:BP73" si="71">CO10</f>
        <v>0</v>
      </c>
      <c r="BP10" s="92">
        <f t="shared" si="71"/>
        <v>145</v>
      </c>
      <c r="BQ10" s="96">
        <f t="shared" si="49"/>
        <v>8845</v>
      </c>
      <c r="BR10" s="96">
        <f t="shared" si="50"/>
        <v>875</v>
      </c>
      <c r="BS10" s="96">
        <f t="shared" ref="BS10:BS73" si="72">IF(AA10="","",-BF10*$E10*$V10+BQ10)</f>
        <v>-346</v>
      </c>
      <c r="BT10" s="96">
        <f t="shared" si="51"/>
        <v>-34.257425742574256</v>
      </c>
      <c r="BU10" s="92">
        <f t="shared" si="16"/>
        <v>1445</v>
      </c>
      <c r="BV10" s="98">
        <f t="shared" si="17"/>
        <v>22</v>
      </c>
      <c r="BW10" s="92">
        <f t="shared" si="18"/>
        <v>-80.099009900990097</v>
      </c>
      <c r="BX10" s="61">
        <f t="shared" si="52"/>
        <v>40.304000000000002</v>
      </c>
      <c r="BY10" s="61">
        <f>IFERROR(BF10+AL10,0)</f>
        <v>22</v>
      </c>
      <c r="BZ10" s="62">
        <f t="shared" si="53"/>
        <v>22</v>
      </c>
      <c r="CA10" s="98">
        <f t="shared" si="54"/>
        <v>14.744999999999999</v>
      </c>
      <c r="CB10" s="92">
        <f t="shared" si="19"/>
        <v>1459</v>
      </c>
      <c r="CC10" s="92">
        <f t="shared" si="19"/>
        <v>-809</v>
      </c>
      <c r="CD10" s="92">
        <f t="shared" si="19"/>
        <v>-80.099009900990097</v>
      </c>
      <c r="CE10" s="99"/>
      <c r="CF10" s="99"/>
      <c r="CG10" s="51">
        <f t="shared" si="55"/>
        <v>25.704000000000004</v>
      </c>
      <c r="CH10" s="62">
        <f t="shared" si="56"/>
        <v>25.704000000000004</v>
      </c>
      <c r="CI10" s="89"/>
      <c r="CJ10" s="89">
        <v>5900</v>
      </c>
      <c r="CK10" s="89"/>
      <c r="CL10" s="96"/>
      <c r="CM10" s="89"/>
      <c r="CN10" s="89">
        <v>8700</v>
      </c>
      <c r="CO10" s="92"/>
      <c r="CP10" s="101">
        <v>145</v>
      </c>
      <c r="CQ10" s="102">
        <f t="shared" si="57"/>
        <v>584</v>
      </c>
      <c r="CR10" s="102">
        <f t="shared" si="20"/>
        <v>0</v>
      </c>
      <c r="CS10" s="102">
        <f t="shared" si="20"/>
        <v>0</v>
      </c>
      <c r="CT10" s="92">
        <f t="shared" si="58"/>
        <v>861</v>
      </c>
      <c r="CU10" s="92">
        <f t="shared" si="59"/>
        <v>0</v>
      </c>
      <c r="CV10" s="103">
        <f t="shared" si="59"/>
        <v>14</v>
      </c>
      <c r="CW10" s="104"/>
      <c r="CX10" s="105">
        <v>51</v>
      </c>
      <c r="CY10" s="106">
        <f t="shared" si="60"/>
        <v>770</v>
      </c>
      <c r="CZ10" s="106">
        <f t="shared" si="61"/>
        <v>413.1</v>
      </c>
      <c r="DA10" s="106"/>
      <c r="DB10" s="106"/>
      <c r="DC10" s="105"/>
      <c r="DD10" s="107"/>
      <c r="DE10" s="92">
        <f t="shared" si="21"/>
        <v>584</v>
      </c>
      <c r="DF10" s="108">
        <f t="shared" si="22"/>
        <v>9</v>
      </c>
      <c r="DG10" s="112">
        <f t="shared" si="23"/>
        <v>-45.841584158415841</v>
      </c>
      <c r="DH10" s="110">
        <f t="shared" si="24"/>
        <v>861</v>
      </c>
      <c r="DI10" s="108">
        <f t="shared" si="25"/>
        <v>13</v>
      </c>
      <c r="DJ10" s="115">
        <f t="shared" si="26"/>
        <v>-34.257425742574256</v>
      </c>
      <c r="DK10" s="110">
        <f t="shared" si="27"/>
        <v>1445</v>
      </c>
      <c r="DL10" s="108">
        <f t="shared" si="27"/>
        <v>22</v>
      </c>
      <c r="DM10" s="111">
        <f t="shared" si="27"/>
        <v>-80.099009900990097</v>
      </c>
      <c r="DN10" s="76">
        <f t="shared" si="28"/>
        <v>6</v>
      </c>
      <c r="DO10" s="76">
        <f t="shared" si="28"/>
        <v>20</v>
      </c>
      <c r="DP10" s="112"/>
      <c r="DQ10" s="112"/>
      <c r="DR10" s="113" t="s">
        <v>141</v>
      </c>
      <c r="DS10" s="112"/>
      <c r="DT10" s="112"/>
      <c r="DU10" s="111"/>
      <c r="DV10" s="114"/>
      <c r="DW10" s="80">
        <f>IFERROR(AL10+BF10,"")</f>
        <v>22</v>
      </c>
      <c r="DX10" s="81">
        <f t="shared" si="29"/>
        <v>1386.90099009901</v>
      </c>
      <c r="DY10" s="80">
        <f t="shared" si="63"/>
        <v>1459</v>
      </c>
      <c r="DZ10">
        <f t="shared" si="64"/>
        <v>0.1414</v>
      </c>
      <c r="EA10" s="82">
        <f t="shared" si="65"/>
        <v>14.5945</v>
      </c>
      <c r="EB10" s="82">
        <f t="shared" si="66"/>
        <v>25.709500000000002</v>
      </c>
      <c r="EC10" s="82">
        <f t="shared" si="30"/>
        <v>25.704000000000004</v>
      </c>
      <c r="EF10" s="83">
        <f t="shared" ref="EF10:EF11" si="73">DG10+DJ10</f>
        <v>-80.099009900990097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1"/>
        <v>TV12L14-11x2.5-H9C14</v>
      </c>
      <c r="H11" s="46" t="str">
        <f t="shared" si="32"/>
        <v>12L14TV110DH9</v>
      </c>
      <c r="I11" s="46" t="str">
        <f t="shared" si="33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4"/>
        <v>12</v>
      </c>
      <c r="T11" s="51">
        <v>0.71</v>
      </c>
      <c r="U11" s="92">
        <v>20</v>
      </c>
      <c r="V11" s="89">
        <v>2</v>
      </c>
      <c r="W11" s="93">
        <f t="shared" si="5"/>
        <v>0</v>
      </c>
      <c r="X11" s="93">
        <f t="shared" si="6"/>
        <v>1673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0</v>
      </c>
      <c r="AE11" s="93">
        <f t="shared" si="35"/>
        <v>1673</v>
      </c>
      <c r="AF11" s="54">
        <f t="shared" si="36"/>
        <v>1673</v>
      </c>
      <c r="AG11" s="94">
        <f t="shared" si="67"/>
        <v>0.71</v>
      </c>
      <c r="AH11" s="56">
        <f t="shared" si="13"/>
        <v>0.71</v>
      </c>
      <c r="AI11" s="89">
        <v>6</v>
      </c>
      <c r="AJ11" s="93">
        <f t="shared" si="68"/>
        <v>0</v>
      </c>
      <c r="AK11" s="95">
        <f t="shared" si="37"/>
        <v>1</v>
      </c>
      <c r="AL11" s="58">
        <f t="shared" si="38"/>
        <v>6.71</v>
      </c>
      <c r="AM11" s="55">
        <f t="shared" si="69"/>
        <v>14</v>
      </c>
      <c r="AN11" s="93"/>
      <c r="AO11" s="96"/>
      <c r="AP11" s="96">
        <f t="shared" si="14"/>
        <v>3347</v>
      </c>
      <c r="AQ11" s="96"/>
      <c r="AR11" s="96"/>
      <c r="AS11" s="96"/>
      <c r="AT11" s="96"/>
      <c r="AU11" s="96">
        <f t="shared" si="39"/>
        <v>0</v>
      </c>
      <c r="AV11" s="96">
        <f t="shared" si="39"/>
        <v>0</v>
      </c>
      <c r="AW11" s="96">
        <f t="shared" si="40"/>
        <v>3347</v>
      </c>
      <c r="AX11" s="96">
        <f t="shared" si="41"/>
        <v>1673</v>
      </c>
      <c r="AY11" s="94">
        <f t="shared" si="70"/>
        <v>-450.86000000000013</v>
      </c>
      <c r="AZ11" s="94">
        <f t="shared" si="42"/>
        <v>-225.43000000000006</v>
      </c>
      <c r="BA11" s="94">
        <f t="shared" si="43"/>
        <v>14</v>
      </c>
      <c r="BB11" s="97">
        <f t="shared" si="44"/>
        <v>0</v>
      </c>
      <c r="BC11" s="93"/>
      <c r="BD11" s="93">
        <f t="shared" si="45"/>
        <v>0</v>
      </c>
      <c r="BE11" s="95">
        <f t="shared" si="46"/>
        <v>1</v>
      </c>
      <c r="BF11" s="58">
        <f t="shared" si="47"/>
        <v>0</v>
      </c>
      <c r="BG11" s="94">
        <f t="shared" si="48"/>
        <v>14</v>
      </c>
      <c r="BH11" s="89"/>
      <c r="BI11" s="89"/>
      <c r="BJ11" s="92">
        <f t="shared" si="15"/>
        <v>0</v>
      </c>
      <c r="BK11" s="89"/>
      <c r="BL11" s="89"/>
      <c r="BM11" s="89"/>
      <c r="BN11" s="89"/>
      <c r="BO11" s="92">
        <f t="shared" si="71"/>
        <v>0</v>
      </c>
      <c r="BP11" s="92">
        <f t="shared" si="71"/>
        <v>0</v>
      </c>
      <c r="BQ11" s="96">
        <f t="shared" si="49"/>
        <v>0</v>
      </c>
      <c r="BR11" s="96">
        <f t="shared" si="50"/>
        <v>0</v>
      </c>
      <c r="BS11" s="96">
        <f t="shared" si="72"/>
        <v>0</v>
      </c>
      <c r="BT11" s="96">
        <f t="shared" si="51"/>
        <v>0</v>
      </c>
      <c r="BU11" s="92">
        <f t="shared" si="16"/>
        <v>1673</v>
      </c>
      <c r="BV11" s="98">
        <f t="shared" si="17"/>
        <v>6.71</v>
      </c>
      <c r="BW11" s="92">
        <f t="shared" si="18"/>
        <v>-225.43000000000006</v>
      </c>
      <c r="BX11" s="98" t="str">
        <f t="shared" si="52"/>
        <v/>
      </c>
      <c r="BY11" s="61">
        <f t="shared" ref="BY11:BY73" si="74">IFERROR(BF11+AL11,0)</f>
        <v>6.71</v>
      </c>
      <c r="BZ11" s="62">
        <f t="shared" si="53"/>
        <v>6.71</v>
      </c>
      <c r="CA11" s="98">
        <f t="shared" si="54"/>
        <v>3.347</v>
      </c>
      <c r="CB11" s="92">
        <f t="shared" si="19"/>
        <v>1673</v>
      </c>
      <c r="CC11" s="92">
        <f t="shared" si="19"/>
        <v>-450.86000000000013</v>
      </c>
      <c r="CD11" s="92">
        <f t="shared" si="19"/>
        <v>-225.43000000000006</v>
      </c>
      <c r="CE11" s="99"/>
      <c r="CF11" s="99"/>
      <c r="CG11" s="51">
        <f t="shared" si="55"/>
        <v>0</v>
      </c>
      <c r="CH11" s="62">
        <f t="shared" si="56"/>
        <v>0</v>
      </c>
      <c r="CI11" s="89"/>
      <c r="CJ11" s="89">
        <v>3347</v>
      </c>
      <c r="CK11" s="89"/>
      <c r="CL11" s="96"/>
      <c r="CM11" s="89"/>
      <c r="CN11" s="89"/>
      <c r="CO11" s="92"/>
      <c r="CP11" s="101"/>
      <c r="CQ11" s="102">
        <f t="shared" si="57"/>
        <v>1673</v>
      </c>
      <c r="CR11" s="102">
        <f t="shared" si="20"/>
        <v>0</v>
      </c>
      <c r="CS11" s="102">
        <f t="shared" si="20"/>
        <v>0</v>
      </c>
      <c r="CT11" s="92">
        <f t="shared" si="58"/>
        <v>0</v>
      </c>
      <c r="CU11" s="92">
        <f t="shared" si="59"/>
        <v>0</v>
      </c>
      <c r="CV11" s="103">
        <f t="shared" si="59"/>
        <v>0</v>
      </c>
      <c r="CW11" s="104"/>
      <c r="CX11" s="105">
        <v>25</v>
      </c>
      <c r="CY11" s="106">
        <f t="shared" si="60"/>
        <v>1644</v>
      </c>
      <c r="CZ11" s="106">
        <f t="shared" si="61"/>
        <v>202.5</v>
      </c>
      <c r="DA11" s="106"/>
      <c r="DB11" s="106"/>
      <c r="DC11" s="105"/>
      <c r="DD11" s="107"/>
      <c r="DE11" s="92">
        <f t="shared" si="21"/>
        <v>1673</v>
      </c>
      <c r="DF11" s="108">
        <f t="shared" si="22"/>
        <v>6.71</v>
      </c>
      <c r="DG11" s="112">
        <f t="shared" si="23"/>
        <v>-225.43000000000006</v>
      </c>
      <c r="DH11" s="110">
        <f t="shared" si="24"/>
        <v>0</v>
      </c>
      <c r="DI11" s="108">
        <f t="shared" si="25"/>
        <v>0</v>
      </c>
      <c r="DJ11" s="112">
        <f t="shared" si="26"/>
        <v>0</v>
      </c>
      <c r="DK11" s="110">
        <f t="shared" si="27"/>
        <v>1673</v>
      </c>
      <c r="DL11" s="108">
        <f t="shared" si="27"/>
        <v>6.71</v>
      </c>
      <c r="DM11" s="111">
        <f t="shared" si="27"/>
        <v>-225.43000000000006</v>
      </c>
      <c r="DN11" s="76">
        <v>0</v>
      </c>
      <c r="DO11" s="76">
        <f t="shared" si="28"/>
        <v>20</v>
      </c>
      <c r="DP11" s="112"/>
      <c r="DQ11" s="112"/>
      <c r="DR11" s="113" t="s">
        <v>145</v>
      </c>
      <c r="DS11" s="112"/>
      <c r="DT11" s="112"/>
      <c r="DU11" s="111"/>
      <c r="DV11" s="114"/>
      <c r="DW11" s="80">
        <f t="shared" si="62"/>
        <v>1679.71</v>
      </c>
      <c r="DX11" s="81">
        <f t="shared" si="29"/>
        <v>1454.28</v>
      </c>
      <c r="DY11" s="80">
        <f t="shared" si="63"/>
        <v>1673</v>
      </c>
      <c r="DZ11" s="82">
        <f t="shared" si="64"/>
        <v>0</v>
      </c>
      <c r="EA11" s="82">
        <f t="shared" si="65"/>
        <v>3.3460000000000001</v>
      </c>
      <c r="EB11" s="82" t="e">
        <f t="shared" si="66"/>
        <v>#VALUE!</v>
      </c>
      <c r="EC11" s="82" t="e">
        <f t="shared" si="30"/>
        <v>#VALUE!</v>
      </c>
      <c r="EF11" s="83">
        <f t="shared" si="73"/>
        <v>-225.43000000000006</v>
      </c>
    </row>
    <row r="12" spans="1:136" ht="15" customHeight="1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1"/>
        <v>DCC3604-10x3-H9B12</v>
      </c>
      <c r="H12" s="46" t="str">
        <f t="shared" si="32"/>
        <v>C3604DC100DH9</v>
      </c>
      <c r="I12" s="46" t="str">
        <f t="shared" si="33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4"/>
        <v>26</v>
      </c>
      <c r="T12" s="51"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5"/>
        <v>0</v>
      </c>
      <c r="AF12" s="54">
        <f t="shared" si="36"/>
        <v>0</v>
      </c>
      <c r="AG12" s="94">
        <f t="shared" si="67"/>
        <v>0</v>
      </c>
      <c r="AH12" s="56">
        <f t="shared" si="13"/>
        <v>0</v>
      </c>
      <c r="AI12" s="89"/>
      <c r="AJ12" s="93">
        <f t="shared" si="68"/>
        <v>0</v>
      </c>
      <c r="AK12" s="95">
        <f t="shared" si="37"/>
        <v>1</v>
      </c>
      <c r="AL12" s="58">
        <f t="shared" si="38"/>
        <v>0</v>
      </c>
      <c r="AM12" s="55">
        <f t="shared" si="69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9"/>
        <v>0</v>
      </c>
      <c r="AV12" s="96">
        <f t="shared" si="39"/>
        <v>0</v>
      </c>
      <c r="AW12" s="96">
        <f t="shared" si="40"/>
        <v>0</v>
      </c>
      <c r="AX12" s="96">
        <f t="shared" si="41"/>
        <v>0</v>
      </c>
      <c r="AY12" s="94">
        <f t="shared" si="70"/>
        <v>0</v>
      </c>
      <c r="AZ12" s="94">
        <f t="shared" si="42"/>
        <v>0</v>
      </c>
      <c r="BA12" s="94">
        <f t="shared" si="43"/>
        <v>0</v>
      </c>
      <c r="BB12" s="97">
        <f t="shared" si="44"/>
        <v>0</v>
      </c>
      <c r="BC12" s="93"/>
      <c r="BD12" s="93">
        <f t="shared" si="45"/>
        <v>0</v>
      </c>
      <c r="BE12" s="95">
        <f t="shared" si="46"/>
        <v>1</v>
      </c>
      <c r="BF12" s="58">
        <f t="shared" si="47"/>
        <v>0</v>
      </c>
      <c r="BG12" s="94">
        <f t="shared" si="48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1"/>
        <v>0</v>
      </c>
      <c r="BP12" s="92">
        <f t="shared" si="71"/>
        <v>0</v>
      </c>
      <c r="BQ12" s="96">
        <f t="shared" si="49"/>
        <v>0</v>
      </c>
      <c r="BR12" s="96">
        <f t="shared" si="50"/>
        <v>0</v>
      </c>
      <c r="BS12" s="96">
        <f t="shared" si="72"/>
        <v>0</v>
      </c>
      <c r="BT12" s="96">
        <f t="shared" si="51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2"/>
        <v>0</v>
      </c>
      <c r="BY12" s="61">
        <f>IFERROR(BF12+AL12,0)</f>
        <v>0</v>
      </c>
      <c r="BZ12" s="62">
        <f t="shared" si="53"/>
        <v>0</v>
      </c>
      <c r="CA12" s="98">
        <f t="shared" si="54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5"/>
        <v>0</v>
      </c>
      <c r="CH12" s="62">
        <f t="shared" si="56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7"/>
        <v>0</v>
      </c>
      <c r="CR12" s="102">
        <f t="shared" si="20"/>
        <v>0</v>
      </c>
      <c r="CS12" s="102">
        <f t="shared" si="20"/>
        <v>0</v>
      </c>
      <c r="CT12" s="92">
        <f t="shared" si="58"/>
        <v>0</v>
      </c>
      <c r="CU12" s="92">
        <f t="shared" si="59"/>
        <v>0</v>
      </c>
      <c r="CV12" s="103">
        <f t="shared" si="59"/>
        <v>0</v>
      </c>
      <c r="CW12" s="104"/>
      <c r="CX12" s="105">
        <v>24</v>
      </c>
      <c r="CY12" s="106">
        <f t="shared" si="60"/>
        <v>1612</v>
      </c>
      <c r="CZ12" s="106">
        <f t="shared" si="61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28"/>
        <v>0</v>
      </c>
      <c r="DO12" s="76">
        <f t="shared" si="28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2"/>
        <v>0</v>
      </c>
      <c r="DX12" s="81">
        <f t="shared" si="29"/>
        <v>0</v>
      </c>
      <c r="DY12" s="80">
        <f t="shared" si="63"/>
        <v>0</v>
      </c>
      <c r="DZ12" s="82">
        <f t="shared" si="64"/>
        <v>0</v>
      </c>
      <c r="EA12" s="82">
        <f t="shared" si="65"/>
        <v>0</v>
      </c>
      <c r="EB12" s="82">
        <f t="shared" si="66"/>
        <v>0</v>
      </c>
      <c r="EC12" s="82">
        <f t="shared" si="30"/>
        <v>0</v>
      </c>
    </row>
    <row r="13" spans="1:136" ht="15" customHeight="1">
      <c r="A13" s="84">
        <v>6</v>
      </c>
      <c r="B13" s="85" t="s">
        <v>151</v>
      </c>
      <c r="C13" s="86"/>
      <c r="D13" s="118">
        <v>10620</v>
      </c>
      <c r="E13" s="88">
        <v>127</v>
      </c>
      <c r="F13" s="89" t="s">
        <v>128</v>
      </c>
      <c r="G13" s="45" t="str">
        <f t="shared" si="31"/>
        <v>DCC3604-10x3-H9B12</v>
      </c>
      <c r="H13" s="46" t="str">
        <f t="shared" si="32"/>
        <v>C3604DC100DH9</v>
      </c>
      <c r="I13" s="46" t="str">
        <f t="shared" si="33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4"/>
        <v>40</v>
      </c>
      <c r="T13" s="51">
        <v>0</v>
      </c>
      <c r="U13" s="92">
        <v>15</v>
      </c>
      <c r="V13" s="89">
        <v>7.64</v>
      </c>
      <c r="W13" s="93">
        <f t="shared" si="5"/>
        <v>0</v>
      </c>
      <c r="X13" s="93">
        <f t="shared" si="6"/>
        <v>1093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89</v>
      </c>
      <c r="AE13" s="93">
        <f t="shared" si="35"/>
        <v>1093</v>
      </c>
      <c r="AF13" s="54">
        <f t="shared" si="36"/>
        <v>1093</v>
      </c>
      <c r="AG13" s="94">
        <f t="shared" si="67"/>
        <v>0</v>
      </c>
      <c r="AH13" s="56">
        <f t="shared" si="13"/>
        <v>0</v>
      </c>
      <c r="AI13" s="89">
        <v>4</v>
      </c>
      <c r="AJ13" s="93">
        <f t="shared" si="68"/>
        <v>0</v>
      </c>
      <c r="AK13" s="95">
        <f t="shared" si="37"/>
        <v>1</v>
      </c>
      <c r="AL13" s="58">
        <f t="shared" si="38"/>
        <v>4</v>
      </c>
      <c r="AM13" s="55">
        <f t="shared" si="69"/>
        <v>11</v>
      </c>
      <c r="AN13" s="93"/>
      <c r="AO13" s="96"/>
      <c r="AP13" s="96">
        <f t="shared" si="14"/>
        <v>3962</v>
      </c>
      <c r="AQ13" s="96"/>
      <c r="AR13" s="96"/>
      <c r="AS13" s="96"/>
      <c r="AT13" s="96"/>
      <c r="AU13" s="96">
        <f t="shared" si="39"/>
        <v>0</v>
      </c>
      <c r="AV13" s="96">
        <f t="shared" si="39"/>
        <v>298</v>
      </c>
      <c r="AW13" s="96">
        <f t="shared" si="40"/>
        <v>4260</v>
      </c>
      <c r="AX13" s="96">
        <f t="shared" si="41"/>
        <v>557</v>
      </c>
      <c r="AY13" s="94">
        <f t="shared" si="70"/>
        <v>378.88000000000011</v>
      </c>
      <c r="AZ13" s="94">
        <f t="shared" si="42"/>
        <v>49.591623036649231</v>
      </c>
      <c r="BA13" s="94">
        <f t="shared" si="43"/>
        <v>11</v>
      </c>
      <c r="BB13" s="97">
        <f t="shared" si="44"/>
        <v>0</v>
      </c>
      <c r="BC13" s="93">
        <v>5</v>
      </c>
      <c r="BD13" s="93">
        <f t="shared" si="45"/>
        <v>0</v>
      </c>
      <c r="BE13" s="95">
        <f t="shared" si="46"/>
        <v>1</v>
      </c>
      <c r="BF13" s="58">
        <f t="shared" si="47"/>
        <v>5</v>
      </c>
      <c r="BG13" s="94">
        <f t="shared" si="48"/>
        <v>6</v>
      </c>
      <c r="BH13" s="89"/>
      <c r="BI13" s="89"/>
      <c r="BJ13" s="92">
        <f t="shared" si="15"/>
        <v>4389</v>
      </c>
      <c r="BK13" s="89"/>
      <c r="BL13" s="89"/>
      <c r="BM13" s="89"/>
      <c r="BN13" s="89"/>
      <c r="BO13" s="92">
        <f t="shared" si="71"/>
        <v>0</v>
      </c>
      <c r="BP13" s="92">
        <f t="shared" si="71"/>
        <v>384</v>
      </c>
      <c r="BQ13" s="96">
        <f t="shared" si="49"/>
        <v>4773</v>
      </c>
      <c r="BR13" s="96">
        <f t="shared" si="50"/>
        <v>624</v>
      </c>
      <c r="BS13" s="96">
        <f t="shared" si="72"/>
        <v>-78.399999999999636</v>
      </c>
      <c r="BT13" s="96">
        <f t="shared" si="51"/>
        <v>-10.261780104711995</v>
      </c>
      <c r="BU13" s="92">
        <f t="shared" si="16"/>
        <v>1093</v>
      </c>
      <c r="BV13" s="98">
        <f t="shared" si="17"/>
        <v>9</v>
      </c>
      <c r="BW13" s="92">
        <f t="shared" si="18"/>
        <v>39.329842931937236</v>
      </c>
      <c r="BX13" s="98">
        <f t="shared" si="52"/>
        <v>18</v>
      </c>
      <c r="BY13" s="61">
        <f t="shared" si="74"/>
        <v>9</v>
      </c>
      <c r="BZ13" s="62">
        <f t="shared" si="53"/>
        <v>9</v>
      </c>
      <c r="CA13" s="98">
        <f t="shared" si="54"/>
        <v>9.0329999999999995</v>
      </c>
      <c r="CB13" s="92">
        <f t="shared" si="19"/>
        <v>1181</v>
      </c>
      <c r="CC13" s="92">
        <f t="shared" si="19"/>
        <v>300.48000000000047</v>
      </c>
      <c r="CD13" s="92">
        <f t="shared" si="19"/>
        <v>39.329842931937236</v>
      </c>
      <c r="CE13" s="99"/>
      <c r="CF13" s="99"/>
      <c r="CG13" s="51">
        <f t="shared" si="55"/>
        <v>9.6490000000000009</v>
      </c>
      <c r="CH13" s="62">
        <f t="shared" si="56"/>
        <v>9.6490000000000009</v>
      </c>
      <c r="CI13" s="89"/>
      <c r="CJ13" s="89">
        <v>3962</v>
      </c>
      <c r="CK13" s="89"/>
      <c r="CL13" s="96">
        <v>298</v>
      </c>
      <c r="CM13" s="89"/>
      <c r="CN13" s="89">
        <v>4389</v>
      </c>
      <c r="CO13" s="92"/>
      <c r="CP13" s="101">
        <v>384</v>
      </c>
      <c r="CQ13" s="102">
        <f t="shared" si="57"/>
        <v>518</v>
      </c>
      <c r="CR13" s="102">
        <f t="shared" si="20"/>
        <v>0</v>
      </c>
      <c r="CS13" s="102">
        <f t="shared" si="20"/>
        <v>39</v>
      </c>
      <c r="CT13" s="92">
        <f t="shared" si="58"/>
        <v>575</v>
      </c>
      <c r="CU13" s="92">
        <f t="shared" si="59"/>
        <v>0</v>
      </c>
      <c r="CV13" s="103">
        <f t="shared" si="59"/>
        <v>50</v>
      </c>
      <c r="CW13" s="104"/>
      <c r="CX13" s="105">
        <v>14</v>
      </c>
      <c r="CY13" s="106">
        <f t="shared" si="60"/>
        <v>2550</v>
      </c>
      <c r="CZ13" s="106">
        <f t="shared" si="61"/>
        <v>113.4</v>
      </c>
      <c r="DA13" s="106"/>
      <c r="DB13" s="106"/>
      <c r="DC13" s="105"/>
      <c r="DD13" s="107"/>
      <c r="DE13" s="92">
        <f t="shared" si="21"/>
        <v>518</v>
      </c>
      <c r="DF13" s="108">
        <f t="shared" si="22"/>
        <v>4</v>
      </c>
      <c r="DG13" s="112">
        <f t="shared" si="23"/>
        <v>49.591623036649231</v>
      </c>
      <c r="DH13" s="110">
        <f t="shared" si="24"/>
        <v>575</v>
      </c>
      <c r="DI13" s="108">
        <f t="shared" si="25"/>
        <v>5</v>
      </c>
      <c r="DJ13" s="112">
        <f t="shared" si="26"/>
        <v>-10.261780104711995</v>
      </c>
      <c r="DK13" s="110">
        <f t="shared" si="27"/>
        <v>1093</v>
      </c>
      <c r="DL13" s="108">
        <f t="shared" si="27"/>
        <v>9</v>
      </c>
      <c r="DM13" s="111">
        <f t="shared" si="27"/>
        <v>39.329842931937236</v>
      </c>
      <c r="DN13" s="76">
        <f t="shared" si="28"/>
        <v>0</v>
      </c>
      <c r="DO13" s="76">
        <f t="shared" si="28"/>
        <v>15</v>
      </c>
      <c r="DP13" s="112"/>
      <c r="DQ13" s="112"/>
      <c r="DR13" s="113" t="s">
        <v>152</v>
      </c>
      <c r="DS13" s="112"/>
      <c r="DT13" s="112"/>
      <c r="DU13" s="111"/>
      <c r="DV13" s="114"/>
      <c r="DW13" s="80">
        <f t="shared" si="62"/>
        <v>1102</v>
      </c>
      <c r="DX13" s="81">
        <f t="shared" si="29"/>
        <v>1141.3298429319373</v>
      </c>
      <c r="DY13" s="80">
        <f t="shared" si="63"/>
        <v>1182</v>
      </c>
      <c r="DZ13" s="82">
        <f t="shared" si="64"/>
        <v>0.6799599999999999</v>
      </c>
      <c r="EA13" s="82">
        <f t="shared" si="65"/>
        <v>8.3505200000000013</v>
      </c>
      <c r="EB13" s="82">
        <f t="shared" si="66"/>
        <v>9.6494799999999987</v>
      </c>
      <c r="EC13" s="82">
        <f t="shared" si="30"/>
        <v>9.6490000000000009</v>
      </c>
    </row>
    <row r="14" spans="1:136" ht="15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1"/>
        <v>IBC3602-7.5x3-H9A14</v>
      </c>
      <c r="H14" s="46" t="str">
        <f t="shared" si="32"/>
        <v>C3602IB7.50DH9</v>
      </c>
      <c r="I14" s="46" t="str">
        <f t="shared" si="33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4"/>
        <v>100</v>
      </c>
      <c r="T14" s="51"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5"/>
        <v>0</v>
      </c>
      <c r="AF14" s="54">
        <f t="shared" si="36"/>
        <v>0</v>
      </c>
      <c r="AG14" s="94">
        <f t="shared" si="67"/>
        <v>0</v>
      </c>
      <c r="AH14" s="56">
        <f t="shared" si="13"/>
        <v>0</v>
      </c>
      <c r="AI14" s="89"/>
      <c r="AJ14" s="93">
        <f t="shared" si="68"/>
        <v>0</v>
      </c>
      <c r="AK14" s="95">
        <f t="shared" si="37"/>
        <v>1</v>
      </c>
      <c r="AL14" s="58">
        <f t="shared" si="38"/>
        <v>0</v>
      </c>
      <c r="AM14" s="55">
        <f t="shared" si="69"/>
        <v>0</v>
      </c>
      <c r="AN14" s="93"/>
      <c r="AO14" s="96"/>
      <c r="AP14" s="96"/>
      <c r="AQ14" s="96"/>
      <c r="AR14" s="96"/>
      <c r="AS14" s="96"/>
      <c r="AT14" s="96">
        <f t="shared" ref="AT14" si="75">$CJ14</f>
        <v>0</v>
      </c>
      <c r="AU14" s="96">
        <f t="shared" si="39"/>
        <v>0</v>
      </c>
      <c r="AV14" s="96">
        <f t="shared" si="39"/>
        <v>0</v>
      </c>
      <c r="AW14" s="96">
        <f t="shared" si="40"/>
        <v>0</v>
      </c>
      <c r="AX14" s="96">
        <f t="shared" si="41"/>
        <v>0</v>
      </c>
      <c r="AY14" s="94">
        <f t="shared" si="70"/>
        <v>0</v>
      </c>
      <c r="AZ14" s="94">
        <f t="shared" si="42"/>
        <v>0</v>
      </c>
      <c r="BA14" s="94">
        <f t="shared" si="43"/>
        <v>0</v>
      </c>
      <c r="BB14" s="97">
        <f t="shared" si="44"/>
        <v>0</v>
      </c>
      <c r="BC14" s="93"/>
      <c r="BD14" s="93">
        <f t="shared" si="45"/>
        <v>0</v>
      </c>
      <c r="BE14" s="95">
        <f t="shared" si="46"/>
        <v>1</v>
      </c>
      <c r="BF14" s="58">
        <f t="shared" si="47"/>
        <v>0</v>
      </c>
      <c r="BG14" s="94">
        <f t="shared" si="48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1"/>
        <v>0</v>
      </c>
      <c r="BP14" s="92">
        <f t="shared" si="71"/>
        <v>0</v>
      </c>
      <c r="BQ14" s="96">
        <f t="shared" si="49"/>
        <v>0</v>
      </c>
      <c r="BR14" s="96">
        <f t="shared" si="50"/>
        <v>0</v>
      </c>
      <c r="BS14" s="96">
        <f t="shared" si="72"/>
        <v>0</v>
      </c>
      <c r="BT14" s="96">
        <f t="shared" si="51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2"/>
        <v>0</v>
      </c>
      <c r="BY14" s="61">
        <f t="shared" si="74"/>
        <v>0</v>
      </c>
      <c r="BZ14" s="62">
        <f t="shared" si="53"/>
        <v>0</v>
      </c>
      <c r="CA14" s="98">
        <f t="shared" si="54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5"/>
        <v>0</v>
      </c>
      <c r="CH14" s="62">
        <f t="shared" si="56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7"/>
        <v>0</v>
      </c>
      <c r="CR14" s="102">
        <f t="shared" si="20"/>
        <v>0</v>
      </c>
      <c r="CS14" s="102">
        <f t="shared" si="20"/>
        <v>0</v>
      </c>
      <c r="CT14" s="92">
        <f t="shared" si="58"/>
        <v>0</v>
      </c>
      <c r="CU14" s="92">
        <f t="shared" si="59"/>
        <v>0</v>
      </c>
      <c r="CV14" s="103">
        <f t="shared" si="59"/>
        <v>0</v>
      </c>
      <c r="CW14" s="104" t="s">
        <v>157</v>
      </c>
      <c r="CX14" s="105">
        <v>14</v>
      </c>
      <c r="CY14" s="106">
        <f t="shared" si="60"/>
        <v>2985</v>
      </c>
      <c r="CZ14" s="106">
        <f t="shared" si="61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28"/>
        <v>0</v>
      </c>
      <c r="DO14" s="76">
        <f t="shared" si="28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2"/>
        <v>0</v>
      </c>
      <c r="DX14" s="81">
        <f t="shared" si="29"/>
        <v>0</v>
      </c>
      <c r="DY14" s="80">
        <f t="shared" si="63"/>
        <v>0</v>
      </c>
      <c r="DZ14" s="82">
        <f t="shared" si="64"/>
        <v>0</v>
      </c>
      <c r="EA14" s="82">
        <f t="shared" si="65"/>
        <v>0</v>
      </c>
      <c r="EB14" s="82">
        <f t="shared" si="66"/>
        <v>0</v>
      </c>
      <c r="EC14" s="82">
        <f>(BX14-CA14)+((AV14+BP14)/1000)</f>
        <v>0</v>
      </c>
    </row>
    <row r="15" spans="1:136" ht="14.1" customHeight="1">
      <c r="A15" s="84">
        <v>8</v>
      </c>
      <c r="B15" s="85" t="s">
        <v>158</v>
      </c>
      <c r="C15" s="86"/>
      <c r="D15" s="87" t="s">
        <v>159</v>
      </c>
      <c r="E15" s="88">
        <v>30</v>
      </c>
      <c r="F15" s="89" t="s">
        <v>136</v>
      </c>
      <c r="G15" s="45" t="str">
        <f t="shared" si="31"/>
        <v>TV12L14-H6x2.5-H11A14</v>
      </c>
      <c r="H15" s="46" t="str">
        <f t="shared" si="32"/>
        <v>12L14TV60HH11</v>
      </c>
      <c r="I15" s="46" t="str">
        <f t="shared" si="33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4"/>
        <v>50</v>
      </c>
      <c r="T15" s="51">
        <v>0</v>
      </c>
      <c r="U15" s="92"/>
      <c r="V15" s="89">
        <v>16.149999999999999</v>
      </c>
      <c r="W15" s="93">
        <f t="shared" si="5"/>
        <v>0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0</v>
      </c>
      <c r="AE15" s="93">
        <f t="shared" si="35"/>
        <v>0</v>
      </c>
      <c r="AF15" s="54">
        <f t="shared" si="36"/>
        <v>0</v>
      </c>
      <c r="AG15" s="94">
        <f t="shared" si="67"/>
        <v>0</v>
      </c>
      <c r="AH15" s="56">
        <f t="shared" si="13"/>
        <v>0</v>
      </c>
      <c r="AI15" s="89"/>
      <c r="AJ15" s="93">
        <f t="shared" si="68"/>
        <v>0</v>
      </c>
      <c r="AK15" s="95">
        <f t="shared" si="37"/>
        <v>1</v>
      </c>
      <c r="AL15" s="58">
        <f t="shared" si="38"/>
        <v>0</v>
      </c>
      <c r="AM15" s="55">
        <f t="shared" si="69"/>
        <v>0</v>
      </c>
      <c r="AN15" s="93"/>
      <c r="AO15" s="96">
        <f>$CJ15</f>
        <v>0</v>
      </c>
      <c r="AP15" s="96"/>
      <c r="AQ15" s="96"/>
      <c r="AR15" s="96"/>
      <c r="AS15" s="96"/>
      <c r="AT15" s="96"/>
      <c r="AU15" s="96">
        <f t="shared" si="39"/>
        <v>0</v>
      </c>
      <c r="AV15" s="96">
        <f t="shared" si="39"/>
        <v>0</v>
      </c>
      <c r="AW15" s="96">
        <f t="shared" si="40"/>
        <v>0</v>
      </c>
      <c r="AX15" s="96">
        <f t="shared" si="41"/>
        <v>0</v>
      </c>
      <c r="AY15" s="94">
        <f t="shared" si="70"/>
        <v>0</v>
      </c>
      <c r="AZ15" s="94">
        <f t="shared" si="42"/>
        <v>0</v>
      </c>
      <c r="BA15" s="94">
        <f t="shared" si="43"/>
        <v>0</v>
      </c>
      <c r="BB15" s="97">
        <f t="shared" si="44"/>
        <v>0</v>
      </c>
      <c r="BC15" s="93"/>
      <c r="BD15" s="93">
        <f t="shared" si="45"/>
        <v>0</v>
      </c>
      <c r="BE15" s="95">
        <f t="shared" si="46"/>
        <v>1</v>
      </c>
      <c r="BF15" s="58">
        <f t="shared" si="47"/>
        <v>0</v>
      </c>
      <c r="BG15" s="94">
        <f t="shared" si="48"/>
        <v>0</v>
      </c>
      <c r="BH15" s="89"/>
      <c r="BI15" s="92">
        <f>$CN15</f>
        <v>0</v>
      </c>
      <c r="BJ15" s="89"/>
      <c r="BK15" s="89"/>
      <c r="BL15" s="89"/>
      <c r="BM15" s="89"/>
      <c r="BN15" s="89"/>
      <c r="BO15" s="92">
        <f t="shared" si="71"/>
        <v>0</v>
      </c>
      <c r="BP15" s="92">
        <f t="shared" si="71"/>
        <v>0</v>
      </c>
      <c r="BQ15" s="96">
        <f t="shared" si="49"/>
        <v>0</v>
      </c>
      <c r="BR15" s="96">
        <f t="shared" si="50"/>
        <v>0</v>
      </c>
      <c r="BS15" s="96">
        <f t="shared" si="72"/>
        <v>0</v>
      </c>
      <c r="BT15" s="96">
        <f t="shared" si="51"/>
        <v>0</v>
      </c>
      <c r="BU15" s="92">
        <f t="shared" si="16"/>
        <v>0</v>
      </c>
      <c r="BV15" s="98">
        <f t="shared" si="17"/>
        <v>0</v>
      </c>
      <c r="BW15" s="92">
        <f t="shared" si="18"/>
        <v>0</v>
      </c>
      <c r="BX15" s="98">
        <f t="shared" si="52"/>
        <v>0</v>
      </c>
      <c r="BY15" s="61">
        <f t="shared" si="74"/>
        <v>0</v>
      </c>
      <c r="BZ15" s="62">
        <f t="shared" si="53"/>
        <v>0</v>
      </c>
      <c r="CA15" s="98">
        <f t="shared" si="54"/>
        <v>0</v>
      </c>
      <c r="CB15" s="92">
        <f t="shared" si="19"/>
        <v>0</v>
      </c>
      <c r="CC15" s="92">
        <f t="shared" si="19"/>
        <v>0</v>
      </c>
      <c r="CD15" s="92">
        <f t="shared" si="19"/>
        <v>0</v>
      </c>
      <c r="CE15" s="99"/>
      <c r="CF15" s="99"/>
      <c r="CG15" s="51">
        <f t="shared" si="55"/>
        <v>0</v>
      </c>
      <c r="CH15" s="62">
        <f t="shared" si="56"/>
        <v>0</v>
      </c>
      <c r="CI15" s="89"/>
      <c r="CJ15" s="89"/>
      <c r="CK15" s="89"/>
      <c r="CL15" s="96"/>
      <c r="CM15" s="89"/>
      <c r="CN15" s="89"/>
      <c r="CO15" s="92"/>
      <c r="CP15" s="101"/>
      <c r="CQ15" s="102">
        <f t="shared" si="57"/>
        <v>0</v>
      </c>
      <c r="CR15" s="102">
        <f t="shared" si="20"/>
        <v>0</v>
      </c>
      <c r="CS15" s="102">
        <f t="shared" si="20"/>
        <v>0</v>
      </c>
      <c r="CT15" s="92">
        <f t="shared" si="58"/>
        <v>0</v>
      </c>
      <c r="CU15" s="92">
        <f t="shared" si="59"/>
        <v>0</v>
      </c>
      <c r="CV15" s="103">
        <f t="shared" si="59"/>
        <v>0</v>
      </c>
      <c r="CW15" s="104"/>
      <c r="CX15" s="105">
        <v>45</v>
      </c>
      <c r="CY15" s="106">
        <f t="shared" si="60"/>
        <v>746</v>
      </c>
      <c r="CZ15" s="106">
        <f t="shared" si="61"/>
        <v>364.5</v>
      </c>
      <c r="DA15" s="106"/>
      <c r="DB15" s="106"/>
      <c r="DC15" s="105"/>
      <c r="DD15" s="107"/>
      <c r="DE15" s="92">
        <f t="shared" si="21"/>
        <v>0</v>
      </c>
      <c r="DF15" s="108">
        <f t="shared" si="22"/>
        <v>0</v>
      </c>
      <c r="DG15" s="112">
        <f t="shared" si="23"/>
        <v>0</v>
      </c>
      <c r="DH15" s="110">
        <f t="shared" si="24"/>
        <v>0</v>
      </c>
      <c r="DI15" s="108">
        <f t="shared" si="25"/>
        <v>0</v>
      </c>
      <c r="DJ15" s="115">
        <f t="shared" si="26"/>
        <v>0</v>
      </c>
      <c r="DK15" s="110">
        <f t="shared" si="27"/>
        <v>0</v>
      </c>
      <c r="DL15" s="108">
        <f t="shared" si="27"/>
        <v>0</v>
      </c>
      <c r="DM15" s="111">
        <f t="shared" si="27"/>
        <v>0</v>
      </c>
      <c r="DN15" s="76">
        <f t="shared" si="28"/>
        <v>0</v>
      </c>
      <c r="DO15" s="76">
        <f t="shared" si="28"/>
        <v>0</v>
      </c>
      <c r="DP15" s="112"/>
      <c r="DQ15" s="112"/>
      <c r="DR15" s="113"/>
      <c r="DS15" s="112"/>
      <c r="DT15" s="112"/>
      <c r="DU15" s="111"/>
      <c r="DV15" s="114"/>
      <c r="DW15" s="80">
        <f t="shared" si="62"/>
        <v>0</v>
      </c>
      <c r="DX15" s="81">
        <f t="shared" si="29"/>
        <v>0</v>
      </c>
      <c r="DY15" s="80">
        <f t="shared" si="63"/>
        <v>0</v>
      </c>
      <c r="DZ15" s="82">
        <f t="shared" si="64"/>
        <v>0</v>
      </c>
      <c r="EA15" s="82">
        <f t="shared" si="65"/>
        <v>0</v>
      </c>
      <c r="EB15" s="82">
        <f t="shared" si="66"/>
        <v>0</v>
      </c>
      <c r="EC15" s="82">
        <f t="shared" ref="EC15:EC78" si="76">EB15+DZ15</f>
        <v>0</v>
      </c>
      <c r="EF15" s="83">
        <f t="shared" ref="EF15:EF18" si="77">DG15+DJ15</f>
        <v>0</v>
      </c>
    </row>
    <row r="16" spans="1:136" ht="14.1" customHeight="1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1"/>
        <v>GWA6063-T5-T18.15x8.6x3-H9A15</v>
      </c>
      <c r="H16" s="46" t="str">
        <f t="shared" si="32"/>
        <v>A6063-T5GW18.158.6TH9</v>
      </c>
      <c r="I16" s="46" t="str">
        <f t="shared" si="33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4"/>
        <v>14</v>
      </c>
      <c r="T16" s="51"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5"/>
        <v>0</v>
      </c>
      <c r="AF16" s="54">
        <f t="shared" si="36"/>
        <v>0</v>
      </c>
      <c r="AG16" s="94">
        <f t="shared" si="67"/>
        <v>0</v>
      </c>
      <c r="AH16" s="56">
        <f t="shared" si="13"/>
        <v>0</v>
      </c>
      <c r="AI16" s="89"/>
      <c r="AJ16" s="93">
        <f t="shared" si="68"/>
        <v>0</v>
      </c>
      <c r="AK16" s="95">
        <f t="shared" si="37"/>
        <v>1</v>
      </c>
      <c r="AL16" s="58">
        <f t="shared" si="38"/>
        <v>0</v>
      </c>
      <c r="AM16" s="55">
        <f t="shared" si="69"/>
        <v>0</v>
      </c>
      <c r="AN16" s="93"/>
      <c r="AO16" s="96"/>
      <c r="AP16" s="96">
        <f t="shared" ref="AP16:AP19" si="78">$CJ16</f>
        <v>0</v>
      </c>
      <c r="AQ16" s="96"/>
      <c r="AR16" s="96"/>
      <c r="AS16" s="96"/>
      <c r="AT16" s="96"/>
      <c r="AU16" s="96">
        <f t="shared" si="39"/>
        <v>0</v>
      </c>
      <c r="AV16" s="96">
        <f t="shared" si="39"/>
        <v>0</v>
      </c>
      <c r="AW16" s="96">
        <f t="shared" si="40"/>
        <v>0</v>
      </c>
      <c r="AX16" s="96">
        <f t="shared" si="41"/>
        <v>0</v>
      </c>
      <c r="AY16" s="94">
        <f t="shared" si="70"/>
        <v>0</v>
      </c>
      <c r="AZ16" s="94">
        <f t="shared" si="42"/>
        <v>0</v>
      </c>
      <c r="BA16" s="94">
        <f t="shared" si="43"/>
        <v>0</v>
      </c>
      <c r="BB16" s="97">
        <f t="shared" si="44"/>
        <v>0</v>
      </c>
      <c r="BC16" s="93"/>
      <c r="BD16" s="93">
        <f t="shared" si="45"/>
        <v>0</v>
      </c>
      <c r="BE16" s="95">
        <f t="shared" si="46"/>
        <v>1</v>
      </c>
      <c r="BF16" s="58">
        <f t="shared" si="47"/>
        <v>0</v>
      </c>
      <c r="BG16" s="94">
        <f t="shared" si="48"/>
        <v>0</v>
      </c>
      <c r="BH16" s="89"/>
      <c r="BI16" s="89"/>
      <c r="BJ16" s="92">
        <f t="shared" ref="BJ16:BJ19" si="79">$CN16</f>
        <v>0</v>
      </c>
      <c r="BK16" s="89"/>
      <c r="BL16" s="89"/>
      <c r="BM16" s="89"/>
      <c r="BN16" s="89"/>
      <c r="BO16" s="92">
        <f t="shared" si="71"/>
        <v>0</v>
      </c>
      <c r="BP16" s="92">
        <f t="shared" si="71"/>
        <v>0</v>
      </c>
      <c r="BQ16" s="96">
        <f t="shared" si="49"/>
        <v>0</v>
      </c>
      <c r="BR16" s="96">
        <f t="shared" si="50"/>
        <v>0</v>
      </c>
      <c r="BS16" s="96">
        <f t="shared" si="72"/>
        <v>0</v>
      </c>
      <c r="BT16" s="96">
        <f t="shared" si="51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2"/>
        <v>0</v>
      </c>
      <c r="BY16" s="61">
        <f t="shared" si="74"/>
        <v>0</v>
      </c>
      <c r="BZ16" s="62">
        <f t="shared" si="53"/>
        <v>0</v>
      </c>
      <c r="CA16" s="98">
        <f t="shared" si="54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5"/>
        <v>0</v>
      </c>
      <c r="CH16" s="62">
        <f t="shared" si="56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7"/>
        <v>0</v>
      </c>
      <c r="CR16" s="102">
        <f t="shared" si="20"/>
        <v>0</v>
      </c>
      <c r="CS16" s="102">
        <f t="shared" si="20"/>
        <v>0</v>
      </c>
      <c r="CT16" s="92">
        <f t="shared" si="58"/>
        <v>0</v>
      </c>
      <c r="CU16" s="92">
        <f t="shared" si="59"/>
        <v>0</v>
      </c>
      <c r="CV16" s="103">
        <f t="shared" si="59"/>
        <v>0</v>
      </c>
      <c r="CW16" s="104"/>
      <c r="CX16" s="105">
        <v>83.56</v>
      </c>
      <c r="CY16" s="106">
        <f t="shared" si="60"/>
        <v>488</v>
      </c>
      <c r="CZ16" s="106">
        <f t="shared" si="61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28"/>
        <v>0</v>
      </c>
      <c r="DO16" s="76">
        <f t="shared" si="28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80">IFERROR(AL16+BF16,"")</f>
        <v>0</v>
      </c>
      <c r="DX16" s="81">
        <f t="shared" si="29"/>
        <v>0</v>
      </c>
      <c r="DY16" s="80">
        <f t="shared" si="63"/>
        <v>0</v>
      </c>
      <c r="DZ16" s="82">
        <f t="shared" si="64"/>
        <v>0</v>
      </c>
      <c r="EA16" s="82">
        <f t="shared" si="65"/>
        <v>0</v>
      </c>
      <c r="EB16" s="82">
        <f t="shared" si="66"/>
        <v>0</v>
      </c>
      <c r="EC16" s="82">
        <f t="shared" si="76"/>
        <v>0</v>
      </c>
      <c r="EF16" s="83">
        <f t="shared" si="77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1"/>
        <v>GWA6063-T5-T18.15x8.6x3-H9A15</v>
      </c>
      <c r="H17" s="46" t="str">
        <f t="shared" si="32"/>
        <v>A6063-T5GW18.158.6TH9</v>
      </c>
      <c r="I17" s="46" t="str">
        <f t="shared" si="33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4"/>
        <v>14</v>
      </c>
      <c r="T17" s="51">
        <v>8</v>
      </c>
      <c r="U17" s="92">
        <v>10</v>
      </c>
      <c r="V17" s="89">
        <v>7.7</v>
      </c>
      <c r="W17" s="93">
        <f t="shared" si="5"/>
        <v>0</v>
      </c>
      <c r="X17" s="93">
        <f t="shared" si="6"/>
        <v>1101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0</v>
      </c>
      <c r="AE17" s="93">
        <f t="shared" si="35"/>
        <v>1101</v>
      </c>
      <c r="AF17" s="54">
        <f t="shared" si="36"/>
        <v>1101</v>
      </c>
      <c r="AG17" s="94">
        <f t="shared" si="67"/>
        <v>8</v>
      </c>
      <c r="AH17" s="56">
        <f t="shared" si="13"/>
        <v>0</v>
      </c>
      <c r="AI17" s="89">
        <v>6</v>
      </c>
      <c r="AJ17" s="93">
        <f t="shared" si="68"/>
        <v>0</v>
      </c>
      <c r="AK17" s="95">
        <f t="shared" si="37"/>
        <v>1</v>
      </c>
      <c r="AL17" s="58">
        <f t="shared" si="38"/>
        <v>6</v>
      </c>
      <c r="AM17" s="55">
        <f t="shared" si="69"/>
        <v>12</v>
      </c>
      <c r="AN17" s="93"/>
      <c r="AO17" s="96"/>
      <c r="AP17" s="96">
        <f t="shared" si="78"/>
        <v>4404.4000000000005</v>
      </c>
      <c r="AQ17" s="96"/>
      <c r="AR17" s="96"/>
      <c r="AS17" s="96"/>
      <c r="AT17" s="96"/>
      <c r="AU17" s="96">
        <f t="shared" si="39"/>
        <v>0</v>
      </c>
      <c r="AV17" s="96">
        <f t="shared" si="39"/>
        <v>0</v>
      </c>
      <c r="AW17" s="96">
        <f t="shared" si="40"/>
        <v>4404.4000000000005</v>
      </c>
      <c r="AX17" s="96">
        <f t="shared" si="41"/>
        <v>572</v>
      </c>
      <c r="AY17" s="94">
        <f t="shared" si="70"/>
        <v>200.20000000000073</v>
      </c>
      <c r="AZ17" s="94">
        <f t="shared" si="42"/>
        <v>26.000000000000092</v>
      </c>
      <c r="BA17" s="94">
        <f t="shared" si="43"/>
        <v>12</v>
      </c>
      <c r="BB17" s="97">
        <f t="shared" si="44"/>
        <v>0</v>
      </c>
      <c r="BC17" s="93">
        <v>6</v>
      </c>
      <c r="BD17" s="93">
        <f t="shared" si="45"/>
        <v>0</v>
      </c>
      <c r="BE17" s="95">
        <f t="shared" si="46"/>
        <v>1</v>
      </c>
      <c r="BF17" s="58">
        <f t="shared" si="47"/>
        <v>6</v>
      </c>
      <c r="BG17" s="94">
        <f t="shared" si="48"/>
        <v>6</v>
      </c>
      <c r="BH17" s="89"/>
      <c r="BI17" s="89"/>
      <c r="BJ17" s="92">
        <f t="shared" si="79"/>
        <v>4078.8</v>
      </c>
      <c r="BK17" s="89"/>
      <c r="BL17" s="89"/>
      <c r="BM17" s="89"/>
      <c r="BN17" s="89"/>
      <c r="BO17" s="92">
        <f t="shared" si="71"/>
        <v>0</v>
      </c>
      <c r="BP17" s="92">
        <f t="shared" si="71"/>
        <v>0</v>
      </c>
      <c r="BQ17" s="96">
        <f t="shared" si="49"/>
        <v>4078.8</v>
      </c>
      <c r="BR17" s="96">
        <f t="shared" si="50"/>
        <v>529</v>
      </c>
      <c r="BS17" s="96">
        <f t="shared" si="72"/>
        <v>-125.39999999999964</v>
      </c>
      <c r="BT17" s="96">
        <f t="shared" si="51"/>
        <v>-16.285714285714239</v>
      </c>
      <c r="BU17" s="92">
        <f t="shared" si="16"/>
        <v>1101</v>
      </c>
      <c r="BV17" s="98">
        <f t="shared" si="17"/>
        <v>12</v>
      </c>
      <c r="BW17" s="92">
        <f t="shared" si="18"/>
        <v>9.7142857142858539</v>
      </c>
      <c r="BX17" s="98">
        <f t="shared" si="52"/>
        <v>19.692</v>
      </c>
      <c r="BY17" s="61">
        <f t="shared" si="74"/>
        <v>12</v>
      </c>
      <c r="BZ17" s="62">
        <f t="shared" si="53"/>
        <v>12</v>
      </c>
      <c r="CA17" s="98">
        <f t="shared" si="54"/>
        <v>8.4832000000000001</v>
      </c>
      <c r="CB17" s="92">
        <f t="shared" si="19"/>
        <v>1101</v>
      </c>
      <c r="CC17" s="92">
        <f t="shared" si="19"/>
        <v>74.800000000001091</v>
      </c>
      <c r="CD17" s="92">
        <f t="shared" si="19"/>
        <v>9.7142857142858539</v>
      </c>
      <c r="CE17" s="99"/>
      <c r="CF17" s="99"/>
      <c r="CG17" s="51">
        <f t="shared" si="55"/>
        <v>11.2088</v>
      </c>
      <c r="CH17" s="62">
        <f t="shared" si="56"/>
        <v>11.2088</v>
      </c>
      <c r="CI17" s="89"/>
      <c r="CJ17" s="89">
        <f>572*7.7</f>
        <v>4404.4000000000005</v>
      </c>
      <c r="CK17" s="89"/>
      <c r="CL17" s="96"/>
      <c r="CM17" s="89"/>
      <c r="CN17" s="89">
        <f>412*9.9</f>
        <v>4078.8</v>
      </c>
      <c r="CO17" s="92"/>
      <c r="CP17" s="101"/>
      <c r="CQ17" s="102">
        <f t="shared" si="57"/>
        <v>572</v>
      </c>
      <c r="CR17" s="102">
        <f t="shared" si="20"/>
        <v>0</v>
      </c>
      <c r="CS17" s="102">
        <f t="shared" si="20"/>
        <v>0</v>
      </c>
      <c r="CT17" s="92">
        <f t="shared" si="58"/>
        <v>529</v>
      </c>
      <c r="CU17" s="92">
        <f t="shared" si="59"/>
        <v>0</v>
      </c>
      <c r="CV17" s="103">
        <f t="shared" si="59"/>
        <v>0</v>
      </c>
      <c r="CW17" s="104"/>
      <c r="CX17" s="105">
        <v>60</v>
      </c>
      <c r="CY17" s="106">
        <f t="shared" si="60"/>
        <v>680</v>
      </c>
      <c r="CZ17" s="106">
        <f t="shared" si="61"/>
        <v>486.00000000000006</v>
      </c>
      <c r="DA17" s="106"/>
      <c r="DB17" s="106"/>
      <c r="DC17" s="105"/>
      <c r="DD17" s="107"/>
      <c r="DE17" s="92">
        <f t="shared" si="21"/>
        <v>572</v>
      </c>
      <c r="DF17" s="108">
        <f t="shared" si="22"/>
        <v>6</v>
      </c>
      <c r="DG17" s="112">
        <f t="shared" si="23"/>
        <v>26.000000000000092</v>
      </c>
      <c r="DH17" s="110">
        <f t="shared" si="24"/>
        <v>529</v>
      </c>
      <c r="DI17" s="108">
        <f t="shared" si="25"/>
        <v>6</v>
      </c>
      <c r="DJ17" s="112">
        <f t="shared" si="26"/>
        <v>-16.285714285714239</v>
      </c>
      <c r="DK17" s="110">
        <f t="shared" si="27"/>
        <v>1101</v>
      </c>
      <c r="DL17" s="108">
        <f t="shared" si="27"/>
        <v>12</v>
      </c>
      <c r="DM17" s="111">
        <f t="shared" si="27"/>
        <v>9.7142857142858539</v>
      </c>
      <c r="DN17" s="76">
        <f t="shared" si="28"/>
        <v>8</v>
      </c>
      <c r="DO17" s="76">
        <f t="shared" si="28"/>
        <v>10</v>
      </c>
      <c r="DP17" s="112"/>
      <c r="DQ17" s="112"/>
      <c r="DR17" s="113" t="s">
        <v>166</v>
      </c>
      <c r="DS17" s="112"/>
      <c r="DT17" s="112"/>
      <c r="DU17" s="111"/>
      <c r="DV17" s="114"/>
      <c r="DW17" s="80">
        <f t="shared" si="80"/>
        <v>12</v>
      </c>
      <c r="DX17" s="81">
        <f t="shared" si="29"/>
        <v>1122.7142857142858</v>
      </c>
      <c r="DY17" s="80">
        <f t="shared" si="63"/>
        <v>1101</v>
      </c>
      <c r="DZ17" s="82">
        <f t="shared" si="64"/>
        <v>0</v>
      </c>
      <c r="EA17" s="82">
        <f t="shared" si="65"/>
        <v>8.4777000000000005</v>
      </c>
      <c r="EB17" s="82">
        <f t="shared" si="66"/>
        <v>11.2143</v>
      </c>
      <c r="EC17" s="82">
        <f t="shared" si="76"/>
        <v>11.2143</v>
      </c>
      <c r="EF17" s="83">
        <f t="shared" si="77"/>
        <v>9.7142857142858539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1"/>
        <v>GWA6063-T5-T18.15x8.6x3-H9A15</v>
      </c>
      <c r="H18" s="46" t="str">
        <f t="shared" si="32"/>
        <v>A6063-T5GW18.158.6TH9</v>
      </c>
      <c r="I18" s="46" t="str">
        <f t="shared" si="33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4"/>
        <v>16</v>
      </c>
      <c r="T18" s="51">
        <v>6</v>
      </c>
      <c r="U18" s="92">
        <v>10</v>
      </c>
      <c r="V18" s="89">
        <v>9.9</v>
      </c>
      <c r="W18" s="93">
        <f t="shared" si="5"/>
        <v>0</v>
      </c>
      <c r="X18" s="93">
        <f t="shared" si="6"/>
        <v>440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0</v>
      </c>
      <c r="AE18" s="93">
        <f t="shared" si="35"/>
        <v>440</v>
      </c>
      <c r="AF18" s="54">
        <f t="shared" si="36"/>
        <v>440</v>
      </c>
      <c r="AG18" s="94">
        <f t="shared" si="67"/>
        <v>6</v>
      </c>
      <c r="AH18" s="56">
        <f t="shared" si="13"/>
        <v>0</v>
      </c>
      <c r="AI18" s="89">
        <v>7</v>
      </c>
      <c r="AJ18" s="93">
        <f t="shared" si="68"/>
        <v>0</v>
      </c>
      <c r="AK18" s="95">
        <f t="shared" si="37"/>
        <v>1</v>
      </c>
      <c r="AL18" s="58">
        <f t="shared" si="38"/>
        <v>7</v>
      </c>
      <c r="AM18" s="55">
        <f t="shared" si="69"/>
        <v>9</v>
      </c>
      <c r="AN18" s="93"/>
      <c r="AO18" s="96"/>
      <c r="AP18" s="96">
        <f t="shared" si="78"/>
        <v>4356</v>
      </c>
      <c r="AQ18" s="96"/>
      <c r="AR18" s="96"/>
      <c r="AS18" s="96"/>
      <c r="AT18" s="96"/>
      <c r="AU18" s="96">
        <f t="shared" si="39"/>
        <v>0</v>
      </c>
      <c r="AV18" s="96">
        <f t="shared" si="39"/>
        <v>0</v>
      </c>
      <c r="AW18" s="96">
        <f t="shared" si="40"/>
        <v>4356</v>
      </c>
      <c r="AX18" s="96">
        <f t="shared" si="41"/>
        <v>440</v>
      </c>
      <c r="AY18" s="94">
        <f t="shared" si="70"/>
        <v>-356.40000000000055</v>
      </c>
      <c r="AZ18" s="94">
        <f t="shared" si="42"/>
        <v>-36.000000000000057</v>
      </c>
      <c r="BA18" s="94">
        <f t="shared" si="43"/>
        <v>9</v>
      </c>
      <c r="BB18" s="97">
        <f t="shared" si="44"/>
        <v>0</v>
      </c>
      <c r="BC18" s="93"/>
      <c r="BD18" s="93">
        <f t="shared" si="45"/>
        <v>0</v>
      </c>
      <c r="BE18" s="95">
        <f t="shared" si="46"/>
        <v>1</v>
      </c>
      <c r="BF18" s="58">
        <f t="shared" si="47"/>
        <v>0</v>
      </c>
      <c r="BG18" s="94">
        <f t="shared" si="48"/>
        <v>9</v>
      </c>
      <c r="BH18" s="89"/>
      <c r="BI18" s="89"/>
      <c r="BJ18" s="92">
        <f t="shared" si="79"/>
        <v>0</v>
      </c>
      <c r="BK18" s="89"/>
      <c r="BL18" s="89"/>
      <c r="BM18" s="89"/>
      <c r="BN18" s="89"/>
      <c r="BO18" s="92">
        <f t="shared" si="71"/>
        <v>0</v>
      </c>
      <c r="BP18" s="92">
        <f t="shared" si="71"/>
        <v>0</v>
      </c>
      <c r="BQ18" s="96">
        <f t="shared" si="49"/>
        <v>0</v>
      </c>
      <c r="BR18" s="96">
        <f t="shared" si="50"/>
        <v>0</v>
      </c>
      <c r="BS18" s="96">
        <f t="shared" si="72"/>
        <v>0</v>
      </c>
      <c r="BT18" s="96">
        <f t="shared" si="51"/>
        <v>0</v>
      </c>
      <c r="BU18" s="92">
        <f t="shared" si="16"/>
        <v>440</v>
      </c>
      <c r="BV18" s="98">
        <f t="shared" si="17"/>
        <v>7</v>
      </c>
      <c r="BW18" s="92">
        <f t="shared" si="18"/>
        <v>-36.000000000000057</v>
      </c>
      <c r="BX18" s="98">
        <f t="shared" si="52"/>
        <v>11.487</v>
      </c>
      <c r="BY18" s="61">
        <f t="shared" si="74"/>
        <v>7</v>
      </c>
      <c r="BZ18" s="62">
        <f t="shared" si="53"/>
        <v>7</v>
      </c>
      <c r="CA18" s="98">
        <f t="shared" si="54"/>
        <v>4.3559999999999999</v>
      </c>
      <c r="CB18" s="92">
        <f t="shared" si="19"/>
        <v>440</v>
      </c>
      <c r="CC18" s="92">
        <f t="shared" si="19"/>
        <v>-356.40000000000055</v>
      </c>
      <c r="CD18" s="92">
        <f t="shared" si="19"/>
        <v>-36.000000000000057</v>
      </c>
      <c r="CE18" s="99"/>
      <c r="CF18" s="99"/>
      <c r="CG18" s="51">
        <f t="shared" si="55"/>
        <v>7.1310000000000002</v>
      </c>
      <c r="CH18" s="62">
        <f t="shared" si="56"/>
        <v>7.1310000000000002</v>
      </c>
      <c r="CI18" s="89"/>
      <c r="CJ18" s="89">
        <f>440*9.9</f>
        <v>4356</v>
      </c>
      <c r="CK18" s="89"/>
      <c r="CL18" s="96"/>
      <c r="CM18" s="89"/>
      <c r="CN18" s="89"/>
      <c r="CO18" s="92"/>
      <c r="CP18" s="101"/>
      <c r="CQ18" s="102">
        <f t="shared" si="57"/>
        <v>440</v>
      </c>
      <c r="CR18" s="102">
        <f t="shared" si="20"/>
        <v>0</v>
      </c>
      <c r="CS18" s="102">
        <f t="shared" si="20"/>
        <v>0</v>
      </c>
      <c r="CT18" s="92">
        <f t="shared" si="58"/>
        <v>0</v>
      </c>
      <c r="CU18" s="92">
        <f t="shared" si="59"/>
        <v>0</v>
      </c>
      <c r="CV18" s="103">
        <f t="shared" si="59"/>
        <v>0</v>
      </c>
      <c r="CW18" s="104"/>
      <c r="CX18" s="105">
        <v>79.33</v>
      </c>
      <c r="CY18" s="106">
        <f t="shared" si="60"/>
        <v>510</v>
      </c>
      <c r="CZ18" s="106">
        <f t="shared" si="61"/>
        <v>642.57299999999998</v>
      </c>
      <c r="DA18" s="106"/>
      <c r="DB18" s="106"/>
      <c r="DC18" s="105"/>
      <c r="DD18" s="107"/>
      <c r="DE18" s="92">
        <f t="shared" si="21"/>
        <v>440</v>
      </c>
      <c r="DF18" s="108">
        <f t="shared" si="22"/>
        <v>7</v>
      </c>
      <c r="DG18" s="112">
        <f t="shared" si="23"/>
        <v>-36.000000000000057</v>
      </c>
      <c r="DH18" s="110">
        <f t="shared" si="24"/>
        <v>0</v>
      </c>
      <c r="DI18" s="108">
        <f t="shared" si="25"/>
        <v>0</v>
      </c>
      <c r="DJ18" s="112">
        <f t="shared" si="26"/>
        <v>0</v>
      </c>
      <c r="DK18" s="110">
        <f t="shared" si="27"/>
        <v>440</v>
      </c>
      <c r="DL18" s="108">
        <f t="shared" si="27"/>
        <v>7</v>
      </c>
      <c r="DM18" s="111">
        <f t="shared" si="27"/>
        <v>-36.000000000000057</v>
      </c>
      <c r="DN18" s="76">
        <f t="shared" si="28"/>
        <v>6</v>
      </c>
      <c r="DO18" s="76">
        <f t="shared" si="28"/>
        <v>10</v>
      </c>
      <c r="DP18" s="112"/>
      <c r="DQ18" s="112"/>
      <c r="DR18" s="113" t="s">
        <v>168</v>
      </c>
      <c r="DS18" s="112"/>
      <c r="DT18" s="112"/>
      <c r="DU18" s="111"/>
      <c r="DV18" s="114"/>
      <c r="DW18" s="80">
        <f t="shared" si="80"/>
        <v>7</v>
      </c>
      <c r="DX18" s="81">
        <f t="shared" si="29"/>
        <v>410.99999999999994</v>
      </c>
      <c r="DY18" s="80">
        <f t="shared" si="63"/>
        <v>440</v>
      </c>
      <c r="DZ18" s="82">
        <f t="shared" si="64"/>
        <v>0</v>
      </c>
      <c r="EA18" s="82">
        <f t="shared" si="65"/>
        <v>4.3559999999999999</v>
      </c>
      <c r="EB18" s="82">
        <f t="shared" si="66"/>
        <v>7.1310000000000002</v>
      </c>
      <c r="EC18" s="82">
        <f t="shared" si="76"/>
        <v>7.1310000000000002</v>
      </c>
      <c r="EF18" s="83">
        <f t="shared" si="77"/>
        <v>-36.000000000000057</v>
      </c>
    </row>
    <row r="19" spans="1:136">
      <c r="A19" s="84">
        <v>12</v>
      </c>
      <c r="B19" s="85" t="s">
        <v>169</v>
      </c>
      <c r="C19" s="86"/>
      <c r="D19" s="116" t="s">
        <v>170</v>
      </c>
      <c r="E19" s="88">
        <v>104</v>
      </c>
      <c r="F19" s="89" t="s">
        <v>136</v>
      </c>
      <c r="G19" s="45" t="str">
        <f t="shared" si="31"/>
        <v>TV12L14-12x3-H9B14</v>
      </c>
      <c r="H19" s="46" t="str">
        <f t="shared" si="32"/>
        <v>12L14TV120DH9</v>
      </c>
      <c r="I19" s="46" t="str">
        <f t="shared" si="33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4"/>
        <v>20</v>
      </c>
      <c r="T19" s="51">
        <v>0</v>
      </c>
      <c r="U19" s="92"/>
      <c r="V19" s="89">
        <v>10.6</v>
      </c>
      <c r="W19" s="93">
        <f t="shared" si="5"/>
        <v>0</v>
      </c>
      <c r="X19" s="93">
        <f t="shared" si="6"/>
        <v>0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0</v>
      </c>
      <c r="AE19" s="93">
        <f t="shared" si="35"/>
        <v>0</v>
      </c>
      <c r="AF19" s="54">
        <f t="shared" si="36"/>
        <v>0</v>
      </c>
      <c r="AG19" s="94">
        <f t="shared" si="67"/>
        <v>0</v>
      </c>
      <c r="AH19" s="56">
        <f t="shared" si="13"/>
        <v>0</v>
      </c>
      <c r="AI19" s="89"/>
      <c r="AJ19" s="93">
        <f t="shared" si="68"/>
        <v>0</v>
      </c>
      <c r="AK19" s="95">
        <f t="shared" si="37"/>
        <v>1</v>
      </c>
      <c r="AL19" s="58">
        <f t="shared" si="38"/>
        <v>0</v>
      </c>
      <c r="AM19" s="55">
        <f t="shared" si="69"/>
        <v>0</v>
      </c>
      <c r="AN19" s="93"/>
      <c r="AO19" s="96"/>
      <c r="AP19" s="96">
        <f t="shared" si="78"/>
        <v>0</v>
      </c>
      <c r="AQ19" s="96"/>
      <c r="AR19" s="96"/>
      <c r="AS19" s="96"/>
      <c r="AT19" s="96"/>
      <c r="AU19" s="96">
        <f t="shared" si="39"/>
        <v>0</v>
      </c>
      <c r="AV19" s="96">
        <f t="shared" si="39"/>
        <v>0</v>
      </c>
      <c r="AW19" s="96">
        <f>SUM(AO19:AV19)</f>
        <v>0</v>
      </c>
      <c r="AX19" s="96">
        <f t="shared" si="41"/>
        <v>0</v>
      </c>
      <c r="AY19" s="94">
        <f t="shared" si="70"/>
        <v>0</v>
      </c>
      <c r="AZ19" s="94">
        <f t="shared" si="42"/>
        <v>0</v>
      </c>
      <c r="BA19" s="94">
        <f t="shared" si="43"/>
        <v>0</v>
      </c>
      <c r="BB19" s="97">
        <f t="shared" si="44"/>
        <v>0</v>
      </c>
      <c r="BC19" s="93"/>
      <c r="BD19" s="93">
        <f t="shared" si="45"/>
        <v>0</v>
      </c>
      <c r="BE19" s="95">
        <f t="shared" si="46"/>
        <v>1</v>
      </c>
      <c r="BF19" s="58">
        <f t="shared" si="47"/>
        <v>0</v>
      </c>
      <c r="BG19" s="94">
        <f t="shared" si="48"/>
        <v>0</v>
      </c>
      <c r="BH19" s="89"/>
      <c r="BI19" s="89"/>
      <c r="BJ19" s="92">
        <f t="shared" si="79"/>
        <v>0</v>
      </c>
      <c r="BK19" s="89"/>
      <c r="BL19" s="89"/>
      <c r="BM19" s="89"/>
      <c r="BN19" s="89"/>
      <c r="BO19" s="92">
        <f t="shared" si="71"/>
        <v>0</v>
      </c>
      <c r="BP19" s="92">
        <f t="shared" si="71"/>
        <v>0</v>
      </c>
      <c r="BQ19" s="96">
        <f t="shared" si="49"/>
        <v>0</v>
      </c>
      <c r="BR19" s="96">
        <f t="shared" si="50"/>
        <v>0</v>
      </c>
      <c r="BS19" s="96">
        <f t="shared" si="72"/>
        <v>0</v>
      </c>
      <c r="BT19" s="96">
        <f t="shared" si="51"/>
        <v>0</v>
      </c>
      <c r="BU19" s="92">
        <f t="shared" si="16"/>
        <v>0</v>
      </c>
      <c r="BV19" s="98">
        <f t="shared" si="17"/>
        <v>0</v>
      </c>
      <c r="BW19" s="92">
        <f t="shared" si="18"/>
        <v>0</v>
      </c>
      <c r="BX19" s="98">
        <f t="shared" si="52"/>
        <v>0</v>
      </c>
      <c r="BY19" s="61">
        <f t="shared" si="74"/>
        <v>0</v>
      </c>
      <c r="BZ19" s="62">
        <f t="shared" si="53"/>
        <v>0</v>
      </c>
      <c r="CA19" s="98">
        <f t="shared" si="54"/>
        <v>0</v>
      </c>
      <c r="CB19" s="92">
        <f t="shared" si="19"/>
        <v>0</v>
      </c>
      <c r="CC19" s="92">
        <f t="shared" si="19"/>
        <v>0</v>
      </c>
      <c r="CD19" s="92">
        <f t="shared" si="19"/>
        <v>0</v>
      </c>
      <c r="CE19" s="99"/>
      <c r="CF19" s="99"/>
      <c r="CG19" s="51">
        <f t="shared" si="55"/>
        <v>0</v>
      </c>
      <c r="CH19" s="62">
        <f t="shared" si="56"/>
        <v>0</v>
      </c>
      <c r="CI19" s="89"/>
      <c r="CJ19" s="89"/>
      <c r="CK19" s="89"/>
      <c r="CL19" s="96"/>
      <c r="CM19" s="89"/>
      <c r="CN19" s="89"/>
      <c r="CO19" s="92"/>
      <c r="CP19" s="101"/>
      <c r="CQ19" s="102">
        <f t="shared" si="57"/>
        <v>0</v>
      </c>
      <c r="CR19" s="102">
        <f t="shared" si="20"/>
        <v>0</v>
      </c>
      <c r="CS19" s="102">
        <f t="shared" si="20"/>
        <v>0</v>
      </c>
      <c r="CT19" s="92">
        <f t="shared" si="58"/>
        <v>0</v>
      </c>
      <c r="CU19" s="92">
        <f t="shared" si="59"/>
        <v>0</v>
      </c>
      <c r="CV19" s="103">
        <f t="shared" si="59"/>
        <v>0</v>
      </c>
      <c r="CW19" s="104"/>
      <c r="CX19" s="105">
        <v>37.89</v>
      </c>
      <c r="CY19" s="106">
        <f t="shared" si="60"/>
        <v>1053</v>
      </c>
      <c r="CZ19" s="106">
        <f t="shared" si="61"/>
        <v>306.90900000000005</v>
      </c>
      <c r="DA19" s="106"/>
      <c r="DB19" s="106"/>
      <c r="DC19" s="105"/>
      <c r="DD19" s="107"/>
      <c r="DE19" s="92">
        <f t="shared" si="21"/>
        <v>0</v>
      </c>
      <c r="DF19" s="108">
        <f t="shared" si="22"/>
        <v>0</v>
      </c>
      <c r="DG19" s="112">
        <f t="shared" si="23"/>
        <v>0</v>
      </c>
      <c r="DH19" s="110">
        <f t="shared" si="24"/>
        <v>0</v>
      </c>
      <c r="DI19" s="108">
        <f t="shared" si="25"/>
        <v>0</v>
      </c>
      <c r="DJ19" s="112">
        <f t="shared" si="26"/>
        <v>0</v>
      </c>
      <c r="DK19" s="110">
        <f t="shared" si="27"/>
        <v>0</v>
      </c>
      <c r="DL19" s="108">
        <f t="shared" si="27"/>
        <v>0</v>
      </c>
      <c r="DM19" s="111">
        <f t="shared" si="27"/>
        <v>0</v>
      </c>
      <c r="DN19" s="76">
        <f t="shared" si="28"/>
        <v>0</v>
      </c>
      <c r="DO19" s="76">
        <f t="shared" si="28"/>
        <v>0</v>
      </c>
      <c r="DP19" s="112"/>
      <c r="DQ19" s="112"/>
      <c r="DR19" s="113"/>
      <c r="DS19" s="112"/>
      <c r="DT19" s="112"/>
      <c r="DU19" s="111"/>
      <c r="DV19" s="114"/>
      <c r="DW19" s="80">
        <f t="shared" si="80"/>
        <v>0</v>
      </c>
      <c r="DX19" s="81">
        <f t="shared" si="29"/>
        <v>0</v>
      </c>
      <c r="DY19" s="80">
        <f t="shared" si="63"/>
        <v>0</v>
      </c>
      <c r="DZ19" s="82">
        <f t="shared" si="64"/>
        <v>0</v>
      </c>
      <c r="EA19" s="82">
        <f t="shared" si="65"/>
        <v>0</v>
      </c>
      <c r="EB19" s="82">
        <f t="shared" si="66"/>
        <v>0</v>
      </c>
      <c r="EC19" s="82">
        <f t="shared" si="76"/>
        <v>0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1"/>
        <v>GWA6063-T5-8.3x3-H9B14</v>
      </c>
      <c r="H20" s="46" t="str">
        <f t="shared" si="32"/>
        <v>A6063-T5GW8.30DH9</v>
      </c>
      <c r="I20" s="46" t="str">
        <f t="shared" si="33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4"/>
        <v>18</v>
      </c>
      <c r="T20" s="51">
        <v>41</v>
      </c>
      <c r="U20" s="92">
        <v>3</v>
      </c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848</v>
      </c>
      <c r="AC20" s="93">
        <f t="shared" si="11"/>
        <v>0</v>
      </c>
      <c r="AD20" s="93">
        <f t="shared" si="12"/>
        <v>0</v>
      </c>
      <c r="AE20" s="93">
        <f t="shared" si="35"/>
        <v>848</v>
      </c>
      <c r="AF20" s="54">
        <f t="shared" si="36"/>
        <v>848</v>
      </c>
      <c r="AG20" s="94">
        <f t="shared" si="67"/>
        <v>41</v>
      </c>
      <c r="AH20" s="56">
        <f t="shared" si="13"/>
        <v>0</v>
      </c>
      <c r="AI20" s="100">
        <v>3</v>
      </c>
      <c r="AJ20" s="93">
        <f t="shared" si="68"/>
        <v>0</v>
      </c>
      <c r="AK20" s="95">
        <f t="shared" si="37"/>
        <v>1</v>
      </c>
      <c r="AL20" s="58">
        <f t="shared" si="38"/>
        <v>3</v>
      </c>
      <c r="AM20" s="55">
        <f t="shared" si="69"/>
        <v>41</v>
      </c>
      <c r="AN20" s="93"/>
      <c r="AO20" s="96"/>
      <c r="AP20" s="96"/>
      <c r="AQ20" s="96"/>
      <c r="AR20" s="96"/>
      <c r="AS20" s="96"/>
      <c r="AT20" s="96">
        <f t="shared" ref="AT20" si="81">$CJ20</f>
        <v>891</v>
      </c>
      <c r="AU20" s="96">
        <f t="shared" si="39"/>
        <v>0</v>
      </c>
      <c r="AV20" s="96">
        <f t="shared" si="39"/>
        <v>0</v>
      </c>
      <c r="AW20" s="96">
        <f t="shared" si="40"/>
        <v>891</v>
      </c>
      <c r="AX20" s="96">
        <f t="shared" si="41"/>
        <v>848</v>
      </c>
      <c r="AY20" s="94">
        <f t="shared" si="70"/>
        <v>-47.700000000000045</v>
      </c>
      <c r="AZ20" s="94">
        <f t="shared" si="42"/>
        <v>-45.428571428571473</v>
      </c>
      <c r="BA20" s="94">
        <f t="shared" si="43"/>
        <v>41</v>
      </c>
      <c r="BB20" s="97">
        <f t="shared" si="44"/>
        <v>0</v>
      </c>
      <c r="BC20" s="93"/>
      <c r="BD20" s="93">
        <f t="shared" si="45"/>
        <v>0</v>
      </c>
      <c r="BE20" s="95">
        <f t="shared" si="46"/>
        <v>1</v>
      </c>
      <c r="BF20" s="58">
        <f t="shared" si="47"/>
        <v>0</v>
      </c>
      <c r="BG20" s="94">
        <f t="shared" si="48"/>
        <v>41</v>
      </c>
      <c r="BH20" s="89"/>
      <c r="BI20" s="89"/>
      <c r="BJ20" s="92"/>
      <c r="BK20" s="89"/>
      <c r="BL20" s="89"/>
      <c r="BM20" s="89"/>
      <c r="BN20" s="92">
        <f t="shared" ref="BN20" si="82">$CN20</f>
        <v>0</v>
      </c>
      <c r="BO20" s="92">
        <f t="shared" si="71"/>
        <v>0</v>
      </c>
      <c r="BP20" s="92">
        <f t="shared" si="71"/>
        <v>0</v>
      </c>
      <c r="BQ20" s="96">
        <f t="shared" si="49"/>
        <v>0</v>
      </c>
      <c r="BR20" s="96">
        <f t="shared" si="50"/>
        <v>0</v>
      </c>
      <c r="BS20" s="96">
        <f t="shared" si="72"/>
        <v>0</v>
      </c>
      <c r="BT20" s="96">
        <f t="shared" si="51"/>
        <v>0</v>
      </c>
      <c r="BU20" s="92">
        <f t="shared" si="16"/>
        <v>848</v>
      </c>
      <c r="BV20" s="98">
        <f t="shared" si="17"/>
        <v>3</v>
      </c>
      <c r="BW20" s="92">
        <f t="shared" si="18"/>
        <v>-45.428571428571473</v>
      </c>
      <c r="BX20" s="98">
        <f t="shared" si="52"/>
        <v>1.3049999999999999</v>
      </c>
      <c r="BY20" s="61">
        <f t="shared" si="74"/>
        <v>3</v>
      </c>
      <c r="BZ20" s="62">
        <f t="shared" si="53"/>
        <v>3</v>
      </c>
      <c r="CA20" s="98">
        <f t="shared" si="54"/>
        <v>0.89100000000000001</v>
      </c>
      <c r="CB20" s="92">
        <f t="shared" si="19"/>
        <v>848</v>
      </c>
      <c r="CC20" s="92">
        <f t="shared" si="19"/>
        <v>-47.700000000000045</v>
      </c>
      <c r="CD20" s="92">
        <f t="shared" si="19"/>
        <v>-45.428571428571473</v>
      </c>
      <c r="CE20" s="99"/>
      <c r="CF20" s="99"/>
      <c r="CG20" s="51">
        <f t="shared" si="55"/>
        <v>0.41399999999999992</v>
      </c>
      <c r="CH20" s="62">
        <f t="shared" si="56"/>
        <v>0.41399999999999992</v>
      </c>
      <c r="CI20" s="89"/>
      <c r="CJ20" s="89">
        <v>891</v>
      </c>
      <c r="CK20" s="89"/>
      <c r="CL20" s="96"/>
      <c r="CM20" s="89"/>
      <c r="CN20" s="89"/>
      <c r="CO20" s="92"/>
      <c r="CP20" s="101"/>
      <c r="CQ20" s="102">
        <f t="shared" si="57"/>
        <v>848</v>
      </c>
      <c r="CR20" s="102">
        <f t="shared" si="20"/>
        <v>0</v>
      </c>
      <c r="CS20" s="102">
        <f t="shared" si="20"/>
        <v>0</v>
      </c>
      <c r="CT20" s="92">
        <f t="shared" si="58"/>
        <v>0</v>
      </c>
      <c r="CU20" s="92">
        <f t="shared" si="59"/>
        <v>0</v>
      </c>
      <c r="CV20" s="103">
        <f t="shared" si="59"/>
        <v>0</v>
      </c>
      <c r="CW20" s="104"/>
      <c r="CX20" s="105">
        <v>15</v>
      </c>
      <c r="CY20" s="106">
        <f t="shared" si="60"/>
        <v>2680</v>
      </c>
      <c r="CZ20" s="106">
        <f t="shared" si="61"/>
        <v>121.50000000000001</v>
      </c>
      <c r="DA20" s="106"/>
      <c r="DB20" s="106"/>
      <c r="DC20" s="105"/>
      <c r="DD20" s="107"/>
      <c r="DE20" s="92">
        <f t="shared" si="21"/>
        <v>848</v>
      </c>
      <c r="DF20" s="108">
        <f t="shared" si="22"/>
        <v>3</v>
      </c>
      <c r="DG20" s="112">
        <f t="shared" si="23"/>
        <v>-45.428571428571473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848</v>
      </c>
      <c r="DL20" s="108">
        <f t="shared" si="27"/>
        <v>3</v>
      </c>
      <c r="DM20" s="111">
        <f t="shared" si="27"/>
        <v>-45.428571428571473</v>
      </c>
      <c r="DN20" s="76">
        <f t="shared" si="28"/>
        <v>41</v>
      </c>
      <c r="DO20" s="76">
        <f t="shared" si="28"/>
        <v>3</v>
      </c>
      <c r="DP20" s="112"/>
      <c r="DQ20" s="112"/>
      <c r="DR20" s="113" t="s">
        <v>174</v>
      </c>
      <c r="DS20" s="112"/>
      <c r="DT20" s="112"/>
      <c r="DU20" s="111"/>
      <c r="DV20" s="114"/>
      <c r="DW20" s="80">
        <f t="shared" si="62"/>
        <v>851</v>
      </c>
      <c r="DX20" s="81">
        <f t="shared" si="29"/>
        <v>805.57142857142856</v>
      </c>
      <c r="DY20" s="80">
        <f t="shared" si="63"/>
        <v>848</v>
      </c>
      <c r="DZ20" s="82">
        <f t="shared" si="64"/>
        <v>0</v>
      </c>
      <c r="EA20" s="82">
        <f t="shared" si="65"/>
        <v>0.89040000000000008</v>
      </c>
      <c r="EB20" s="82">
        <f t="shared" si="66"/>
        <v>0.41459999999999986</v>
      </c>
      <c r="EC20" s="82">
        <f t="shared" si="76"/>
        <v>0.41459999999999986</v>
      </c>
      <c r="EF20" s="83">
        <f t="shared" ref="EF20:EF25" si="83">DG20+DJ20</f>
        <v>-45.428571428571473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1"/>
        <v>TV12L14-11x2.5-H9C14</v>
      </c>
      <c r="H21" s="123" t="str">
        <f t="shared" si="32"/>
        <v>12L14TV110DH9</v>
      </c>
      <c r="I21" s="123" t="str">
        <f t="shared" si="33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4"/>
        <v>10</v>
      </c>
      <c r="T21" s="51">
        <v>2</v>
      </c>
      <c r="U21" s="124">
        <v>13</v>
      </c>
      <c r="V21" s="100">
        <v>2</v>
      </c>
      <c r="W21" s="125">
        <f t="shared" si="5"/>
        <v>0</v>
      </c>
      <c r="X21" s="125">
        <f t="shared" si="6"/>
        <v>3247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0</v>
      </c>
      <c r="AE21" s="125">
        <f t="shared" si="35"/>
        <v>3247</v>
      </c>
      <c r="AF21" s="54">
        <f t="shared" si="36"/>
        <v>3247</v>
      </c>
      <c r="AG21" s="94">
        <f t="shared" si="67"/>
        <v>2</v>
      </c>
      <c r="AH21" s="56">
        <f t="shared" si="13"/>
        <v>0</v>
      </c>
      <c r="AI21" s="89">
        <v>6</v>
      </c>
      <c r="AJ21" s="93">
        <f t="shared" si="68"/>
        <v>0</v>
      </c>
      <c r="AK21" s="95">
        <f t="shared" si="37"/>
        <v>1</v>
      </c>
      <c r="AL21" s="58">
        <f t="shared" si="38"/>
        <v>6</v>
      </c>
      <c r="AM21" s="55">
        <f t="shared" si="69"/>
        <v>9</v>
      </c>
      <c r="AN21" s="125"/>
      <c r="AO21" s="126"/>
      <c r="AP21" s="126">
        <f t="shared" ref="AP21" si="84">$CJ21</f>
        <v>3533</v>
      </c>
      <c r="AQ21" s="126"/>
      <c r="AR21" s="126"/>
      <c r="AS21" s="126"/>
      <c r="AT21" s="126"/>
      <c r="AU21" s="126">
        <f t="shared" si="39"/>
        <v>0</v>
      </c>
      <c r="AV21" s="126">
        <f t="shared" si="39"/>
        <v>0</v>
      </c>
      <c r="AW21" s="126">
        <f t="shared" si="40"/>
        <v>3533</v>
      </c>
      <c r="AX21" s="126">
        <f t="shared" si="41"/>
        <v>1766</v>
      </c>
      <c r="AY21" s="94">
        <f t="shared" si="70"/>
        <v>137</v>
      </c>
      <c r="AZ21" s="94">
        <f t="shared" si="42"/>
        <v>68.5</v>
      </c>
      <c r="BA21" s="94">
        <f t="shared" si="43"/>
        <v>9</v>
      </c>
      <c r="BB21" s="97">
        <f t="shared" si="44"/>
        <v>0</v>
      </c>
      <c r="BC21" s="125">
        <v>6</v>
      </c>
      <c r="BD21" s="93">
        <f t="shared" si="45"/>
        <v>120</v>
      </c>
      <c r="BE21" s="127">
        <f t="shared" si="46"/>
        <v>0.21201413427561838</v>
      </c>
      <c r="BF21" s="58">
        <f t="shared" si="47"/>
        <v>5.22</v>
      </c>
      <c r="BG21" s="94">
        <f t="shared" si="48"/>
        <v>3.7800000000000002</v>
      </c>
      <c r="BH21" s="100"/>
      <c r="BI21" s="100"/>
      <c r="BJ21" s="92">
        <f t="shared" ref="BJ21" si="85">$CN21</f>
        <v>2961</v>
      </c>
      <c r="BK21" s="100"/>
      <c r="BL21" s="100"/>
      <c r="BM21" s="100"/>
      <c r="BN21" s="92"/>
      <c r="BO21" s="124">
        <f t="shared" si="71"/>
        <v>0</v>
      </c>
      <c r="BP21" s="124">
        <f t="shared" si="71"/>
        <v>0</v>
      </c>
      <c r="BQ21" s="126">
        <f t="shared" si="49"/>
        <v>2961</v>
      </c>
      <c r="BR21" s="126">
        <f t="shared" si="50"/>
        <v>1480</v>
      </c>
      <c r="BS21" s="126">
        <f t="shared" si="72"/>
        <v>6.4800000000000182</v>
      </c>
      <c r="BT21" s="126">
        <f t="shared" si="51"/>
        <v>3.2400000000000091</v>
      </c>
      <c r="BU21" s="124">
        <f t="shared" si="16"/>
        <v>3247</v>
      </c>
      <c r="BV21" s="128">
        <f t="shared" si="17"/>
        <v>11.219999999999999</v>
      </c>
      <c r="BW21" s="124">
        <f t="shared" si="18"/>
        <v>71.740000000000009</v>
      </c>
      <c r="BX21" s="128" t="str">
        <f t="shared" si="52"/>
        <v/>
      </c>
      <c r="BY21" s="129">
        <f t="shared" si="74"/>
        <v>11.219999999999999</v>
      </c>
      <c r="BZ21" s="62">
        <f t="shared" si="53"/>
        <v>11.219999999999999</v>
      </c>
      <c r="CA21" s="128">
        <f t="shared" si="54"/>
        <v>6.4939999999999998</v>
      </c>
      <c r="CB21" s="124">
        <f t="shared" si="19"/>
        <v>3246</v>
      </c>
      <c r="CC21" s="124">
        <f t="shared" si="19"/>
        <v>143.48000000000002</v>
      </c>
      <c r="CD21" s="124">
        <f t="shared" si="19"/>
        <v>71.740000000000009</v>
      </c>
      <c r="CE21" s="100"/>
      <c r="CF21" s="100"/>
      <c r="CG21" s="51">
        <f t="shared" si="55"/>
        <v>0</v>
      </c>
      <c r="CH21" s="62">
        <f t="shared" si="56"/>
        <v>0</v>
      </c>
      <c r="CI21" s="100"/>
      <c r="CJ21" s="100">
        <v>3533</v>
      </c>
      <c r="CK21" s="100"/>
      <c r="CL21" s="126"/>
      <c r="CM21" s="100">
        <v>120</v>
      </c>
      <c r="CN21" s="100">
        <v>2961</v>
      </c>
      <c r="CO21" s="124"/>
      <c r="CP21" s="130"/>
      <c r="CQ21" s="102">
        <f t="shared" si="57"/>
        <v>1766</v>
      </c>
      <c r="CR21" s="102">
        <f t="shared" si="20"/>
        <v>0</v>
      </c>
      <c r="CS21" s="102">
        <f t="shared" si="20"/>
        <v>0</v>
      </c>
      <c r="CT21" s="92">
        <f t="shared" si="58"/>
        <v>1481</v>
      </c>
      <c r="CU21" s="92">
        <f t="shared" si="59"/>
        <v>0</v>
      </c>
      <c r="CV21" s="103">
        <f t="shared" si="59"/>
        <v>0</v>
      </c>
      <c r="CW21" s="131"/>
      <c r="CX21" s="132">
        <v>30</v>
      </c>
      <c r="CY21" s="133">
        <f t="shared" si="60"/>
        <v>1380</v>
      </c>
      <c r="CZ21" s="133">
        <f t="shared" si="61"/>
        <v>243.00000000000003</v>
      </c>
      <c r="DA21" s="133"/>
      <c r="DB21" s="133"/>
      <c r="DC21" s="132"/>
      <c r="DD21" s="134"/>
      <c r="DE21" s="124">
        <f t="shared" si="21"/>
        <v>1766</v>
      </c>
      <c r="DF21" s="135">
        <f t="shared" si="22"/>
        <v>6</v>
      </c>
      <c r="DG21" s="112">
        <f t="shared" si="23"/>
        <v>68.5</v>
      </c>
      <c r="DH21" s="136">
        <f t="shared" si="24"/>
        <v>1481</v>
      </c>
      <c r="DI21" s="135">
        <f t="shared" si="25"/>
        <v>5.22</v>
      </c>
      <c r="DJ21" s="115">
        <f t="shared" si="26"/>
        <v>3.2400000000000091</v>
      </c>
      <c r="DK21" s="136">
        <f t="shared" si="27"/>
        <v>3247</v>
      </c>
      <c r="DL21" s="135">
        <f t="shared" si="27"/>
        <v>11.219999999999999</v>
      </c>
      <c r="DM21" s="137">
        <f t="shared" si="27"/>
        <v>71.740000000000009</v>
      </c>
      <c r="DN21" s="76">
        <v>2</v>
      </c>
      <c r="DO21" s="76">
        <f t="shared" si="28"/>
        <v>13</v>
      </c>
      <c r="DP21" s="115"/>
      <c r="DQ21" s="115"/>
      <c r="DR21" s="138" t="s">
        <v>175</v>
      </c>
      <c r="DS21" s="115"/>
      <c r="DT21" s="115"/>
      <c r="DU21" s="137"/>
      <c r="DV21" s="139"/>
      <c r="DW21" s="140">
        <f t="shared" si="62"/>
        <v>3258.22</v>
      </c>
      <c r="DX21" s="141">
        <f t="shared" si="29"/>
        <v>3329.96</v>
      </c>
      <c r="DY21" s="140">
        <f t="shared" si="63"/>
        <v>3247</v>
      </c>
      <c r="DZ21" s="142">
        <f t="shared" si="64"/>
        <v>0</v>
      </c>
      <c r="EA21" s="142">
        <f t="shared" si="65"/>
        <v>6.4939999999999998</v>
      </c>
      <c r="EB21" s="142" t="e">
        <f t="shared" si="66"/>
        <v>#VALUE!</v>
      </c>
      <c r="EC21" s="142" t="e">
        <f t="shared" si="76"/>
        <v>#VALUE!</v>
      </c>
      <c r="EF21" s="83">
        <f t="shared" si="83"/>
        <v>71.740000000000009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1"/>
        <v>TV12L14-5.97x2.5-H9B14</v>
      </c>
      <c r="H22" s="46" t="str">
        <f t="shared" si="32"/>
        <v>12L14TV5.970DH9</v>
      </c>
      <c r="I22" s="46" t="str">
        <f t="shared" si="33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4"/>
        <v>48</v>
      </c>
      <c r="T22" s="51">
        <v>39</v>
      </c>
      <c r="U22" s="92">
        <v>61</v>
      </c>
      <c r="V22" s="89">
        <v>4.45</v>
      </c>
      <c r="W22" s="93">
        <f t="shared" si="5"/>
        <v>0</v>
      </c>
      <c r="X22" s="93">
        <f t="shared" si="6"/>
        <v>1325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2</v>
      </c>
      <c r="AE22" s="93">
        <f t="shared" si="35"/>
        <v>1325</v>
      </c>
      <c r="AF22" s="54">
        <f t="shared" si="36"/>
        <v>1325</v>
      </c>
      <c r="AG22" s="94">
        <f t="shared" si="67"/>
        <v>39</v>
      </c>
      <c r="AH22" s="56">
        <f t="shared" si="13"/>
        <v>0</v>
      </c>
      <c r="AI22" s="93">
        <v>33</v>
      </c>
      <c r="AJ22" s="93">
        <f t="shared" si="68"/>
        <v>0</v>
      </c>
      <c r="AK22" s="95">
        <f t="shared" si="37"/>
        <v>1</v>
      </c>
      <c r="AL22" s="58">
        <f t="shared" si="38"/>
        <v>33</v>
      </c>
      <c r="AM22" s="55">
        <f t="shared" si="69"/>
        <v>67</v>
      </c>
      <c r="AN22" s="93"/>
      <c r="AO22" s="96"/>
      <c r="AP22" s="96">
        <f>$CJ22</f>
        <v>5900</v>
      </c>
      <c r="AQ22" s="96"/>
      <c r="AR22" s="96"/>
      <c r="AS22" s="96"/>
      <c r="AT22" s="96"/>
      <c r="AU22" s="96">
        <f t="shared" si="39"/>
        <v>0</v>
      </c>
      <c r="AV22" s="96">
        <f t="shared" si="39"/>
        <v>10</v>
      </c>
      <c r="AW22" s="96">
        <f t="shared" si="40"/>
        <v>5910</v>
      </c>
      <c r="AX22" s="96">
        <f t="shared" si="41"/>
        <v>1328</v>
      </c>
      <c r="AY22" s="94">
        <f t="shared" si="70"/>
        <v>36</v>
      </c>
      <c r="AZ22" s="94">
        <f t="shared" si="42"/>
        <v>8.0898876404494384</v>
      </c>
      <c r="BA22" s="94">
        <f t="shared" si="43"/>
        <v>67</v>
      </c>
      <c r="BB22" s="97">
        <f t="shared" si="44"/>
        <v>0</v>
      </c>
      <c r="BC22" s="93"/>
      <c r="BD22" s="93">
        <f t="shared" si="45"/>
        <v>0</v>
      </c>
      <c r="BE22" s="95">
        <f t="shared" si="46"/>
        <v>1</v>
      </c>
      <c r="BF22" s="58">
        <f t="shared" si="47"/>
        <v>0</v>
      </c>
      <c r="BG22" s="94">
        <f t="shared" si="48"/>
        <v>67</v>
      </c>
      <c r="BH22" s="89"/>
      <c r="BI22" s="89"/>
      <c r="BJ22" s="92">
        <f>$CN22</f>
        <v>0</v>
      </c>
      <c r="BK22" s="89"/>
      <c r="BL22" s="89"/>
      <c r="BM22" s="89"/>
      <c r="BN22" s="89"/>
      <c r="BO22" s="92">
        <f t="shared" si="71"/>
        <v>0</v>
      </c>
      <c r="BP22" s="92">
        <f t="shared" si="71"/>
        <v>0</v>
      </c>
      <c r="BQ22" s="96">
        <f t="shared" si="49"/>
        <v>0</v>
      </c>
      <c r="BR22" s="96">
        <f t="shared" si="50"/>
        <v>0</v>
      </c>
      <c r="BS22" s="96">
        <f t="shared" si="72"/>
        <v>0</v>
      </c>
      <c r="BT22" s="96">
        <f t="shared" si="51"/>
        <v>0</v>
      </c>
      <c r="BU22" s="92">
        <f t="shared" si="16"/>
        <v>1325</v>
      </c>
      <c r="BV22" s="98">
        <f t="shared" si="17"/>
        <v>33</v>
      </c>
      <c r="BW22" s="92">
        <f t="shared" si="18"/>
        <v>8.0898876404494384</v>
      </c>
      <c r="BX22" s="98">
        <f t="shared" si="52"/>
        <v>18.051000000000002</v>
      </c>
      <c r="BY22" s="61">
        <f t="shared" si="74"/>
        <v>33</v>
      </c>
      <c r="BZ22" s="62">
        <f t="shared" si="53"/>
        <v>33</v>
      </c>
      <c r="CA22" s="98">
        <f t="shared" si="54"/>
        <v>5.91</v>
      </c>
      <c r="CB22" s="92">
        <f t="shared" si="19"/>
        <v>1328</v>
      </c>
      <c r="CC22" s="92">
        <f t="shared" si="19"/>
        <v>36</v>
      </c>
      <c r="CD22" s="92">
        <f t="shared" si="19"/>
        <v>8.0898876404494384</v>
      </c>
      <c r="CE22" s="99"/>
      <c r="CF22" s="99"/>
      <c r="CG22" s="51">
        <f t="shared" si="55"/>
        <v>12.151000000000002</v>
      </c>
      <c r="CH22" s="62">
        <f t="shared" si="56"/>
        <v>12.151000000000002</v>
      </c>
      <c r="CI22" s="89"/>
      <c r="CJ22" s="89">
        <v>5900</v>
      </c>
      <c r="CK22" s="89"/>
      <c r="CL22" s="96">
        <v>10</v>
      </c>
      <c r="CM22" s="89"/>
      <c r="CN22" s="89"/>
      <c r="CO22" s="92"/>
      <c r="CP22" s="101"/>
      <c r="CQ22" s="102">
        <f t="shared" si="57"/>
        <v>1325</v>
      </c>
      <c r="CR22" s="102">
        <f t="shared" si="20"/>
        <v>0</v>
      </c>
      <c r="CS22" s="102">
        <f t="shared" si="20"/>
        <v>2</v>
      </c>
      <c r="CT22" s="92">
        <f t="shared" si="58"/>
        <v>0</v>
      </c>
      <c r="CU22" s="92">
        <f t="shared" si="59"/>
        <v>0</v>
      </c>
      <c r="CV22" s="103">
        <f t="shared" si="59"/>
        <v>0</v>
      </c>
      <c r="CW22" s="104"/>
      <c r="CX22" s="105">
        <v>36.090000000000003</v>
      </c>
      <c r="CY22" s="106">
        <f t="shared" si="60"/>
        <v>947</v>
      </c>
      <c r="CZ22" s="106">
        <f t="shared" si="61"/>
        <v>292.32900000000006</v>
      </c>
      <c r="DA22" s="106"/>
      <c r="DB22" s="106"/>
      <c r="DC22" s="105"/>
      <c r="DD22" s="107"/>
      <c r="DE22" s="92">
        <f t="shared" si="21"/>
        <v>1325</v>
      </c>
      <c r="DF22" s="108">
        <f t="shared" si="22"/>
        <v>33</v>
      </c>
      <c r="DG22" s="112">
        <f t="shared" si="23"/>
        <v>8.0898876404494384</v>
      </c>
      <c r="DH22" s="110">
        <f t="shared" si="24"/>
        <v>0</v>
      </c>
      <c r="DI22" s="108">
        <f t="shared" si="25"/>
        <v>0</v>
      </c>
      <c r="DJ22" s="112">
        <f t="shared" si="26"/>
        <v>0</v>
      </c>
      <c r="DK22" s="110">
        <f t="shared" si="27"/>
        <v>1325</v>
      </c>
      <c r="DL22" s="108">
        <f t="shared" si="27"/>
        <v>33</v>
      </c>
      <c r="DM22" s="111">
        <f t="shared" si="27"/>
        <v>8.0898876404494384</v>
      </c>
      <c r="DN22" s="76">
        <f t="shared" si="28"/>
        <v>39</v>
      </c>
      <c r="DO22" s="76">
        <f t="shared" si="28"/>
        <v>61</v>
      </c>
      <c r="DP22" s="112"/>
      <c r="DQ22" s="112"/>
      <c r="DR22" s="113" t="s">
        <v>178</v>
      </c>
      <c r="DS22" s="112"/>
      <c r="DT22" s="112"/>
      <c r="DU22" s="111"/>
      <c r="DV22" s="114"/>
      <c r="DW22" s="80">
        <f t="shared" si="62"/>
        <v>1358</v>
      </c>
      <c r="DX22" s="81">
        <f t="shared" si="29"/>
        <v>1366.0898876404494</v>
      </c>
      <c r="DY22" s="80">
        <f t="shared" si="63"/>
        <v>1327</v>
      </c>
      <c r="DZ22" s="82">
        <f t="shared" si="64"/>
        <v>8.8999999999999999E-3</v>
      </c>
      <c r="EA22" s="82">
        <f t="shared" si="65"/>
        <v>5.8962500000000002</v>
      </c>
      <c r="EB22" s="82">
        <f t="shared" si="66"/>
        <v>12.154750000000002</v>
      </c>
      <c r="EC22" s="82">
        <f t="shared" si="76"/>
        <v>12.163650000000002</v>
      </c>
      <c r="EF22" s="83">
        <f t="shared" si="83"/>
        <v>8.0898876404494384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1"/>
        <v>YHC3604-10.03x3-H9B12</v>
      </c>
      <c r="H23" s="46" t="str">
        <f t="shared" si="32"/>
        <v>C3604YH10.030DH9</v>
      </c>
      <c r="I23" s="46" t="str">
        <f t="shared" si="33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4"/>
        <v>34</v>
      </c>
      <c r="T23" s="51">
        <v>45</v>
      </c>
      <c r="U23" s="92"/>
      <c r="V23" s="89">
        <v>4.05</v>
      </c>
      <c r="W23" s="93">
        <f t="shared" si="5"/>
        <v>0</v>
      </c>
      <c r="X23" s="93">
        <f t="shared" si="6"/>
        <v>0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0</v>
      </c>
      <c r="AE23" s="93">
        <f t="shared" si="35"/>
        <v>0</v>
      </c>
      <c r="AF23" s="54">
        <f t="shared" si="36"/>
        <v>0</v>
      </c>
      <c r="AG23" s="94">
        <f t="shared" si="67"/>
        <v>45</v>
      </c>
      <c r="AH23" s="56">
        <f t="shared" si="13"/>
        <v>0</v>
      </c>
      <c r="AI23" s="93"/>
      <c r="AJ23" s="93">
        <f t="shared" si="68"/>
        <v>0</v>
      </c>
      <c r="AK23" s="95">
        <f t="shared" si="37"/>
        <v>1</v>
      </c>
      <c r="AL23" s="58">
        <f t="shared" si="38"/>
        <v>0</v>
      </c>
      <c r="AM23" s="55">
        <f t="shared" si="69"/>
        <v>45</v>
      </c>
      <c r="AN23" s="93"/>
      <c r="AO23" s="96"/>
      <c r="AP23" s="96">
        <f>$CJ23</f>
        <v>0</v>
      </c>
      <c r="AQ23" s="96"/>
      <c r="AR23" s="96"/>
      <c r="AS23" s="96"/>
      <c r="AT23" s="96"/>
      <c r="AU23" s="96">
        <f t="shared" si="39"/>
        <v>0</v>
      </c>
      <c r="AV23" s="96">
        <f t="shared" si="39"/>
        <v>0</v>
      </c>
      <c r="AW23" s="96">
        <f t="shared" si="40"/>
        <v>0</v>
      </c>
      <c r="AX23" s="96">
        <f t="shared" si="41"/>
        <v>0</v>
      </c>
      <c r="AY23" s="94">
        <f t="shared" si="70"/>
        <v>0</v>
      </c>
      <c r="AZ23" s="94">
        <f t="shared" si="42"/>
        <v>0</v>
      </c>
      <c r="BA23" s="94">
        <f t="shared" si="43"/>
        <v>45</v>
      </c>
      <c r="BB23" s="97">
        <f t="shared" si="44"/>
        <v>0</v>
      </c>
      <c r="BC23" s="93"/>
      <c r="BD23" s="93">
        <f t="shared" si="45"/>
        <v>0</v>
      </c>
      <c r="BE23" s="95">
        <f>IF(AA23="","",IF(BD23=0,1,BD23/$V23/$E23))</f>
        <v>1</v>
      </c>
      <c r="BF23" s="58">
        <f t="shared" si="47"/>
        <v>0</v>
      </c>
      <c r="BG23" s="94">
        <f t="shared" si="48"/>
        <v>45</v>
      </c>
      <c r="BH23" s="89"/>
      <c r="BI23" s="89"/>
      <c r="BJ23" s="92">
        <f>$CN23</f>
        <v>0</v>
      </c>
      <c r="BK23" s="89"/>
      <c r="BL23" s="89"/>
      <c r="BM23" s="89"/>
      <c r="BN23" s="89"/>
      <c r="BO23" s="92">
        <f t="shared" si="71"/>
        <v>0</v>
      </c>
      <c r="BP23" s="92">
        <f t="shared" si="71"/>
        <v>0</v>
      </c>
      <c r="BQ23" s="96">
        <f t="shared" si="49"/>
        <v>0</v>
      </c>
      <c r="BR23" s="96">
        <f t="shared" si="50"/>
        <v>0</v>
      </c>
      <c r="BS23" s="96">
        <f t="shared" si="72"/>
        <v>0</v>
      </c>
      <c r="BT23" s="96">
        <f t="shared" si="51"/>
        <v>0</v>
      </c>
      <c r="BU23" s="92">
        <f t="shared" si="16"/>
        <v>0</v>
      </c>
      <c r="BV23" s="98">
        <f t="shared" si="17"/>
        <v>0</v>
      </c>
      <c r="BW23" s="92">
        <f t="shared" si="18"/>
        <v>0</v>
      </c>
      <c r="BX23" s="98">
        <f t="shared" si="52"/>
        <v>0</v>
      </c>
      <c r="BY23" s="61">
        <f t="shared" si="74"/>
        <v>0</v>
      </c>
      <c r="BZ23" s="62">
        <f t="shared" si="53"/>
        <v>0</v>
      </c>
      <c r="CA23" s="98">
        <f t="shared" si="54"/>
        <v>0</v>
      </c>
      <c r="CB23" s="92">
        <f t="shared" si="19"/>
        <v>0</v>
      </c>
      <c r="CC23" s="92">
        <f t="shared" si="19"/>
        <v>0</v>
      </c>
      <c r="CD23" s="92">
        <f t="shared" si="19"/>
        <v>0</v>
      </c>
      <c r="CE23" s="99"/>
      <c r="CF23" s="99"/>
      <c r="CG23" s="51">
        <f t="shared" si="55"/>
        <v>0</v>
      </c>
      <c r="CH23" s="62">
        <f t="shared" si="56"/>
        <v>0</v>
      </c>
      <c r="CI23" s="89"/>
      <c r="CJ23" s="89"/>
      <c r="CK23" s="89"/>
      <c r="CL23" s="96"/>
      <c r="CM23" s="89"/>
      <c r="CN23" s="89"/>
      <c r="CO23" s="92"/>
      <c r="CP23" s="101"/>
      <c r="CQ23" s="102">
        <f t="shared" si="57"/>
        <v>0</v>
      </c>
      <c r="CR23" s="102">
        <f t="shared" si="20"/>
        <v>0</v>
      </c>
      <c r="CS23" s="102">
        <f t="shared" si="20"/>
        <v>0</v>
      </c>
      <c r="CT23" s="92">
        <f t="shared" si="58"/>
        <v>0</v>
      </c>
      <c r="CU23" s="92">
        <f t="shared" si="59"/>
        <v>0</v>
      </c>
      <c r="CV23" s="103">
        <f t="shared" si="59"/>
        <v>0</v>
      </c>
      <c r="CW23" s="104"/>
      <c r="CX23" s="105">
        <v>17</v>
      </c>
      <c r="CY23" s="106">
        <f t="shared" si="60"/>
        <v>2188</v>
      </c>
      <c r="CZ23" s="106">
        <f t="shared" si="61"/>
        <v>137.70000000000002</v>
      </c>
      <c r="DA23" s="106"/>
      <c r="DB23" s="106"/>
      <c r="DC23" s="105"/>
      <c r="DD23" s="107"/>
      <c r="DE23" s="92">
        <f t="shared" si="21"/>
        <v>0</v>
      </c>
      <c r="DF23" s="108">
        <f t="shared" si="22"/>
        <v>0</v>
      </c>
      <c r="DG23" s="112">
        <f t="shared" si="23"/>
        <v>0</v>
      </c>
      <c r="DH23" s="110">
        <f t="shared" si="24"/>
        <v>0</v>
      </c>
      <c r="DI23" s="108">
        <f t="shared" si="25"/>
        <v>0</v>
      </c>
      <c r="DJ23" s="112">
        <f t="shared" si="26"/>
        <v>0</v>
      </c>
      <c r="DK23" s="110">
        <f t="shared" si="27"/>
        <v>0</v>
      </c>
      <c r="DL23" s="108">
        <f t="shared" si="27"/>
        <v>0</v>
      </c>
      <c r="DM23" s="111">
        <f t="shared" si="27"/>
        <v>0</v>
      </c>
      <c r="DN23" s="76">
        <f t="shared" si="28"/>
        <v>45</v>
      </c>
      <c r="DO23" s="76">
        <f t="shared" si="28"/>
        <v>0</v>
      </c>
      <c r="DP23" s="112"/>
      <c r="DQ23" s="112"/>
      <c r="DR23" s="113" t="s">
        <v>182</v>
      </c>
      <c r="DS23" s="112"/>
      <c r="DT23" s="112"/>
      <c r="DU23" s="111"/>
      <c r="DV23" s="114"/>
      <c r="DW23" s="80">
        <f t="shared" ref="DW23:DW25" si="86">IFERROR(AL23+BF23,"")</f>
        <v>0</v>
      </c>
      <c r="DX23" s="81">
        <f t="shared" si="29"/>
        <v>0</v>
      </c>
      <c r="DY23" s="80">
        <f t="shared" si="63"/>
        <v>0</v>
      </c>
      <c r="DZ23" s="82">
        <f t="shared" si="64"/>
        <v>0</v>
      </c>
      <c r="EA23" s="82">
        <f t="shared" si="65"/>
        <v>0</v>
      </c>
      <c r="EB23" s="82">
        <f t="shared" si="66"/>
        <v>0</v>
      </c>
      <c r="EC23" s="82">
        <f>(BX23-CA23)+((AV23+BP23)/1000)</f>
        <v>0</v>
      </c>
      <c r="EF23" s="83">
        <f t="shared" si="83"/>
        <v>0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1"/>
        <v>GWA6063-T5-T18.15x8.6x3-H9A15</v>
      </c>
      <c r="H24" s="46" t="str">
        <f t="shared" si="32"/>
        <v>A6063-T5GW18.158.6TH9</v>
      </c>
      <c r="I24" s="46" t="str">
        <f t="shared" si="33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4"/>
        <v>14</v>
      </c>
      <c r="T24" s="51">
        <v>15</v>
      </c>
      <c r="U24" s="92">
        <v>10</v>
      </c>
      <c r="V24" s="89">
        <v>9.9</v>
      </c>
      <c r="W24" s="93">
        <f t="shared" si="5"/>
        <v>0</v>
      </c>
      <c r="X24" s="93">
        <f t="shared" si="6"/>
        <v>455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140</v>
      </c>
      <c r="AE24" s="93">
        <f t="shared" si="35"/>
        <v>455</v>
      </c>
      <c r="AF24" s="54">
        <f t="shared" si="36"/>
        <v>455</v>
      </c>
      <c r="AG24" s="94">
        <f t="shared" si="67"/>
        <v>15</v>
      </c>
      <c r="AH24" s="56">
        <f t="shared" si="13"/>
        <v>0</v>
      </c>
      <c r="AI24" s="93">
        <v>2</v>
      </c>
      <c r="AJ24" s="93">
        <f t="shared" si="68"/>
        <v>0</v>
      </c>
      <c r="AK24" s="95">
        <f t="shared" si="37"/>
        <v>1</v>
      </c>
      <c r="AL24" s="58">
        <f t="shared" si="38"/>
        <v>2</v>
      </c>
      <c r="AM24" s="55">
        <f t="shared" si="69"/>
        <v>23</v>
      </c>
      <c r="AN24" s="93"/>
      <c r="AO24" s="96"/>
      <c r="AP24" s="96">
        <f>$CJ24</f>
        <v>742.5</v>
      </c>
      <c r="AQ24" s="96"/>
      <c r="AR24" s="96"/>
      <c r="AS24" s="96"/>
      <c r="AT24" s="96"/>
      <c r="AU24" s="96">
        <f t="shared" si="39"/>
        <v>0</v>
      </c>
      <c r="AV24" s="96">
        <f t="shared" si="39"/>
        <v>836</v>
      </c>
      <c r="AW24" s="96">
        <f t="shared" si="40"/>
        <v>1578.5</v>
      </c>
      <c r="AX24" s="96">
        <f t="shared" si="41"/>
        <v>159</v>
      </c>
      <c r="AY24" s="94">
        <f t="shared" si="70"/>
        <v>232.09999999999991</v>
      </c>
      <c r="AZ24" s="94">
        <f t="shared" si="42"/>
        <v>23.444444444444436</v>
      </c>
      <c r="BA24" s="94">
        <f t="shared" si="43"/>
        <v>23</v>
      </c>
      <c r="BB24" s="97">
        <f t="shared" si="44"/>
        <v>0</v>
      </c>
      <c r="BC24" s="93">
        <v>6</v>
      </c>
      <c r="BD24" s="93">
        <f t="shared" si="45"/>
        <v>0</v>
      </c>
      <c r="BE24" s="95">
        <f t="shared" si="46"/>
        <v>1</v>
      </c>
      <c r="BF24" s="58">
        <f t="shared" si="47"/>
        <v>6</v>
      </c>
      <c r="BG24" s="94">
        <f t="shared" si="48"/>
        <v>17</v>
      </c>
      <c r="BH24" s="89"/>
      <c r="BI24" s="89"/>
      <c r="BJ24" s="92">
        <f>$CN24</f>
        <v>3762</v>
      </c>
      <c r="BK24" s="89"/>
      <c r="BL24" s="89"/>
      <c r="BM24" s="89"/>
      <c r="BN24" s="89"/>
      <c r="BO24" s="92">
        <f t="shared" si="71"/>
        <v>0</v>
      </c>
      <c r="BP24" s="92">
        <f t="shared" si="71"/>
        <v>550</v>
      </c>
      <c r="BQ24" s="96">
        <f t="shared" si="49"/>
        <v>4312</v>
      </c>
      <c r="BR24" s="96">
        <f t="shared" si="50"/>
        <v>435</v>
      </c>
      <c r="BS24" s="96">
        <f t="shared" si="72"/>
        <v>272.79999999999973</v>
      </c>
      <c r="BT24" s="96">
        <f t="shared" si="51"/>
        <v>27.555555555555529</v>
      </c>
      <c r="BU24" s="92">
        <f t="shared" si="16"/>
        <v>455</v>
      </c>
      <c r="BV24" s="98">
        <f t="shared" si="17"/>
        <v>8</v>
      </c>
      <c r="BW24" s="92">
        <f t="shared" si="18"/>
        <v>50.999999999999964</v>
      </c>
      <c r="BX24" s="98">
        <f t="shared" si="52"/>
        <v>13.128</v>
      </c>
      <c r="BY24" s="61">
        <f t="shared" si="74"/>
        <v>8</v>
      </c>
      <c r="BZ24" s="62">
        <f t="shared" si="53"/>
        <v>8</v>
      </c>
      <c r="CA24" s="98">
        <f t="shared" si="54"/>
        <v>5.8905000000000003</v>
      </c>
      <c r="CB24" s="92">
        <f t="shared" si="19"/>
        <v>594</v>
      </c>
      <c r="CC24" s="92">
        <f t="shared" si="19"/>
        <v>504.89999999999964</v>
      </c>
      <c r="CD24" s="92">
        <f t="shared" si="19"/>
        <v>50.999999999999964</v>
      </c>
      <c r="CE24" s="99"/>
      <c r="CF24" s="99"/>
      <c r="CG24" s="51">
        <f t="shared" si="55"/>
        <v>8.6234999999999999</v>
      </c>
      <c r="CH24" s="62">
        <f t="shared" si="56"/>
        <v>8.6234999999999999</v>
      </c>
      <c r="CI24" s="89"/>
      <c r="CJ24" s="89">
        <f>75*9.9</f>
        <v>742.5</v>
      </c>
      <c r="CK24" s="89"/>
      <c r="CL24" s="96">
        <v>836</v>
      </c>
      <c r="CM24" s="89"/>
      <c r="CN24" s="89">
        <f>380*9.9</f>
        <v>3762</v>
      </c>
      <c r="CO24" s="92"/>
      <c r="CP24" s="101">
        <v>550</v>
      </c>
      <c r="CQ24" s="102">
        <f t="shared" si="57"/>
        <v>75</v>
      </c>
      <c r="CR24" s="102">
        <f t="shared" si="57"/>
        <v>0</v>
      </c>
      <c r="CS24" s="102">
        <f t="shared" si="57"/>
        <v>84</v>
      </c>
      <c r="CT24" s="92">
        <f t="shared" si="58"/>
        <v>380</v>
      </c>
      <c r="CU24" s="92">
        <f t="shared" si="59"/>
        <v>0</v>
      </c>
      <c r="CV24" s="103">
        <f t="shared" si="59"/>
        <v>56</v>
      </c>
      <c r="CW24" s="104"/>
      <c r="CX24" s="105">
        <v>80.33</v>
      </c>
      <c r="CY24" s="106">
        <f t="shared" si="60"/>
        <v>507</v>
      </c>
      <c r="CZ24" s="106">
        <f t="shared" si="61"/>
        <v>650.673</v>
      </c>
      <c r="DA24" s="106"/>
      <c r="DB24" s="106"/>
      <c r="DC24" s="105"/>
      <c r="DD24" s="107"/>
      <c r="DE24" s="92">
        <f t="shared" si="21"/>
        <v>75</v>
      </c>
      <c r="DF24" s="108">
        <f t="shared" si="22"/>
        <v>2</v>
      </c>
      <c r="DG24" s="112">
        <f t="shared" si="23"/>
        <v>23.444444444444436</v>
      </c>
      <c r="DH24" s="110">
        <f t="shared" si="24"/>
        <v>380</v>
      </c>
      <c r="DI24" s="108">
        <f t="shared" si="25"/>
        <v>6</v>
      </c>
      <c r="DJ24" s="112">
        <f t="shared" si="26"/>
        <v>27.555555555555529</v>
      </c>
      <c r="DK24" s="110">
        <f t="shared" ref="DK24:DM87" si="87">IFERROR(DE24+DH24,"")</f>
        <v>455</v>
      </c>
      <c r="DL24" s="108">
        <f t="shared" si="87"/>
        <v>8</v>
      </c>
      <c r="DM24" s="111">
        <f t="shared" si="87"/>
        <v>50.999999999999964</v>
      </c>
      <c r="DN24" s="76">
        <f t="shared" si="28"/>
        <v>15</v>
      </c>
      <c r="DO24" s="76">
        <f t="shared" si="28"/>
        <v>10</v>
      </c>
      <c r="DP24" s="112"/>
      <c r="DQ24" s="112"/>
      <c r="DR24" s="113" t="s">
        <v>184</v>
      </c>
      <c r="DS24" s="112"/>
      <c r="DT24" s="112"/>
      <c r="DU24" s="111"/>
      <c r="DV24" s="114"/>
      <c r="DW24" s="80">
        <f t="shared" si="86"/>
        <v>8</v>
      </c>
      <c r="DX24" s="81">
        <f t="shared" si="29"/>
        <v>514</v>
      </c>
      <c r="DY24" s="80">
        <f t="shared" si="63"/>
        <v>595</v>
      </c>
      <c r="DZ24" s="82">
        <f t="shared" si="64"/>
        <v>1.3859999999999999</v>
      </c>
      <c r="EA24" s="82">
        <f t="shared" si="65"/>
        <v>4.5045000000000002</v>
      </c>
      <c r="EB24" s="82">
        <f t="shared" si="66"/>
        <v>8.6234999999999999</v>
      </c>
      <c r="EC24" s="82">
        <f t="shared" si="76"/>
        <v>10.009499999999999</v>
      </c>
      <c r="EF24" s="83">
        <f t="shared" si="83"/>
        <v>50.999999999999964</v>
      </c>
    </row>
    <row r="25" spans="1:136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1"/>
        <v>GWA6063-T5-17x3-H9B15</v>
      </c>
      <c r="H25" s="46" t="str">
        <f t="shared" si="32"/>
        <v>A6063-T5GW170DH9</v>
      </c>
      <c r="I25" s="46" t="str">
        <f t="shared" si="33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4"/>
        <v>16</v>
      </c>
      <c r="T25" s="51">
        <v>20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5"/>
        <v>0</v>
      </c>
      <c r="AF25" s="54">
        <f t="shared" si="36"/>
        <v>0</v>
      </c>
      <c r="AG25" s="94">
        <f t="shared" si="67"/>
        <v>20</v>
      </c>
      <c r="AH25" s="56">
        <f t="shared" si="13"/>
        <v>0</v>
      </c>
      <c r="AI25" s="93"/>
      <c r="AJ25" s="93">
        <f t="shared" si="68"/>
        <v>0</v>
      </c>
      <c r="AK25" s="95">
        <f t="shared" si="37"/>
        <v>1</v>
      </c>
      <c r="AL25" s="58">
        <f t="shared" si="38"/>
        <v>0</v>
      </c>
      <c r="AM25" s="55">
        <f t="shared" si="69"/>
        <v>20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9"/>
        <v>0</v>
      </c>
      <c r="AV25" s="96">
        <f t="shared" si="39"/>
        <v>0</v>
      </c>
      <c r="AW25" s="96">
        <f t="shared" si="40"/>
        <v>0</v>
      </c>
      <c r="AX25" s="96">
        <f t="shared" si="41"/>
        <v>0</v>
      </c>
      <c r="AY25" s="94">
        <f t="shared" si="70"/>
        <v>0</v>
      </c>
      <c r="AZ25" s="94">
        <f t="shared" si="42"/>
        <v>0</v>
      </c>
      <c r="BA25" s="94">
        <f t="shared" si="43"/>
        <v>20</v>
      </c>
      <c r="BB25" s="97">
        <f t="shared" si="44"/>
        <v>0</v>
      </c>
      <c r="BC25" s="93"/>
      <c r="BD25" s="93">
        <f t="shared" si="45"/>
        <v>0</v>
      </c>
      <c r="BE25" s="95">
        <f t="shared" si="46"/>
        <v>1</v>
      </c>
      <c r="BF25" s="58">
        <f t="shared" si="47"/>
        <v>0</v>
      </c>
      <c r="BG25" s="94">
        <f t="shared" si="48"/>
        <v>20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1"/>
        <v>0</v>
      </c>
      <c r="BP25" s="92">
        <f t="shared" si="71"/>
        <v>0</v>
      </c>
      <c r="BQ25" s="96">
        <f t="shared" si="49"/>
        <v>0</v>
      </c>
      <c r="BR25" s="96">
        <f t="shared" si="50"/>
        <v>0</v>
      </c>
      <c r="BS25" s="96">
        <f t="shared" si="72"/>
        <v>0</v>
      </c>
      <c r="BT25" s="96">
        <f t="shared" si="51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2"/>
        <v>0</v>
      </c>
      <c r="BY25" s="61">
        <f t="shared" si="74"/>
        <v>0</v>
      </c>
      <c r="BZ25" s="62">
        <f t="shared" si="53"/>
        <v>0</v>
      </c>
      <c r="CA25" s="98">
        <f t="shared" si="54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5"/>
        <v>0</v>
      </c>
      <c r="CH25" s="62">
        <f t="shared" si="56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8">INT(IFERROR( CJ25/$V25,0))</f>
        <v>0</v>
      </c>
      <c r="CR25" s="102">
        <f t="shared" si="88"/>
        <v>0</v>
      </c>
      <c r="CS25" s="102">
        <f t="shared" si="88"/>
        <v>0</v>
      </c>
      <c r="CT25" s="92">
        <f t="shared" si="58"/>
        <v>0</v>
      </c>
      <c r="CU25" s="92">
        <f t="shared" ref="CU25:CV40" si="89">INT(IFERROR( AC25-CR25,0))</f>
        <v>0</v>
      </c>
      <c r="CV25" s="103">
        <f t="shared" si="89"/>
        <v>0</v>
      </c>
      <c r="CW25" s="104"/>
      <c r="CX25" s="105">
        <v>69.16</v>
      </c>
      <c r="CY25" s="106">
        <f t="shared" si="60"/>
        <v>585</v>
      </c>
      <c r="CZ25" s="106">
        <f t="shared" si="61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7"/>
        <v>0</v>
      </c>
      <c r="DL25" s="108">
        <f t="shared" si="87"/>
        <v>0</v>
      </c>
      <c r="DM25" s="111">
        <f t="shared" si="87"/>
        <v>0</v>
      </c>
      <c r="DN25" s="76">
        <f t="shared" si="28"/>
        <v>20</v>
      </c>
      <c r="DO25" s="76">
        <f t="shared" si="28"/>
        <v>0</v>
      </c>
      <c r="DP25" s="112"/>
      <c r="DQ25" s="112"/>
      <c r="DR25" s="113" t="s">
        <v>186</v>
      </c>
      <c r="DS25" s="112"/>
      <c r="DT25" s="112"/>
      <c r="DU25" s="111"/>
      <c r="DV25" s="114"/>
      <c r="DW25" s="80">
        <f t="shared" si="86"/>
        <v>0</v>
      </c>
      <c r="DX25" s="81">
        <f t="shared" si="29"/>
        <v>0</v>
      </c>
      <c r="DY25" s="80">
        <f t="shared" si="63"/>
        <v>0</v>
      </c>
      <c r="DZ25" s="82">
        <f t="shared" si="64"/>
        <v>0</v>
      </c>
      <c r="EA25" s="82">
        <f t="shared" si="65"/>
        <v>0</v>
      </c>
      <c r="EB25" s="82">
        <f t="shared" si="66"/>
        <v>0</v>
      </c>
      <c r="EC25" s="82">
        <f>(BX25-CA25)+((AV25+BP25)/1000)</f>
        <v>0</v>
      </c>
      <c r="EF25" s="83">
        <f t="shared" si="83"/>
        <v>0</v>
      </c>
    </row>
    <row r="26" spans="1:136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1"/>
        <v>-xx-</v>
      </c>
      <c r="H26" s="46" t="str">
        <f t="shared" si="32"/>
        <v/>
      </c>
      <c r="I26" s="46" t="str">
        <f t="shared" si="33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4"/>
        <v>#DIV/0!</v>
      </c>
      <c r="T26" s="51"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5"/>
        <v>0</v>
      </c>
      <c r="AF26" s="54">
        <f t="shared" si="36"/>
        <v>0</v>
      </c>
      <c r="AG26" s="94">
        <f t="shared" si="67"/>
        <v>0</v>
      </c>
      <c r="AH26" s="56">
        <f t="shared" si="13"/>
        <v>0</v>
      </c>
      <c r="AI26" s="93"/>
      <c r="AJ26" s="93">
        <f t="shared" si="68"/>
        <v>0</v>
      </c>
      <c r="AK26" s="95">
        <f t="shared" si="37"/>
        <v>1</v>
      </c>
      <c r="AL26" s="58">
        <f t="shared" si="38"/>
        <v>0</v>
      </c>
      <c r="AM26" s="55">
        <f t="shared" si="69"/>
        <v>0</v>
      </c>
      <c r="AN26" s="93"/>
      <c r="AO26" s="96"/>
      <c r="AP26" s="96"/>
      <c r="AQ26" s="96"/>
      <c r="AR26" s="96"/>
      <c r="AS26" s="96"/>
      <c r="AT26" s="96"/>
      <c r="AU26" s="96">
        <f t="shared" si="39"/>
        <v>0</v>
      </c>
      <c r="AV26" s="96">
        <f t="shared" si="39"/>
        <v>0</v>
      </c>
      <c r="AW26" s="96">
        <f t="shared" si="40"/>
        <v>0</v>
      </c>
      <c r="AX26" s="96">
        <f t="shared" si="41"/>
        <v>0</v>
      </c>
      <c r="AY26" s="94">
        <f t="shared" si="70"/>
        <v>0</v>
      </c>
      <c r="AZ26" s="94">
        <f t="shared" si="42"/>
        <v>0</v>
      </c>
      <c r="BA26" s="94">
        <f t="shared" si="43"/>
        <v>0</v>
      </c>
      <c r="BB26" s="97">
        <f t="shared" si="44"/>
        <v>0</v>
      </c>
      <c r="BC26" s="93"/>
      <c r="BD26" s="93">
        <f t="shared" si="45"/>
        <v>0</v>
      </c>
      <c r="BE26" s="95">
        <f t="shared" si="46"/>
        <v>1</v>
      </c>
      <c r="BF26" s="58">
        <f t="shared" si="47"/>
        <v>0</v>
      </c>
      <c r="BG26" s="94">
        <f t="shared" si="48"/>
        <v>0</v>
      </c>
      <c r="BH26" s="89"/>
      <c r="BI26" s="89"/>
      <c r="BJ26" s="89"/>
      <c r="BK26" s="89"/>
      <c r="BL26" s="89"/>
      <c r="BM26" s="89"/>
      <c r="BN26" s="89"/>
      <c r="BO26" s="92">
        <f t="shared" si="71"/>
        <v>0</v>
      </c>
      <c r="BP26" s="92">
        <f t="shared" si="71"/>
        <v>0</v>
      </c>
      <c r="BQ26" s="96">
        <f t="shared" si="49"/>
        <v>0</v>
      </c>
      <c r="BR26" s="96">
        <f t="shared" si="50"/>
        <v>0</v>
      </c>
      <c r="BS26" s="96">
        <f t="shared" si="72"/>
        <v>0</v>
      </c>
      <c r="BT26" s="96">
        <f t="shared" si="51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2"/>
        <v/>
      </c>
      <c r="BY26" s="61">
        <f t="shared" si="74"/>
        <v>0</v>
      </c>
      <c r="BZ26" s="62">
        <f t="shared" si="53"/>
        <v>0</v>
      </c>
      <c r="CA26" s="98">
        <f t="shared" si="54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5"/>
        <v>0</v>
      </c>
      <c r="CH26" s="62">
        <f t="shared" si="56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8"/>
        <v>0</v>
      </c>
      <c r="CR26" s="102">
        <f t="shared" si="88"/>
        <v>0</v>
      </c>
      <c r="CS26" s="102">
        <f t="shared" si="88"/>
        <v>0</v>
      </c>
      <c r="CT26" s="92">
        <f t="shared" si="58"/>
        <v>0</v>
      </c>
      <c r="CU26" s="92">
        <f t="shared" si="89"/>
        <v>0</v>
      </c>
      <c r="CV26" s="103">
        <f t="shared" si="89"/>
        <v>0</v>
      </c>
      <c r="CW26" s="104"/>
      <c r="CX26" s="105"/>
      <c r="CY26" s="106" t="e">
        <f t="shared" si="60"/>
        <v>#DIV/0!</v>
      </c>
      <c r="CZ26" s="106">
        <f t="shared" si="61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7"/>
        <v>0</v>
      </c>
      <c r="DL26" s="108">
        <f t="shared" si="87"/>
        <v>0</v>
      </c>
      <c r="DM26" s="111">
        <f t="shared" si="87"/>
        <v>0</v>
      </c>
      <c r="DN26" s="76">
        <f t="shared" ref="DN26:DO89" si="90">T26</f>
        <v>0</v>
      </c>
      <c r="DO26" s="76">
        <f t="shared" si="90"/>
        <v>0</v>
      </c>
      <c r="DP26" s="112"/>
      <c r="DQ26" s="112"/>
      <c r="DR26" s="113"/>
      <c r="DS26" s="112"/>
      <c r="DT26" s="112"/>
      <c r="DU26" s="111"/>
      <c r="DV26" s="114"/>
      <c r="DW26" s="80">
        <f t="shared" si="62"/>
        <v>0</v>
      </c>
      <c r="DX26" s="81">
        <f t="shared" si="29"/>
        <v>0</v>
      </c>
      <c r="DY26" s="80">
        <f t="shared" si="63"/>
        <v>0</v>
      </c>
      <c r="DZ26" s="82">
        <f t="shared" si="64"/>
        <v>0</v>
      </c>
      <c r="EA26" s="82">
        <f t="shared" si="65"/>
        <v>0</v>
      </c>
      <c r="EB26" s="82" t="e">
        <f t="shared" si="66"/>
        <v>#VALUE!</v>
      </c>
      <c r="EC26" s="82" t="e">
        <f t="shared" si="76"/>
        <v>#VALUE!</v>
      </c>
    </row>
    <row r="27" spans="1:136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1"/>
        <v>TVSUJ2-8.1x3-H9C13</v>
      </c>
      <c r="H27" s="46" t="str">
        <f t="shared" si="32"/>
        <v>SUJ2TV8.10DH9</v>
      </c>
      <c r="I27" s="46" t="str">
        <f t="shared" si="33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4"/>
        <v>52</v>
      </c>
      <c r="T27" s="51"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5"/>
        <v>0</v>
      </c>
      <c r="AF27" s="54">
        <f t="shared" si="36"/>
        <v>0</v>
      </c>
      <c r="AG27" s="94">
        <f t="shared" si="67"/>
        <v>0</v>
      </c>
      <c r="AH27" s="56">
        <f t="shared" si="13"/>
        <v>0</v>
      </c>
      <c r="AI27" s="93"/>
      <c r="AJ27" s="93">
        <f t="shared" si="68"/>
        <v>0</v>
      </c>
      <c r="AK27" s="95">
        <f t="shared" si="37"/>
        <v>1</v>
      </c>
      <c r="AL27" s="58">
        <f t="shared" si="38"/>
        <v>0</v>
      </c>
      <c r="AM27" s="55">
        <f t="shared" si="69"/>
        <v>0</v>
      </c>
      <c r="AN27" s="93"/>
      <c r="AO27" s="96"/>
      <c r="AP27" s="96">
        <f t="shared" ref="AP27:AP33" si="91">$CJ27</f>
        <v>0</v>
      </c>
      <c r="AQ27" s="96"/>
      <c r="AR27" s="96"/>
      <c r="AS27" s="96"/>
      <c r="AT27" s="96"/>
      <c r="AU27" s="96">
        <f t="shared" si="39"/>
        <v>0</v>
      </c>
      <c r="AV27" s="96">
        <f t="shared" si="39"/>
        <v>0</v>
      </c>
      <c r="AW27" s="96">
        <f t="shared" si="40"/>
        <v>0</v>
      </c>
      <c r="AX27" s="96">
        <f t="shared" si="41"/>
        <v>0</v>
      </c>
      <c r="AY27" s="94">
        <f t="shared" si="70"/>
        <v>0</v>
      </c>
      <c r="AZ27" s="94">
        <f t="shared" si="42"/>
        <v>0</v>
      </c>
      <c r="BA27" s="94">
        <f t="shared" si="43"/>
        <v>0</v>
      </c>
      <c r="BB27" s="97">
        <f t="shared" si="44"/>
        <v>0</v>
      </c>
      <c r="BC27" s="93"/>
      <c r="BD27" s="93">
        <f t="shared" si="45"/>
        <v>0</v>
      </c>
      <c r="BE27" s="95">
        <f t="shared" si="46"/>
        <v>1</v>
      </c>
      <c r="BF27" s="58">
        <f t="shared" si="47"/>
        <v>0</v>
      </c>
      <c r="BG27" s="94">
        <f t="shared" si="48"/>
        <v>0</v>
      </c>
      <c r="BH27" s="89"/>
      <c r="BI27" s="89"/>
      <c r="BJ27" s="92">
        <f t="shared" ref="BJ27:BJ33" si="92">$CN27</f>
        <v>0</v>
      </c>
      <c r="BK27" s="89"/>
      <c r="BL27" s="89"/>
      <c r="BM27" s="89"/>
      <c r="BN27" s="89"/>
      <c r="BO27" s="92">
        <f t="shared" si="71"/>
        <v>0</v>
      </c>
      <c r="BP27" s="92">
        <f t="shared" si="71"/>
        <v>0</v>
      </c>
      <c r="BQ27" s="96">
        <f t="shared" si="49"/>
        <v>0</v>
      </c>
      <c r="BR27" s="96">
        <f t="shared" si="50"/>
        <v>0</v>
      </c>
      <c r="BS27" s="96">
        <f t="shared" si="72"/>
        <v>0</v>
      </c>
      <c r="BT27" s="96">
        <f t="shared" si="51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2"/>
        <v>0</v>
      </c>
      <c r="BY27" s="61">
        <f t="shared" si="74"/>
        <v>0</v>
      </c>
      <c r="BZ27" s="62">
        <f t="shared" si="53"/>
        <v>0</v>
      </c>
      <c r="CA27" s="98">
        <f t="shared" si="54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5"/>
        <v>0</v>
      </c>
      <c r="CH27" s="62">
        <f t="shared" si="56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8"/>
        <v>0</v>
      </c>
      <c r="CR27" s="102">
        <f t="shared" si="88"/>
        <v>0</v>
      </c>
      <c r="CS27" s="102">
        <f t="shared" si="88"/>
        <v>0</v>
      </c>
      <c r="CT27" s="92">
        <f t="shared" si="58"/>
        <v>0</v>
      </c>
      <c r="CU27" s="92">
        <f t="shared" si="89"/>
        <v>0</v>
      </c>
      <c r="CV27" s="103">
        <f t="shared" si="89"/>
        <v>0</v>
      </c>
      <c r="CW27" s="104"/>
      <c r="CX27" s="105">
        <v>17</v>
      </c>
      <c r="CY27" s="106">
        <f t="shared" si="60"/>
        <v>1941</v>
      </c>
      <c r="CZ27" s="106">
        <f t="shared" si="61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7"/>
        <v>0</v>
      </c>
      <c r="DL27" s="108">
        <f t="shared" si="87"/>
        <v>0</v>
      </c>
      <c r="DM27" s="111">
        <f t="shared" si="87"/>
        <v>0</v>
      </c>
      <c r="DN27" s="76">
        <f t="shared" si="90"/>
        <v>0</v>
      </c>
      <c r="DO27" s="76">
        <f t="shared" si="90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2"/>
        <v>0</v>
      </c>
      <c r="DX27" s="81">
        <f t="shared" si="29"/>
        <v>0</v>
      </c>
      <c r="DY27" s="80">
        <f t="shared" si="63"/>
        <v>0</v>
      </c>
      <c r="DZ27" s="82">
        <f t="shared" si="64"/>
        <v>0</v>
      </c>
      <c r="EA27" s="82">
        <f t="shared" si="65"/>
        <v>0</v>
      </c>
      <c r="EB27" s="82">
        <f t="shared" si="66"/>
        <v>0</v>
      </c>
      <c r="EC27" s="82">
        <f t="shared" si="76"/>
        <v>0</v>
      </c>
      <c r="EF27" s="83">
        <f t="shared" ref="EF27:EF58" si="93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1"/>
        <v>GWA6063-T5-T18.15x8.6x3-H9A15</v>
      </c>
      <c r="H28" s="46" t="str">
        <f t="shared" si="32"/>
        <v>A6063-T5GW18.158.6TH9</v>
      </c>
      <c r="I28" s="46" t="str">
        <f t="shared" si="33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4"/>
        <v>18</v>
      </c>
      <c r="T28" s="51">
        <v>9</v>
      </c>
      <c r="U28" s="92">
        <v>10</v>
      </c>
      <c r="V28" s="89">
        <v>7.7</v>
      </c>
      <c r="W28" s="93">
        <f t="shared" si="5"/>
        <v>0</v>
      </c>
      <c r="X28" s="93">
        <f t="shared" si="6"/>
        <v>928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64</v>
      </c>
      <c r="AD28" s="93">
        <f t="shared" si="12"/>
        <v>14</v>
      </c>
      <c r="AE28" s="93">
        <f t="shared" si="35"/>
        <v>992</v>
      </c>
      <c r="AF28" s="54">
        <f t="shared" si="36"/>
        <v>992</v>
      </c>
      <c r="AG28" s="94">
        <f t="shared" si="67"/>
        <v>9</v>
      </c>
      <c r="AH28" s="56">
        <f t="shared" si="13"/>
        <v>0</v>
      </c>
      <c r="AI28" s="93">
        <v>6</v>
      </c>
      <c r="AJ28" s="93">
        <f t="shared" si="68"/>
        <v>0</v>
      </c>
      <c r="AK28" s="95">
        <f t="shared" si="37"/>
        <v>1</v>
      </c>
      <c r="AL28" s="58">
        <f t="shared" si="38"/>
        <v>6</v>
      </c>
      <c r="AM28" s="55">
        <f t="shared" si="69"/>
        <v>13</v>
      </c>
      <c r="AN28" s="93"/>
      <c r="AO28" s="96"/>
      <c r="AP28" s="96">
        <f t="shared" si="91"/>
        <v>3903.9</v>
      </c>
      <c r="AQ28" s="96"/>
      <c r="AR28" s="96"/>
      <c r="AS28" s="96"/>
      <c r="AT28" s="96"/>
      <c r="AU28" s="96">
        <f t="shared" si="39"/>
        <v>500</v>
      </c>
      <c r="AV28" s="96">
        <f t="shared" si="39"/>
        <v>20</v>
      </c>
      <c r="AW28" s="96">
        <f t="shared" si="40"/>
        <v>4423.8999999999996</v>
      </c>
      <c r="AX28" s="96">
        <f t="shared" si="41"/>
        <v>574</v>
      </c>
      <c r="AY28" s="94">
        <f t="shared" si="70"/>
        <v>219.69999999999982</v>
      </c>
      <c r="AZ28" s="94">
        <f t="shared" si="42"/>
        <v>28.532467532467507</v>
      </c>
      <c r="BA28" s="94">
        <f t="shared" si="43"/>
        <v>13</v>
      </c>
      <c r="BB28" s="97">
        <f t="shared" si="44"/>
        <v>0</v>
      </c>
      <c r="BC28" s="93">
        <v>5</v>
      </c>
      <c r="BD28" s="93">
        <f t="shared" si="45"/>
        <v>0</v>
      </c>
      <c r="BE28" s="95">
        <f t="shared" si="46"/>
        <v>1</v>
      </c>
      <c r="BF28" s="58">
        <f t="shared" si="47"/>
        <v>5</v>
      </c>
      <c r="BG28" s="94">
        <f t="shared" si="48"/>
        <v>8</v>
      </c>
      <c r="BH28" s="89"/>
      <c r="BI28" s="89"/>
      <c r="BJ28" s="92">
        <f t="shared" si="92"/>
        <v>3241.7000000000003</v>
      </c>
      <c r="BK28" s="89"/>
      <c r="BL28" s="89"/>
      <c r="BM28" s="89"/>
      <c r="BN28" s="89"/>
      <c r="BO28" s="92">
        <f t="shared" si="71"/>
        <v>0</v>
      </c>
      <c r="BP28" s="92">
        <f t="shared" si="71"/>
        <v>95</v>
      </c>
      <c r="BQ28" s="96">
        <f t="shared" si="49"/>
        <v>3336.7000000000003</v>
      </c>
      <c r="BR28" s="96">
        <f t="shared" si="50"/>
        <v>433</v>
      </c>
      <c r="BS28" s="96">
        <f t="shared" si="72"/>
        <v>-166.79999999999973</v>
      </c>
      <c r="BT28" s="96">
        <f t="shared" si="51"/>
        <v>-21.662337662337627</v>
      </c>
      <c r="BU28" s="92">
        <f t="shared" si="16"/>
        <v>992</v>
      </c>
      <c r="BV28" s="98">
        <f t="shared" si="17"/>
        <v>11</v>
      </c>
      <c r="BW28" s="92">
        <f t="shared" si="18"/>
        <v>6.8701298701298796</v>
      </c>
      <c r="BX28" s="98">
        <f t="shared" si="52"/>
        <v>18.051000000000002</v>
      </c>
      <c r="BY28" s="61">
        <f t="shared" si="74"/>
        <v>11</v>
      </c>
      <c r="BZ28" s="62">
        <f t="shared" si="53"/>
        <v>11</v>
      </c>
      <c r="CA28" s="98">
        <f t="shared" si="54"/>
        <v>7.7606000000000002</v>
      </c>
      <c r="CB28" s="92">
        <f t="shared" si="19"/>
        <v>1007</v>
      </c>
      <c r="CC28" s="92">
        <f t="shared" si="19"/>
        <v>52.900000000000091</v>
      </c>
      <c r="CD28" s="92">
        <f t="shared" si="19"/>
        <v>6.8701298701298796</v>
      </c>
      <c r="CE28" s="99"/>
      <c r="CF28" s="99"/>
      <c r="CG28" s="51">
        <f t="shared" si="55"/>
        <v>10.405400000000002</v>
      </c>
      <c r="CH28" s="62">
        <f t="shared" si="56"/>
        <v>10.405400000000002</v>
      </c>
      <c r="CI28" s="89"/>
      <c r="CJ28" s="89">
        <f>507*7.7</f>
        <v>3903.9</v>
      </c>
      <c r="CK28" s="89">
        <v>500</v>
      </c>
      <c r="CL28" s="96">
        <v>20</v>
      </c>
      <c r="CM28" s="89"/>
      <c r="CN28" s="89">
        <f>421*7.7</f>
        <v>3241.7000000000003</v>
      </c>
      <c r="CO28" s="92"/>
      <c r="CP28" s="101">
        <v>95</v>
      </c>
      <c r="CQ28" s="102">
        <f t="shared" si="88"/>
        <v>507</v>
      </c>
      <c r="CR28" s="102">
        <f t="shared" si="88"/>
        <v>64</v>
      </c>
      <c r="CS28" s="102">
        <f t="shared" si="88"/>
        <v>2</v>
      </c>
      <c r="CT28" s="92">
        <f t="shared" si="58"/>
        <v>421</v>
      </c>
      <c r="CU28" s="92">
        <f t="shared" si="89"/>
        <v>0</v>
      </c>
      <c r="CV28" s="103">
        <f t="shared" si="89"/>
        <v>12</v>
      </c>
      <c r="CW28" s="104"/>
      <c r="CX28" s="105">
        <v>49.97</v>
      </c>
      <c r="CY28" s="106">
        <f t="shared" si="60"/>
        <v>804</v>
      </c>
      <c r="CZ28" s="106">
        <f t="shared" si="61"/>
        <v>404.75700000000001</v>
      </c>
      <c r="DA28" s="106"/>
      <c r="DB28" s="106"/>
      <c r="DC28" s="105"/>
      <c r="DD28" s="107"/>
      <c r="DE28" s="92">
        <f t="shared" si="21"/>
        <v>571</v>
      </c>
      <c r="DF28" s="108">
        <f t="shared" si="22"/>
        <v>6</v>
      </c>
      <c r="DG28" s="112">
        <f t="shared" si="23"/>
        <v>28.532467532467507</v>
      </c>
      <c r="DH28" s="110">
        <f t="shared" si="24"/>
        <v>421</v>
      </c>
      <c r="DI28" s="108">
        <f t="shared" si="25"/>
        <v>5</v>
      </c>
      <c r="DJ28" s="112">
        <f t="shared" si="26"/>
        <v>-21.662337662337627</v>
      </c>
      <c r="DK28" s="110">
        <f t="shared" si="87"/>
        <v>992</v>
      </c>
      <c r="DL28" s="108">
        <f t="shared" si="87"/>
        <v>11</v>
      </c>
      <c r="DM28" s="111">
        <f t="shared" si="87"/>
        <v>6.8701298701298796</v>
      </c>
      <c r="DN28" s="76">
        <f t="shared" si="90"/>
        <v>9</v>
      </c>
      <c r="DO28" s="76">
        <f t="shared" si="90"/>
        <v>10</v>
      </c>
      <c r="DP28" s="112"/>
      <c r="DQ28" s="112"/>
      <c r="DR28" s="113" t="s">
        <v>195</v>
      </c>
      <c r="DS28" s="112"/>
      <c r="DT28" s="112"/>
      <c r="DU28" s="111"/>
      <c r="DV28" s="114"/>
      <c r="DW28" s="80">
        <f t="shared" si="62"/>
        <v>1003</v>
      </c>
      <c r="DX28" s="81">
        <f t="shared" si="29"/>
        <v>1009.8701298701299</v>
      </c>
      <c r="DY28" s="80">
        <f t="shared" si="63"/>
        <v>1006</v>
      </c>
      <c r="DZ28" s="82">
        <f t="shared" si="64"/>
        <v>0.10779999999999999</v>
      </c>
      <c r="EA28" s="82">
        <f t="shared" si="65"/>
        <v>7.6384000000000007</v>
      </c>
      <c r="EB28" s="82">
        <f t="shared" si="66"/>
        <v>10.412600000000001</v>
      </c>
      <c r="EC28" s="82">
        <f t="shared" si="76"/>
        <v>10.5204</v>
      </c>
      <c r="EF28" s="83">
        <f t="shared" si="93"/>
        <v>6.8701298701298796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1"/>
        <v>TV12L14-11x2.5-H9C14</v>
      </c>
      <c r="H29" s="46" t="str">
        <f t="shared" si="32"/>
        <v>12L14TV110DH9</v>
      </c>
      <c r="I29" s="46" t="str">
        <f t="shared" si="33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4"/>
        <v>6</v>
      </c>
      <c r="T29" s="51">
        <v>5</v>
      </c>
      <c r="U29" s="92">
        <v>15</v>
      </c>
      <c r="V29" s="89">
        <v>2</v>
      </c>
      <c r="W29" s="93">
        <f t="shared" si="5"/>
        <v>0</v>
      </c>
      <c r="X29" s="93">
        <f t="shared" si="6"/>
        <v>3571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10</v>
      </c>
      <c r="AE29" s="93">
        <f t="shared" si="35"/>
        <v>3571</v>
      </c>
      <c r="AF29" s="54">
        <f t="shared" si="36"/>
        <v>3571</v>
      </c>
      <c r="AG29" s="94">
        <f t="shared" si="67"/>
        <v>5</v>
      </c>
      <c r="AH29" s="56">
        <f t="shared" si="13"/>
        <v>0</v>
      </c>
      <c r="AI29" s="93">
        <v>6</v>
      </c>
      <c r="AJ29" s="93">
        <f t="shared" si="68"/>
        <v>0</v>
      </c>
      <c r="AK29" s="95">
        <f t="shared" si="37"/>
        <v>1</v>
      </c>
      <c r="AL29" s="58">
        <f t="shared" si="38"/>
        <v>6</v>
      </c>
      <c r="AM29" s="55">
        <f t="shared" si="69"/>
        <v>14</v>
      </c>
      <c r="AN29" s="93"/>
      <c r="AO29" s="96"/>
      <c r="AP29" s="96">
        <f t="shared" si="91"/>
        <v>3282</v>
      </c>
      <c r="AQ29" s="96"/>
      <c r="AR29" s="96"/>
      <c r="AS29" s="96"/>
      <c r="AT29" s="96"/>
      <c r="AU29" s="96">
        <f t="shared" si="39"/>
        <v>0</v>
      </c>
      <c r="AV29" s="96">
        <f t="shared" si="39"/>
        <v>0</v>
      </c>
      <c r="AW29" s="96">
        <f t="shared" si="40"/>
        <v>3282</v>
      </c>
      <c r="AX29" s="96">
        <f t="shared" si="41"/>
        <v>1641</v>
      </c>
      <c r="AY29" s="94">
        <f t="shared" si="70"/>
        <v>-114</v>
      </c>
      <c r="AZ29" s="94">
        <f t="shared" si="42"/>
        <v>-57</v>
      </c>
      <c r="BA29" s="94">
        <f t="shared" si="43"/>
        <v>14</v>
      </c>
      <c r="BB29" s="97">
        <f t="shared" si="44"/>
        <v>0</v>
      </c>
      <c r="BC29" s="93">
        <v>7</v>
      </c>
      <c r="BD29" s="93">
        <f t="shared" si="45"/>
        <v>0</v>
      </c>
      <c r="BE29" s="95">
        <f t="shared" si="46"/>
        <v>1</v>
      </c>
      <c r="BF29" s="58">
        <f t="shared" si="47"/>
        <v>7</v>
      </c>
      <c r="BG29" s="94">
        <f t="shared" si="48"/>
        <v>7</v>
      </c>
      <c r="BH29" s="89"/>
      <c r="BI29" s="89"/>
      <c r="BJ29" s="92">
        <f t="shared" si="92"/>
        <v>3860</v>
      </c>
      <c r="BK29" s="89"/>
      <c r="BL29" s="89"/>
      <c r="BM29" s="89"/>
      <c r="BN29" s="92"/>
      <c r="BO29" s="92">
        <f t="shared" si="71"/>
        <v>0</v>
      </c>
      <c r="BP29" s="92">
        <f t="shared" si="71"/>
        <v>20</v>
      </c>
      <c r="BQ29" s="96">
        <f t="shared" si="49"/>
        <v>3880</v>
      </c>
      <c r="BR29" s="96">
        <f t="shared" si="50"/>
        <v>1940</v>
      </c>
      <c r="BS29" s="96">
        <f t="shared" si="72"/>
        <v>-82</v>
      </c>
      <c r="BT29" s="96">
        <f t="shared" si="51"/>
        <v>-41</v>
      </c>
      <c r="BU29" s="92">
        <f t="shared" si="16"/>
        <v>3571</v>
      </c>
      <c r="BV29" s="98">
        <f t="shared" si="17"/>
        <v>13</v>
      </c>
      <c r="BW29" s="92">
        <f t="shared" si="18"/>
        <v>-98</v>
      </c>
      <c r="BX29" s="98" t="str">
        <f t="shared" si="52"/>
        <v/>
      </c>
      <c r="BY29" s="61">
        <f>IFERROR(BF29+AL29,0)</f>
        <v>13</v>
      </c>
      <c r="BZ29" s="62">
        <f t="shared" si="53"/>
        <v>13</v>
      </c>
      <c r="CA29" s="98">
        <f t="shared" si="54"/>
        <v>7.1619999999999999</v>
      </c>
      <c r="CB29" s="92">
        <f t="shared" si="19"/>
        <v>3581</v>
      </c>
      <c r="CC29" s="92">
        <f t="shared" si="19"/>
        <v>-196</v>
      </c>
      <c r="CD29" s="92">
        <f t="shared" si="19"/>
        <v>-98</v>
      </c>
      <c r="CE29" s="99"/>
      <c r="CF29" s="99"/>
      <c r="CG29" s="51">
        <f t="shared" si="55"/>
        <v>0</v>
      </c>
      <c r="CH29" s="62">
        <f t="shared" si="56"/>
        <v>0</v>
      </c>
      <c r="CI29" s="89"/>
      <c r="CJ29" s="89">
        <v>3282</v>
      </c>
      <c r="CK29" s="89"/>
      <c r="CL29" s="96"/>
      <c r="CM29" s="89"/>
      <c r="CN29" s="89">
        <v>3860</v>
      </c>
      <c r="CO29" s="92"/>
      <c r="CP29" s="101">
        <v>20</v>
      </c>
      <c r="CQ29" s="102">
        <f t="shared" si="88"/>
        <v>1641</v>
      </c>
      <c r="CR29" s="102">
        <f t="shared" si="88"/>
        <v>0</v>
      </c>
      <c r="CS29" s="102">
        <f t="shared" si="88"/>
        <v>0</v>
      </c>
      <c r="CT29" s="92">
        <f t="shared" si="58"/>
        <v>1930</v>
      </c>
      <c r="CU29" s="92">
        <f t="shared" si="89"/>
        <v>0</v>
      </c>
      <c r="CV29" s="103">
        <f t="shared" si="89"/>
        <v>10</v>
      </c>
      <c r="CW29" s="104"/>
      <c r="CX29" s="105">
        <v>48</v>
      </c>
      <c r="CY29" s="106">
        <f t="shared" si="60"/>
        <v>875</v>
      </c>
      <c r="CZ29" s="106">
        <f t="shared" si="61"/>
        <v>388.8</v>
      </c>
      <c r="DA29" s="106"/>
      <c r="DB29" s="106"/>
      <c r="DC29" s="105"/>
      <c r="DD29" s="107"/>
      <c r="DE29" s="92">
        <f t="shared" si="21"/>
        <v>1641</v>
      </c>
      <c r="DF29" s="108">
        <f t="shared" si="22"/>
        <v>6</v>
      </c>
      <c r="DG29" s="112">
        <f t="shared" si="23"/>
        <v>-57</v>
      </c>
      <c r="DH29" s="110">
        <f t="shared" si="24"/>
        <v>1930</v>
      </c>
      <c r="DI29" s="108">
        <f t="shared" si="25"/>
        <v>7</v>
      </c>
      <c r="DJ29" s="112">
        <f t="shared" si="26"/>
        <v>-41</v>
      </c>
      <c r="DK29" s="110">
        <f t="shared" si="87"/>
        <v>3571</v>
      </c>
      <c r="DL29" s="108">
        <f t="shared" si="87"/>
        <v>13</v>
      </c>
      <c r="DM29" s="111">
        <f t="shared" si="87"/>
        <v>-98</v>
      </c>
      <c r="DN29" s="76">
        <f t="shared" si="90"/>
        <v>5</v>
      </c>
      <c r="DO29" s="76">
        <f t="shared" si="90"/>
        <v>15</v>
      </c>
      <c r="DP29" s="112"/>
      <c r="DQ29" s="112"/>
      <c r="DR29" s="113" t="s">
        <v>197</v>
      </c>
      <c r="DS29" s="112"/>
      <c r="DT29" s="112"/>
      <c r="DU29" s="111"/>
      <c r="DV29" s="114"/>
      <c r="DW29" s="80">
        <f>IFERROR(AL29+BF29,"")</f>
        <v>13</v>
      </c>
      <c r="DX29" s="81">
        <f t="shared" si="29"/>
        <v>3486</v>
      </c>
      <c r="DY29" s="80">
        <f t="shared" si="63"/>
        <v>3581</v>
      </c>
      <c r="DZ29" s="82">
        <f t="shared" si="64"/>
        <v>0.02</v>
      </c>
      <c r="EA29" s="82">
        <f t="shared" si="65"/>
        <v>7.1420000000000003</v>
      </c>
      <c r="EB29" s="82" t="e">
        <f t="shared" si="66"/>
        <v>#VALUE!</v>
      </c>
      <c r="EC29" s="82" t="e">
        <f>(BX29-CA29)+((AV29+BP29)/1000)</f>
        <v>#VALUE!</v>
      </c>
      <c r="EF29" s="83">
        <f t="shared" si="93"/>
        <v>-98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1"/>
        <v>GWA6063-T5-T15x8.6x3-H9E14</v>
      </c>
      <c r="H30" s="46" t="str">
        <f t="shared" si="32"/>
        <v>A6063-T5GW158.6TH9</v>
      </c>
      <c r="I30" s="46" t="str">
        <f t="shared" si="33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4"/>
        <v>26</v>
      </c>
      <c r="T30" s="51">
        <v>0</v>
      </c>
      <c r="U30" s="92">
        <v>40</v>
      </c>
      <c r="V30" s="108">
        <v>3</v>
      </c>
      <c r="W30" s="93">
        <f t="shared" si="5"/>
        <v>0</v>
      </c>
      <c r="X30" s="93">
        <f t="shared" si="6"/>
        <v>2633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5</v>
      </c>
      <c r="AE30" s="93">
        <f t="shared" si="35"/>
        <v>2633</v>
      </c>
      <c r="AF30" s="54">
        <f t="shared" si="36"/>
        <v>2633</v>
      </c>
      <c r="AG30" s="94">
        <f t="shared" si="67"/>
        <v>0</v>
      </c>
      <c r="AH30" s="56">
        <f t="shared" si="13"/>
        <v>0</v>
      </c>
      <c r="AI30" s="93">
        <v>7</v>
      </c>
      <c r="AJ30" s="93">
        <f t="shared" si="68"/>
        <v>0</v>
      </c>
      <c r="AK30" s="95">
        <f t="shared" si="37"/>
        <v>1</v>
      </c>
      <c r="AL30" s="58">
        <f t="shared" si="38"/>
        <v>7</v>
      </c>
      <c r="AM30" s="55">
        <f t="shared" si="69"/>
        <v>33</v>
      </c>
      <c r="AN30" s="93"/>
      <c r="AO30" s="96"/>
      <c r="AP30" s="96">
        <f t="shared" si="91"/>
        <v>3400</v>
      </c>
      <c r="AQ30" s="96"/>
      <c r="AR30" s="96"/>
      <c r="AS30" s="96"/>
      <c r="AT30" s="96"/>
      <c r="AU30" s="96">
        <f t="shared" si="39"/>
        <v>0</v>
      </c>
      <c r="AV30" s="96">
        <f t="shared" si="39"/>
        <v>5</v>
      </c>
      <c r="AW30" s="96">
        <f t="shared" si="40"/>
        <v>3405</v>
      </c>
      <c r="AX30" s="96">
        <f t="shared" si="41"/>
        <v>1135</v>
      </c>
      <c r="AY30" s="94">
        <f t="shared" si="70"/>
        <v>-123</v>
      </c>
      <c r="AZ30" s="94">
        <f t="shared" si="42"/>
        <v>-41</v>
      </c>
      <c r="BA30" s="94">
        <f t="shared" si="43"/>
        <v>33</v>
      </c>
      <c r="BB30" s="97">
        <f t="shared" si="44"/>
        <v>0</v>
      </c>
      <c r="BC30" s="93">
        <v>9</v>
      </c>
      <c r="BD30" s="93">
        <f t="shared" si="45"/>
        <v>0</v>
      </c>
      <c r="BE30" s="95">
        <f t="shared" si="46"/>
        <v>1</v>
      </c>
      <c r="BF30" s="58">
        <f t="shared" si="47"/>
        <v>9</v>
      </c>
      <c r="BG30" s="94">
        <f t="shared" si="48"/>
        <v>24</v>
      </c>
      <c r="BH30" s="89"/>
      <c r="BI30" s="89"/>
      <c r="BJ30" s="92">
        <f t="shared" si="92"/>
        <v>4500</v>
      </c>
      <c r="BK30" s="89"/>
      <c r="BL30" s="89"/>
      <c r="BM30" s="89"/>
      <c r="BN30" s="89"/>
      <c r="BO30" s="92">
        <f t="shared" si="71"/>
        <v>0</v>
      </c>
      <c r="BP30" s="92">
        <f t="shared" si="71"/>
        <v>10</v>
      </c>
      <c r="BQ30" s="96">
        <f t="shared" si="49"/>
        <v>4510</v>
      </c>
      <c r="BR30" s="96">
        <f t="shared" si="50"/>
        <v>1503</v>
      </c>
      <c r="BS30" s="96">
        <f t="shared" si="72"/>
        <v>-26</v>
      </c>
      <c r="BT30" s="96">
        <f t="shared" si="51"/>
        <v>-8.6666666666666661</v>
      </c>
      <c r="BU30" s="92">
        <f t="shared" si="16"/>
        <v>2633</v>
      </c>
      <c r="BV30" s="98">
        <f t="shared" si="17"/>
        <v>16</v>
      </c>
      <c r="BW30" s="92">
        <f t="shared" si="18"/>
        <v>-49.666666666666664</v>
      </c>
      <c r="BX30" s="98">
        <f t="shared" si="52"/>
        <v>12.08</v>
      </c>
      <c r="BY30" s="61">
        <f>IFERROR(BF30+AL30,0)</f>
        <v>16</v>
      </c>
      <c r="BZ30" s="62">
        <f t="shared" si="53"/>
        <v>16</v>
      </c>
      <c r="CA30" s="98">
        <f t="shared" si="54"/>
        <v>7.915</v>
      </c>
      <c r="CB30" s="92">
        <f t="shared" si="19"/>
        <v>2638</v>
      </c>
      <c r="CC30" s="92">
        <f t="shared" si="19"/>
        <v>-149</v>
      </c>
      <c r="CD30" s="92">
        <f t="shared" si="19"/>
        <v>-49.666666666666664</v>
      </c>
      <c r="CE30" s="99"/>
      <c r="CF30" s="99"/>
      <c r="CG30" s="51">
        <f t="shared" si="55"/>
        <v>4.18</v>
      </c>
      <c r="CH30" s="62">
        <f t="shared" si="56"/>
        <v>4.18</v>
      </c>
      <c r="CI30" s="89"/>
      <c r="CJ30" s="89">
        <v>3400</v>
      </c>
      <c r="CK30" s="89"/>
      <c r="CL30" s="96">
        <v>5</v>
      </c>
      <c r="CM30" s="89"/>
      <c r="CN30" s="89">
        <v>4500</v>
      </c>
      <c r="CO30" s="92"/>
      <c r="CP30" s="101">
        <v>10</v>
      </c>
      <c r="CQ30" s="102">
        <f t="shared" si="88"/>
        <v>1133</v>
      </c>
      <c r="CR30" s="102">
        <f t="shared" si="88"/>
        <v>0</v>
      </c>
      <c r="CS30" s="102">
        <f t="shared" si="88"/>
        <v>1</v>
      </c>
      <c r="CT30" s="92">
        <f t="shared" si="58"/>
        <v>1500</v>
      </c>
      <c r="CU30" s="92">
        <f t="shared" si="89"/>
        <v>0</v>
      </c>
      <c r="CV30" s="103">
        <f t="shared" si="89"/>
        <v>4</v>
      </c>
      <c r="CW30" s="104"/>
      <c r="CX30" s="105">
        <v>18</v>
      </c>
      <c r="CY30" s="106">
        <f t="shared" si="60"/>
        <v>2150</v>
      </c>
      <c r="CZ30" s="106">
        <f t="shared" si="61"/>
        <v>145.80000000000001</v>
      </c>
      <c r="DA30" s="106"/>
      <c r="DB30" s="106"/>
      <c r="DC30" s="105"/>
      <c r="DD30" s="107"/>
      <c r="DE30" s="92">
        <f t="shared" si="21"/>
        <v>1133</v>
      </c>
      <c r="DF30" s="108">
        <f t="shared" si="22"/>
        <v>7</v>
      </c>
      <c r="DG30" s="112">
        <f>IFERROR(AZ30,"")</f>
        <v>-41</v>
      </c>
      <c r="DH30" s="110">
        <f t="shared" si="24"/>
        <v>1500</v>
      </c>
      <c r="DI30" s="108">
        <f t="shared" si="25"/>
        <v>9</v>
      </c>
      <c r="DJ30" s="112">
        <f t="shared" si="26"/>
        <v>-8.6666666666666661</v>
      </c>
      <c r="DK30" s="110">
        <f t="shared" si="87"/>
        <v>2633</v>
      </c>
      <c r="DL30" s="108">
        <f t="shared" si="87"/>
        <v>16</v>
      </c>
      <c r="DM30" s="111">
        <f t="shared" si="87"/>
        <v>-49.666666666666664</v>
      </c>
      <c r="DN30" s="76">
        <f t="shared" si="90"/>
        <v>0</v>
      </c>
      <c r="DO30" s="76">
        <f t="shared" si="90"/>
        <v>40</v>
      </c>
      <c r="DP30" s="112"/>
      <c r="DQ30" s="112"/>
      <c r="DR30" s="113" t="s">
        <v>201</v>
      </c>
      <c r="DS30" s="112"/>
      <c r="DT30" s="112"/>
      <c r="DU30" s="111"/>
      <c r="DV30" s="114"/>
      <c r="DW30" s="80">
        <f t="shared" si="62"/>
        <v>2649</v>
      </c>
      <c r="DX30" s="81">
        <f t="shared" si="29"/>
        <v>2599.3333333333335</v>
      </c>
      <c r="DY30" s="80">
        <f t="shared" si="63"/>
        <v>2638</v>
      </c>
      <c r="DZ30" s="82">
        <f t="shared" si="64"/>
        <v>1.4999999999999999E-2</v>
      </c>
      <c r="EA30" s="82">
        <f t="shared" si="65"/>
        <v>7.899</v>
      </c>
      <c r="EB30" s="82">
        <f t="shared" si="66"/>
        <v>4.181</v>
      </c>
      <c r="EC30" s="82">
        <f t="shared" si="76"/>
        <v>4.1959999999999997</v>
      </c>
      <c r="EF30" s="83">
        <f t="shared" si="93"/>
        <v>-49.666666666666664</v>
      </c>
    </row>
    <row r="31" spans="1:136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1"/>
        <v>YHC3604-4x3-H9A14</v>
      </c>
      <c r="H31" s="46" t="str">
        <f t="shared" si="32"/>
        <v>C3604YH40DH9</v>
      </c>
      <c r="I31" s="46" t="str">
        <f t="shared" si="33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4"/>
        <v>36</v>
      </c>
      <c r="T31" s="51">
        <v>29</v>
      </c>
      <c r="U31" s="92">
        <v>51</v>
      </c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1949</v>
      </c>
      <c r="AC31" s="93">
        <f t="shared" si="11"/>
        <v>1284</v>
      </c>
      <c r="AD31" s="93">
        <f t="shared" si="12"/>
        <v>0</v>
      </c>
      <c r="AE31" s="93">
        <f t="shared" si="35"/>
        <v>3233</v>
      </c>
      <c r="AF31" s="54">
        <f t="shared" si="36"/>
        <v>3233</v>
      </c>
      <c r="AG31" s="94">
        <f t="shared" si="67"/>
        <v>29</v>
      </c>
      <c r="AH31" s="56">
        <f t="shared" si="13"/>
        <v>0</v>
      </c>
      <c r="AI31" s="93">
        <v>19</v>
      </c>
      <c r="AJ31" s="93">
        <f t="shared" si="68"/>
        <v>0</v>
      </c>
      <c r="AK31" s="95">
        <f t="shared" si="37"/>
        <v>1</v>
      </c>
      <c r="AL31" s="58">
        <f t="shared" si="38"/>
        <v>19</v>
      </c>
      <c r="AM31" s="55">
        <f t="shared" si="69"/>
        <v>61</v>
      </c>
      <c r="AN31" s="93"/>
      <c r="AO31" s="96"/>
      <c r="AP31" s="96"/>
      <c r="AQ31" s="96"/>
      <c r="AR31" s="96"/>
      <c r="AS31" s="96"/>
      <c r="AT31" s="96">
        <f t="shared" ref="AT31" si="94">$CJ31</f>
        <v>1491</v>
      </c>
      <c r="AU31" s="96">
        <f t="shared" si="39"/>
        <v>983</v>
      </c>
      <c r="AV31" s="96">
        <f t="shared" si="39"/>
        <v>0</v>
      </c>
      <c r="AW31" s="96">
        <f t="shared" si="40"/>
        <v>2474</v>
      </c>
      <c r="AX31" s="96">
        <f t="shared" si="41"/>
        <v>3233</v>
      </c>
      <c r="AY31" s="94">
        <f t="shared" si="70"/>
        <v>-26.019999999999982</v>
      </c>
      <c r="AZ31" s="94">
        <f t="shared" si="42"/>
        <v>-34.013071895424815</v>
      </c>
      <c r="BA31" s="94">
        <f t="shared" si="43"/>
        <v>61</v>
      </c>
      <c r="BB31" s="97">
        <f t="shared" si="44"/>
        <v>0</v>
      </c>
      <c r="BC31" s="93"/>
      <c r="BD31" s="93">
        <f t="shared" si="45"/>
        <v>0</v>
      </c>
      <c r="BE31" s="95">
        <f t="shared" si="46"/>
        <v>1</v>
      </c>
      <c r="BF31" s="58">
        <f t="shared" si="47"/>
        <v>0</v>
      </c>
      <c r="BG31" s="94">
        <f t="shared" si="48"/>
        <v>61</v>
      </c>
      <c r="BH31" s="89"/>
      <c r="BI31" s="89"/>
      <c r="BJ31" s="92"/>
      <c r="BK31" s="89"/>
      <c r="BL31" s="89"/>
      <c r="BM31" s="92"/>
      <c r="BN31" s="92">
        <f t="shared" ref="BN31" si="95">$CN31</f>
        <v>0</v>
      </c>
      <c r="BO31" s="92">
        <f t="shared" si="71"/>
        <v>0</v>
      </c>
      <c r="BP31" s="92">
        <f t="shared" si="71"/>
        <v>0</v>
      </c>
      <c r="BQ31" s="96">
        <f t="shared" si="49"/>
        <v>0</v>
      </c>
      <c r="BR31" s="96">
        <f t="shared" si="50"/>
        <v>0</v>
      </c>
      <c r="BS31" s="96">
        <f t="shared" si="72"/>
        <v>0</v>
      </c>
      <c r="BT31" s="96">
        <f t="shared" si="51"/>
        <v>0</v>
      </c>
      <c r="BU31" s="92">
        <f t="shared" si="16"/>
        <v>3233</v>
      </c>
      <c r="BV31" s="98">
        <f t="shared" si="17"/>
        <v>19</v>
      </c>
      <c r="BW31" s="92">
        <f t="shared" si="18"/>
        <v>-34.013071895424815</v>
      </c>
      <c r="BX31" s="98">
        <f t="shared" si="52"/>
        <v>3.173</v>
      </c>
      <c r="BY31" s="61">
        <f t="shared" si="74"/>
        <v>19</v>
      </c>
      <c r="BZ31" s="62">
        <f t="shared" si="53"/>
        <v>19</v>
      </c>
      <c r="CA31" s="98">
        <f t="shared" si="54"/>
        <v>2.4740000000000002</v>
      </c>
      <c r="CB31" s="92">
        <f t="shared" si="19"/>
        <v>3233</v>
      </c>
      <c r="CC31" s="92">
        <f t="shared" si="19"/>
        <v>-26.019999999999982</v>
      </c>
      <c r="CD31" s="92">
        <f t="shared" si="19"/>
        <v>-34.013071895424815</v>
      </c>
      <c r="CE31" s="99"/>
      <c r="CF31" s="99"/>
      <c r="CG31" s="51">
        <f t="shared" si="55"/>
        <v>0.69899999999999984</v>
      </c>
      <c r="CH31" s="62">
        <f t="shared" si="56"/>
        <v>0.69899999999999984</v>
      </c>
      <c r="CI31" s="89"/>
      <c r="CJ31" s="89">
        <v>1491</v>
      </c>
      <c r="CK31" s="89">
        <v>983</v>
      </c>
      <c r="CL31" s="96"/>
      <c r="CM31" s="89"/>
      <c r="CN31" s="89"/>
      <c r="CO31" s="92"/>
      <c r="CP31" s="101"/>
      <c r="CQ31" s="102">
        <f t="shared" si="88"/>
        <v>1949</v>
      </c>
      <c r="CR31" s="102">
        <f t="shared" si="88"/>
        <v>1284</v>
      </c>
      <c r="CS31" s="102">
        <f t="shared" si="88"/>
        <v>0</v>
      </c>
      <c r="CT31" s="92">
        <f t="shared" si="58"/>
        <v>0</v>
      </c>
      <c r="CU31" s="92">
        <f t="shared" si="89"/>
        <v>0</v>
      </c>
      <c r="CV31" s="103">
        <f t="shared" si="89"/>
        <v>0</v>
      </c>
      <c r="CW31" s="104" t="s">
        <v>157</v>
      </c>
      <c r="CX31" s="105">
        <v>14</v>
      </c>
      <c r="CY31" s="106">
        <f t="shared" si="60"/>
        <v>3051</v>
      </c>
      <c r="CZ31" s="106">
        <f t="shared" si="61"/>
        <v>56.7</v>
      </c>
      <c r="DA31" s="106"/>
      <c r="DB31" s="106"/>
      <c r="DC31" s="105"/>
      <c r="DD31" s="107"/>
      <c r="DE31" s="92">
        <f t="shared" si="21"/>
        <v>3233</v>
      </c>
      <c r="DF31" s="108">
        <f t="shared" si="22"/>
        <v>19</v>
      </c>
      <c r="DG31" s="112">
        <f t="shared" si="23"/>
        <v>-34.013071895424815</v>
      </c>
      <c r="DH31" s="110">
        <f t="shared" si="24"/>
        <v>0</v>
      </c>
      <c r="DI31" s="108">
        <f t="shared" si="25"/>
        <v>0</v>
      </c>
      <c r="DJ31" s="112">
        <f t="shared" si="26"/>
        <v>0</v>
      </c>
      <c r="DK31" s="110">
        <f t="shared" si="87"/>
        <v>3233</v>
      </c>
      <c r="DL31" s="108">
        <f t="shared" si="87"/>
        <v>19</v>
      </c>
      <c r="DM31" s="111">
        <f t="shared" si="87"/>
        <v>-34.013071895424815</v>
      </c>
      <c r="DN31" s="76">
        <f t="shared" si="90"/>
        <v>29</v>
      </c>
      <c r="DO31" s="76">
        <f t="shared" si="90"/>
        <v>51</v>
      </c>
      <c r="DP31" s="112"/>
      <c r="DQ31" s="112"/>
      <c r="DR31" s="113" t="s">
        <v>204</v>
      </c>
      <c r="DS31" s="112"/>
      <c r="DT31" s="112"/>
      <c r="DU31" s="111"/>
      <c r="DV31" s="114"/>
      <c r="DW31" s="80">
        <f t="shared" si="62"/>
        <v>3252</v>
      </c>
      <c r="DX31" s="81">
        <f t="shared" si="29"/>
        <v>3217.9869281045753</v>
      </c>
      <c r="DY31" s="80">
        <f t="shared" si="63"/>
        <v>3233</v>
      </c>
      <c r="DZ31" s="82">
        <f t="shared" si="64"/>
        <v>0</v>
      </c>
      <c r="EA31" s="82">
        <f t="shared" si="65"/>
        <v>2.4732449999999999</v>
      </c>
      <c r="EB31" s="82">
        <f t="shared" si="66"/>
        <v>0.69975500000000013</v>
      </c>
      <c r="EC31" s="82">
        <f t="shared" si="76"/>
        <v>0.69975500000000013</v>
      </c>
      <c r="EF31" s="83">
        <f t="shared" si="93"/>
        <v>-34.013071895424815</v>
      </c>
    </row>
    <row r="32" spans="1:136" ht="14.1" customHeight="1">
      <c r="A32" s="84">
        <v>25</v>
      </c>
      <c r="B32" s="85" t="s">
        <v>205</v>
      </c>
      <c r="C32" s="86"/>
      <c r="D32" s="119" t="s">
        <v>206</v>
      </c>
      <c r="E32" s="88">
        <v>328</v>
      </c>
      <c r="F32" s="89" t="s">
        <v>136</v>
      </c>
      <c r="G32" s="45" t="str">
        <f t="shared" si="31"/>
        <v>WZ12L14-H13x3-H11A08</v>
      </c>
      <c r="H32" s="46" t="str">
        <f t="shared" si="32"/>
        <v>12L14WZ130HH11</v>
      </c>
      <c r="I32" s="46" t="str">
        <f t="shared" si="33"/>
        <v>12L14WZ130HH113A08</v>
      </c>
      <c r="J32" s="90" t="s">
        <v>137</v>
      </c>
      <c r="K32" s="90" t="s">
        <v>207</v>
      </c>
      <c r="L32" s="90">
        <v>13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3.4129999999999998</v>
      </c>
      <c r="R32" s="90" t="s">
        <v>208</v>
      </c>
      <c r="S32" s="89">
        <f t="shared" si="34"/>
        <v>10</v>
      </c>
      <c r="T32" s="51">
        <v>14</v>
      </c>
      <c r="U32" s="92"/>
      <c r="V32" s="89">
        <v>2.14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5"/>
        <v>0</v>
      </c>
      <c r="AF32" s="54">
        <f t="shared" si="36"/>
        <v>0</v>
      </c>
      <c r="AG32" s="94">
        <f t="shared" si="67"/>
        <v>14</v>
      </c>
      <c r="AH32" s="56">
        <f t="shared" si="13"/>
        <v>0</v>
      </c>
      <c r="AI32" s="93"/>
      <c r="AJ32" s="93">
        <f t="shared" si="68"/>
        <v>0</v>
      </c>
      <c r="AK32" s="95">
        <f t="shared" si="37"/>
        <v>1</v>
      </c>
      <c r="AL32" s="58">
        <f t="shared" si="38"/>
        <v>0</v>
      </c>
      <c r="AM32" s="55">
        <f t="shared" si="69"/>
        <v>14</v>
      </c>
      <c r="AN32" s="93"/>
      <c r="AO32" s="96"/>
      <c r="AP32" s="96">
        <f t="shared" si="91"/>
        <v>0</v>
      </c>
      <c r="AQ32" s="96"/>
      <c r="AR32" s="96"/>
      <c r="AS32" s="96"/>
      <c r="AT32" s="96"/>
      <c r="AU32" s="96">
        <f t="shared" si="39"/>
        <v>0</v>
      </c>
      <c r="AV32" s="96">
        <f t="shared" si="39"/>
        <v>0</v>
      </c>
      <c r="AW32" s="96">
        <f t="shared" si="40"/>
        <v>0</v>
      </c>
      <c r="AX32" s="96">
        <f t="shared" si="41"/>
        <v>0</v>
      </c>
      <c r="AY32" s="94">
        <f t="shared" si="70"/>
        <v>0</v>
      </c>
      <c r="AZ32" s="94">
        <f t="shared" si="42"/>
        <v>0</v>
      </c>
      <c r="BA32" s="94">
        <f t="shared" si="43"/>
        <v>14</v>
      </c>
      <c r="BB32" s="97">
        <f t="shared" si="44"/>
        <v>0</v>
      </c>
      <c r="BC32" s="93"/>
      <c r="BD32" s="93">
        <f t="shared" si="45"/>
        <v>0</v>
      </c>
      <c r="BE32" s="95">
        <f t="shared" si="46"/>
        <v>1</v>
      </c>
      <c r="BF32" s="58">
        <f t="shared" si="47"/>
        <v>0</v>
      </c>
      <c r="BG32" s="94">
        <f t="shared" si="48"/>
        <v>14</v>
      </c>
      <c r="BH32" s="89"/>
      <c r="BI32" s="89"/>
      <c r="BJ32" s="92">
        <f t="shared" si="92"/>
        <v>0</v>
      </c>
      <c r="BK32" s="89"/>
      <c r="BL32" s="89"/>
      <c r="BM32" s="89"/>
      <c r="BN32" s="89"/>
      <c r="BO32" s="92">
        <f t="shared" si="71"/>
        <v>0</v>
      </c>
      <c r="BP32" s="92">
        <f t="shared" si="71"/>
        <v>0</v>
      </c>
      <c r="BQ32" s="96">
        <f t="shared" si="49"/>
        <v>0</v>
      </c>
      <c r="BR32" s="96">
        <f t="shared" si="50"/>
        <v>0</v>
      </c>
      <c r="BS32" s="96">
        <f t="shared" si="72"/>
        <v>0</v>
      </c>
      <c r="BT32" s="96">
        <f t="shared" si="51"/>
        <v>0</v>
      </c>
      <c r="BU32" s="92">
        <f t="shared" si="16"/>
        <v>0</v>
      </c>
      <c r="BV32" s="98">
        <f t="shared" si="17"/>
        <v>0</v>
      </c>
      <c r="BW32" s="92">
        <f t="shared" si="18"/>
        <v>0</v>
      </c>
      <c r="BX32" s="98">
        <f t="shared" si="52"/>
        <v>0</v>
      </c>
      <c r="BY32" s="61">
        <f t="shared" si="74"/>
        <v>0</v>
      </c>
      <c r="BZ32" s="62">
        <f t="shared" si="53"/>
        <v>0</v>
      </c>
      <c r="CA32" s="98">
        <f t="shared" si="54"/>
        <v>0</v>
      </c>
      <c r="CB32" s="92">
        <f t="shared" si="19"/>
        <v>0</v>
      </c>
      <c r="CC32" s="92">
        <f t="shared" si="19"/>
        <v>0</v>
      </c>
      <c r="CD32" s="92">
        <f t="shared" si="19"/>
        <v>0</v>
      </c>
      <c r="CE32" s="99"/>
      <c r="CF32" s="99"/>
      <c r="CG32" s="51">
        <f t="shared" si="55"/>
        <v>0</v>
      </c>
      <c r="CH32" s="62">
        <f t="shared" si="56"/>
        <v>0</v>
      </c>
      <c r="CI32" s="89"/>
      <c r="CJ32" s="89"/>
      <c r="CK32" s="89"/>
      <c r="CL32" s="96"/>
      <c r="CM32" s="89"/>
      <c r="CN32" s="89"/>
      <c r="CO32" s="92"/>
      <c r="CP32" s="101"/>
      <c r="CQ32" s="102">
        <f t="shared" si="88"/>
        <v>0</v>
      </c>
      <c r="CR32" s="102">
        <f t="shared" si="88"/>
        <v>0</v>
      </c>
      <c r="CS32" s="102">
        <f t="shared" si="88"/>
        <v>0</v>
      </c>
      <c r="CT32" s="92">
        <f t="shared" si="58"/>
        <v>0</v>
      </c>
      <c r="CU32" s="92">
        <f t="shared" si="89"/>
        <v>0</v>
      </c>
      <c r="CV32" s="103">
        <f t="shared" si="89"/>
        <v>0</v>
      </c>
      <c r="CW32" s="104"/>
      <c r="CX32" s="105">
        <v>24</v>
      </c>
      <c r="CY32" s="106">
        <f t="shared" si="60"/>
        <v>1725</v>
      </c>
      <c r="CZ32" s="106">
        <f t="shared" si="61"/>
        <v>194.4</v>
      </c>
      <c r="DA32" s="106"/>
      <c r="DB32" s="106"/>
      <c r="DC32" s="105"/>
      <c r="DD32" s="107"/>
      <c r="DE32" s="92">
        <f t="shared" si="21"/>
        <v>0</v>
      </c>
      <c r="DF32" s="108">
        <f t="shared" si="22"/>
        <v>0</v>
      </c>
      <c r="DG32" s="112">
        <f t="shared" si="23"/>
        <v>0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7"/>
        <v>0</v>
      </c>
      <c r="DL32" s="108">
        <f t="shared" si="87"/>
        <v>0</v>
      </c>
      <c r="DM32" s="111">
        <f t="shared" si="87"/>
        <v>0</v>
      </c>
      <c r="DN32" s="76">
        <f t="shared" si="90"/>
        <v>14</v>
      </c>
      <c r="DO32" s="76">
        <f t="shared" si="90"/>
        <v>0</v>
      </c>
      <c r="DP32" s="112"/>
      <c r="DQ32" s="112"/>
      <c r="DR32" s="113" t="s">
        <v>209</v>
      </c>
      <c r="DS32" s="112"/>
      <c r="DT32" s="112"/>
      <c r="DU32" s="111"/>
      <c r="DV32" s="114"/>
      <c r="DW32" s="80">
        <f t="shared" si="62"/>
        <v>0</v>
      </c>
      <c r="DX32" s="81">
        <f t="shared" si="29"/>
        <v>0</v>
      </c>
      <c r="DY32" s="80">
        <f t="shared" si="63"/>
        <v>0</v>
      </c>
      <c r="DZ32" s="82">
        <f t="shared" si="64"/>
        <v>0</v>
      </c>
      <c r="EA32" s="82">
        <f t="shared" si="65"/>
        <v>0</v>
      </c>
      <c r="EB32" s="82">
        <f t="shared" si="66"/>
        <v>0</v>
      </c>
      <c r="EC32" s="82">
        <f t="shared" si="76"/>
        <v>0</v>
      </c>
      <c r="EF32" s="83">
        <f t="shared" si="93"/>
        <v>0</v>
      </c>
    </row>
    <row r="33" spans="1:136" ht="15" customHeight="1">
      <c r="A33" s="84">
        <v>26</v>
      </c>
      <c r="B33" s="85" t="s">
        <v>210</v>
      </c>
      <c r="C33" s="86"/>
      <c r="D33" s="116" t="s">
        <v>211</v>
      </c>
      <c r="E33" s="88">
        <v>24</v>
      </c>
      <c r="F33" s="89" t="s">
        <v>147</v>
      </c>
      <c r="G33" s="45" t="str">
        <f t="shared" si="31"/>
        <v>YHC3604-4x3-H9A14</v>
      </c>
      <c r="H33" s="46" t="str">
        <f t="shared" si="32"/>
        <v>C3604YH40DH9</v>
      </c>
      <c r="I33" s="46" t="str">
        <f t="shared" si="33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4"/>
        <v>272</v>
      </c>
      <c r="T33" s="51">
        <v>0</v>
      </c>
      <c r="U33" s="92"/>
      <c r="V33" s="89">
        <v>11.6</v>
      </c>
      <c r="W33" s="93">
        <f t="shared" si="5"/>
        <v>0</v>
      </c>
      <c r="X33" s="93">
        <f t="shared" si="6"/>
        <v>0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0</v>
      </c>
      <c r="AE33" s="93">
        <f t="shared" si="35"/>
        <v>0</v>
      </c>
      <c r="AF33" s="54">
        <f t="shared" si="36"/>
        <v>0</v>
      </c>
      <c r="AG33" s="94">
        <f t="shared" si="67"/>
        <v>0</v>
      </c>
      <c r="AH33" s="56">
        <f t="shared" si="13"/>
        <v>0</v>
      </c>
      <c r="AI33" s="93"/>
      <c r="AJ33" s="93">
        <f t="shared" si="68"/>
        <v>0</v>
      </c>
      <c r="AK33" s="95">
        <f t="shared" si="37"/>
        <v>1</v>
      </c>
      <c r="AL33" s="58">
        <f t="shared" si="38"/>
        <v>0</v>
      </c>
      <c r="AM33" s="55">
        <f t="shared" si="69"/>
        <v>0</v>
      </c>
      <c r="AN33" s="93"/>
      <c r="AO33" s="96"/>
      <c r="AP33" s="96">
        <f t="shared" si="91"/>
        <v>0</v>
      </c>
      <c r="AQ33" s="96"/>
      <c r="AR33" s="96"/>
      <c r="AS33" s="96"/>
      <c r="AT33" s="96"/>
      <c r="AU33" s="96">
        <f t="shared" si="39"/>
        <v>0</v>
      </c>
      <c r="AV33" s="96">
        <f t="shared" si="39"/>
        <v>0</v>
      </c>
      <c r="AW33" s="96">
        <f t="shared" si="40"/>
        <v>0</v>
      </c>
      <c r="AX33" s="96">
        <f t="shared" si="41"/>
        <v>0</v>
      </c>
      <c r="AY33" s="94">
        <f t="shared" si="70"/>
        <v>0</v>
      </c>
      <c r="AZ33" s="94">
        <f t="shared" si="42"/>
        <v>0</v>
      </c>
      <c r="BA33" s="94">
        <f t="shared" si="43"/>
        <v>0</v>
      </c>
      <c r="BB33" s="97">
        <f t="shared" si="44"/>
        <v>0</v>
      </c>
      <c r="BC33" s="93"/>
      <c r="BD33" s="93">
        <f t="shared" si="45"/>
        <v>0</v>
      </c>
      <c r="BE33" s="95">
        <f t="shared" si="46"/>
        <v>1</v>
      </c>
      <c r="BF33" s="58">
        <f t="shared" si="47"/>
        <v>0</v>
      </c>
      <c r="BG33" s="94">
        <f t="shared" si="48"/>
        <v>0</v>
      </c>
      <c r="BH33" s="89"/>
      <c r="BI33" s="89"/>
      <c r="BJ33" s="92">
        <f t="shared" si="92"/>
        <v>0</v>
      </c>
      <c r="BK33" s="89"/>
      <c r="BL33" s="89"/>
      <c r="BM33" s="89"/>
      <c r="BN33" s="89"/>
      <c r="BO33" s="92">
        <f t="shared" si="71"/>
        <v>0</v>
      </c>
      <c r="BP33" s="92">
        <f t="shared" si="71"/>
        <v>0</v>
      </c>
      <c r="BQ33" s="96">
        <f t="shared" si="49"/>
        <v>0</v>
      </c>
      <c r="BR33" s="96">
        <f t="shared" si="50"/>
        <v>0</v>
      </c>
      <c r="BS33" s="96">
        <f t="shared" si="72"/>
        <v>0</v>
      </c>
      <c r="BT33" s="96">
        <f t="shared" si="51"/>
        <v>0</v>
      </c>
      <c r="BU33" s="92">
        <f t="shared" si="16"/>
        <v>0</v>
      </c>
      <c r="BV33" s="98">
        <f t="shared" si="17"/>
        <v>0</v>
      </c>
      <c r="BW33" s="92">
        <f t="shared" si="18"/>
        <v>0</v>
      </c>
      <c r="BX33" s="98">
        <f t="shared" si="52"/>
        <v>0</v>
      </c>
      <c r="BY33" s="61">
        <f t="shared" si="74"/>
        <v>0</v>
      </c>
      <c r="BZ33" s="62">
        <f t="shared" si="53"/>
        <v>0</v>
      </c>
      <c r="CA33" s="98">
        <f t="shared" si="54"/>
        <v>0</v>
      </c>
      <c r="CB33" s="92">
        <f t="shared" si="19"/>
        <v>0</v>
      </c>
      <c r="CC33" s="92">
        <f t="shared" si="19"/>
        <v>0</v>
      </c>
      <c r="CD33" s="92">
        <f t="shared" si="19"/>
        <v>0</v>
      </c>
      <c r="CE33" s="99"/>
      <c r="CF33" s="99"/>
      <c r="CG33" s="51">
        <f t="shared" si="55"/>
        <v>0</v>
      </c>
      <c r="CH33" s="62">
        <f t="shared" si="56"/>
        <v>0</v>
      </c>
      <c r="CI33" s="89"/>
      <c r="CJ33" s="89"/>
      <c r="CK33" s="89"/>
      <c r="CL33" s="96"/>
      <c r="CM33" s="89"/>
      <c r="CN33" s="89"/>
      <c r="CO33" s="92"/>
      <c r="CP33" s="101"/>
      <c r="CQ33" s="102">
        <f t="shared" si="88"/>
        <v>0</v>
      </c>
      <c r="CR33" s="102">
        <f t="shared" si="88"/>
        <v>0</v>
      </c>
      <c r="CS33" s="102">
        <f t="shared" si="88"/>
        <v>0</v>
      </c>
      <c r="CT33" s="92">
        <f t="shared" si="58"/>
        <v>0</v>
      </c>
      <c r="CU33" s="92">
        <f t="shared" si="89"/>
        <v>0</v>
      </c>
      <c r="CV33" s="103">
        <f t="shared" si="89"/>
        <v>0</v>
      </c>
      <c r="CW33" s="104" t="s">
        <v>157</v>
      </c>
      <c r="CX33" s="105">
        <v>12</v>
      </c>
      <c r="CY33" s="106">
        <f t="shared" si="60"/>
        <v>3262</v>
      </c>
      <c r="CZ33" s="106">
        <f t="shared" si="61"/>
        <v>48.6</v>
      </c>
      <c r="DA33" s="106"/>
      <c r="DB33" s="106"/>
      <c r="DC33" s="105"/>
      <c r="DD33" s="107"/>
      <c r="DE33" s="92">
        <f t="shared" si="21"/>
        <v>0</v>
      </c>
      <c r="DF33" s="108">
        <f t="shared" si="22"/>
        <v>0</v>
      </c>
      <c r="DG33" s="112">
        <f t="shared" si="23"/>
        <v>0</v>
      </c>
      <c r="DH33" s="110">
        <f t="shared" si="24"/>
        <v>0</v>
      </c>
      <c r="DI33" s="108">
        <f t="shared" si="25"/>
        <v>0</v>
      </c>
      <c r="DJ33" s="112">
        <f t="shared" si="26"/>
        <v>0</v>
      </c>
      <c r="DK33" s="110">
        <f t="shared" si="87"/>
        <v>0</v>
      </c>
      <c r="DL33" s="108">
        <f t="shared" si="87"/>
        <v>0</v>
      </c>
      <c r="DM33" s="111">
        <f t="shared" si="87"/>
        <v>0</v>
      </c>
      <c r="DN33" s="76">
        <f t="shared" si="90"/>
        <v>0</v>
      </c>
      <c r="DO33" s="76">
        <f t="shared" si="90"/>
        <v>0</v>
      </c>
      <c r="DP33" s="112"/>
      <c r="DQ33" s="112"/>
      <c r="DR33" s="113"/>
      <c r="DS33" s="112"/>
      <c r="DT33" s="112"/>
      <c r="DU33" s="111"/>
      <c r="DV33" s="114"/>
      <c r="DW33" s="80">
        <f t="shared" si="62"/>
        <v>0</v>
      </c>
      <c r="DX33" s="81">
        <f t="shared" si="29"/>
        <v>0</v>
      </c>
      <c r="DY33" s="80">
        <f t="shared" si="63"/>
        <v>0</v>
      </c>
      <c r="DZ33" s="82">
        <f t="shared" si="64"/>
        <v>0</v>
      </c>
      <c r="EA33" s="82">
        <f t="shared" si="65"/>
        <v>0</v>
      </c>
      <c r="EB33" s="82">
        <f t="shared" si="66"/>
        <v>0</v>
      </c>
      <c r="EC33" s="82">
        <f t="shared" si="76"/>
        <v>0</v>
      </c>
      <c r="EF33" s="83">
        <f t="shared" si="93"/>
        <v>0</v>
      </c>
    </row>
    <row r="34" spans="1:136" ht="14.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1"/>
        <v>SSSUS304K-4x3-H9A08</v>
      </c>
      <c r="H34" s="46" t="str">
        <f t="shared" si="32"/>
        <v>SUS304KSS40DH9</v>
      </c>
      <c r="I34" s="46" t="str">
        <f t="shared" si="33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4"/>
        <v>46</v>
      </c>
      <c r="T34" s="51"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5"/>
        <v>0</v>
      </c>
      <c r="AF34" s="54">
        <f t="shared" si="36"/>
        <v>0</v>
      </c>
      <c r="AG34" s="94">
        <f t="shared" si="67"/>
        <v>0</v>
      </c>
      <c r="AH34" s="56">
        <f t="shared" si="13"/>
        <v>0</v>
      </c>
      <c r="AI34" s="93"/>
      <c r="AJ34" s="93">
        <f t="shared" si="68"/>
        <v>0</v>
      </c>
      <c r="AK34" s="95">
        <f t="shared" si="37"/>
        <v>1</v>
      </c>
      <c r="AL34" s="58">
        <f t="shared" si="38"/>
        <v>0</v>
      </c>
      <c r="AM34" s="55">
        <f t="shared" si="69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9"/>
        <v>0</v>
      </c>
      <c r="AV34" s="96">
        <f t="shared" si="39"/>
        <v>0</v>
      </c>
      <c r="AW34" s="96">
        <f t="shared" si="40"/>
        <v>0</v>
      </c>
      <c r="AX34" s="96">
        <f t="shared" si="41"/>
        <v>0</v>
      </c>
      <c r="AY34" s="94">
        <f t="shared" si="70"/>
        <v>0</v>
      </c>
      <c r="AZ34" s="94">
        <f t="shared" si="42"/>
        <v>0</v>
      </c>
      <c r="BA34" s="94">
        <f t="shared" si="43"/>
        <v>0</v>
      </c>
      <c r="BB34" s="97">
        <f t="shared" si="44"/>
        <v>0</v>
      </c>
      <c r="BC34" s="93"/>
      <c r="BD34" s="93">
        <f t="shared" si="45"/>
        <v>0</v>
      </c>
      <c r="BE34" s="95">
        <f t="shared" si="46"/>
        <v>1</v>
      </c>
      <c r="BF34" s="58">
        <f t="shared" si="47"/>
        <v>0</v>
      </c>
      <c r="BG34" s="94">
        <f t="shared" si="48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1"/>
        <v>0</v>
      </c>
      <c r="BP34" s="92">
        <f t="shared" si="71"/>
        <v>0</v>
      </c>
      <c r="BQ34" s="96">
        <f t="shared" si="49"/>
        <v>0</v>
      </c>
      <c r="BR34" s="96">
        <f t="shared" si="50"/>
        <v>0</v>
      </c>
      <c r="BS34" s="96">
        <f t="shared" si="72"/>
        <v>0</v>
      </c>
      <c r="BT34" s="96">
        <f t="shared" si="51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2"/>
        <v>0</v>
      </c>
      <c r="BY34" s="61">
        <f>IFERROR(BF34+AL34,0)</f>
        <v>0</v>
      </c>
      <c r="BZ34" s="62">
        <f t="shared" si="53"/>
        <v>0</v>
      </c>
      <c r="CA34" s="98">
        <f t="shared" si="54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5"/>
        <v>0</v>
      </c>
      <c r="CH34" s="62">
        <f t="shared" si="56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8"/>
        <v>0</v>
      </c>
      <c r="CR34" s="102">
        <f t="shared" si="88"/>
        <v>0</v>
      </c>
      <c r="CS34" s="102">
        <f t="shared" si="88"/>
        <v>0</v>
      </c>
      <c r="CT34" s="92">
        <f t="shared" si="58"/>
        <v>0</v>
      </c>
      <c r="CU34" s="92">
        <f t="shared" si="89"/>
        <v>0</v>
      </c>
      <c r="CV34" s="103">
        <f t="shared" si="89"/>
        <v>0</v>
      </c>
      <c r="CW34" s="104"/>
      <c r="CX34" s="105">
        <v>8</v>
      </c>
      <c r="CY34" s="106">
        <f t="shared" si="60"/>
        <v>4312</v>
      </c>
      <c r="CZ34" s="106">
        <f t="shared" si="61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7"/>
        <v>0</v>
      </c>
      <c r="DL34" s="108">
        <f t="shared" si="87"/>
        <v>0</v>
      </c>
      <c r="DM34" s="111">
        <f t="shared" si="87"/>
        <v>0</v>
      </c>
      <c r="DN34" s="76">
        <f t="shared" si="90"/>
        <v>0</v>
      </c>
      <c r="DO34" s="76">
        <f t="shared" si="90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2"/>
        <v>0</v>
      </c>
      <c r="DX34" s="81">
        <f t="shared" si="29"/>
        <v>0</v>
      </c>
      <c r="DY34" s="80">
        <f t="shared" si="63"/>
        <v>0</v>
      </c>
      <c r="DZ34" s="82">
        <f t="shared" si="64"/>
        <v>0</v>
      </c>
      <c r="EA34" s="82">
        <f t="shared" si="65"/>
        <v>0</v>
      </c>
      <c r="EB34" s="82">
        <f t="shared" si="66"/>
        <v>0</v>
      </c>
      <c r="EC34" s="82">
        <f t="shared" ref="EC34:EC35" si="96">(BX34-CA34)+((AV34+BP34)/1000)</f>
        <v>0</v>
      </c>
      <c r="EF34" s="83">
        <f t="shared" si="93"/>
        <v>0</v>
      </c>
    </row>
    <row r="35" spans="1:136" ht="14.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1"/>
        <v>IBC3604-6.5x3-H9A14</v>
      </c>
      <c r="H35" s="46" t="str">
        <f t="shared" si="32"/>
        <v>C3604IB6.50DH9</v>
      </c>
      <c r="I35" s="46" t="str">
        <f t="shared" si="33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4"/>
        <v>34</v>
      </c>
      <c r="T35" s="51"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5"/>
        <v>0</v>
      </c>
      <c r="AF35" s="54">
        <f t="shared" si="36"/>
        <v>0</v>
      </c>
      <c r="AG35" s="94">
        <f t="shared" si="67"/>
        <v>0</v>
      </c>
      <c r="AH35" s="56">
        <f t="shared" si="13"/>
        <v>0</v>
      </c>
      <c r="AI35" s="93"/>
      <c r="AJ35" s="93">
        <f t="shared" si="68"/>
        <v>0</v>
      </c>
      <c r="AK35" s="95">
        <f t="shared" si="37"/>
        <v>1</v>
      </c>
      <c r="AL35" s="58">
        <f t="shared" si="38"/>
        <v>0</v>
      </c>
      <c r="AM35" s="55">
        <f t="shared" si="69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9"/>
        <v>0</v>
      </c>
      <c r="AV35" s="96">
        <f t="shared" si="39"/>
        <v>0</v>
      </c>
      <c r="AW35" s="96">
        <f t="shared" si="40"/>
        <v>0</v>
      </c>
      <c r="AX35" s="96">
        <f t="shared" si="41"/>
        <v>0</v>
      </c>
      <c r="AY35" s="94">
        <f t="shared" si="70"/>
        <v>0</v>
      </c>
      <c r="AZ35" s="94">
        <f t="shared" si="42"/>
        <v>0</v>
      </c>
      <c r="BA35" s="94">
        <f t="shared" si="43"/>
        <v>0</v>
      </c>
      <c r="BB35" s="97">
        <f t="shared" si="44"/>
        <v>0</v>
      </c>
      <c r="BC35" s="93"/>
      <c r="BD35" s="93">
        <f t="shared" si="45"/>
        <v>0</v>
      </c>
      <c r="BE35" s="95">
        <f t="shared" si="46"/>
        <v>1</v>
      </c>
      <c r="BF35" s="58">
        <f t="shared" si="47"/>
        <v>0</v>
      </c>
      <c r="BG35" s="94">
        <f t="shared" si="48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1"/>
        <v>0</v>
      </c>
      <c r="BP35" s="92">
        <f t="shared" si="71"/>
        <v>0</v>
      </c>
      <c r="BQ35" s="96">
        <f t="shared" si="49"/>
        <v>0</v>
      </c>
      <c r="BR35" s="96">
        <f t="shared" si="50"/>
        <v>0</v>
      </c>
      <c r="BS35" s="96">
        <f t="shared" si="72"/>
        <v>0</v>
      </c>
      <c r="BT35" s="96">
        <f t="shared" si="51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2"/>
        <v>0</v>
      </c>
      <c r="BY35" s="61">
        <f t="shared" si="74"/>
        <v>0</v>
      </c>
      <c r="BZ35" s="62">
        <f t="shared" si="53"/>
        <v>0</v>
      </c>
      <c r="CA35" s="98">
        <f t="shared" si="54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5"/>
        <v>0</v>
      </c>
      <c r="CH35" s="62">
        <f t="shared" si="56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8"/>
        <v>0</v>
      </c>
      <c r="CR35" s="102">
        <f t="shared" si="88"/>
        <v>0</v>
      </c>
      <c r="CS35" s="102">
        <f t="shared" si="88"/>
        <v>0</v>
      </c>
      <c r="CT35" s="92">
        <f t="shared" si="58"/>
        <v>0</v>
      </c>
      <c r="CU35" s="92">
        <f t="shared" si="89"/>
        <v>0</v>
      </c>
      <c r="CV35" s="103">
        <f t="shared" si="89"/>
        <v>0</v>
      </c>
      <c r="CW35" s="104" t="s">
        <v>147</v>
      </c>
      <c r="CX35" s="105">
        <v>13</v>
      </c>
      <c r="CY35" s="106">
        <f t="shared" si="60"/>
        <v>3073</v>
      </c>
      <c r="CZ35" s="106">
        <f t="shared" si="61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7"/>
        <v>0</v>
      </c>
      <c r="DL35" s="108">
        <f t="shared" si="87"/>
        <v>0</v>
      </c>
      <c r="DM35" s="111">
        <f t="shared" si="87"/>
        <v>0</v>
      </c>
      <c r="DN35" s="76">
        <f t="shared" si="90"/>
        <v>0</v>
      </c>
      <c r="DO35" s="76">
        <f t="shared" si="90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2"/>
        <v>0</v>
      </c>
      <c r="DX35" s="81">
        <f t="shared" si="29"/>
        <v>0</v>
      </c>
      <c r="DY35" s="80">
        <f t="shared" si="63"/>
        <v>0</v>
      </c>
      <c r="DZ35" s="82">
        <f t="shared" si="64"/>
        <v>0</v>
      </c>
      <c r="EA35" s="82">
        <f t="shared" si="65"/>
        <v>0</v>
      </c>
      <c r="EB35" s="82">
        <f t="shared" si="66"/>
        <v>0</v>
      </c>
      <c r="EC35" s="82">
        <f t="shared" si="96"/>
        <v>0</v>
      </c>
      <c r="EF35" s="83">
        <f t="shared" si="93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1"/>
        <v>TV12L14-5.97x2.5-H9B14</v>
      </c>
      <c r="H36" s="46" t="str">
        <f t="shared" si="32"/>
        <v>12L14TV5.970DH9</v>
      </c>
      <c r="I36" s="46" t="str">
        <f t="shared" si="33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4"/>
        <v>76</v>
      </c>
      <c r="T36" s="51">
        <v>79</v>
      </c>
      <c r="U36" s="146">
        <v>21</v>
      </c>
      <c r="V36" s="135">
        <v>4.45</v>
      </c>
      <c r="W36" s="151">
        <f t="shared" si="5"/>
        <v>0</v>
      </c>
      <c r="X36" s="151">
        <f t="shared" si="6"/>
        <v>3078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8</v>
      </c>
      <c r="AE36" s="151">
        <f t="shared" si="35"/>
        <v>3078</v>
      </c>
      <c r="AF36" s="54">
        <f t="shared" si="36"/>
        <v>3078</v>
      </c>
      <c r="AG36" s="94">
        <f t="shared" si="67"/>
        <v>79</v>
      </c>
      <c r="AH36" s="56">
        <f t="shared" si="13"/>
        <v>0</v>
      </c>
      <c r="AI36" s="151">
        <v>39</v>
      </c>
      <c r="AJ36" s="93">
        <f t="shared" si="68"/>
        <v>0</v>
      </c>
      <c r="AK36" s="95">
        <f t="shared" si="37"/>
        <v>1</v>
      </c>
      <c r="AL36" s="58">
        <f t="shared" si="38"/>
        <v>39</v>
      </c>
      <c r="AM36" s="55">
        <f t="shared" si="69"/>
        <v>61</v>
      </c>
      <c r="AN36" s="151"/>
      <c r="AO36" s="145"/>
      <c r="AP36" s="145">
        <f>$CJ36</f>
        <v>7000</v>
      </c>
      <c r="AQ36" s="145"/>
      <c r="AR36" s="145"/>
      <c r="AS36" s="145"/>
      <c r="AT36" s="145"/>
      <c r="AU36" s="145">
        <f t="shared" si="39"/>
        <v>0</v>
      </c>
      <c r="AV36" s="145">
        <f t="shared" si="39"/>
        <v>0</v>
      </c>
      <c r="AW36" s="145">
        <f t="shared" si="40"/>
        <v>7000</v>
      </c>
      <c r="AX36" s="145">
        <f t="shared" si="41"/>
        <v>1573</v>
      </c>
      <c r="AY36" s="94">
        <f t="shared" si="70"/>
        <v>58</v>
      </c>
      <c r="AZ36" s="94">
        <f t="shared" si="42"/>
        <v>13.033707865168539</v>
      </c>
      <c r="BA36" s="94">
        <f t="shared" si="43"/>
        <v>61</v>
      </c>
      <c r="BB36" s="97">
        <f t="shared" si="44"/>
        <v>0</v>
      </c>
      <c r="BC36" s="151">
        <v>38</v>
      </c>
      <c r="BD36" s="93">
        <f t="shared" si="45"/>
        <v>0</v>
      </c>
      <c r="BE36" s="152">
        <f t="shared" si="46"/>
        <v>1</v>
      </c>
      <c r="BF36" s="58">
        <f t="shared" si="47"/>
        <v>38</v>
      </c>
      <c r="BG36" s="94">
        <f t="shared" si="48"/>
        <v>23</v>
      </c>
      <c r="BH36" s="150"/>
      <c r="BI36" s="150"/>
      <c r="BJ36" s="146">
        <f>$CN36</f>
        <v>6700</v>
      </c>
      <c r="BK36" s="150"/>
      <c r="BL36" s="150"/>
      <c r="BM36" s="150"/>
      <c r="BN36" s="146"/>
      <c r="BO36" s="146">
        <f t="shared" si="71"/>
        <v>0</v>
      </c>
      <c r="BP36" s="146">
        <f t="shared" si="71"/>
        <v>38</v>
      </c>
      <c r="BQ36" s="145">
        <f t="shared" si="49"/>
        <v>6738</v>
      </c>
      <c r="BR36" s="145">
        <f t="shared" si="50"/>
        <v>1514</v>
      </c>
      <c r="BS36" s="96">
        <f t="shared" si="72"/>
        <v>-26</v>
      </c>
      <c r="BT36" s="145">
        <f t="shared" si="51"/>
        <v>-5.8426966292134832</v>
      </c>
      <c r="BU36" s="146">
        <f t="shared" si="16"/>
        <v>3078</v>
      </c>
      <c r="BV36" s="98">
        <f t="shared" si="17"/>
        <v>77</v>
      </c>
      <c r="BW36" s="146">
        <f t="shared" si="18"/>
        <v>7.191011235955056</v>
      </c>
      <c r="BX36" s="153">
        <f t="shared" si="52"/>
        <v>42.119</v>
      </c>
      <c r="BY36" s="61">
        <f t="shared" si="74"/>
        <v>77</v>
      </c>
      <c r="BZ36" s="62">
        <f t="shared" si="53"/>
        <v>77</v>
      </c>
      <c r="CA36" s="98">
        <f t="shared" si="54"/>
        <v>13.738</v>
      </c>
      <c r="CB36" s="146">
        <f t="shared" si="19"/>
        <v>3087</v>
      </c>
      <c r="CC36" s="146">
        <f t="shared" si="19"/>
        <v>32</v>
      </c>
      <c r="CD36" s="146">
        <f t="shared" si="19"/>
        <v>7.191011235955056</v>
      </c>
      <c r="CE36" s="99"/>
      <c r="CF36" s="99"/>
      <c r="CG36" s="51">
        <f t="shared" si="55"/>
        <v>28.419</v>
      </c>
      <c r="CH36" s="62">
        <f t="shared" si="56"/>
        <v>28.419</v>
      </c>
      <c r="CI36" s="150"/>
      <c r="CJ36" s="150">
        <v>7000</v>
      </c>
      <c r="CK36" s="150"/>
      <c r="CL36" s="145"/>
      <c r="CM36" s="150"/>
      <c r="CN36" s="150">
        <v>6700</v>
      </c>
      <c r="CO36" s="146"/>
      <c r="CP36" s="154">
        <v>38</v>
      </c>
      <c r="CQ36" s="102">
        <f t="shared" si="88"/>
        <v>1573</v>
      </c>
      <c r="CR36" s="102">
        <f t="shared" si="88"/>
        <v>0</v>
      </c>
      <c r="CS36" s="102">
        <f t="shared" si="88"/>
        <v>0</v>
      </c>
      <c r="CT36" s="92">
        <f t="shared" si="58"/>
        <v>1505</v>
      </c>
      <c r="CU36" s="92">
        <f t="shared" si="89"/>
        <v>0</v>
      </c>
      <c r="CV36" s="103">
        <f t="shared" si="89"/>
        <v>8</v>
      </c>
      <c r="CW36" s="155" t="s">
        <v>147</v>
      </c>
      <c r="CX36" s="156">
        <v>23</v>
      </c>
      <c r="CY36" s="157">
        <f t="shared" si="60"/>
        <v>1510</v>
      </c>
      <c r="CZ36" s="157">
        <f t="shared" si="61"/>
        <v>93.15</v>
      </c>
      <c r="DA36" s="157"/>
      <c r="DB36" s="157"/>
      <c r="DC36" s="156"/>
      <c r="DD36" s="158"/>
      <c r="DE36" s="92">
        <f t="shared" si="21"/>
        <v>1573</v>
      </c>
      <c r="DF36" s="108">
        <f t="shared" si="22"/>
        <v>39</v>
      </c>
      <c r="DG36" s="112">
        <f t="shared" si="23"/>
        <v>13.033707865168539</v>
      </c>
      <c r="DH36" s="110">
        <f t="shared" si="24"/>
        <v>1505</v>
      </c>
      <c r="DI36" s="108">
        <f t="shared" si="25"/>
        <v>38</v>
      </c>
      <c r="DJ36" s="112">
        <f t="shared" si="26"/>
        <v>-5.8426966292134832</v>
      </c>
      <c r="DK36" s="110">
        <f t="shared" si="87"/>
        <v>3078</v>
      </c>
      <c r="DL36" s="108">
        <f t="shared" si="87"/>
        <v>77</v>
      </c>
      <c r="DM36" s="111">
        <f t="shared" si="87"/>
        <v>7.191011235955056</v>
      </c>
      <c r="DN36" s="76">
        <f t="shared" si="90"/>
        <v>79</v>
      </c>
      <c r="DO36" s="76">
        <f t="shared" si="90"/>
        <v>21</v>
      </c>
      <c r="DP36" s="112"/>
      <c r="DQ36" s="112"/>
      <c r="DR36" s="113" t="s">
        <v>218</v>
      </c>
      <c r="DS36" s="112"/>
      <c r="DT36" s="112"/>
      <c r="DU36" s="111"/>
      <c r="DV36" s="114"/>
      <c r="DW36" s="80">
        <f>IFERROR(AL36+BF36,"")</f>
        <v>77</v>
      </c>
      <c r="DX36" s="159">
        <f t="shared" si="29"/>
        <v>3162.1910112359551</v>
      </c>
      <c r="DY36" s="80">
        <f t="shared" si="63"/>
        <v>3086</v>
      </c>
      <c r="DZ36" s="82">
        <f t="shared" si="64"/>
        <v>3.56E-2</v>
      </c>
      <c r="EA36" s="82">
        <f t="shared" si="65"/>
        <v>13.697100000000001</v>
      </c>
      <c r="EB36" s="82">
        <f t="shared" si="66"/>
        <v>28.421900000000001</v>
      </c>
      <c r="EC36" s="82">
        <f t="shared" si="76"/>
        <v>28.4575</v>
      </c>
      <c r="EF36" s="83">
        <f t="shared" si="93"/>
        <v>7.191011235955056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1"/>
        <v>GAA5052-5.7x3-H9A14</v>
      </c>
      <c r="H37" s="46" t="str">
        <f t="shared" si="32"/>
        <v>A5052GA5.70DH9</v>
      </c>
      <c r="I37" s="46" t="str">
        <f t="shared" si="33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4"/>
        <v>18</v>
      </c>
      <c r="T37" s="51">
        <v>9</v>
      </c>
      <c r="U37" s="92">
        <v>11</v>
      </c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35"/>
        <v>0</v>
      </c>
      <c r="AF37" s="54">
        <f t="shared" si="36"/>
        <v>0</v>
      </c>
      <c r="AG37" s="94">
        <f t="shared" si="67"/>
        <v>9</v>
      </c>
      <c r="AH37" s="56">
        <f t="shared" si="13"/>
        <v>0</v>
      </c>
      <c r="AI37" s="93"/>
      <c r="AJ37" s="93">
        <f t="shared" si="68"/>
        <v>0</v>
      </c>
      <c r="AK37" s="95">
        <f t="shared" si="37"/>
        <v>1</v>
      </c>
      <c r="AL37" s="58">
        <f t="shared" si="38"/>
        <v>0</v>
      </c>
      <c r="AM37" s="55">
        <f t="shared" si="69"/>
        <v>20</v>
      </c>
      <c r="AN37" s="93"/>
      <c r="AO37" s="96"/>
      <c r="AP37" s="96"/>
      <c r="AQ37" s="96"/>
      <c r="AR37" s="96"/>
      <c r="AS37" s="96"/>
      <c r="AT37" s="96">
        <f>$CJ37</f>
        <v>0</v>
      </c>
      <c r="AU37" s="96">
        <f t="shared" si="39"/>
        <v>0</v>
      </c>
      <c r="AV37" s="96">
        <f t="shared" si="39"/>
        <v>0</v>
      </c>
      <c r="AW37" s="96">
        <f t="shared" si="40"/>
        <v>0</v>
      </c>
      <c r="AX37" s="96">
        <f t="shared" si="41"/>
        <v>0</v>
      </c>
      <c r="AY37" s="94">
        <f t="shared" si="70"/>
        <v>0</v>
      </c>
      <c r="AZ37" s="94">
        <f t="shared" si="42"/>
        <v>0</v>
      </c>
      <c r="BA37" s="94">
        <f t="shared" si="43"/>
        <v>20</v>
      </c>
      <c r="BB37" s="97">
        <f t="shared" si="44"/>
        <v>0</v>
      </c>
      <c r="BC37" s="93"/>
      <c r="BD37" s="93">
        <f t="shared" si="45"/>
        <v>0</v>
      </c>
      <c r="BE37" s="95">
        <f t="shared" si="46"/>
        <v>1</v>
      </c>
      <c r="BF37" s="58">
        <f t="shared" si="47"/>
        <v>0</v>
      </c>
      <c r="BG37" s="94">
        <f t="shared" si="48"/>
        <v>20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1"/>
        <v>0</v>
      </c>
      <c r="BP37" s="92">
        <f t="shared" si="71"/>
        <v>0</v>
      </c>
      <c r="BQ37" s="96">
        <f t="shared" si="49"/>
        <v>0</v>
      </c>
      <c r="BR37" s="96">
        <f t="shared" si="50"/>
        <v>0</v>
      </c>
      <c r="BS37" s="96">
        <f t="shared" si="72"/>
        <v>0</v>
      </c>
      <c r="BT37" s="96">
        <f t="shared" si="51"/>
        <v>0</v>
      </c>
      <c r="BU37" s="92">
        <f t="shared" si="16"/>
        <v>0</v>
      </c>
      <c r="BV37" s="98">
        <f t="shared" si="17"/>
        <v>0</v>
      </c>
      <c r="BW37" s="92">
        <f t="shared" si="18"/>
        <v>0</v>
      </c>
      <c r="BX37" s="98">
        <f t="shared" si="52"/>
        <v>0</v>
      </c>
      <c r="BY37" s="61">
        <f t="shared" si="74"/>
        <v>0</v>
      </c>
      <c r="BZ37" s="62">
        <f t="shared" si="53"/>
        <v>0</v>
      </c>
      <c r="CA37" s="98">
        <f t="shared" si="54"/>
        <v>0</v>
      </c>
      <c r="CB37" s="92">
        <f t="shared" si="19"/>
        <v>0</v>
      </c>
      <c r="CC37" s="92">
        <f t="shared" si="19"/>
        <v>0</v>
      </c>
      <c r="CD37" s="92">
        <f t="shared" si="19"/>
        <v>0</v>
      </c>
      <c r="CE37" s="99"/>
      <c r="CF37" s="99"/>
      <c r="CG37" s="51">
        <f t="shared" si="55"/>
        <v>0</v>
      </c>
      <c r="CH37" s="62">
        <f t="shared" si="56"/>
        <v>0</v>
      </c>
      <c r="CI37" s="89"/>
      <c r="CJ37" s="89"/>
      <c r="CK37" s="89"/>
      <c r="CL37" s="96"/>
      <c r="CM37" s="89"/>
      <c r="CN37" s="89"/>
      <c r="CO37" s="92"/>
      <c r="CP37" s="101"/>
      <c r="CQ37" s="102">
        <f t="shared" si="88"/>
        <v>0</v>
      </c>
      <c r="CR37" s="102">
        <f t="shared" si="88"/>
        <v>0</v>
      </c>
      <c r="CS37" s="102">
        <f t="shared" si="88"/>
        <v>0</v>
      </c>
      <c r="CT37" s="92">
        <f t="shared" si="58"/>
        <v>0</v>
      </c>
      <c r="CU37" s="92">
        <f t="shared" si="89"/>
        <v>0</v>
      </c>
      <c r="CV37" s="103">
        <f t="shared" si="89"/>
        <v>0</v>
      </c>
      <c r="CW37" s="104" t="s">
        <v>147</v>
      </c>
      <c r="CX37" s="105">
        <v>18</v>
      </c>
      <c r="CY37" s="106">
        <f t="shared" si="60"/>
        <v>2300</v>
      </c>
      <c r="CZ37" s="106">
        <f t="shared" si="61"/>
        <v>72.900000000000006</v>
      </c>
      <c r="DA37" s="106"/>
      <c r="DB37" s="106"/>
      <c r="DC37" s="105"/>
      <c r="DD37" s="107"/>
      <c r="DE37" s="92">
        <f t="shared" si="21"/>
        <v>0</v>
      </c>
      <c r="DF37" s="108">
        <f t="shared" si="22"/>
        <v>0</v>
      </c>
      <c r="DG37" s="112">
        <f t="shared" si="23"/>
        <v>0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7"/>
        <v>0</v>
      </c>
      <c r="DL37" s="108">
        <f t="shared" si="87"/>
        <v>0</v>
      </c>
      <c r="DM37" s="111">
        <f t="shared" si="87"/>
        <v>0</v>
      </c>
      <c r="DN37" s="76">
        <f t="shared" si="90"/>
        <v>9</v>
      </c>
      <c r="DO37" s="76">
        <f t="shared" si="90"/>
        <v>11</v>
      </c>
      <c r="DP37" s="112"/>
      <c r="DQ37" s="112"/>
      <c r="DR37" s="113" t="s">
        <v>223</v>
      </c>
      <c r="DS37" s="112"/>
      <c r="DT37" s="112"/>
      <c r="DU37" s="111"/>
      <c r="DV37" s="114"/>
      <c r="DW37" s="80">
        <f t="shared" si="62"/>
        <v>0</v>
      </c>
      <c r="DX37" s="81">
        <f t="shared" si="29"/>
        <v>0</v>
      </c>
      <c r="DY37" s="80">
        <f t="shared" si="63"/>
        <v>0</v>
      </c>
      <c r="DZ37" s="82">
        <f t="shared" si="64"/>
        <v>0</v>
      </c>
      <c r="EA37" s="82">
        <f t="shared" si="65"/>
        <v>0</v>
      </c>
      <c r="EB37" s="82">
        <f t="shared" si="66"/>
        <v>0</v>
      </c>
      <c r="EC37" s="82">
        <f t="shared" si="76"/>
        <v>0</v>
      </c>
      <c r="EF37" s="83">
        <f t="shared" si="93"/>
        <v>0</v>
      </c>
    </row>
    <row r="38" spans="1:136" s="143" customFormat="1" ht="14.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1"/>
        <v>MESUS303-5x3-H7B13</v>
      </c>
      <c r="H38" s="123" t="str">
        <f t="shared" si="32"/>
        <v>SUS303ME50DH7</v>
      </c>
      <c r="I38" s="123" t="str">
        <f t="shared" si="33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4"/>
        <v>4</v>
      </c>
      <c r="T38" s="51">
        <v>19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5"/>
        <v>0</v>
      </c>
      <c r="AF38" s="54">
        <f t="shared" si="36"/>
        <v>0</v>
      </c>
      <c r="AG38" s="94">
        <f t="shared" si="67"/>
        <v>19</v>
      </c>
      <c r="AH38" s="56">
        <f t="shared" si="13"/>
        <v>0</v>
      </c>
      <c r="AI38" s="125"/>
      <c r="AJ38" s="93">
        <f t="shared" si="68"/>
        <v>0</v>
      </c>
      <c r="AK38" s="95">
        <f t="shared" si="37"/>
        <v>1</v>
      </c>
      <c r="AL38" s="58">
        <f t="shared" si="38"/>
        <v>0</v>
      </c>
      <c r="AM38" s="55">
        <f t="shared" si="69"/>
        <v>19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9"/>
        <v>0</v>
      </c>
      <c r="AV38" s="126">
        <f t="shared" si="39"/>
        <v>0</v>
      </c>
      <c r="AW38" s="126">
        <f t="shared" si="40"/>
        <v>0</v>
      </c>
      <c r="AX38" s="126">
        <f t="shared" si="41"/>
        <v>0</v>
      </c>
      <c r="AY38" s="162">
        <f t="shared" si="70"/>
        <v>0</v>
      </c>
      <c r="AZ38" s="94">
        <f t="shared" si="42"/>
        <v>0</v>
      </c>
      <c r="BA38" s="94">
        <f t="shared" si="43"/>
        <v>19</v>
      </c>
      <c r="BB38" s="97">
        <f t="shared" si="44"/>
        <v>0</v>
      </c>
      <c r="BC38" s="125"/>
      <c r="BD38" s="93">
        <f t="shared" si="45"/>
        <v>0</v>
      </c>
      <c r="BE38" s="127">
        <f t="shared" si="46"/>
        <v>1</v>
      </c>
      <c r="BF38" s="58">
        <f t="shared" si="47"/>
        <v>0</v>
      </c>
      <c r="BG38" s="94">
        <f t="shared" si="48"/>
        <v>19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1"/>
        <v>0</v>
      </c>
      <c r="BP38" s="124">
        <f t="shared" si="71"/>
        <v>0</v>
      </c>
      <c r="BQ38" s="126">
        <f t="shared" si="49"/>
        <v>0</v>
      </c>
      <c r="BR38" s="126">
        <f t="shared" si="50"/>
        <v>0</v>
      </c>
      <c r="BS38" s="126">
        <f t="shared" si="72"/>
        <v>0</v>
      </c>
      <c r="BT38" s="126">
        <f t="shared" si="51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2"/>
        <v>0</v>
      </c>
      <c r="BY38" s="129">
        <f t="shared" si="74"/>
        <v>0</v>
      </c>
      <c r="BZ38" s="62">
        <f t="shared" si="53"/>
        <v>0</v>
      </c>
      <c r="CA38" s="128">
        <f t="shared" si="54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5"/>
        <v>0</v>
      </c>
      <c r="CH38" s="62">
        <f t="shared" si="56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8"/>
        <v>0</v>
      </c>
      <c r="CR38" s="102">
        <f t="shared" si="88"/>
        <v>0</v>
      </c>
      <c r="CS38" s="102">
        <f t="shared" si="88"/>
        <v>0</v>
      </c>
      <c r="CT38" s="92">
        <f t="shared" si="58"/>
        <v>0</v>
      </c>
      <c r="CU38" s="92">
        <f t="shared" si="89"/>
        <v>0</v>
      </c>
      <c r="CV38" s="103">
        <f t="shared" si="89"/>
        <v>0</v>
      </c>
      <c r="CW38" s="131" t="s">
        <v>147</v>
      </c>
      <c r="CX38" s="132">
        <v>60</v>
      </c>
      <c r="CY38" s="133">
        <f t="shared" si="60"/>
        <v>714</v>
      </c>
      <c r="CZ38" s="133">
        <f t="shared" si="61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7"/>
        <v>0</v>
      </c>
      <c r="DL38" s="135">
        <f t="shared" si="87"/>
        <v>0</v>
      </c>
      <c r="DM38" s="137">
        <f t="shared" si="87"/>
        <v>0</v>
      </c>
      <c r="DN38" s="76">
        <f t="shared" si="90"/>
        <v>19</v>
      </c>
      <c r="DO38" s="76">
        <f t="shared" si="90"/>
        <v>0</v>
      </c>
      <c r="DP38" s="115"/>
      <c r="DQ38" s="115"/>
      <c r="DR38" s="138" t="s">
        <v>229</v>
      </c>
      <c r="DS38" s="115"/>
      <c r="DT38" s="115"/>
      <c r="DU38" s="137"/>
      <c r="DV38" s="139"/>
      <c r="DW38" s="140">
        <f t="shared" si="62"/>
        <v>0</v>
      </c>
      <c r="DX38" s="141">
        <f t="shared" si="29"/>
        <v>0</v>
      </c>
      <c r="DY38" s="140">
        <f t="shared" si="63"/>
        <v>0</v>
      </c>
      <c r="DZ38" s="142">
        <f t="shared" si="64"/>
        <v>0</v>
      </c>
      <c r="EA38" s="142">
        <f t="shared" si="65"/>
        <v>0</v>
      </c>
      <c r="EB38" s="142">
        <f t="shared" si="66"/>
        <v>0</v>
      </c>
      <c r="EC38" s="142">
        <f t="shared" si="76"/>
        <v>0</v>
      </c>
      <c r="EF38" s="83">
        <f t="shared" si="93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1"/>
        <v>GAA5052-5.7x3-H9A14</v>
      </c>
      <c r="H39" s="46" t="str">
        <f t="shared" si="32"/>
        <v>A5052GA5.70DH9</v>
      </c>
      <c r="I39" s="46" t="str">
        <f t="shared" si="33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4"/>
        <v>10</v>
      </c>
      <c r="T39" s="51">
        <v>16</v>
      </c>
      <c r="U39" s="92"/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5"/>
        <v>0</v>
      </c>
      <c r="AF39" s="54">
        <f t="shared" si="36"/>
        <v>0</v>
      </c>
      <c r="AG39" s="94">
        <f t="shared" si="67"/>
        <v>16</v>
      </c>
      <c r="AH39" s="56">
        <f t="shared" si="13"/>
        <v>0</v>
      </c>
      <c r="AI39" s="93"/>
      <c r="AJ39" s="93">
        <f t="shared" si="68"/>
        <v>0</v>
      </c>
      <c r="AK39" s="95">
        <f t="shared" si="37"/>
        <v>1</v>
      </c>
      <c r="AL39" s="58">
        <f t="shared" si="38"/>
        <v>0</v>
      </c>
      <c r="AM39" s="55">
        <f t="shared" si="69"/>
        <v>16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9"/>
        <v>0</v>
      </c>
      <c r="AV39" s="96">
        <f t="shared" si="39"/>
        <v>0</v>
      </c>
      <c r="AW39" s="96">
        <f t="shared" si="40"/>
        <v>0</v>
      </c>
      <c r="AX39" s="96">
        <f t="shared" si="41"/>
        <v>0</v>
      </c>
      <c r="AY39" s="94">
        <f t="shared" si="70"/>
        <v>0</v>
      </c>
      <c r="AZ39" s="94">
        <f t="shared" si="42"/>
        <v>0</v>
      </c>
      <c r="BA39" s="94">
        <f t="shared" si="43"/>
        <v>16</v>
      </c>
      <c r="BB39" s="97">
        <f t="shared" si="44"/>
        <v>0</v>
      </c>
      <c r="BC39" s="93"/>
      <c r="BD39" s="93">
        <f t="shared" si="45"/>
        <v>0</v>
      </c>
      <c r="BE39" s="95">
        <f t="shared" si="46"/>
        <v>1</v>
      </c>
      <c r="BF39" s="58">
        <f t="shared" si="47"/>
        <v>0</v>
      </c>
      <c r="BG39" s="94">
        <f t="shared" si="48"/>
        <v>16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1"/>
        <v>0</v>
      </c>
      <c r="BP39" s="92">
        <f t="shared" si="71"/>
        <v>0</v>
      </c>
      <c r="BQ39" s="96">
        <f t="shared" si="49"/>
        <v>0</v>
      </c>
      <c r="BR39" s="96">
        <f t="shared" si="50"/>
        <v>0</v>
      </c>
      <c r="BS39" s="96">
        <f t="shared" si="72"/>
        <v>0</v>
      </c>
      <c r="BT39" s="96">
        <f t="shared" si="51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2"/>
        <v>0</v>
      </c>
      <c r="BY39" s="61">
        <f t="shared" si="74"/>
        <v>0</v>
      </c>
      <c r="BZ39" s="62">
        <f t="shared" si="53"/>
        <v>0</v>
      </c>
      <c r="CA39" s="98">
        <f t="shared" si="54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5"/>
        <v>0</v>
      </c>
      <c r="CH39" s="62">
        <f t="shared" si="56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8"/>
        <v>0</v>
      </c>
      <c r="CR39" s="102">
        <f t="shared" si="88"/>
        <v>0</v>
      </c>
      <c r="CS39" s="102">
        <f t="shared" si="88"/>
        <v>0</v>
      </c>
      <c r="CT39" s="92">
        <f t="shared" si="58"/>
        <v>0</v>
      </c>
      <c r="CU39" s="92">
        <f t="shared" si="89"/>
        <v>0</v>
      </c>
      <c r="CV39" s="103">
        <f t="shared" si="89"/>
        <v>0</v>
      </c>
      <c r="CW39" s="104" t="s">
        <v>147</v>
      </c>
      <c r="CX39" s="105">
        <v>35</v>
      </c>
      <c r="CY39" s="106">
        <f t="shared" si="60"/>
        <v>1203</v>
      </c>
      <c r="CZ39" s="106">
        <f t="shared" si="61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7"/>
        <v>0</v>
      </c>
      <c r="DL39" s="108">
        <f t="shared" si="87"/>
        <v>0</v>
      </c>
      <c r="DM39" s="111">
        <f t="shared" si="87"/>
        <v>0</v>
      </c>
      <c r="DN39" s="76">
        <f t="shared" si="90"/>
        <v>16</v>
      </c>
      <c r="DO39" s="76">
        <f t="shared" si="90"/>
        <v>0</v>
      </c>
      <c r="DP39" s="112"/>
      <c r="DQ39" s="112"/>
      <c r="DR39" s="113" t="s">
        <v>231</v>
      </c>
      <c r="DS39" s="112"/>
      <c r="DT39" s="112"/>
      <c r="DU39" s="111"/>
      <c r="DV39" s="114"/>
      <c r="DW39" s="80">
        <f t="shared" si="62"/>
        <v>0</v>
      </c>
      <c r="DX39" s="81">
        <f t="shared" si="29"/>
        <v>0</v>
      </c>
      <c r="DY39" s="80">
        <f t="shared" si="63"/>
        <v>0</v>
      </c>
      <c r="DZ39" s="82">
        <f t="shared" si="64"/>
        <v>0</v>
      </c>
      <c r="EA39" s="82">
        <f t="shared" si="65"/>
        <v>0</v>
      </c>
      <c r="EB39" s="82">
        <f t="shared" si="66"/>
        <v>0</v>
      </c>
      <c r="EC39" s="82">
        <f t="shared" si="76"/>
        <v>0</v>
      </c>
      <c r="EF39" s="83">
        <f t="shared" si="93"/>
        <v>0</v>
      </c>
    </row>
    <row r="40" spans="1:136" ht="14.1" customHeight="1">
      <c r="A40" s="84">
        <v>33</v>
      </c>
      <c r="B40" s="85" t="s">
        <v>232</v>
      </c>
      <c r="C40" s="86"/>
      <c r="D40" s="163" t="s">
        <v>233</v>
      </c>
      <c r="E40" s="88">
        <v>1166</v>
      </c>
      <c r="F40" s="89" t="s">
        <v>147</v>
      </c>
      <c r="G40" s="45" t="str">
        <f t="shared" si="31"/>
        <v>MIC3602-3x2.5-H9A14</v>
      </c>
      <c r="H40" s="46" t="str">
        <f t="shared" si="32"/>
        <v>C3602MI30DH9</v>
      </c>
      <c r="I40" s="46" t="str">
        <f t="shared" si="33"/>
        <v>C3602MI30DH92.5A14</v>
      </c>
      <c r="J40" s="90" t="s">
        <v>155</v>
      </c>
      <c r="K40" s="90" t="s">
        <v>234</v>
      </c>
      <c r="L40" s="90">
        <v>3</v>
      </c>
      <c r="M40" s="90">
        <v>0</v>
      </c>
      <c r="N40" s="90" t="s">
        <v>128</v>
      </c>
      <c r="O40" s="90" t="s">
        <v>131</v>
      </c>
      <c r="P40" s="90">
        <v>2.5</v>
      </c>
      <c r="Q40" s="164">
        <v>0.14799999999999999</v>
      </c>
      <c r="R40" s="90" t="s">
        <v>139</v>
      </c>
      <c r="S40" s="89">
        <f t="shared" si="34"/>
        <v>6</v>
      </c>
      <c r="T40" s="51">
        <v>41</v>
      </c>
      <c r="U40" s="92">
        <v>11</v>
      </c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1368</v>
      </c>
      <c r="AC40" s="93">
        <f t="shared" si="11"/>
        <v>0</v>
      </c>
      <c r="AD40" s="93">
        <f t="shared" si="12"/>
        <v>560</v>
      </c>
      <c r="AE40" s="93">
        <f t="shared" si="35"/>
        <v>1368</v>
      </c>
      <c r="AF40" s="54">
        <f t="shared" si="36"/>
        <v>1368</v>
      </c>
      <c r="AG40" s="94">
        <f t="shared" si="67"/>
        <v>41</v>
      </c>
      <c r="AH40" s="56">
        <f t="shared" si="13"/>
        <v>0</v>
      </c>
      <c r="AI40" s="93"/>
      <c r="AJ40" s="93">
        <f t="shared" si="68"/>
        <v>0</v>
      </c>
      <c r="AK40" s="95">
        <f t="shared" si="37"/>
        <v>1</v>
      </c>
      <c r="AL40" s="58">
        <f t="shared" si="38"/>
        <v>0</v>
      </c>
      <c r="AM40" s="55">
        <f t="shared" si="69"/>
        <v>52</v>
      </c>
      <c r="AN40" s="93"/>
      <c r="AO40" s="96"/>
      <c r="AP40" s="96"/>
      <c r="AQ40" s="96"/>
      <c r="AR40" s="96"/>
      <c r="AS40" s="96"/>
      <c r="AT40" s="96">
        <f>$CJ40</f>
        <v>0</v>
      </c>
      <c r="AU40" s="96">
        <f t="shared" si="39"/>
        <v>0</v>
      </c>
      <c r="AV40" s="96">
        <f t="shared" si="39"/>
        <v>0</v>
      </c>
      <c r="AW40" s="96">
        <f>SUM(AO40:AV40)</f>
        <v>0</v>
      </c>
      <c r="AX40" s="96">
        <f>IF(V40="","",INT(AW40/$V40))</f>
        <v>0</v>
      </c>
      <c r="AY40" s="94">
        <f t="shared" si="70"/>
        <v>0</v>
      </c>
      <c r="AZ40" s="94">
        <f t="shared" si="42"/>
        <v>0</v>
      </c>
      <c r="BA40" s="94">
        <f t="shared" si="43"/>
        <v>52</v>
      </c>
      <c r="BB40" s="97">
        <f t="shared" si="44"/>
        <v>0</v>
      </c>
      <c r="BC40" s="93">
        <v>2</v>
      </c>
      <c r="BD40" s="93">
        <f t="shared" si="45"/>
        <v>0</v>
      </c>
      <c r="BE40" s="95">
        <f t="shared" si="46"/>
        <v>1</v>
      </c>
      <c r="BF40" s="58">
        <f t="shared" si="47"/>
        <v>2</v>
      </c>
      <c r="BG40" s="94">
        <f t="shared" si="48"/>
        <v>50</v>
      </c>
      <c r="BH40" s="89"/>
      <c r="BI40" s="89"/>
      <c r="BJ40" s="89"/>
      <c r="BK40" s="89"/>
      <c r="BL40" s="92"/>
      <c r="BM40" s="92"/>
      <c r="BN40" s="92">
        <f>$CN40</f>
        <v>171</v>
      </c>
      <c r="BO40" s="92">
        <f t="shared" si="71"/>
        <v>0</v>
      </c>
      <c r="BP40" s="92">
        <f t="shared" si="71"/>
        <v>70</v>
      </c>
      <c r="BQ40" s="96">
        <f t="shared" si="49"/>
        <v>241</v>
      </c>
      <c r="BR40" s="96">
        <f t="shared" si="50"/>
        <v>1928</v>
      </c>
      <c r="BS40" s="96">
        <f t="shared" si="72"/>
        <v>-50.5</v>
      </c>
      <c r="BT40" s="96">
        <f t="shared" si="51"/>
        <v>-404</v>
      </c>
      <c r="BU40" s="92">
        <f t="shared" si="16"/>
        <v>1368</v>
      </c>
      <c r="BV40" s="98">
        <f t="shared" si="17"/>
        <v>2</v>
      </c>
      <c r="BW40" s="92">
        <f t="shared" si="18"/>
        <v>-404</v>
      </c>
      <c r="BX40" s="98">
        <f t="shared" si="52"/>
        <v>0.29599999999999999</v>
      </c>
      <c r="BY40" s="61">
        <f t="shared" si="74"/>
        <v>2</v>
      </c>
      <c r="BZ40" s="62">
        <f t="shared" si="53"/>
        <v>2</v>
      </c>
      <c r="CA40" s="98">
        <f t="shared" si="54"/>
        <v>0.24099999999999999</v>
      </c>
      <c r="CB40" s="92">
        <f t="shared" ref="CB40:CD71" si="97">IFERROR(BR40+AX40,"")</f>
        <v>1928</v>
      </c>
      <c r="CC40" s="92">
        <f t="shared" si="97"/>
        <v>-50.5</v>
      </c>
      <c r="CD40" s="92">
        <f t="shared" si="97"/>
        <v>-404</v>
      </c>
      <c r="CE40" s="99"/>
      <c r="CF40" s="99"/>
      <c r="CG40" s="51">
        <f t="shared" si="55"/>
        <v>0.125</v>
      </c>
      <c r="CH40" s="62">
        <f t="shared" si="56"/>
        <v>0.125</v>
      </c>
      <c r="CI40" s="89"/>
      <c r="CJ40" s="89"/>
      <c r="CK40" s="89"/>
      <c r="CL40" s="96"/>
      <c r="CM40" s="89"/>
      <c r="CN40" s="89">
        <v>171</v>
      </c>
      <c r="CO40" s="92"/>
      <c r="CP40" s="101">
        <v>70</v>
      </c>
      <c r="CQ40" s="102">
        <f t="shared" si="88"/>
        <v>0</v>
      </c>
      <c r="CR40" s="102">
        <f t="shared" si="88"/>
        <v>0</v>
      </c>
      <c r="CS40" s="102">
        <f t="shared" si="88"/>
        <v>0</v>
      </c>
      <c r="CT40" s="92">
        <f t="shared" si="58"/>
        <v>1368</v>
      </c>
      <c r="CU40" s="92">
        <f t="shared" si="89"/>
        <v>0</v>
      </c>
      <c r="CV40" s="103">
        <f t="shared" si="89"/>
        <v>560</v>
      </c>
      <c r="CW40" s="104" t="s">
        <v>147</v>
      </c>
      <c r="CX40" s="105">
        <v>11</v>
      </c>
      <c r="CY40" s="106">
        <f t="shared" si="60"/>
        <v>3861</v>
      </c>
      <c r="CZ40" s="106">
        <f t="shared" si="61"/>
        <v>44.550000000000004</v>
      </c>
      <c r="DA40" s="106"/>
      <c r="DB40" s="106"/>
      <c r="DC40" s="105"/>
      <c r="DD40" s="107"/>
      <c r="DE40" s="92">
        <f t="shared" si="21"/>
        <v>0</v>
      </c>
      <c r="DF40" s="108">
        <f t="shared" si="22"/>
        <v>0</v>
      </c>
      <c r="DG40" s="112">
        <f t="shared" si="23"/>
        <v>0</v>
      </c>
      <c r="DH40" s="110">
        <f t="shared" si="24"/>
        <v>1368</v>
      </c>
      <c r="DI40" s="108">
        <f t="shared" si="25"/>
        <v>2</v>
      </c>
      <c r="DJ40" s="112">
        <f t="shared" si="26"/>
        <v>-404</v>
      </c>
      <c r="DK40" s="110">
        <f t="shared" si="87"/>
        <v>1368</v>
      </c>
      <c r="DL40" s="108">
        <f t="shared" si="87"/>
        <v>2</v>
      </c>
      <c r="DM40" s="111">
        <f t="shared" si="87"/>
        <v>-404</v>
      </c>
      <c r="DN40" s="76">
        <f t="shared" si="90"/>
        <v>41</v>
      </c>
      <c r="DO40" s="76">
        <f t="shared" si="90"/>
        <v>11</v>
      </c>
      <c r="DP40" s="112"/>
      <c r="DQ40" s="112"/>
      <c r="DR40" s="113" t="s">
        <v>235</v>
      </c>
      <c r="DS40" s="112"/>
      <c r="DT40" s="112"/>
      <c r="DU40" s="111"/>
      <c r="DV40" s="114"/>
      <c r="DW40" s="80">
        <f t="shared" ref="DW40:DW42" si="98">IFERROR(AL40+BF40,"")</f>
        <v>2</v>
      </c>
      <c r="DX40" s="81">
        <f t="shared" si="29"/>
        <v>966</v>
      </c>
      <c r="DY40" s="80">
        <f t="shared" si="63"/>
        <v>1928</v>
      </c>
      <c r="DZ40" s="82">
        <f t="shared" si="64"/>
        <v>7.0000000000000007E-2</v>
      </c>
      <c r="EA40" s="82">
        <f t="shared" si="65"/>
        <v>0.17100000000000001</v>
      </c>
      <c r="EB40" s="82">
        <f t="shared" si="66"/>
        <v>0.12499999999999997</v>
      </c>
      <c r="EC40" s="82">
        <f t="shared" ref="EC40:EC42" si="99">(BX40-CA40)+((AV40+BP40)/1000)</f>
        <v>0.125</v>
      </c>
      <c r="EF40" s="83">
        <f t="shared" si="93"/>
        <v>-404</v>
      </c>
    </row>
    <row r="41" spans="1:136" ht="13.5" customHeight="1">
      <c r="A41" s="84">
        <v>34</v>
      </c>
      <c r="B41" s="85" t="s">
        <v>236</v>
      </c>
      <c r="C41" s="86"/>
      <c r="D41" s="165" t="s">
        <v>237</v>
      </c>
      <c r="E41" s="88">
        <v>394</v>
      </c>
      <c r="F41" s="89" t="s">
        <v>147</v>
      </c>
      <c r="G41" s="45" t="str">
        <f t="shared" si="31"/>
        <v>MESUS303Cu-3x3-H9A14</v>
      </c>
      <c r="H41" s="46" t="str">
        <f t="shared" si="32"/>
        <v>SUS303CuME30DH9</v>
      </c>
      <c r="I41" s="46" t="str">
        <f t="shared" si="33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4"/>
        <v>18</v>
      </c>
      <c r="T41" s="51"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5"/>
        <v>0</v>
      </c>
      <c r="AF41" s="54">
        <f t="shared" si="36"/>
        <v>0</v>
      </c>
      <c r="AG41" s="94">
        <f t="shared" si="67"/>
        <v>10</v>
      </c>
      <c r="AH41" s="56">
        <f t="shared" si="13"/>
        <v>0</v>
      </c>
      <c r="AI41" s="93"/>
      <c r="AJ41" s="93">
        <f t="shared" si="68"/>
        <v>0</v>
      </c>
      <c r="AK41" s="95">
        <f t="shared" si="37"/>
        <v>1</v>
      </c>
      <c r="AL41" s="58">
        <f t="shared" si="38"/>
        <v>0</v>
      </c>
      <c r="AM41" s="55">
        <f t="shared" si="69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9"/>
        <v>0</v>
      </c>
      <c r="AV41" s="96">
        <f t="shared" si="39"/>
        <v>0</v>
      </c>
      <c r="AW41" s="96">
        <f>SUM(AO41:AV41)</f>
        <v>0</v>
      </c>
      <c r="AX41" s="96">
        <f>IF(V41="","",INT(AW41/$V41))</f>
        <v>0</v>
      </c>
      <c r="AY41" s="94">
        <f t="shared" si="70"/>
        <v>0</v>
      </c>
      <c r="AZ41" s="94">
        <f t="shared" si="42"/>
        <v>0</v>
      </c>
      <c r="BA41" s="94">
        <f t="shared" si="43"/>
        <v>10</v>
      </c>
      <c r="BB41" s="97">
        <f t="shared" si="44"/>
        <v>0</v>
      </c>
      <c r="BC41" s="93"/>
      <c r="BD41" s="93">
        <f t="shared" si="45"/>
        <v>0</v>
      </c>
      <c r="BE41" s="95">
        <f t="shared" si="46"/>
        <v>1</v>
      </c>
      <c r="BF41" s="58">
        <f t="shared" si="47"/>
        <v>0</v>
      </c>
      <c r="BG41" s="94">
        <f t="shared" si="48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1"/>
        <v>0</v>
      </c>
      <c r="BP41" s="92">
        <f t="shared" si="71"/>
        <v>0</v>
      </c>
      <c r="BQ41" s="96">
        <f t="shared" si="49"/>
        <v>0</v>
      </c>
      <c r="BR41" s="96">
        <f>IF(AA41="","",INT(BQ41/$V41))</f>
        <v>0</v>
      </c>
      <c r="BS41" s="96">
        <f t="shared" si="72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2"/>
        <v>0</v>
      </c>
      <c r="BY41" s="61">
        <f t="shared" si="74"/>
        <v>0</v>
      </c>
      <c r="BZ41" s="62">
        <f t="shared" si="53"/>
        <v>0</v>
      </c>
      <c r="CA41" s="98">
        <f t="shared" si="54"/>
        <v>0</v>
      </c>
      <c r="CB41" s="92">
        <f t="shared" si="97"/>
        <v>0</v>
      </c>
      <c r="CC41" s="92">
        <f t="shared" si="97"/>
        <v>0</v>
      </c>
      <c r="CD41" s="92">
        <f t="shared" si="97"/>
        <v>0</v>
      </c>
      <c r="CE41" s="99"/>
      <c r="CF41" s="99"/>
      <c r="CG41" s="51">
        <f t="shared" si="55"/>
        <v>0</v>
      </c>
      <c r="CH41" s="62">
        <f t="shared" si="56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100">INT(IFERROR( CJ41/$V41,0))</f>
        <v>0</v>
      </c>
      <c r="CR41" s="102">
        <f t="shared" si="100"/>
        <v>0</v>
      </c>
      <c r="CS41" s="102">
        <f t="shared" si="100"/>
        <v>0</v>
      </c>
      <c r="CT41" s="92">
        <f t="shared" si="58"/>
        <v>0</v>
      </c>
      <c r="CU41" s="92">
        <f t="shared" ref="CU41:CV103" si="101">INT(IFERROR( AC41-CR41,0))</f>
        <v>0</v>
      </c>
      <c r="CV41" s="103">
        <f t="shared" si="101"/>
        <v>0</v>
      </c>
      <c r="CW41" s="104" t="s">
        <v>147</v>
      </c>
      <c r="CX41" s="105">
        <v>12</v>
      </c>
      <c r="CY41" s="106">
        <f t="shared" si="60"/>
        <v>3450</v>
      </c>
      <c r="CZ41" s="106">
        <f t="shared" si="61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7"/>
        <v>0</v>
      </c>
      <c r="DL41" s="108">
        <f t="shared" si="87"/>
        <v>0</v>
      </c>
      <c r="DM41" s="111">
        <f t="shared" si="87"/>
        <v>0</v>
      </c>
      <c r="DN41" s="76">
        <f t="shared" si="90"/>
        <v>10</v>
      </c>
      <c r="DO41" s="76">
        <f t="shared" si="90"/>
        <v>0</v>
      </c>
      <c r="DP41" s="112"/>
      <c r="DQ41" s="112"/>
      <c r="DR41" s="113" t="s">
        <v>239</v>
      </c>
      <c r="DS41" s="112"/>
      <c r="DT41" s="112"/>
      <c r="DU41" s="111"/>
      <c r="DV41" s="114"/>
      <c r="DW41" s="80">
        <f t="shared" si="98"/>
        <v>0</v>
      </c>
      <c r="DX41" s="81">
        <f t="shared" si="29"/>
        <v>0</v>
      </c>
      <c r="DY41" s="80">
        <f t="shared" si="63"/>
        <v>0</v>
      </c>
      <c r="DZ41" s="82">
        <f t="shared" si="64"/>
        <v>0</v>
      </c>
      <c r="EA41" s="82">
        <f t="shared" si="65"/>
        <v>0</v>
      </c>
      <c r="EB41" s="82">
        <f t="shared" si="66"/>
        <v>0</v>
      </c>
      <c r="EC41" s="82">
        <f t="shared" si="99"/>
        <v>0</v>
      </c>
      <c r="EF41" s="83">
        <f t="shared" si="93"/>
        <v>0</v>
      </c>
    </row>
    <row r="42" spans="1:136" ht="15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1"/>
        <v>IBC3604-6x3-H9C13</v>
      </c>
      <c r="H42" s="46" t="str">
        <f t="shared" si="32"/>
        <v>C3604IB60DH9</v>
      </c>
      <c r="I42" s="46" t="str">
        <f t="shared" si="33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4"/>
        <v>42</v>
      </c>
      <c r="T42" s="51"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5"/>
        <v>0</v>
      </c>
      <c r="AF42" s="54">
        <f t="shared" si="36"/>
        <v>0</v>
      </c>
      <c r="AG42" s="94">
        <f t="shared" si="67"/>
        <v>0</v>
      </c>
      <c r="AH42" s="56">
        <f t="shared" si="13"/>
        <v>0</v>
      </c>
      <c r="AI42" s="93"/>
      <c r="AJ42" s="93">
        <f t="shared" si="68"/>
        <v>0</v>
      </c>
      <c r="AK42" s="95">
        <f t="shared" si="37"/>
        <v>1</v>
      </c>
      <c r="AL42" s="58">
        <f t="shared" si="38"/>
        <v>0</v>
      </c>
      <c r="AM42" s="55">
        <f t="shared" si="69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9"/>
        <v>0</v>
      </c>
      <c r="AV42" s="96">
        <f t="shared" si="39"/>
        <v>0</v>
      </c>
      <c r="AW42" s="96">
        <f t="shared" si="40"/>
        <v>0</v>
      </c>
      <c r="AX42" s="96">
        <f t="shared" si="41"/>
        <v>0</v>
      </c>
      <c r="AY42" s="94">
        <f t="shared" si="70"/>
        <v>0</v>
      </c>
      <c r="AZ42" s="94">
        <f t="shared" si="42"/>
        <v>0</v>
      </c>
      <c r="BA42" s="94">
        <f t="shared" si="43"/>
        <v>0</v>
      </c>
      <c r="BB42" s="97">
        <f t="shared" si="44"/>
        <v>0</v>
      </c>
      <c r="BC42" s="93"/>
      <c r="BD42" s="93">
        <f t="shared" si="45"/>
        <v>0</v>
      </c>
      <c r="BE42" s="95">
        <f t="shared" si="46"/>
        <v>1</v>
      </c>
      <c r="BF42" s="58">
        <f t="shared" si="47"/>
        <v>0</v>
      </c>
      <c r="BG42" s="94">
        <f t="shared" si="48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1"/>
        <v>0</v>
      </c>
      <c r="BP42" s="92">
        <f t="shared" si="71"/>
        <v>0</v>
      </c>
      <c r="BQ42" s="96">
        <f t="shared" si="49"/>
        <v>0</v>
      </c>
      <c r="BR42" s="96">
        <f t="shared" si="50"/>
        <v>0</v>
      </c>
      <c r="BS42" s="96">
        <f t="shared" si="72"/>
        <v>0</v>
      </c>
      <c r="BT42" s="96">
        <f t="shared" si="51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2"/>
        <v>0</v>
      </c>
      <c r="BY42" s="61">
        <f t="shared" si="74"/>
        <v>0</v>
      </c>
      <c r="BZ42" s="62">
        <f t="shared" si="53"/>
        <v>0</v>
      </c>
      <c r="CA42" s="98">
        <f t="shared" si="54"/>
        <v>0</v>
      </c>
      <c r="CB42" s="92">
        <f t="shared" si="97"/>
        <v>0</v>
      </c>
      <c r="CC42" s="92">
        <f t="shared" si="97"/>
        <v>0</v>
      </c>
      <c r="CD42" s="92">
        <f t="shared" si="97"/>
        <v>0</v>
      </c>
      <c r="CE42" s="99"/>
      <c r="CF42" s="99"/>
      <c r="CG42" s="51">
        <f t="shared" si="55"/>
        <v>0</v>
      </c>
      <c r="CH42" s="62">
        <f t="shared" si="56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100"/>
        <v>0</v>
      </c>
      <c r="CR42" s="102">
        <f t="shared" si="100"/>
        <v>0</v>
      </c>
      <c r="CS42" s="102">
        <f t="shared" si="100"/>
        <v>0</v>
      </c>
      <c r="CT42" s="92">
        <f t="shared" si="58"/>
        <v>0</v>
      </c>
      <c r="CU42" s="92">
        <f t="shared" si="101"/>
        <v>0</v>
      </c>
      <c r="CV42" s="103">
        <f t="shared" si="101"/>
        <v>0</v>
      </c>
      <c r="CW42" s="104" t="s">
        <v>147</v>
      </c>
      <c r="CX42" s="105">
        <v>24</v>
      </c>
      <c r="CY42" s="106">
        <f t="shared" si="60"/>
        <v>1620</v>
      </c>
      <c r="CZ42" s="106">
        <f t="shared" si="61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7"/>
        <v>0</v>
      </c>
      <c r="DL42" s="108">
        <f t="shared" si="87"/>
        <v>0</v>
      </c>
      <c r="DM42" s="111">
        <f t="shared" si="87"/>
        <v>0</v>
      </c>
      <c r="DN42" s="76">
        <f t="shared" si="90"/>
        <v>0</v>
      </c>
      <c r="DO42" s="76">
        <f t="shared" si="90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98"/>
        <v>0</v>
      </c>
      <c r="DX42" s="81">
        <f t="shared" si="29"/>
        <v>0</v>
      </c>
      <c r="DY42" s="80">
        <f t="shared" si="63"/>
        <v>0</v>
      </c>
      <c r="DZ42" s="82">
        <f t="shared" si="64"/>
        <v>0</v>
      </c>
      <c r="EA42" s="82">
        <f t="shared" si="65"/>
        <v>0</v>
      </c>
      <c r="EB42" s="82">
        <f t="shared" si="66"/>
        <v>0</v>
      </c>
      <c r="EC42" s="82">
        <f t="shared" si="99"/>
        <v>0</v>
      </c>
      <c r="EF42" s="83">
        <f t="shared" si="93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1"/>
        <v>IBC3604-5.5x3-H9A14</v>
      </c>
      <c r="H43" s="46" t="str">
        <f t="shared" si="32"/>
        <v>C3604IB5.50DH9</v>
      </c>
      <c r="I43" s="46" t="str">
        <f t="shared" si="33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4"/>
        <v>16</v>
      </c>
      <c r="T43" s="51">
        <v>44</v>
      </c>
      <c r="U43" s="92">
        <v>26</v>
      </c>
      <c r="V43" s="100">
        <v>1.1000000000000001</v>
      </c>
      <c r="W43" s="93">
        <f t="shared" si="5"/>
        <v>0</v>
      </c>
      <c r="X43" s="93">
        <f t="shared" si="6"/>
        <v>7271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61</v>
      </c>
      <c r="AE43" s="93">
        <f t="shared" si="35"/>
        <v>7271</v>
      </c>
      <c r="AF43" s="54">
        <f t="shared" si="36"/>
        <v>7271</v>
      </c>
      <c r="AG43" s="94">
        <f t="shared" si="67"/>
        <v>44</v>
      </c>
      <c r="AH43" s="56">
        <f t="shared" si="13"/>
        <v>0</v>
      </c>
      <c r="AI43" s="93">
        <v>21</v>
      </c>
      <c r="AJ43" s="93">
        <f t="shared" si="68"/>
        <v>0</v>
      </c>
      <c r="AK43" s="95">
        <f t="shared" si="37"/>
        <v>1</v>
      </c>
      <c r="AL43" s="58">
        <f t="shared" si="38"/>
        <v>21</v>
      </c>
      <c r="AM43" s="55">
        <f t="shared" si="69"/>
        <v>49</v>
      </c>
      <c r="AN43" s="93"/>
      <c r="AO43" s="96"/>
      <c r="AP43" s="96">
        <f>$CJ43</f>
        <v>3661</v>
      </c>
      <c r="AQ43" s="96"/>
      <c r="AR43" s="96"/>
      <c r="AS43" s="96"/>
      <c r="AT43" s="96"/>
      <c r="AU43" s="96">
        <f>CK43</f>
        <v>0</v>
      </c>
      <c r="AV43" s="96">
        <f>CL43</f>
        <v>0</v>
      </c>
      <c r="AW43" s="96">
        <f>SUM(AO43:AV43)</f>
        <v>3661</v>
      </c>
      <c r="AX43" s="96">
        <f>IF(V43="","",INT(AW43/$V43))</f>
        <v>3328</v>
      </c>
      <c r="AY43" s="94">
        <f t="shared" si="70"/>
        <v>-104.30000000000018</v>
      </c>
      <c r="AZ43" s="94">
        <f t="shared" si="42"/>
        <v>-94.818181818181969</v>
      </c>
      <c r="BA43" s="94">
        <f t="shared" si="43"/>
        <v>49</v>
      </c>
      <c r="BB43" s="97">
        <f t="shared" si="44"/>
        <v>0</v>
      </c>
      <c r="BC43" s="93">
        <v>24</v>
      </c>
      <c r="BD43" s="93">
        <f t="shared" si="45"/>
        <v>0</v>
      </c>
      <c r="BE43" s="95">
        <f t="shared" si="46"/>
        <v>1</v>
      </c>
      <c r="BF43" s="58">
        <f t="shared" si="47"/>
        <v>24</v>
      </c>
      <c r="BG43" s="94">
        <f t="shared" si="48"/>
        <v>25</v>
      </c>
      <c r="BH43" s="89"/>
      <c r="BI43" s="89"/>
      <c r="BJ43" s="92">
        <f>$CN43</f>
        <v>4338</v>
      </c>
      <c r="BK43" s="89"/>
      <c r="BL43" s="89"/>
      <c r="BM43" s="92"/>
      <c r="BN43" s="89"/>
      <c r="BO43" s="92">
        <f t="shared" si="71"/>
        <v>0</v>
      </c>
      <c r="BP43" s="92">
        <f t="shared" si="71"/>
        <v>68</v>
      </c>
      <c r="BQ43" s="96">
        <f t="shared" si="49"/>
        <v>4406</v>
      </c>
      <c r="BR43" s="96">
        <f>IF(AA43="","",INT(BQ43/$V43))</f>
        <v>4005</v>
      </c>
      <c r="BS43" s="96">
        <f t="shared" si="72"/>
        <v>102.79999999999927</v>
      </c>
      <c r="BT43" s="96">
        <f t="shared" si="51"/>
        <v>93.454545454544785</v>
      </c>
      <c r="BU43" s="92">
        <f t="shared" si="16"/>
        <v>7271</v>
      </c>
      <c r="BV43" s="98">
        <f t="shared" si="17"/>
        <v>45</v>
      </c>
      <c r="BW43" s="92">
        <f t="shared" si="18"/>
        <v>-1.363636363637184</v>
      </c>
      <c r="BX43" s="98">
        <f t="shared" si="52"/>
        <v>27.18</v>
      </c>
      <c r="BY43" s="61">
        <f t="shared" si="74"/>
        <v>45</v>
      </c>
      <c r="BZ43" s="62">
        <f t="shared" si="53"/>
        <v>45</v>
      </c>
      <c r="CA43" s="98">
        <f t="shared" si="54"/>
        <v>8.0670000000000002</v>
      </c>
      <c r="CB43" s="92">
        <f t="shared" si="97"/>
        <v>7333</v>
      </c>
      <c r="CC43" s="92">
        <f t="shared" si="97"/>
        <v>-1.5000000000009095</v>
      </c>
      <c r="CD43" s="92">
        <f t="shared" si="97"/>
        <v>-1.363636363637184</v>
      </c>
      <c r="CE43" s="99"/>
      <c r="CF43" s="99"/>
      <c r="CG43" s="51">
        <f t="shared" si="55"/>
        <v>19.181000000000001</v>
      </c>
      <c r="CH43" s="62">
        <f t="shared" si="56"/>
        <v>19.181000000000001</v>
      </c>
      <c r="CI43" s="89"/>
      <c r="CJ43" s="89">
        <v>3661</v>
      </c>
      <c r="CK43" s="89"/>
      <c r="CL43" s="96"/>
      <c r="CM43" s="89"/>
      <c r="CN43" s="89">
        <v>4338</v>
      </c>
      <c r="CO43" s="92"/>
      <c r="CP43" s="101">
        <v>68</v>
      </c>
      <c r="CQ43" s="102">
        <f t="shared" si="100"/>
        <v>3328</v>
      </c>
      <c r="CR43" s="102">
        <f t="shared" si="100"/>
        <v>0</v>
      </c>
      <c r="CS43" s="102">
        <f t="shared" si="100"/>
        <v>0</v>
      </c>
      <c r="CT43" s="92">
        <f t="shared" si="58"/>
        <v>3943</v>
      </c>
      <c r="CU43" s="92">
        <f t="shared" si="101"/>
        <v>0</v>
      </c>
      <c r="CV43" s="103">
        <f t="shared" si="101"/>
        <v>61</v>
      </c>
      <c r="CW43" s="104" t="s">
        <v>147</v>
      </c>
      <c r="CX43" s="105">
        <v>32</v>
      </c>
      <c r="CY43" s="106">
        <f t="shared" si="60"/>
        <v>1299</v>
      </c>
      <c r="CZ43" s="106">
        <f t="shared" si="61"/>
        <v>129.60000000000002</v>
      </c>
      <c r="DA43" s="106"/>
      <c r="DB43" s="106"/>
      <c r="DC43" s="105"/>
      <c r="DD43" s="107"/>
      <c r="DE43" s="92">
        <f t="shared" si="21"/>
        <v>3328</v>
      </c>
      <c r="DF43" s="108">
        <f t="shared" si="22"/>
        <v>21</v>
      </c>
      <c r="DG43" s="115">
        <f t="shared" si="23"/>
        <v>-94.818181818181969</v>
      </c>
      <c r="DH43" s="110">
        <f t="shared" si="24"/>
        <v>3943</v>
      </c>
      <c r="DI43" s="108">
        <f t="shared" si="25"/>
        <v>24</v>
      </c>
      <c r="DJ43" s="112">
        <f t="shared" si="26"/>
        <v>93.454545454544785</v>
      </c>
      <c r="DK43" s="110">
        <f t="shared" si="87"/>
        <v>7271</v>
      </c>
      <c r="DL43" s="108">
        <f t="shared" si="87"/>
        <v>45</v>
      </c>
      <c r="DM43" s="111">
        <f t="shared" si="87"/>
        <v>-1.363636363637184</v>
      </c>
      <c r="DN43" s="76">
        <f t="shared" si="90"/>
        <v>44</v>
      </c>
      <c r="DO43" s="76">
        <f t="shared" si="90"/>
        <v>26</v>
      </c>
      <c r="DP43" s="112"/>
      <c r="DQ43" s="112"/>
      <c r="DR43" s="113" t="s">
        <v>243</v>
      </c>
      <c r="DS43" s="112"/>
      <c r="DT43" s="112"/>
      <c r="DU43" s="111"/>
      <c r="DV43" s="114"/>
      <c r="DW43" s="80">
        <f t="shared" si="62"/>
        <v>7316</v>
      </c>
      <c r="DX43" s="81">
        <f t="shared" si="29"/>
        <v>7314.6363636363631</v>
      </c>
      <c r="DY43" s="80">
        <f t="shared" si="63"/>
        <v>7332</v>
      </c>
      <c r="DZ43" s="82">
        <f t="shared" si="64"/>
        <v>6.7100000000000007E-2</v>
      </c>
      <c r="EA43" s="82">
        <f t="shared" si="65"/>
        <v>7.9981</v>
      </c>
      <c r="EB43" s="82">
        <f t="shared" si="66"/>
        <v>19.181899999999999</v>
      </c>
      <c r="EC43" s="82">
        <f t="shared" si="76"/>
        <v>19.248999999999999</v>
      </c>
      <c r="EF43" s="83">
        <f t="shared" si="93"/>
        <v>-1.363636363637184</v>
      </c>
    </row>
    <row r="44" spans="1:136" ht="14.1" customHeight="1">
      <c r="A44" s="84">
        <v>37</v>
      </c>
      <c r="B44" s="147" t="s">
        <v>244</v>
      </c>
      <c r="C44" s="148"/>
      <c r="D44" s="116" t="s">
        <v>245</v>
      </c>
      <c r="E44" s="149">
        <v>172</v>
      </c>
      <c r="F44" s="89" t="s">
        <v>136</v>
      </c>
      <c r="G44" s="45" t="str">
        <f t="shared" si="31"/>
        <v>MESUS303-4x3-H9A10</v>
      </c>
      <c r="H44" s="46" t="str">
        <f t="shared" si="32"/>
        <v>SUS303ME40DH9</v>
      </c>
      <c r="I44" s="46" t="str">
        <f t="shared" si="33"/>
        <v>SUS303ME40DH93A10</v>
      </c>
      <c r="J44" s="90" t="s">
        <v>226</v>
      </c>
      <c r="K44" s="90" t="s">
        <v>227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246</v>
      </c>
      <c r="S44" s="89">
        <f t="shared" si="34"/>
        <v>38</v>
      </c>
      <c r="T44" s="51">
        <v>6</v>
      </c>
      <c r="U44" s="146">
        <v>27</v>
      </c>
      <c r="V44" s="100">
        <v>0.82</v>
      </c>
      <c r="W44" s="151">
        <f t="shared" si="5"/>
        <v>0</v>
      </c>
      <c r="X44" s="151">
        <f t="shared" si="6"/>
        <v>3752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0</v>
      </c>
      <c r="AE44" s="151">
        <f>IF(V44="","",SUM(W44:AC44))</f>
        <v>3752</v>
      </c>
      <c r="AF44" s="54">
        <f t="shared" si="36"/>
        <v>3752</v>
      </c>
      <c r="AG44" s="94">
        <f t="shared" si="67"/>
        <v>6</v>
      </c>
      <c r="AH44" s="56">
        <f t="shared" si="13"/>
        <v>0</v>
      </c>
      <c r="AI44" s="151">
        <v>12</v>
      </c>
      <c r="AJ44" s="93">
        <f t="shared" si="68"/>
        <v>60</v>
      </c>
      <c r="AK44" s="95">
        <f t="shared" si="37"/>
        <v>0.42541123085649463</v>
      </c>
      <c r="AL44" s="58">
        <f t="shared" si="38"/>
        <v>11.43</v>
      </c>
      <c r="AM44" s="55">
        <f t="shared" si="69"/>
        <v>21.57</v>
      </c>
      <c r="AN44" s="151"/>
      <c r="AO44" s="145"/>
      <c r="AP44" s="145">
        <f>$CJ44</f>
        <v>1595</v>
      </c>
      <c r="AQ44" s="145"/>
      <c r="AR44" s="145"/>
      <c r="AS44" s="145"/>
      <c r="AT44" s="145"/>
      <c r="AU44" s="145">
        <f t="shared" si="39"/>
        <v>0</v>
      </c>
      <c r="AV44" s="145">
        <f t="shared" si="39"/>
        <v>0</v>
      </c>
      <c r="AW44" s="145">
        <f t="shared" si="40"/>
        <v>1595</v>
      </c>
      <c r="AX44" s="145">
        <f t="shared" si="41"/>
        <v>1945</v>
      </c>
      <c r="AY44" s="94">
        <f t="shared" si="70"/>
        <v>-17.087199999999939</v>
      </c>
      <c r="AZ44" s="94">
        <f t="shared" si="42"/>
        <v>-20.838048780487732</v>
      </c>
      <c r="BA44" s="94">
        <f t="shared" si="43"/>
        <v>21.57</v>
      </c>
      <c r="BB44" s="97">
        <f t="shared" si="44"/>
        <v>0.56999999999999995</v>
      </c>
      <c r="BC44" s="151">
        <v>11</v>
      </c>
      <c r="BD44" s="93">
        <f t="shared" si="45"/>
        <v>0</v>
      </c>
      <c r="BE44" s="152">
        <f t="shared" si="46"/>
        <v>1</v>
      </c>
      <c r="BF44" s="58">
        <f t="shared" si="47"/>
        <v>11.57</v>
      </c>
      <c r="BG44" s="94">
        <f t="shared" si="48"/>
        <v>10</v>
      </c>
      <c r="BH44" s="150"/>
      <c r="BI44" s="150"/>
      <c r="BJ44" s="146">
        <f>$CN44</f>
        <v>1482</v>
      </c>
      <c r="BK44" s="150"/>
      <c r="BL44" s="150"/>
      <c r="BM44" s="146"/>
      <c r="BN44" s="146"/>
      <c r="BO44" s="146">
        <f t="shared" si="71"/>
        <v>0</v>
      </c>
      <c r="BP44" s="146">
        <f t="shared" si="71"/>
        <v>0</v>
      </c>
      <c r="BQ44" s="145">
        <f>SUM(BI44:BP44)</f>
        <v>1482</v>
      </c>
      <c r="BR44" s="145">
        <f>IF(AA44="","",INT(BQ44/$V44))</f>
        <v>1807</v>
      </c>
      <c r="BS44" s="96">
        <f t="shared" si="72"/>
        <v>-149.83279999999991</v>
      </c>
      <c r="BT44" s="145">
        <f t="shared" si="51"/>
        <v>-182.7229268292682</v>
      </c>
      <c r="BU44" s="146">
        <f t="shared" si="16"/>
        <v>3752</v>
      </c>
      <c r="BV44" s="98">
        <f t="shared" si="17"/>
        <v>23</v>
      </c>
      <c r="BW44" s="146">
        <f t="shared" si="18"/>
        <v>-203.56097560975593</v>
      </c>
      <c r="BX44" s="153">
        <f t="shared" si="52"/>
        <v>6.8079999999999998</v>
      </c>
      <c r="BY44" s="61">
        <f>IFERROR(BF44+AL44,0)</f>
        <v>23</v>
      </c>
      <c r="BZ44" s="62">
        <f t="shared" si="53"/>
        <v>23</v>
      </c>
      <c r="CA44" s="98">
        <f t="shared" si="54"/>
        <v>3.077</v>
      </c>
      <c r="CB44" s="146">
        <f t="shared" si="97"/>
        <v>3752</v>
      </c>
      <c r="CC44" s="146">
        <f t="shared" si="97"/>
        <v>-166.91999999999985</v>
      </c>
      <c r="CD44" s="146">
        <f t="shared" si="97"/>
        <v>-203.56097560975593</v>
      </c>
      <c r="CE44" s="99"/>
      <c r="CF44" s="99"/>
      <c r="CG44" s="51">
        <f t="shared" si="55"/>
        <v>3.7309999999999999</v>
      </c>
      <c r="CH44" s="62">
        <f t="shared" si="56"/>
        <v>3.7309999999999999</v>
      </c>
      <c r="CI44" s="150">
        <v>60</v>
      </c>
      <c r="CJ44" s="150">
        <v>1595</v>
      </c>
      <c r="CK44" s="150"/>
      <c r="CL44" s="145"/>
      <c r="CM44" s="150"/>
      <c r="CN44" s="150">
        <v>1482</v>
      </c>
      <c r="CO44" s="146"/>
      <c r="CP44" s="154"/>
      <c r="CQ44" s="102">
        <f t="shared" si="100"/>
        <v>1945</v>
      </c>
      <c r="CR44" s="102">
        <f t="shared" si="100"/>
        <v>0</v>
      </c>
      <c r="CS44" s="102">
        <f t="shared" si="100"/>
        <v>0</v>
      </c>
      <c r="CT44" s="92">
        <f t="shared" si="58"/>
        <v>1807</v>
      </c>
      <c r="CU44" s="92">
        <f t="shared" si="101"/>
        <v>0</v>
      </c>
      <c r="CV44" s="103">
        <f t="shared" si="101"/>
        <v>0</v>
      </c>
      <c r="CW44" s="155" t="s">
        <v>147</v>
      </c>
      <c r="CX44" s="156">
        <v>12</v>
      </c>
      <c r="CY44" s="157">
        <f t="shared" si="60"/>
        <v>3285</v>
      </c>
      <c r="CZ44" s="157">
        <f t="shared" si="61"/>
        <v>48.6</v>
      </c>
      <c r="DA44" s="157"/>
      <c r="DB44" s="157"/>
      <c r="DC44" s="156"/>
      <c r="DD44" s="158"/>
      <c r="DE44" s="92">
        <f t="shared" si="21"/>
        <v>1945</v>
      </c>
      <c r="DF44" s="108">
        <f t="shared" si="22"/>
        <v>11.43</v>
      </c>
      <c r="DG44" s="112">
        <f t="shared" si="23"/>
        <v>-20.838048780487732</v>
      </c>
      <c r="DH44" s="110">
        <f t="shared" si="24"/>
        <v>1807</v>
      </c>
      <c r="DI44" s="108">
        <f t="shared" si="25"/>
        <v>11.57</v>
      </c>
      <c r="DJ44" s="112">
        <f t="shared" si="26"/>
        <v>-182.7229268292682</v>
      </c>
      <c r="DK44" s="110">
        <f t="shared" si="87"/>
        <v>3752</v>
      </c>
      <c r="DL44" s="108">
        <f t="shared" si="87"/>
        <v>23</v>
      </c>
      <c r="DM44" s="111">
        <f t="shared" si="87"/>
        <v>-203.56097560975593</v>
      </c>
      <c r="DN44" s="76">
        <f t="shared" si="90"/>
        <v>6</v>
      </c>
      <c r="DO44" s="76">
        <f t="shared" si="90"/>
        <v>27</v>
      </c>
      <c r="DP44" s="112"/>
      <c r="DQ44" s="112"/>
      <c r="DR44" s="113" t="s">
        <v>247</v>
      </c>
      <c r="DS44" s="112"/>
      <c r="DT44" s="112"/>
      <c r="DU44" s="111"/>
      <c r="DV44" s="114"/>
      <c r="DW44" s="80">
        <f>IFERROR(AL44+BF44,"")</f>
        <v>23</v>
      </c>
      <c r="DX44" s="159">
        <f t="shared" si="29"/>
        <v>3571.439024390244</v>
      </c>
      <c r="DY44" s="80">
        <f t="shared" si="63"/>
        <v>3752</v>
      </c>
      <c r="DZ44" s="82">
        <f t="shared" si="64"/>
        <v>0</v>
      </c>
      <c r="EA44" s="82">
        <f t="shared" si="65"/>
        <v>3.0766399999999998</v>
      </c>
      <c r="EB44" s="82">
        <f t="shared" si="66"/>
        <v>3.73136</v>
      </c>
      <c r="EC44" s="82">
        <f t="shared" si="76"/>
        <v>3.73136</v>
      </c>
      <c r="EF44" s="83">
        <f t="shared" si="93"/>
        <v>-203.56097560975593</v>
      </c>
    </row>
    <row r="45" spans="1:136" ht="14.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1"/>
        <v>IBC3604-6.2x3-H9A14</v>
      </c>
      <c r="H45" s="46" t="str">
        <f t="shared" si="32"/>
        <v>C3604IB6.20DH9</v>
      </c>
      <c r="I45" s="46" t="str">
        <f t="shared" si="33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4"/>
        <v>54</v>
      </c>
      <c r="T45" s="51"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5"/>
        <v>0</v>
      </c>
      <c r="AF45" s="54">
        <f t="shared" si="36"/>
        <v>0</v>
      </c>
      <c r="AG45" s="94">
        <f t="shared" si="67"/>
        <v>0</v>
      </c>
      <c r="AH45" s="56">
        <f t="shared" si="13"/>
        <v>0</v>
      </c>
      <c r="AI45" s="93"/>
      <c r="AJ45" s="93">
        <f t="shared" si="68"/>
        <v>0</v>
      </c>
      <c r="AK45" s="95">
        <f t="shared" si="37"/>
        <v>1</v>
      </c>
      <c r="AL45" s="58">
        <f t="shared" si="38"/>
        <v>0</v>
      </c>
      <c r="AM45" s="55">
        <f t="shared" si="69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9"/>
        <v>0</v>
      </c>
      <c r="AV45" s="96">
        <f t="shared" si="39"/>
        <v>0</v>
      </c>
      <c r="AW45" s="96">
        <f t="shared" si="40"/>
        <v>0</v>
      </c>
      <c r="AX45" s="96">
        <f t="shared" si="41"/>
        <v>0</v>
      </c>
      <c r="AY45" s="94">
        <f t="shared" si="70"/>
        <v>0</v>
      </c>
      <c r="AZ45" s="94">
        <f t="shared" si="42"/>
        <v>0</v>
      </c>
      <c r="BA45" s="94">
        <f t="shared" si="43"/>
        <v>0</v>
      </c>
      <c r="BB45" s="97">
        <f t="shared" si="44"/>
        <v>0</v>
      </c>
      <c r="BC45" s="93"/>
      <c r="BD45" s="93">
        <f t="shared" si="45"/>
        <v>0</v>
      </c>
      <c r="BE45" s="95">
        <f t="shared" si="46"/>
        <v>1</v>
      </c>
      <c r="BF45" s="58">
        <f t="shared" si="47"/>
        <v>0</v>
      </c>
      <c r="BG45" s="94">
        <f t="shared" si="48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1"/>
        <v>0</v>
      </c>
      <c r="BP45" s="92">
        <f t="shared" si="71"/>
        <v>0</v>
      </c>
      <c r="BQ45" s="96">
        <f t="shared" si="49"/>
        <v>0</v>
      </c>
      <c r="BR45" s="96">
        <f t="shared" si="50"/>
        <v>0</v>
      </c>
      <c r="BS45" s="96">
        <f t="shared" si="72"/>
        <v>0</v>
      </c>
      <c r="BT45" s="96">
        <f t="shared" si="51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2"/>
        <v>0</v>
      </c>
      <c r="BY45" s="61">
        <f t="shared" si="74"/>
        <v>0</v>
      </c>
      <c r="BZ45" s="62">
        <f t="shared" si="53"/>
        <v>0</v>
      </c>
      <c r="CA45" s="98">
        <f t="shared" si="54"/>
        <v>0</v>
      </c>
      <c r="CB45" s="92">
        <f t="shared" si="97"/>
        <v>0</v>
      </c>
      <c r="CC45" s="92">
        <f t="shared" si="97"/>
        <v>0</v>
      </c>
      <c r="CD45" s="92">
        <f t="shared" si="97"/>
        <v>0</v>
      </c>
      <c r="CE45" s="99"/>
      <c r="CF45" s="99"/>
      <c r="CG45" s="51">
        <f t="shared" si="55"/>
        <v>0</v>
      </c>
      <c r="CH45" s="62">
        <f t="shared" si="56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100"/>
        <v>0</v>
      </c>
      <c r="CR45" s="102">
        <f t="shared" si="100"/>
        <v>0</v>
      </c>
      <c r="CS45" s="102">
        <f t="shared" si="100"/>
        <v>0</v>
      </c>
      <c r="CT45" s="92">
        <f t="shared" si="58"/>
        <v>0</v>
      </c>
      <c r="CU45" s="92">
        <f t="shared" si="101"/>
        <v>0</v>
      </c>
      <c r="CV45" s="103">
        <f t="shared" si="101"/>
        <v>0</v>
      </c>
      <c r="CW45" s="104" t="s">
        <v>147</v>
      </c>
      <c r="CX45" s="105">
        <v>15</v>
      </c>
      <c r="CY45" s="106">
        <f t="shared" si="60"/>
        <v>2496</v>
      </c>
      <c r="CZ45" s="106">
        <f t="shared" si="61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7"/>
        <v>0</v>
      </c>
      <c r="DL45" s="108">
        <f t="shared" si="87"/>
        <v>0</v>
      </c>
      <c r="DM45" s="111">
        <f t="shared" si="87"/>
        <v>0</v>
      </c>
      <c r="DN45" s="76">
        <f t="shared" si="90"/>
        <v>0</v>
      </c>
      <c r="DO45" s="76">
        <f t="shared" si="90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2"/>
        <v>0</v>
      </c>
      <c r="DX45" s="81">
        <f t="shared" si="29"/>
        <v>0</v>
      </c>
      <c r="DY45" s="80">
        <f t="shared" si="63"/>
        <v>0</v>
      </c>
      <c r="DZ45" s="82">
        <f t="shared" si="64"/>
        <v>0</v>
      </c>
      <c r="EA45" s="82">
        <f t="shared" si="65"/>
        <v>0</v>
      </c>
      <c r="EB45" s="82">
        <f t="shared" si="66"/>
        <v>0</v>
      </c>
      <c r="EC45" s="82">
        <f t="shared" si="76"/>
        <v>0</v>
      </c>
      <c r="EF45" s="83">
        <f t="shared" si="93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1"/>
        <v>TV12L14-4.76x2.5-H9B14</v>
      </c>
      <c r="H46" s="46" t="str">
        <f t="shared" si="32"/>
        <v>12L14TV4.760DH9</v>
      </c>
      <c r="I46" s="46" t="str">
        <f t="shared" si="33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4"/>
        <v>44</v>
      </c>
      <c r="T46" s="51">
        <v>20</v>
      </c>
      <c r="U46" s="92">
        <v>40</v>
      </c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1950</v>
      </c>
      <c r="AB46" s="93">
        <f t="shared" si="10"/>
        <v>0</v>
      </c>
      <c r="AC46" s="93">
        <f t="shared" si="11"/>
        <v>0</v>
      </c>
      <c r="AD46" s="93">
        <f t="shared" si="12"/>
        <v>128</v>
      </c>
      <c r="AE46" s="93">
        <f t="shared" si="35"/>
        <v>1950</v>
      </c>
      <c r="AF46" s="54">
        <f t="shared" si="36"/>
        <v>1950</v>
      </c>
      <c r="AG46" s="94">
        <f t="shared" si="67"/>
        <v>20</v>
      </c>
      <c r="AH46" s="56">
        <f t="shared" si="13"/>
        <v>0</v>
      </c>
      <c r="AI46" s="93">
        <v>8</v>
      </c>
      <c r="AJ46" s="93">
        <f t="shared" si="68"/>
        <v>0</v>
      </c>
      <c r="AK46" s="95">
        <f t="shared" si="37"/>
        <v>1</v>
      </c>
      <c r="AL46" s="58">
        <f t="shared" si="38"/>
        <v>8</v>
      </c>
      <c r="AM46" s="55">
        <f t="shared" si="69"/>
        <v>52</v>
      </c>
      <c r="AN46" s="93"/>
      <c r="AO46" s="96"/>
      <c r="AP46" s="96"/>
      <c r="AQ46" s="96"/>
      <c r="AR46" s="96"/>
      <c r="AS46" s="96">
        <f>$CJ46</f>
        <v>1311</v>
      </c>
      <c r="AT46" s="96"/>
      <c r="AU46" s="96">
        <f t="shared" si="39"/>
        <v>0</v>
      </c>
      <c r="AV46" s="96">
        <f t="shared" si="39"/>
        <v>127</v>
      </c>
      <c r="AW46" s="96">
        <f t="shared" si="40"/>
        <v>1438</v>
      </c>
      <c r="AX46" s="96">
        <f t="shared" si="41"/>
        <v>639</v>
      </c>
      <c r="AY46" s="94">
        <f t="shared" si="70"/>
        <v>-146</v>
      </c>
      <c r="AZ46" s="94">
        <f t="shared" si="42"/>
        <v>-64.888888888888886</v>
      </c>
      <c r="BA46" s="94">
        <f t="shared" si="43"/>
        <v>52</v>
      </c>
      <c r="BB46" s="97">
        <f t="shared" si="44"/>
        <v>0</v>
      </c>
      <c r="BC46" s="93">
        <v>16</v>
      </c>
      <c r="BD46" s="93">
        <f t="shared" si="45"/>
        <v>0</v>
      </c>
      <c r="BE46" s="95">
        <f t="shared" si="46"/>
        <v>1</v>
      </c>
      <c r="BF46" s="58">
        <f t="shared" si="47"/>
        <v>16</v>
      </c>
      <c r="BG46" s="94">
        <f t="shared" si="48"/>
        <v>36</v>
      </c>
      <c r="BH46" s="89"/>
      <c r="BI46" s="89"/>
      <c r="BJ46" s="89"/>
      <c r="BK46" s="89"/>
      <c r="BL46" s="89"/>
      <c r="BM46" s="92">
        <f>$CN46</f>
        <v>3077</v>
      </c>
      <c r="BN46" s="89"/>
      <c r="BO46" s="92">
        <f t="shared" si="71"/>
        <v>0</v>
      </c>
      <c r="BP46" s="92">
        <f t="shared" si="71"/>
        <v>161</v>
      </c>
      <c r="BQ46" s="96">
        <f t="shared" si="49"/>
        <v>3238</v>
      </c>
      <c r="BR46" s="96">
        <f t="shared" si="50"/>
        <v>1439</v>
      </c>
      <c r="BS46" s="96">
        <f t="shared" si="72"/>
        <v>70</v>
      </c>
      <c r="BT46" s="96">
        <f t="shared" si="51"/>
        <v>31.111111111111111</v>
      </c>
      <c r="BU46" s="92">
        <f t="shared" si="16"/>
        <v>1950</v>
      </c>
      <c r="BV46" s="98">
        <f t="shared" si="17"/>
        <v>24</v>
      </c>
      <c r="BW46" s="92">
        <f t="shared" si="18"/>
        <v>-33.777777777777771</v>
      </c>
      <c r="BX46" s="98">
        <f t="shared" si="52"/>
        <v>8.3279999999999994</v>
      </c>
      <c r="BY46" s="61">
        <f t="shared" si="74"/>
        <v>24</v>
      </c>
      <c r="BZ46" s="62">
        <f t="shared" si="53"/>
        <v>24</v>
      </c>
      <c r="CA46" s="98">
        <f t="shared" si="54"/>
        <v>4.6760000000000002</v>
      </c>
      <c r="CB46" s="92">
        <f t="shared" si="97"/>
        <v>2078</v>
      </c>
      <c r="CC46" s="92">
        <f t="shared" si="97"/>
        <v>-76</v>
      </c>
      <c r="CD46" s="92">
        <f t="shared" si="97"/>
        <v>-33.777777777777771</v>
      </c>
      <c r="CE46" s="99"/>
      <c r="CF46" s="99"/>
      <c r="CG46" s="51">
        <f t="shared" si="55"/>
        <v>3.9399999999999991</v>
      </c>
      <c r="CH46" s="62">
        <f t="shared" si="56"/>
        <v>3.9399999999999991</v>
      </c>
      <c r="CI46" s="89"/>
      <c r="CJ46" s="89">
        <v>1311</v>
      </c>
      <c r="CK46" s="89"/>
      <c r="CL46" s="96">
        <v>127</v>
      </c>
      <c r="CM46" s="89"/>
      <c r="CN46" s="89">
        <v>3077</v>
      </c>
      <c r="CO46" s="92"/>
      <c r="CP46" s="101">
        <v>161</v>
      </c>
      <c r="CQ46" s="102">
        <f t="shared" si="100"/>
        <v>582</v>
      </c>
      <c r="CR46" s="102">
        <f t="shared" si="100"/>
        <v>0</v>
      </c>
      <c r="CS46" s="102">
        <f t="shared" si="100"/>
        <v>56</v>
      </c>
      <c r="CT46" s="92">
        <f t="shared" si="58"/>
        <v>1368</v>
      </c>
      <c r="CU46" s="92">
        <f t="shared" si="101"/>
        <v>0</v>
      </c>
      <c r="CV46" s="103">
        <f t="shared" si="101"/>
        <v>72</v>
      </c>
      <c r="CW46" s="104" t="s">
        <v>147</v>
      </c>
      <c r="CX46" s="105">
        <v>20</v>
      </c>
      <c r="CY46" s="106">
        <f t="shared" si="60"/>
        <v>1935</v>
      </c>
      <c r="CZ46" s="106">
        <f t="shared" si="61"/>
        <v>81</v>
      </c>
      <c r="DA46" s="106"/>
      <c r="DB46" s="106"/>
      <c r="DC46" s="105"/>
      <c r="DD46" s="107"/>
      <c r="DE46" s="92">
        <f t="shared" si="21"/>
        <v>582</v>
      </c>
      <c r="DF46" s="108">
        <f t="shared" si="22"/>
        <v>8</v>
      </c>
      <c r="DG46" s="112">
        <f t="shared" si="23"/>
        <v>-64.888888888888886</v>
      </c>
      <c r="DH46" s="110">
        <f t="shared" si="24"/>
        <v>1368</v>
      </c>
      <c r="DI46" s="108">
        <f t="shared" si="25"/>
        <v>16</v>
      </c>
      <c r="DJ46" s="112">
        <f t="shared" si="26"/>
        <v>31.111111111111111</v>
      </c>
      <c r="DK46" s="110">
        <f t="shared" si="87"/>
        <v>1950</v>
      </c>
      <c r="DL46" s="108">
        <f t="shared" si="87"/>
        <v>24</v>
      </c>
      <c r="DM46" s="111">
        <f t="shared" si="87"/>
        <v>-33.777777777777771</v>
      </c>
      <c r="DN46" s="76">
        <f t="shared" si="90"/>
        <v>20</v>
      </c>
      <c r="DO46" s="76">
        <f t="shared" si="90"/>
        <v>40</v>
      </c>
      <c r="DP46" s="112"/>
      <c r="DQ46" s="112"/>
      <c r="DR46" s="113" t="s">
        <v>252</v>
      </c>
      <c r="DS46" s="112"/>
      <c r="DT46" s="112"/>
      <c r="DU46" s="111"/>
      <c r="DV46" s="114"/>
      <c r="DW46" s="80">
        <f>IFERROR(AL46+BF46,"")</f>
        <v>24</v>
      </c>
      <c r="DX46" s="81">
        <f t="shared" si="29"/>
        <v>1940.2222222222222</v>
      </c>
      <c r="DY46" s="80">
        <f t="shared" si="63"/>
        <v>2078</v>
      </c>
      <c r="DZ46" s="82">
        <f t="shared" si="64"/>
        <v>0.28799999999999998</v>
      </c>
      <c r="EA46" s="82">
        <f t="shared" si="65"/>
        <v>4.3875000000000002</v>
      </c>
      <c r="EB46" s="82">
        <f t="shared" si="66"/>
        <v>3.9404999999999992</v>
      </c>
      <c r="EC46" s="82">
        <f t="shared" si="76"/>
        <v>4.2284999999999995</v>
      </c>
      <c r="EF46" s="83">
        <f t="shared" si="93"/>
        <v>-33.777777777777771</v>
      </c>
    </row>
    <row r="47" spans="1:136" ht="14.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1"/>
        <v>MESUS303-2.5x3-H9B14</v>
      </c>
      <c r="H47" s="46" t="str">
        <f t="shared" si="32"/>
        <v>SUS303ME2.50DH9</v>
      </c>
      <c r="I47" s="46" t="str">
        <f t="shared" si="33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4"/>
        <v>62</v>
      </c>
      <c r="T47" s="51"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5"/>
        <v>0</v>
      </c>
      <c r="AF47" s="54">
        <f t="shared" si="36"/>
        <v>0</v>
      </c>
      <c r="AG47" s="94">
        <f t="shared" si="67"/>
        <v>0</v>
      </c>
      <c r="AH47" s="56">
        <f t="shared" si="13"/>
        <v>0</v>
      </c>
      <c r="AI47" s="93"/>
      <c r="AJ47" s="93">
        <f t="shared" si="68"/>
        <v>0</v>
      </c>
      <c r="AK47" s="95">
        <f t="shared" si="37"/>
        <v>1</v>
      </c>
      <c r="AL47" s="58">
        <f t="shared" si="38"/>
        <v>0</v>
      </c>
      <c r="AM47" s="55">
        <f t="shared" si="69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9"/>
        <v>0</v>
      </c>
      <c r="AV47" s="96">
        <f t="shared" si="39"/>
        <v>0</v>
      </c>
      <c r="AW47" s="96">
        <f t="shared" si="40"/>
        <v>0</v>
      </c>
      <c r="AX47" s="96">
        <f t="shared" si="41"/>
        <v>0</v>
      </c>
      <c r="AY47" s="94">
        <f t="shared" si="70"/>
        <v>0</v>
      </c>
      <c r="AZ47" s="94">
        <f t="shared" si="42"/>
        <v>0</v>
      </c>
      <c r="BA47" s="94">
        <f t="shared" si="43"/>
        <v>0</v>
      </c>
      <c r="BB47" s="97">
        <f t="shared" si="44"/>
        <v>0</v>
      </c>
      <c r="BC47" s="93"/>
      <c r="BD47" s="93">
        <f t="shared" si="45"/>
        <v>0</v>
      </c>
      <c r="BE47" s="95">
        <f t="shared" si="46"/>
        <v>1</v>
      </c>
      <c r="BF47" s="58">
        <f t="shared" si="47"/>
        <v>0</v>
      </c>
      <c r="BG47" s="94">
        <f t="shared" si="48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1"/>
        <v>0</v>
      </c>
      <c r="BP47" s="92">
        <f t="shared" si="71"/>
        <v>0</v>
      </c>
      <c r="BQ47" s="96">
        <f t="shared" si="49"/>
        <v>0</v>
      </c>
      <c r="BR47" s="96">
        <f t="shared" si="50"/>
        <v>0</v>
      </c>
      <c r="BS47" s="96">
        <f t="shared" si="72"/>
        <v>0</v>
      </c>
      <c r="BT47" s="96">
        <f t="shared" si="51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2"/>
        <v>0</v>
      </c>
      <c r="BY47" s="61">
        <f t="shared" si="74"/>
        <v>0</v>
      </c>
      <c r="BZ47" s="62">
        <f t="shared" si="53"/>
        <v>0</v>
      </c>
      <c r="CA47" s="98">
        <f t="shared" si="54"/>
        <v>0</v>
      </c>
      <c r="CB47" s="92">
        <f t="shared" si="97"/>
        <v>0</v>
      </c>
      <c r="CC47" s="92">
        <f t="shared" si="97"/>
        <v>0</v>
      </c>
      <c r="CD47" s="92">
        <f t="shared" si="97"/>
        <v>0</v>
      </c>
      <c r="CE47" s="99"/>
      <c r="CF47" s="99"/>
      <c r="CG47" s="51">
        <f t="shared" si="55"/>
        <v>0</v>
      </c>
      <c r="CH47" s="62">
        <f t="shared" si="56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100"/>
        <v>0</v>
      </c>
      <c r="CR47" s="102">
        <f t="shared" si="100"/>
        <v>0</v>
      </c>
      <c r="CS47" s="102">
        <f t="shared" si="100"/>
        <v>0</v>
      </c>
      <c r="CT47" s="92">
        <f t="shared" si="58"/>
        <v>0</v>
      </c>
      <c r="CU47" s="92">
        <f t="shared" si="101"/>
        <v>0</v>
      </c>
      <c r="CV47" s="103">
        <f t="shared" si="101"/>
        <v>0</v>
      </c>
      <c r="CW47" s="104" t="s">
        <v>147</v>
      </c>
      <c r="CX47" s="105">
        <v>17</v>
      </c>
      <c r="CY47" s="106">
        <f t="shared" si="60"/>
        <v>2149</v>
      </c>
      <c r="CZ47" s="106">
        <f t="shared" si="61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7"/>
        <v>0</v>
      </c>
      <c r="DL47" s="108">
        <f t="shared" si="87"/>
        <v>0</v>
      </c>
      <c r="DM47" s="111">
        <f t="shared" si="87"/>
        <v>0</v>
      </c>
      <c r="DN47" s="76">
        <f t="shared" si="90"/>
        <v>0</v>
      </c>
      <c r="DO47" s="76">
        <f t="shared" si="90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2"/>
        <v>0</v>
      </c>
      <c r="DX47" s="81">
        <f t="shared" si="29"/>
        <v>0</v>
      </c>
      <c r="DY47" s="80">
        <f t="shared" si="63"/>
        <v>0</v>
      </c>
      <c r="DZ47" s="82">
        <f t="shared" si="64"/>
        <v>0</v>
      </c>
      <c r="EA47" s="82">
        <f t="shared" si="65"/>
        <v>0</v>
      </c>
      <c r="EB47" s="82">
        <f t="shared" si="66"/>
        <v>0</v>
      </c>
      <c r="EC47" s="82">
        <f t="shared" si="76"/>
        <v>0</v>
      </c>
      <c r="EF47" s="83">
        <f t="shared" si="93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1"/>
        <v>TV12L14-3.975x2.5-H7A12</v>
      </c>
      <c r="H48" s="46" t="str">
        <f t="shared" si="32"/>
        <v>12L14TV3.9750DH7</v>
      </c>
      <c r="I48" s="46" t="str">
        <f t="shared" si="33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4"/>
        <v>16</v>
      </c>
      <c r="T48" s="51">
        <v>26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5"/>
        <v>0</v>
      </c>
      <c r="AF48" s="54">
        <f t="shared" si="36"/>
        <v>0</v>
      </c>
      <c r="AG48" s="94">
        <f t="shared" si="67"/>
        <v>26</v>
      </c>
      <c r="AH48" s="56">
        <f t="shared" si="13"/>
        <v>0</v>
      </c>
      <c r="AI48" s="93"/>
      <c r="AJ48" s="93">
        <f t="shared" si="68"/>
        <v>0</v>
      </c>
      <c r="AK48" s="95">
        <f t="shared" si="37"/>
        <v>1</v>
      </c>
      <c r="AL48" s="58">
        <f t="shared" si="38"/>
        <v>0</v>
      </c>
      <c r="AM48" s="55">
        <f t="shared" si="69"/>
        <v>26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9"/>
        <v>0</v>
      </c>
      <c r="AV48" s="96">
        <f t="shared" si="39"/>
        <v>0</v>
      </c>
      <c r="AW48" s="96">
        <f t="shared" si="40"/>
        <v>0</v>
      </c>
      <c r="AX48" s="96">
        <f t="shared" si="41"/>
        <v>0</v>
      </c>
      <c r="AY48" s="94">
        <f t="shared" si="70"/>
        <v>0</v>
      </c>
      <c r="AZ48" s="94">
        <f t="shared" si="42"/>
        <v>0</v>
      </c>
      <c r="BA48" s="94">
        <f t="shared" si="43"/>
        <v>26</v>
      </c>
      <c r="BB48" s="97">
        <f t="shared" si="44"/>
        <v>0</v>
      </c>
      <c r="BC48" s="93"/>
      <c r="BD48" s="93">
        <f t="shared" si="45"/>
        <v>0</v>
      </c>
      <c r="BE48" s="95">
        <f t="shared" si="46"/>
        <v>1</v>
      </c>
      <c r="BF48" s="58">
        <f t="shared" si="47"/>
        <v>0</v>
      </c>
      <c r="BG48" s="94">
        <f t="shared" si="48"/>
        <v>26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1"/>
        <v>0</v>
      </c>
      <c r="BP48" s="92">
        <f t="shared" si="71"/>
        <v>0</v>
      </c>
      <c r="BQ48" s="96">
        <f t="shared" si="49"/>
        <v>0</v>
      </c>
      <c r="BR48" s="96">
        <f t="shared" si="50"/>
        <v>0</v>
      </c>
      <c r="BS48" s="96">
        <f t="shared" si="72"/>
        <v>0</v>
      </c>
      <c r="BT48" s="96">
        <f t="shared" si="51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2"/>
        <v>0</v>
      </c>
      <c r="BY48" s="61">
        <f t="shared" si="74"/>
        <v>0</v>
      </c>
      <c r="BZ48" s="62">
        <f t="shared" si="53"/>
        <v>0</v>
      </c>
      <c r="CA48" s="98">
        <f t="shared" si="54"/>
        <v>0</v>
      </c>
      <c r="CB48" s="92">
        <f t="shared" si="97"/>
        <v>0</v>
      </c>
      <c r="CC48" s="92">
        <f t="shared" si="97"/>
        <v>0</v>
      </c>
      <c r="CD48" s="92">
        <f t="shared" si="97"/>
        <v>0</v>
      </c>
      <c r="CE48" s="99"/>
      <c r="CF48" s="99"/>
      <c r="CG48" s="51">
        <f t="shared" si="55"/>
        <v>0</v>
      </c>
      <c r="CH48" s="62">
        <f t="shared" si="56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100"/>
        <v>0</v>
      </c>
      <c r="CR48" s="102">
        <f t="shared" si="100"/>
        <v>0</v>
      </c>
      <c r="CS48" s="102">
        <f t="shared" si="100"/>
        <v>0</v>
      </c>
      <c r="CT48" s="92">
        <f t="shared" si="58"/>
        <v>0</v>
      </c>
      <c r="CU48" s="92">
        <f t="shared" si="101"/>
        <v>0</v>
      </c>
      <c r="CV48" s="103">
        <f t="shared" si="101"/>
        <v>0</v>
      </c>
      <c r="CW48" s="104" t="s">
        <v>147</v>
      </c>
      <c r="CX48" s="105">
        <v>21</v>
      </c>
      <c r="CY48" s="106">
        <f t="shared" si="60"/>
        <v>1988</v>
      </c>
      <c r="CZ48" s="106">
        <f t="shared" si="61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7"/>
        <v>0</v>
      </c>
      <c r="DL48" s="108">
        <f t="shared" si="87"/>
        <v>0</v>
      </c>
      <c r="DM48" s="111">
        <f t="shared" si="87"/>
        <v>0</v>
      </c>
      <c r="DN48" s="76">
        <f t="shared" si="90"/>
        <v>26</v>
      </c>
      <c r="DO48" s="76">
        <f t="shared" si="90"/>
        <v>0</v>
      </c>
      <c r="DP48" s="112"/>
      <c r="DQ48" s="112"/>
      <c r="DR48" s="113" t="s">
        <v>258</v>
      </c>
      <c r="DS48" s="112"/>
      <c r="DT48" s="112"/>
      <c r="DU48" s="111"/>
      <c r="DV48" s="114"/>
      <c r="DW48" s="80">
        <f t="shared" si="62"/>
        <v>0</v>
      </c>
      <c r="DX48" s="81">
        <f t="shared" si="29"/>
        <v>0</v>
      </c>
      <c r="DY48" s="80">
        <f t="shared" si="63"/>
        <v>0</v>
      </c>
      <c r="DZ48" s="82">
        <f t="shared" si="64"/>
        <v>0</v>
      </c>
      <c r="EA48" s="82">
        <f t="shared" si="65"/>
        <v>0</v>
      </c>
      <c r="EB48" s="82">
        <f t="shared" si="66"/>
        <v>0</v>
      </c>
      <c r="EC48" s="82">
        <f t="shared" si="76"/>
        <v>0</v>
      </c>
      <c r="EF48" s="83">
        <f t="shared" si="93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1"/>
        <v>GAA5052-5.7x3-H9A14</v>
      </c>
      <c r="H49" s="46" t="str">
        <f t="shared" si="32"/>
        <v>A5052GA5.70DH9</v>
      </c>
      <c r="I49" s="46" t="str">
        <f t="shared" si="33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4"/>
        <v>14</v>
      </c>
      <c r="T49" s="51">
        <v>15.69</v>
      </c>
      <c r="U49" s="92">
        <v>20</v>
      </c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1526</v>
      </c>
      <c r="AC49" s="93">
        <f t="shared" si="11"/>
        <v>0</v>
      </c>
      <c r="AD49" s="93">
        <f t="shared" si="12"/>
        <v>66</v>
      </c>
      <c r="AE49" s="93">
        <f t="shared" si="35"/>
        <v>1526</v>
      </c>
      <c r="AF49" s="54">
        <f t="shared" si="36"/>
        <v>1526</v>
      </c>
      <c r="AG49" s="94">
        <f t="shared" si="67"/>
        <v>15.69</v>
      </c>
      <c r="AH49" s="56">
        <f t="shared" si="13"/>
        <v>0.69</v>
      </c>
      <c r="AI49" s="93">
        <v>2</v>
      </c>
      <c r="AJ49" s="93">
        <f t="shared" si="68"/>
        <v>9</v>
      </c>
      <c r="AK49" s="95">
        <f t="shared" si="37"/>
        <v>0.25</v>
      </c>
      <c r="AL49" s="58">
        <f t="shared" si="38"/>
        <v>1.94</v>
      </c>
      <c r="AM49" s="55">
        <f t="shared" si="69"/>
        <v>33.75</v>
      </c>
      <c r="AN49" s="93"/>
      <c r="AO49" s="96"/>
      <c r="AP49" s="96"/>
      <c r="AQ49" s="96"/>
      <c r="AR49" s="96"/>
      <c r="AS49" s="96"/>
      <c r="AT49" s="96">
        <f>$CJ49</f>
        <v>70</v>
      </c>
      <c r="AU49" s="96">
        <f t="shared" si="39"/>
        <v>0</v>
      </c>
      <c r="AV49" s="96">
        <f t="shared" si="39"/>
        <v>5</v>
      </c>
      <c r="AW49" s="96">
        <f t="shared" si="40"/>
        <v>75</v>
      </c>
      <c r="AX49" s="96">
        <f t="shared" si="41"/>
        <v>500</v>
      </c>
      <c r="AY49" s="94">
        <f t="shared" si="70"/>
        <v>5.1600000000000108</v>
      </c>
      <c r="AZ49" s="94">
        <f t="shared" si="42"/>
        <v>34.400000000000077</v>
      </c>
      <c r="BA49" s="94">
        <f t="shared" si="43"/>
        <v>33.75</v>
      </c>
      <c r="BB49" s="97">
        <f t="shared" si="44"/>
        <v>0.75</v>
      </c>
      <c r="BC49" s="93">
        <v>4</v>
      </c>
      <c r="BD49" s="93">
        <f t="shared" si="45"/>
        <v>22</v>
      </c>
      <c r="BE49" s="95">
        <f t="shared" si="46"/>
        <v>0.61111111111111116</v>
      </c>
      <c r="BF49" s="58">
        <f t="shared" si="47"/>
        <v>4.37</v>
      </c>
      <c r="BG49" s="94">
        <f t="shared" si="48"/>
        <v>29.38</v>
      </c>
      <c r="BH49" s="89"/>
      <c r="BI49" s="89"/>
      <c r="BJ49" s="89"/>
      <c r="BK49" s="89"/>
      <c r="BL49" s="89"/>
      <c r="BM49" s="89"/>
      <c r="BN49" s="146">
        <f>$CN49</f>
        <v>159</v>
      </c>
      <c r="BO49" s="92">
        <f t="shared" si="71"/>
        <v>0</v>
      </c>
      <c r="BP49" s="92">
        <f t="shared" si="71"/>
        <v>5</v>
      </c>
      <c r="BQ49" s="96">
        <f t="shared" si="49"/>
        <v>164</v>
      </c>
      <c r="BR49" s="96">
        <f t="shared" si="50"/>
        <v>1093</v>
      </c>
      <c r="BS49" s="96">
        <f t="shared" si="72"/>
        <v>6.6800000000000068</v>
      </c>
      <c r="BT49" s="96">
        <f t="shared" si="51"/>
        <v>44.533333333333381</v>
      </c>
      <c r="BU49" s="92">
        <f t="shared" si="16"/>
        <v>1526</v>
      </c>
      <c r="BV49" s="98">
        <f t="shared" si="17"/>
        <v>6.3100000000000005</v>
      </c>
      <c r="BW49" s="92">
        <f t="shared" si="18"/>
        <v>78.933333333333451</v>
      </c>
      <c r="BX49" s="98">
        <f t="shared" si="52"/>
        <v>1.2872399999999999</v>
      </c>
      <c r="BY49" s="61">
        <f t="shared" si="74"/>
        <v>6.3100000000000005</v>
      </c>
      <c r="BZ49" s="62">
        <f t="shared" si="53"/>
        <v>6.3100000000000005</v>
      </c>
      <c r="CA49" s="98">
        <f t="shared" si="54"/>
        <v>0.23899999999999999</v>
      </c>
      <c r="CB49" s="92">
        <f t="shared" si="97"/>
        <v>1593</v>
      </c>
      <c r="CC49" s="92">
        <f t="shared" si="97"/>
        <v>11.840000000000018</v>
      </c>
      <c r="CD49" s="92">
        <f t="shared" si="97"/>
        <v>78.933333333333451</v>
      </c>
      <c r="CE49" s="99"/>
      <c r="CF49" s="99"/>
      <c r="CG49" s="51">
        <f t="shared" si="55"/>
        <v>1.0582399999999998</v>
      </c>
      <c r="CH49" s="62">
        <f t="shared" si="56"/>
        <v>1.0582399999999998</v>
      </c>
      <c r="CI49" s="89">
        <v>9</v>
      </c>
      <c r="CJ49" s="89">
        <v>70</v>
      </c>
      <c r="CK49" s="89"/>
      <c r="CL49" s="96">
        <v>5</v>
      </c>
      <c r="CM49" s="89">
        <v>22</v>
      </c>
      <c r="CN49" s="89">
        <v>159</v>
      </c>
      <c r="CO49" s="92"/>
      <c r="CP49" s="101">
        <v>5</v>
      </c>
      <c r="CQ49" s="102">
        <f t="shared" si="100"/>
        <v>466</v>
      </c>
      <c r="CR49" s="102">
        <f t="shared" si="100"/>
        <v>0</v>
      </c>
      <c r="CS49" s="102">
        <f t="shared" si="100"/>
        <v>33</v>
      </c>
      <c r="CT49" s="92">
        <f t="shared" si="58"/>
        <v>1060</v>
      </c>
      <c r="CU49" s="92">
        <f t="shared" si="101"/>
        <v>0</v>
      </c>
      <c r="CV49" s="103">
        <f t="shared" si="101"/>
        <v>33</v>
      </c>
      <c r="CW49" s="104" t="s">
        <v>147</v>
      </c>
      <c r="CX49" s="105">
        <v>26</v>
      </c>
      <c r="CY49" s="106">
        <f t="shared" si="60"/>
        <v>1613</v>
      </c>
      <c r="CZ49" s="106">
        <f t="shared" si="61"/>
        <v>105.30000000000001</v>
      </c>
      <c r="DA49" s="106"/>
      <c r="DB49" s="106"/>
      <c r="DC49" s="105"/>
      <c r="DD49" s="107"/>
      <c r="DE49" s="92">
        <f t="shared" si="21"/>
        <v>466</v>
      </c>
      <c r="DF49" s="108">
        <f t="shared" si="22"/>
        <v>1.94</v>
      </c>
      <c r="DG49" s="112">
        <f t="shared" si="23"/>
        <v>34.400000000000077</v>
      </c>
      <c r="DH49" s="110">
        <f t="shared" si="24"/>
        <v>1060</v>
      </c>
      <c r="DI49" s="108">
        <f t="shared" si="25"/>
        <v>4.37</v>
      </c>
      <c r="DJ49" s="112">
        <f t="shared" si="26"/>
        <v>44.533333333333381</v>
      </c>
      <c r="DK49" s="110">
        <f t="shared" si="87"/>
        <v>1526</v>
      </c>
      <c r="DL49" s="108">
        <f t="shared" si="87"/>
        <v>6.3100000000000005</v>
      </c>
      <c r="DM49" s="111">
        <f t="shared" si="87"/>
        <v>78.933333333333451</v>
      </c>
      <c r="DN49" s="76">
        <v>15</v>
      </c>
      <c r="DO49" s="76">
        <f t="shared" si="90"/>
        <v>20</v>
      </c>
      <c r="DP49" s="112"/>
      <c r="DQ49" s="112"/>
      <c r="DR49" s="113" t="s">
        <v>261</v>
      </c>
      <c r="DS49" s="112"/>
      <c r="DT49" s="112"/>
      <c r="DU49" s="111"/>
      <c r="DV49" s="114"/>
      <c r="DW49" s="80">
        <f t="shared" si="62"/>
        <v>1532.31</v>
      </c>
      <c r="DX49" s="81">
        <f t="shared" si="29"/>
        <v>1611.2433333333333</v>
      </c>
      <c r="DY49" s="80">
        <f t="shared" si="63"/>
        <v>1592</v>
      </c>
      <c r="DZ49" s="82">
        <f t="shared" si="64"/>
        <v>9.9000000000000008E-3</v>
      </c>
      <c r="EA49" s="82">
        <f t="shared" si="65"/>
        <v>0.22889999999999999</v>
      </c>
      <c r="EB49" s="82">
        <f t="shared" si="66"/>
        <v>1.0583399999999998</v>
      </c>
      <c r="EC49" s="82">
        <f t="shared" si="76"/>
        <v>1.0682399999999999</v>
      </c>
      <c r="EF49" s="83">
        <f t="shared" si="93"/>
        <v>78.933333333333451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1"/>
        <v>MESUS303CU-3.5x3-H9B14</v>
      </c>
      <c r="H50" s="46" t="str">
        <f t="shared" si="32"/>
        <v>SUS303CUME3.50DH9</v>
      </c>
      <c r="I50" s="46" t="str">
        <f t="shared" si="33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4"/>
        <v>8</v>
      </c>
      <c r="T50" s="51">
        <v>10</v>
      </c>
      <c r="U50" s="92">
        <v>10</v>
      </c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4098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5"/>
        <v>4098</v>
      </c>
      <c r="AF50" s="54">
        <f t="shared" si="36"/>
        <v>4098</v>
      </c>
      <c r="AG50" s="94">
        <f t="shared" si="67"/>
        <v>10</v>
      </c>
      <c r="AH50" s="56">
        <f t="shared" si="13"/>
        <v>0</v>
      </c>
      <c r="AI50" s="93">
        <v>4</v>
      </c>
      <c r="AJ50" s="93">
        <f t="shared" si="68"/>
        <v>60</v>
      </c>
      <c r="AK50" s="95">
        <f t="shared" si="37"/>
        <v>0.73619631901840488</v>
      </c>
      <c r="AL50" s="58">
        <f t="shared" si="38"/>
        <v>3.7399999999999998</v>
      </c>
      <c r="AM50" s="55">
        <f t="shared" si="69"/>
        <v>16.260000000000002</v>
      </c>
      <c r="AN50" s="93"/>
      <c r="AO50" s="96"/>
      <c r="AP50" s="96"/>
      <c r="AQ50" s="96"/>
      <c r="AR50" s="96">
        <f>$CJ50</f>
        <v>320</v>
      </c>
      <c r="AS50" s="96"/>
      <c r="AT50" s="96"/>
      <c r="AU50" s="96">
        <f t="shared" si="39"/>
        <v>0</v>
      </c>
      <c r="AV50" s="96">
        <f t="shared" si="39"/>
        <v>0</v>
      </c>
      <c r="AW50" s="96">
        <f t="shared" si="40"/>
        <v>320</v>
      </c>
      <c r="AX50" s="96">
        <f t="shared" si="41"/>
        <v>1963</v>
      </c>
      <c r="AY50" s="94">
        <f t="shared" si="70"/>
        <v>15.189999999999998</v>
      </c>
      <c r="AZ50" s="94">
        <f t="shared" si="42"/>
        <v>93.190184049079733</v>
      </c>
      <c r="BA50" s="94">
        <f t="shared" si="43"/>
        <v>16.260000000000002</v>
      </c>
      <c r="BB50" s="97">
        <f t="shared" si="44"/>
        <v>0.26</v>
      </c>
      <c r="BC50" s="93">
        <v>4</v>
      </c>
      <c r="BD50" s="93">
        <f t="shared" si="45"/>
        <v>0</v>
      </c>
      <c r="BE50" s="95">
        <f t="shared" si="46"/>
        <v>1</v>
      </c>
      <c r="BF50" s="58">
        <f t="shared" si="47"/>
        <v>4.26</v>
      </c>
      <c r="BG50" s="94">
        <f t="shared" si="48"/>
        <v>12.000000000000002</v>
      </c>
      <c r="BH50" s="89"/>
      <c r="BI50" s="89"/>
      <c r="BJ50" s="89"/>
      <c r="BK50" s="89"/>
      <c r="BL50" s="92">
        <f>$CN50</f>
        <v>348</v>
      </c>
      <c r="BM50" s="92"/>
      <c r="BN50" s="89"/>
      <c r="BO50" s="92">
        <f t="shared" si="71"/>
        <v>0</v>
      </c>
      <c r="BP50" s="92">
        <f t="shared" si="71"/>
        <v>0</v>
      </c>
      <c r="BQ50" s="96">
        <f t="shared" si="49"/>
        <v>348</v>
      </c>
      <c r="BR50" s="96">
        <f t="shared" si="50"/>
        <v>2134</v>
      </c>
      <c r="BS50" s="96">
        <f t="shared" si="72"/>
        <v>0.81000000000000227</v>
      </c>
      <c r="BT50" s="96">
        <f t="shared" si="51"/>
        <v>4.9693251533742471</v>
      </c>
      <c r="BU50" s="92">
        <f t="shared" si="16"/>
        <v>4098</v>
      </c>
      <c r="BV50" s="98">
        <f t="shared" si="17"/>
        <v>8</v>
      </c>
      <c r="BW50" s="92">
        <f t="shared" si="18"/>
        <v>98.159509202453975</v>
      </c>
      <c r="BX50" s="98">
        <f t="shared" si="52"/>
        <v>1.84</v>
      </c>
      <c r="BY50" s="61">
        <f t="shared" si="74"/>
        <v>8</v>
      </c>
      <c r="BZ50" s="62">
        <f t="shared" si="53"/>
        <v>8</v>
      </c>
      <c r="CA50" s="98">
        <f t="shared" si="54"/>
        <v>0.66800000000000004</v>
      </c>
      <c r="CB50" s="92">
        <f t="shared" si="97"/>
        <v>4097</v>
      </c>
      <c r="CC50" s="92">
        <f t="shared" si="97"/>
        <v>16</v>
      </c>
      <c r="CD50" s="92">
        <f t="shared" si="97"/>
        <v>98.159509202453975</v>
      </c>
      <c r="CE50" s="99"/>
      <c r="CF50" s="99"/>
      <c r="CG50" s="51">
        <f t="shared" si="55"/>
        <v>1.1720000000000002</v>
      </c>
      <c r="CH50" s="62">
        <f t="shared" si="56"/>
        <v>1.1720000000000002</v>
      </c>
      <c r="CI50" s="89">
        <v>60</v>
      </c>
      <c r="CJ50" s="89">
        <v>320</v>
      </c>
      <c r="CK50" s="89"/>
      <c r="CL50" s="96"/>
      <c r="CM50" s="89"/>
      <c r="CN50" s="89">
        <v>348</v>
      </c>
      <c r="CO50" s="92"/>
      <c r="CP50" s="101"/>
      <c r="CQ50" s="102">
        <f t="shared" si="100"/>
        <v>1963</v>
      </c>
      <c r="CR50" s="102">
        <f t="shared" si="100"/>
        <v>0</v>
      </c>
      <c r="CS50" s="102">
        <f t="shared" si="100"/>
        <v>0</v>
      </c>
      <c r="CT50" s="92">
        <f t="shared" si="58"/>
        <v>2135</v>
      </c>
      <c r="CU50" s="92">
        <f t="shared" si="101"/>
        <v>0</v>
      </c>
      <c r="CV50" s="103">
        <f t="shared" si="101"/>
        <v>0</v>
      </c>
      <c r="CW50" s="104" t="s">
        <v>147</v>
      </c>
      <c r="CX50" s="105">
        <v>23</v>
      </c>
      <c r="CY50" s="106">
        <f t="shared" si="60"/>
        <v>1846</v>
      </c>
      <c r="CZ50" s="106">
        <f t="shared" si="61"/>
        <v>93.15</v>
      </c>
      <c r="DA50" s="106"/>
      <c r="DB50" s="106"/>
      <c r="DC50" s="105"/>
      <c r="DD50" s="107"/>
      <c r="DE50" s="92">
        <f t="shared" si="21"/>
        <v>1963</v>
      </c>
      <c r="DF50" s="108">
        <f t="shared" si="22"/>
        <v>3.7399999999999998</v>
      </c>
      <c r="DG50" s="112">
        <f t="shared" si="23"/>
        <v>93.190184049079733</v>
      </c>
      <c r="DH50" s="110">
        <f t="shared" si="24"/>
        <v>2135</v>
      </c>
      <c r="DI50" s="108">
        <f t="shared" si="25"/>
        <v>4.26</v>
      </c>
      <c r="DJ50" s="112">
        <f t="shared" si="26"/>
        <v>4.9693251533742471</v>
      </c>
      <c r="DK50" s="110">
        <f t="shared" si="87"/>
        <v>4098</v>
      </c>
      <c r="DL50" s="108">
        <f t="shared" si="87"/>
        <v>8</v>
      </c>
      <c r="DM50" s="111">
        <f t="shared" si="87"/>
        <v>98.159509202453975</v>
      </c>
      <c r="DN50" s="76">
        <f t="shared" si="90"/>
        <v>10</v>
      </c>
      <c r="DO50" s="76">
        <f t="shared" si="90"/>
        <v>10</v>
      </c>
      <c r="DP50" s="112"/>
      <c r="DQ50" s="112"/>
      <c r="DR50" s="113" t="s">
        <v>265</v>
      </c>
      <c r="DS50" s="112"/>
      <c r="DT50" s="112"/>
      <c r="DU50" s="111"/>
      <c r="DV50" s="114"/>
      <c r="DW50" s="80">
        <f t="shared" ref="DW50:DW52" si="102">IFERROR(AL50+BF50,"")</f>
        <v>8</v>
      </c>
      <c r="DX50" s="81">
        <f t="shared" si="29"/>
        <v>4204.1595092024536</v>
      </c>
      <c r="DY50" s="80">
        <f t="shared" si="63"/>
        <v>4098</v>
      </c>
      <c r="DZ50" s="82">
        <f t="shared" si="64"/>
        <v>0</v>
      </c>
      <c r="EA50" s="82">
        <f t="shared" si="65"/>
        <v>0.66797400000000007</v>
      </c>
      <c r="EB50" s="82">
        <f t="shared" si="66"/>
        <v>1.172026</v>
      </c>
      <c r="EC50" s="82">
        <f t="shared" si="76"/>
        <v>1.172026</v>
      </c>
      <c r="EF50" s="83">
        <f t="shared" si="93"/>
        <v>98.159509202453975</v>
      </c>
    </row>
    <row r="51" spans="1:136" ht="14.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1"/>
        <v>MESUS303-2.5x3-H9B14</v>
      </c>
      <c r="H51" s="46" t="str">
        <f t="shared" si="32"/>
        <v>SUS303ME2.50DH9</v>
      </c>
      <c r="I51" s="46" t="str">
        <f t="shared" si="33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4"/>
        <v>38</v>
      </c>
      <c r="T51" s="51"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5"/>
        <v>0</v>
      </c>
      <c r="AF51" s="54">
        <f t="shared" si="36"/>
        <v>0</v>
      </c>
      <c r="AG51" s="94">
        <f t="shared" si="67"/>
        <v>0</v>
      </c>
      <c r="AH51" s="56">
        <f t="shared" si="13"/>
        <v>0</v>
      </c>
      <c r="AI51" s="93"/>
      <c r="AJ51" s="93">
        <f t="shared" si="68"/>
        <v>0</v>
      </c>
      <c r="AK51" s="95">
        <f t="shared" si="37"/>
        <v>1</v>
      </c>
      <c r="AL51" s="58">
        <f t="shared" si="38"/>
        <v>0</v>
      </c>
      <c r="AM51" s="55">
        <f t="shared" si="69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9"/>
        <v>0</v>
      </c>
      <c r="AV51" s="96">
        <f t="shared" si="39"/>
        <v>0</v>
      </c>
      <c r="AW51" s="96">
        <f t="shared" si="40"/>
        <v>0</v>
      </c>
      <c r="AX51" s="96">
        <f t="shared" si="41"/>
        <v>0</v>
      </c>
      <c r="AY51" s="94">
        <f t="shared" si="70"/>
        <v>0</v>
      </c>
      <c r="AZ51" s="94">
        <f t="shared" si="42"/>
        <v>0</v>
      </c>
      <c r="BA51" s="94">
        <f t="shared" si="43"/>
        <v>0</v>
      </c>
      <c r="BB51" s="97">
        <f t="shared" si="44"/>
        <v>0</v>
      </c>
      <c r="BC51" s="93"/>
      <c r="BD51" s="93">
        <f t="shared" si="45"/>
        <v>0</v>
      </c>
      <c r="BE51" s="95">
        <f t="shared" si="46"/>
        <v>1</v>
      </c>
      <c r="BF51" s="58">
        <f t="shared" si="47"/>
        <v>0</v>
      </c>
      <c r="BG51" s="94">
        <f t="shared" si="48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1"/>
        <v>0</v>
      </c>
      <c r="BP51" s="92">
        <f t="shared" si="71"/>
        <v>0</v>
      </c>
      <c r="BQ51" s="96">
        <f t="shared" si="49"/>
        <v>0</v>
      </c>
      <c r="BR51" s="96">
        <f t="shared" si="50"/>
        <v>0</v>
      </c>
      <c r="BS51" s="96">
        <f t="shared" si="72"/>
        <v>0</v>
      </c>
      <c r="BT51" s="96">
        <f t="shared" si="51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2"/>
        <v>0</v>
      </c>
      <c r="BY51" s="61">
        <f t="shared" si="74"/>
        <v>0</v>
      </c>
      <c r="BZ51" s="62">
        <f t="shared" si="53"/>
        <v>0</v>
      </c>
      <c r="CA51" s="98">
        <f t="shared" si="54"/>
        <v>0</v>
      </c>
      <c r="CB51" s="92">
        <f t="shared" si="97"/>
        <v>0</v>
      </c>
      <c r="CC51" s="92">
        <f t="shared" si="97"/>
        <v>0</v>
      </c>
      <c r="CD51" s="92">
        <f t="shared" si="97"/>
        <v>0</v>
      </c>
      <c r="CE51" s="99"/>
      <c r="CF51" s="99"/>
      <c r="CG51" s="51">
        <f t="shared" si="55"/>
        <v>0</v>
      </c>
      <c r="CH51" s="62">
        <f t="shared" si="56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100"/>
        <v>0</v>
      </c>
      <c r="CR51" s="102">
        <f t="shared" si="100"/>
        <v>0</v>
      </c>
      <c r="CS51" s="102">
        <f t="shared" si="100"/>
        <v>0</v>
      </c>
      <c r="CT51" s="92">
        <f t="shared" si="58"/>
        <v>0</v>
      </c>
      <c r="CU51" s="92">
        <f t="shared" si="101"/>
        <v>0</v>
      </c>
      <c r="CV51" s="103">
        <f t="shared" si="101"/>
        <v>0</v>
      </c>
      <c r="CW51" s="104" t="s">
        <v>147</v>
      </c>
      <c r="CX51" s="105">
        <v>20</v>
      </c>
      <c r="CY51" s="106">
        <f t="shared" si="60"/>
        <v>1971</v>
      </c>
      <c r="CZ51" s="106">
        <f t="shared" si="61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7"/>
        <v>0</v>
      </c>
      <c r="DL51" s="108">
        <f t="shared" si="87"/>
        <v>0</v>
      </c>
      <c r="DM51" s="111">
        <f t="shared" si="87"/>
        <v>0</v>
      </c>
      <c r="DN51" s="76">
        <f t="shared" si="90"/>
        <v>0</v>
      </c>
      <c r="DO51" s="76">
        <f t="shared" si="90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2"/>
        <v>0</v>
      </c>
      <c r="DX51" s="81">
        <f t="shared" si="29"/>
        <v>0</v>
      </c>
      <c r="DY51" s="80">
        <f t="shared" si="63"/>
        <v>0</v>
      </c>
      <c r="DZ51" s="82">
        <f t="shared" si="64"/>
        <v>0</v>
      </c>
      <c r="EA51" s="82">
        <f t="shared" si="65"/>
        <v>0</v>
      </c>
      <c r="EB51" s="82">
        <f t="shared" si="66"/>
        <v>0</v>
      </c>
      <c r="EC51" s="82">
        <f t="shared" si="76"/>
        <v>0</v>
      </c>
      <c r="EF51" s="83">
        <f t="shared" si="93"/>
        <v>0</v>
      </c>
    </row>
    <row r="52" spans="1:136" ht="14.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1"/>
        <v>MESUS303CU-3.5x3-H9B14</v>
      </c>
      <c r="H52" s="46" t="str">
        <f t="shared" si="32"/>
        <v>SUS303CUME3.50DH9</v>
      </c>
      <c r="I52" s="46" t="str">
        <f t="shared" si="33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4"/>
        <v>14</v>
      </c>
      <c r="T52" s="51"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5"/>
        <v>0</v>
      </c>
      <c r="AF52" s="54">
        <f t="shared" si="36"/>
        <v>0</v>
      </c>
      <c r="AG52" s="94">
        <f t="shared" si="67"/>
        <v>0</v>
      </c>
      <c r="AH52" s="56">
        <f t="shared" si="13"/>
        <v>0</v>
      </c>
      <c r="AI52" s="93"/>
      <c r="AJ52" s="93">
        <f t="shared" si="68"/>
        <v>0</v>
      </c>
      <c r="AK52" s="95">
        <f t="shared" si="37"/>
        <v>1</v>
      </c>
      <c r="AL52" s="58">
        <f t="shared" si="38"/>
        <v>0</v>
      </c>
      <c r="AM52" s="55">
        <f t="shared" si="69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9"/>
        <v>0</v>
      </c>
      <c r="AV52" s="96">
        <f t="shared" si="39"/>
        <v>0</v>
      </c>
      <c r="AW52" s="96">
        <f t="shared" si="40"/>
        <v>0</v>
      </c>
      <c r="AX52" s="96">
        <f t="shared" si="41"/>
        <v>0</v>
      </c>
      <c r="AY52" s="94">
        <f t="shared" si="70"/>
        <v>0</v>
      </c>
      <c r="AZ52" s="94">
        <f t="shared" si="42"/>
        <v>0</v>
      </c>
      <c r="BA52" s="94">
        <f t="shared" si="43"/>
        <v>0</v>
      </c>
      <c r="BB52" s="97">
        <f t="shared" si="44"/>
        <v>0</v>
      </c>
      <c r="BC52" s="93"/>
      <c r="BD52" s="93">
        <f t="shared" si="45"/>
        <v>0</v>
      </c>
      <c r="BE52" s="95">
        <f t="shared" si="46"/>
        <v>1</v>
      </c>
      <c r="BF52" s="58">
        <f t="shared" si="47"/>
        <v>0</v>
      </c>
      <c r="BG52" s="94">
        <f t="shared" si="48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1"/>
        <v>0</v>
      </c>
      <c r="BP52" s="92">
        <f t="shared" si="71"/>
        <v>0</v>
      </c>
      <c r="BQ52" s="96">
        <f t="shared" si="49"/>
        <v>0</v>
      </c>
      <c r="BR52" s="96">
        <f t="shared" si="50"/>
        <v>0</v>
      </c>
      <c r="BS52" s="96">
        <f t="shared" si="72"/>
        <v>0</v>
      </c>
      <c r="BT52" s="96">
        <f t="shared" si="51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2"/>
        <v>0</v>
      </c>
      <c r="BY52" s="61">
        <f t="shared" si="74"/>
        <v>0</v>
      </c>
      <c r="BZ52" s="62">
        <f t="shared" si="53"/>
        <v>0</v>
      </c>
      <c r="CA52" s="98">
        <f t="shared" si="54"/>
        <v>0</v>
      </c>
      <c r="CB52" s="92">
        <f t="shared" si="97"/>
        <v>0</v>
      </c>
      <c r="CC52" s="92">
        <f t="shared" si="97"/>
        <v>0</v>
      </c>
      <c r="CD52" s="92">
        <f t="shared" si="97"/>
        <v>0</v>
      </c>
      <c r="CE52" s="99"/>
      <c r="CF52" s="99"/>
      <c r="CG52" s="51">
        <f t="shared" si="55"/>
        <v>0</v>
      </c>
      <c r="CH52" s="62">
        <f t="shared" si="56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100"/>
        <v>0</v>
      </c>
      <c r="CR52" s="102">
        <f t="shared" si="100"/>
        <v>0</v>
      </c>
      <c r="CS52" s="102">
        <f t="shared" si="100"/>
        <v>0</v>
      </c>
      <c r="CT52" s="92">
        <f t="shared" si="58"/>
        <v>0</v>
      </c>
      <c r="CU52" s="92">
        <f t="shared" si="101"/>
        <v>0</v>
      </c>
      <c r="CV52" s="103">
        <f t="shared" si="101"/>
        <v>0</v>
      </c>
      <c r="CW52" s="104" t="s">
        <v>147</v>
      </c>
      <c r="CX52" s="105">
        <v>12</v>
      </c>
      <c r="CY52" s="106">
        <f t="shared" si="60"/>
        <v>3480</v>
      </c>
      <c r="CZ52" s="106">
        <f t="shared" si="61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7"/>
        <v>0</v>
      </c>
      <c r="DL52" s="108">
        <f t="shared" si="87"/>
        <v>0</v>
      </c>
      <c r="DM52" s="111">
        <f t="shared" si="87"/>
        <v>0</v>
      </c>
      <c r="DN52" s="76">
        <f t="shared" si="90"/>
        <v>0</v>
      </c>
      <c r="DO52" s="76">
        <f t="shared" si="90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2"/>
        <v>0</v>
      </c>
      <c r="DX52" s="81">
        <f t="shared" si="29"/>
        <v>0</v>
      </c>
      <c r="DY52" s="80">
        <f t="shared" si="63"/>
        <v>0</v>
      </c>
      <c r="DZ52" s="82">
        <f t="shared" si="64"/>
        <v>0</v>
      </c>
      <c r="EA52" s="82">
        <f t="shared" si="65"/>
        <v>0</v>
      </c>
      <c r="EB52" s="82">
        <f t="shared" si="66"/>
        <v>0</v>
      </c>
      <c r="EC52" s="82">
        <f t="shared" si="76"/>
        <v>0</v>
      </c>
      <c r="EF52" s="83">
        <f t="shared" si="93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1"/>
        <v>MESUS420J2-2x2.5-H9A14</v>
      </c>
      <c r="H53" s="46" t="str">
        <f t="shared" si="32"/>
        <v>SUS420J2ME20DH9</v>
      </c>
      <c r="I53" s="46" t="str">
        <f t="shared" si="33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4"/>
        <v>42</v>
      </c>
      <c r="T53" s="51">
        <v>49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5"/>
        <v>0</v>
      </c>
      <c r="AF53" s="54">
        <f t="shared" si="36"/>
        <v>0</v>
      </c>
      <c r="AG53" s="94">
        <f t="shared" si="67"/>
        <v>49</v>
      </c>
      <c r="AH53" s="56">
        <f t="shared" si="13"/>
        <v>0</v>
      </c>
      <c r="AI53" s="93"/>
      <c r="AJ53" s="93">
        <f t="shared" si="68"/>
        <v>0</v>
      </c>
      <c r="AK53" s="95">
        <f t="shared" si="37"/>
        <v>1</v>
      </c>
      <c r="AL53" s="58">
        <f t="shared" si="38"/>
        <v>0</v>
      </c>
      <c r="AM53" s="55">
        <f t="shared" si="69"/>
        <v>49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9"/>
        <v>0</v>
      </c>
      <c r="AV53" s="96">
        <f t="shared" si="39"/>
        <v>0</v>
      </c>
      <c r="AW53" s="96">
        <f t="shared" si="40"/>
        <v>0</v>
      </c>
      <c r="AX53" s="96">
        <f t="shared" si="41"/>
        <v>0</v>
      </c>
      <c r="AY53" s="94">
        <f t="shared" si="70"/>
        <v>0</v>
      </c>
      <c r="AZ53" s="94">
        <f t="shared" si="42"/>
        <v>0</v>
      </c>
      <c r="BA53" s="94">
        <f t="shared" si="43"/>
        <v>49</v>
      </c>
      <c r="BB53" s="97">
        <f t="shared" si="44"/>
        <v>0</v>
      </c>
      <c r="BC53" s="93"/>
      <c r="BD53" s="93">
        <f t="shared" si="45"/>
        <v>0</v>
      </c>
      <c r="BE53" s="95">
        <f t="shared" si="46"/>
        <v>1</v>
      </c>
      <c r="BF53" s="58">
        <f t="shared" si="47"/>
        <v>0</v>
      </c>
      <c r="BG53" s="94">
        <f t="shared" si="48"/>
        <v>49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1"/>
        <v>0</v>
      </c>
      <c r="BP53" s="92">
        <f t="shared" si="71"/>
        <v>0</v>
      </c>
      <c r="BQ53" s="96">
        <f t="shared" si="49"/>
        <v>0</v>
      </c>
      <c r="BR53" s="96">
        <f t="shared" si="50"/>
        <v>0</v>
      </c>
      <c r="BS53" s="96">
        <f t="shared" si="72"/>
        <v>0</v>
      </c>
      <c r="BT53" s="96">
        <f t="shared" si="51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2"/>
        <v>0</v>
      </c>
      <c r="BY53" s="61">
        <f t="shared" si="74"/>
        <v>0</v>
      </c>
      <c r="BZ53" s="62">
        <f t="shared" si="53"/>
        <v>0</v>
      </c>
      <c r="CA53" s="98">
        <f t="shared" si="54"/>
        <v>0</v>
      </c>
      <c r="CB53" s="92">
        <f t="shared" si="97"/>
        <v>0</v>
      </c>
      <c r="CC53" s="92">
        <f t="shared" si="97"/>
        <v>0</v>
      </c>
      <c r="CD53" s="92">
        <f t="shared" si="97"/>
        <v>0</v>
      </c>
      <c r="CE53" s="99"/>
      <c r="CF53" s="99"/>
      <c r="CG53" s="51">
        <f t="shared" si="55"/>
        <v>0</v>
      </c>
      <c r="CH53" s="62">
        <f t="shared" si="56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100"/>
        <v>0</v>
      </c>
      <c r="CR53" s="102">
        <f t="shared" si="100"/>
        <v>0</v>
      </c>
      <c r="CS53" s="102">
        <f t="shared" si="100"/>
        <v>0</v>
      </c>
      <c r="CT53" s="92">
        <f t="shared" si="58"/>
        <v>0</v>
      </c>
      <c r="CU53" s="92">
        <f t="shared" si="101"/>
        <v>0</v>
      </c>
      <c r="CV53" s="103">
        <f t="shared" si="101"/>
        <v>0</v>
      </c>
      <c r="CW53" s="104" t="s">
        <v>147</v>
      </c>
      <c r="CX53" s="105">
        <v>8.0500000000000007</v>
      </c>
      <c r="CY53" s="106">
        <f t="shared" si="60"/>
        <v>4829</v>
      </c>
      <c r="CZ53" s="106">
        <f t="shared" si="61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7"/>
        <v>0</v>
      </c>
      <c r="DL53" s="108">
        <f t="shared" si="87"/>
        <v>0</v>
      </c>
      <c r="DM53" s="111">
        <f t="shared" si="87"/>
        <v>0</v>
      </c>
      <c r="DN53" s="76">
        <f t="shared" si="90"/>
        <v>49</v>
      </c>
      <c r="DO53" s="76">
        <f t="shared" si="90"/>
        <v>0</v>
      </c>
      <c r="DP53" s="112"/>
      <c r="DQ53" s="112"/>
      <c r="DR53" s="113" t="s">
        <v>272</v>
      </c>
      <c r="DS53" s="112"/>
      <c r="DT53" s="112"/>
      <c r="DU53" s="111"/>
      <c r="DV53" s="114"/>
      <c r="DW53" s="80">
        <f t="shared" si="62"/>
        <v>0</v>
      </c>
      <c r="DX53" s="81">
        <f t="shared" si="29"/>
        <v>0</v>
      </c>
      <c r="DY53" s="80">
        <f t="shared" si="63"/>
        <v>0</v>
      </c>
      <c r="DZ53" s="82">
        <f t="shared" si="64"/>
        <v>0</v>
      </c>
      <c r="EA53" s="82">
        <f t="shared" si="65"/>
        <v>0</v>
      </c>
      <c r="EB53" s="82">
        <f t="shared" si="66"/>
        <v>0</v>
      </c>
      <c r="EC53" s="82">
        <f t="shared" si="76"/>
        <v>0</v>
      </c>
      <c r="EF53" s="83">
        <f t="shared" si="93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1"/>
        <v>MESUS303CU-3.5x3-H9B14</v>
      </c>
      <c r="H54" s="46" t="str">
        <f t="shared" si="32"/>
        <v>SUS303CUME3.50DH9</v>
      </c>
      <c r="I54" s="46" t="str">
        <f t="shared" si="33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4"/>
        <v>12</v>
      </c>
      <c r="T54" s="51">
        <v>20</v>
      </c>
      <c r="U54" s="92"/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5"/>
        <v>0</v>
      </c>
      <c r="AF54" s="54">
        <f t="shared" si="36"/>
        <v>0</v>
      </c>
      <c r="AG54" s="94">
        <f t="shared" si="67"/>
        <v>20</v>
      </c>
      <c r="AH54" s="56">
        <f t="shared" si="13"/>
        <v>0</v>
      </c>
      <c r="AI54" s="93"/>
      <c r="AJ54" s="93">
        <f t="shared" si="68"/>
        <v>0</v>
      </c>
      <c r="AK54" s="95">
        <f t="shared" si="37"/>
        <v>1</v>
      </c>
      <c r="AL54" s="58">
        <f t="shared" si="38"/>
        <v>0</v>
      </c>
      <c r="AM54" s="55">
        <f t="shared" si="69"/>
        <v>20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9"/>
        <v>0</v>
      </c>
      <c r="AV54" s="96">
        <f t="shared" si="39"/>
        <v>0</v>
      </c>
      <c r="AW54" s="96">
        <f t="shared" si="40"/>
        <v>0</v>
      </c>
      <c r="AX54" s="96">
        <f t="shared" si="41"/>
        <v>0</v>
      </c>
      <c r="AY54" s="94">
        <f t="shared" si="70"/>
        <v>0</v>
      </c>
      <c r="AZ54" s="94">
        <f t="shared" si="42"/>
        <v>0</v>
      </c>
      <c r="BA54" s="94">
        <f t="shared" si="43"/>
        <v>20</v>
      </c>
      <c r="BB54" s="97">
        <f t="shared" si="44"/>
        <v>0</v>
      </c>
      <c r="BC54" s="93"/>
      <c r="BD54" s="93">
        <f t="shared" si="45"/>
        <v>0</v>
      </c>
      <c r="BE54" s="95">
        <f t="shared" si="46"/>
        <v>1</v>
      </c>
      <c r="BF54" s="58">
        <f t="shared" si="47"/>
        <v>0</v>
      </c>
      <c r="BG54" s="94">
        <f t="shared" si="48"/>
        <v>20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1"/>
        <v>0</v>
      </c>
      <c r="BP54" s="92">
        <f t="shared" si="71"/>
        <v>0</v>
      </c>
      <c r="BQ54" s="96">
        <f t="shared" si="49"/>
        <v>0</v>
      </c>
      <c r="BR54" s="96">
        <f t="shared" si="50"/>
        <v>0</v>
      </c>
      <c r="BS54" s="96">
        <f t="shared" si="72"/>
        <v>0</v>
      </c>
      <c r="BT54" s="96">
        <f t="shared" si="51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2"/>
        <v>0</v>
      </c>
      <c r="BY54" s="61">
        <f t="shared" si="74"/>
        <v>0</v>
      </c>
      <c r="BZ54" s="62">
        <f t="shared" si="53"/>
        <v>0</v>
      </c>
      <c r="CA54" s="98">
        <f t="shared" si="54"/>
        <v>0</v>
      </c>
      <c r="CB54" s="92">
        <f t="shared" si="97"/>
        <v>0</v>
      </c>
      <c r="CC54" s="92">
        <f t="shared" si="97"/>
        <v>0</v>
      </c>
      <c r="CD54" s="92">
        <f t="shared" si="97"/>
        <v>0</v>
      </c>
      <c r="CE54" s="99"/>
      <c r="CF54" s="99"/>
      <c r="CG54" s="51">
        <f t="shared" si="55"/>
        <v>0</v>
      </c>
      <c r="CH54" s="62">
        <f t="shared" si="56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100"/>
        <v>0</v>
      </c>
      <c r="CR54" s="102">
        <f t="shared" si="100"/>
        <v>0</v>
      </c>
      <c r="CS54" s="102">
        <f t="shared" si="100"/>
        <v>0</v>
      </c>
      <c r="CT54" s="92">
        <f t="shared" si="58"/>
        <v>0</v>
      </c>
      <c r="CU54" s="92">
        <f t="shared" si="101"/>
        <v>0</v>
      </c>
      <c r="CV54" s="103">
        <f t="shared" si="101"/>
        <v>0</v>
      </c>
      <c r="CW54" s="104" t="s">
        <v>147</v>
      </c>
      <c r="CX54" s="105">
        <v>15</v>
      </c>
      <c r="CY54" s="106">
        <f t="shared" si="60"/>
        <v>2808</v>
      </c>
      <c r="CZ54" s="106">
        <f t="shared" si="61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7"/>
        <v>0</v>
      </c>
      <c r="DL54" s="108">
        <f t="shared" si="87"/>
        <v>0</v>
      </c>
      <c r="DM54" s="111">
        <f t="shared" si="87"/>
        <v>0</v>
      </c>
      <c r="DN54" s="76">
        <f t="shared" si="90"/>
        <v>20</v>
      </c>
      <c r="DO54" s="76">
        <f t="shared" si="90"/>
        <v>0</v>
      </c>
      <c r="DP54" s="112"/>
      <c r="DQ54" s="112"/>
      <c r="DR54" s="113" t="s">
        <v>275</v>
      </c>
      <c r="DS54" s="112"/>
      <c r="DT54" s="112"/>
      <c r="DU54" s="111"/>
      <c r="DV54" s="114"/>
      <c r="DW54" s="80">
        <f t="shared" ref="DW54:DW58" si="103">IFERROR(AL54+BF54,"")</f>
        <v>0</v>
      </c>
      <c r="DX54" s="81">
        <f t="shared" si="29"/>
        <v>0</v>
      </c>
      <c r="DY54" s="80">
        <f t="shared" si="63"/>
        <v>0</v>
      </c>
      <c r="DZ54" s="82">
        <f t="shared" si="64"/>
        <v>0</v>
      </c>
      <c r="EA54" s="82">
        <f t="shared" si="65"/>
        <v>0</v>
      </c>
      <c r="EB54" s="82">
        <f t="shared" si="66"/>
        <v>0</v>
      </c>
      <c r="EC54" s="82">
        <f t="shared" si="76"/>
        <v>0</v>
      </c>
      <c r="EF54" s="83">
        <f t="shared" si="93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1"/>
        <v>YHC3604-4.03x3-H9A14</v>
      </c>
      <c r="H55" s="46" t="str">
        <f t="shared" si="32"/>
        <v>C3604YH4.030DH9</v>
      </c>
      <c r="I55" s="46" t="str">
        <f t="shared" si="33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4"/>
        <v>60</v>
      </c>
      <c r="T55" s="51">
        <v>15</v>
      </c>
      <c r="U55" s="92">
        <v>65</v>
      </c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8457</v>
      </c>
      <c r="AC55" s="93">
        <f t="shared" si="11"/>
        <v>0</v>
      </c>
      <c r="AD55" s="93">
        <f t="shared" si="12"/>
        <v>248</v>
      </c>
      <c r="AE55" s="93">
        <f t="shared" si="35"/>
        <v>8457</v>
      </c>
      <c r="AF55" s="54">
        <f t="shared" si="36"/>
        <v>8457</v>
      </c>
      <c r="AG55" s="94">
        <f t="shared" si="67"/>
        <v>15</v>
      </c>
      <c r="AH55" s="56">
        <f t="shared" si="13"/>
        <v>0</v>
      </c>
      <c r="AI55" s="93">
        <v>23</v>
      </c>
      <c r="AJ55" s="93">
        <f t="shared" si="68"/>
        <v>0</v>
      </c>
      <c r="AK55" s="95">
        <f t="shared" si="37"/>
        <v>1</v>
      </c>
      <c r="AL55" s="58">
        <f t="shared" si="38"/>
        <v>23</v>
      </c>
      <c r="AM55" s="55">
        <f t="shared" si="69"/>
        <v>57</v>
      </c>
      <c r="AN55" s="93"/>
      <c r="AO55" s="96"/>
      <c r="AP55" s="96"/>
      <c r="AQ55" s="96"/>
      <c r="AR55" s="96"/>
      <c r="AS55" s="96"/>
      <c r="AT55" s="96">
        <f>$CJ55</f>
        <v>2437</v>
      </c>
      <c r="AU55" s="96">
        <f t="shared" si="39"/>
        <v>0</v>
      </c>
      <c r="AV55" s="96">
        <f t="shared" si="39"/>
        <v>100</v>
      </c>
      <c r="AW55" s="96">
        <f t="shared" si="40"/>
        <v>2537</v>
      </c>
      <c r="AX55" s="96">
        <f t="shared" si="41"/>
        <v>3964</v>
      </c>
      <c r="AY55" s="94">
        <f t="shared" si="70"/>
        <v>-68.440000000000055</v>
      </c>
      <c r="AZ55" s="94">
        <f t="shared" si="42"/>
        <v>-106.93750000000009</v>
      </c>
      <c r="BA55" s="94">
        <f t="shared" si="43"/>
        <v>57</v>
      </c>
      <c r="BB55" s="97">
        <f t="shared" si="44"/>
        <v>0</v>
      </c>
      <c r="BC55" s="93">
        <v>27</v>
      </c>
      <c r="BD55" s="93">
        <f t="shared" si="45"/>
        <v>0</v>
      </c>
      <c r="BE55" s="95">
        <f t="shared" si="46"/>
        <v>1</v>
      </c>
      <c r="BF55" s="58">
        <f t="shared" si="47"/>
        <v>27</v>
      </c>
      <c r="BG55" s="94">
        <f t="shared" si="48"/>
        <v>30</v>
      </c>
      <c r="BH55" s="89"/>
      <c r="BI55" s="89"/>
      <c r="BJ55" s="89"/>
      <c r="BK55" s="89"/>
      <c r="BL55" s="89"/>
      <c r="BM55" s="89"/>
      <c r="BN55" s="92">
        <f>$CN55</f>
        <v>2976</v>
      </c>
      <c r="BO55" s="92">
        <f t="shared" si="71"/>
        <v>0</v>
      </c>
      <c r="BP55" s="92">
        <f t="shared" si="71"/>
        <v>59</v>
      </c>
      <c r="BQ55" s="96">
        <f t="shared" si="49"/>
        <v>3035</v>
      </c>
      <c r="BR55" s="96">
        <f t="shared" si="50"/>
        <v>4742</v>
      </c>
      <c r="BS55" s="96">
        <f t="shared" si="72"/>
        <v>-23.559999999999945</v>
      </c>
      <c r="BT55" s="96">
        <f t="shared" si="51"/>
        <v>-36.812499999999915</v>
      </c>
      <c r="BU55" s="92">
        <f t="shared" si="16"/>
        <v>8457</v>
      </c>
      <c r="BV55" s="98">
        <f t="shared" si="17"/>
        <v>50</v>
      </c>
      <c r="BW55" s="92">
        <f t="shared" si="18"/>
        <v>-143.75</v>
      </c>
      <c r="BX55" s="98">
        <f t="shared" si="52"/>
        <v>16.150000000000002</v>
      </c>
      <c r="BY55" s="61">
        <f t="shared" si="74"/>
        <v>50</v>
      </c>
      <c r="BZ55" s="62">
        <f t="shared" si="53"/>
        <v>50</v>
      </c>
      <c r="CA55" s="98">
        <f t="shared" si="54"/>
        <v>5.5720000000000001</v>
      </c>
      <c r="CB55" s="92">
        <f t="shared" si="97"/>
        <v>8706</v>
      </c>
      <c r="CC55" s="92">
        <f t="shared" si="97"/>
        <v>-92</v>
      </c>
      <c r="CD55" s="92">
        <f t="shared" si="97"/>
        <v>-143.75</v>
      </c>
      <c r="CE55" s="99"/>
      <c r="CF55" s="99"/>
      <c r="CG55" s="51">
        <f t="shared" si="55"/>
        <v>10.737000000000004</v>
      </c>
      <c r="CH55" s="62">
        <f t="shared" si="56"/>
        <v>10.737000000000004</v>
      </c>
      <c r="CI55" s="89"/>
      <c r="CJ55" s="89">
        <v>2437</v>
      </c>
      <c r="CK55" s="89"/>
      <c r="CL55" s="96">
        <v>100</v>
      </c>
      <c r="CM55" s="89"/>
      <c r="CN55" s="89">
        <v>2976</v>
      </c>
      <c r="CO55" s="92"/>
      <c r="CP55" s="101">
        <v>59</v>
      </c>
      <c r="CQ55" s="102">
        <f t="shared" si="100"/>
        <v>3807</v>
      </c>
      <c r="CR55" s="102">
        <f t="shared" si="100"/>
        <v>0</v>
      </c>
      <c r="CS55" s="102">
        <f t="shared" si="100"/>
        <v>156</v>
      </c>
      <c r="CT55" s="92">
        <f t="shared" si="58"/>
        <v>4650</v>
      </c>
      <c r="CU55" s="92">
        <f t="shared" si="101"/>
        <v>0</v>
      </c>
      <c r="CV55" s="103">
        <f t="shared" si="101"/>
        <v>92</v>
      </c>
      <c r="CW55" s="104" t="s">
        <v>147</v>
      </c>
      <c r="CX55" s="105">
        <v>7</v>
      </c>
      <c r="CY55" s="106">
        <f t="shared" si="60"/>
        <v>5271</v>
      </c>
      <c r="CZ55" s="106">
        <f t="shared" si="61"/>
        <v>28.35</v>
      </c>
      <c r="DA55" s="106"/>
      <c r="DB55" s="106"/>
      <c r="DC55" s="105"/>
      <c r="DD55" s="107"/>
      <c r="DE55" s="92">
        <f t="shared" si="21"/>
        <v>3807</v>
      </c>
      <c r="DF55" s="108">
        <f t="shared" si="22"/>
        <v>23</v>
      </c>
      <c r="DG55" s="112">
        <f t="shared" si="23"/>
        <v>-106.93750000000009</v>
      </c>
      <c r="DH55" s="110">
        <f t="shared" si="24"/>
        <v>4650</v>
      </c>
      <c r="DI55" s="108">
        <f t="shared" si="25"/>
        <v>27</v>
      </c>
      <c r="DJ55" s="112">
        <f t="shared" si="26"/>
        <v>-36.812499999999915</v>
      </c>
      <c r="DK55" s="110">
        <f t="shared" si="87"/>
        <v>8457</v>
      </c>
      <c r="DL55" s="108">
        <f t="shared" si="87"/>
        <v>50</v>
      </c>
      <c r="DM55" s="111">
        <f t="shared" si="87"/>
        <v>-143.75</v>
      </c>
      <c r="DN55" s="76">
        <f t="shared" si="90"/>
        <v>15</v>
      </c>
      <c r="DO55" s="76">
        <f t="shared" si="90"/>
        <v>65</v>
      </c>
      <c r="DP55" s="112"/>
      <c r="DQ55" s="112"/>
      <c r="DR55" s="113" t="s">
        <v>277</v>
      </c>
      <c r="DS55" s="112"/>
      <c r="DT55" s="112"/>
      <c r="DU55" s="111"/>
      <c r="DV55" s="114"/>
      <c r="DW55" s="80">
        <f t="shared" si="103"/>
        <v>50</v>
      </c>
      <c r="DX55" s="81">
        <f t="shared" si="29"/>
        <v>8363.25</v>
      </c>
      <c r="DY55" s="80">
        <f t="shared" si="63"/>
        <v>8705</v>
      </c>
      <c r="DZ55" s="82">
        <f t="shared" si="64"/>
        <v>0.15872</v>
      </c>
      <c r="EA55" s="82">
        <f t="shared" si="65"/>
        <v>5.4124800000000004</v>
      </c>
      <c r="EB55" s="82">
        <f t="shared" si="66"/>
        <v>10.737520000000002</v>
      </c>
      <c r="EC55" s="82">
        <f t="shared" ref="EC55:EC56" si="104">(BX55-CA55)+((AV55+BP55)/1000)</f>
        <v>10.737000000000004</v>
      </c>
      <c r="EF55" s="83">
        <f t="shared" si="93"/>
        <v>-143.75</v>
      </c>
    </row>
    <row r="56" spans="1:136" ht="14.1" customHeight="1">
      <c r="A56" s="84">
        <v>49</v>
      </c>
      <c r="B56" s="85" t="s">
        <v>278</v>
      </c>
      <c r="C56" s="86"/>
      <c r="D56" s="168" t="s">
        <v>279</v>
      </c>
      <c r="E56" s="88">
        <v>51</v>
      </c>
      <c r="F56" s="89" t="s">
        <v>147</v>
      </c>
      <c r="G56" s="45" t="str">
        <f t="shared" si="31"/>
        <v>TVSUS303-6x2.5-H9A14</v>
      </c>
      <c r="H56" s="46" t="str">
        <f t="shared" si="32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4"/>
        <v>110</v>
      </c>
      <c r="T56" s="51">
        <v>10</v>
      </c>
      <c r="U56" s="92">
        <v>20</v>
      </c>
      <c r="V56" s="100">
        <v>7</v>
      </c>
      <c r="W56" s="93">
        <f t="shared" si="5"/>
        <v>0</v>
      </c>
      <c r="X56" s="93">
        <f t="shared" si="6"/>
        <v>615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302</v>
      </c>
      <c r="AE56" s="93">
        <f t="shared" si="35"/>
        <v>615</v>
      </c>
      <c r="AF56" s="54">
        <f t="shared" si="36"/>
        <v>615</v>
      </c>
      <c r="AG56" s="94">
        <f t="shared" si="67"/>
        <v>10</v>
      </c>
      <c r="AH56" s="56">
        <f t="shared" si="13"/>
        <v>0</v>
      </c>
      <c r="AI56" s="93">
        <v>5</v>
      </c>
      <c r="AJ56" s="93">
        <f t="shared" si="68"/>
        <v>0</v>
      </c>
      <c r="AK56" s="95">
        <f t="shared" si="37"/>
        <v>1</v>
      </c>
      <c r="AL56" s="58">
        <f t="shared" si="38"/>
        <v>5</v>
      </c>
      <c r="AM56" s="55">
        <f t="shared" si="69"/>
        <v>25</v>
      </c>
      <c r="AN56" s="93"/>
      <c r="AO56" s="96"/>
      <c r="AP56" s="96">
        <f>$CJ56</f>
        <v>550</v>
      </c>
      <c r="AQ56" s="96"/>
      <c r="AR56" s="96"/>
      <c r="AS56" s="96"/>
      <c r="AT56" s="96"/>
      <c r="AU56" s="96">
        <f t="shared" si="39"/>
        <v>0</v>
      </c>
      <c r="AV56" s="96">
        <f t="shared" si="39"/>
        <v>1600</v>
      </c>
      <c r="AW56" s="96">
        <f t="shared" si="40"/>
        <v>2150</v>
      </c>
      <c r="AX56" s="96">
        <f t="shared" si="41"/>
        <v>307</v>
      </c>
      <c r="AY56" s="94">
        <f t="shared" si="70"/>
        <v>365</v>
      </c>
      <c r="AZ56" s="94">
        <f t="shared" si="42"/>
        <v>52.142857142857146</v>
      </c>
      <c r="BA56" s="94">
        <f t="shared" si="43"/>
        <v>25</v>
      </c>
      <c r="BB56" s="97">
        <f t="shared" si="44"/>
        <v>0</v>
      </c>
      <c r="BC56" s="93">
        <v>12</v>
      </c>
      <c r="BD56" s="93">
        <f t="shared" si="45"/>
        <v>0</v>
      </c>
      <c r="BE56" s="95">
        <f t="shared" si="46"/>
        <v>1</v>
      </c>
      <c r="BF56" s="58">
        <f t="shared" si="47"/>
        <v>12</v>
      </c>
      <c r="BG56" s="94">
        <f t="shared" si="48"/>
        <v>13</v>
      </c>
      <c r="BH56" s="89"/>
      <c r="BI56" s="89"/>
      <c r="BJ56" s="92">
        <f>$CN56</f>
        <v>3759</v>
      </c>
      <c r="BK56" s="92"/>
      <c r="BL56" s="92"/>
      <c r="BM56" s="92"/>
      <c r="BN56" s="92"/>
      <c r="BO56" s="92">
        <f t="shared" si="71"/>
        <v>0</v>
      </c>
      <c r="BP56" s="92">
        <f t="shared" si="71"/>
        <v>520</v>
      </c>
      <c r="BQ56" s="96">
        <f t="shared" si="49"/>
        <v>4279</v>
      </c>
      <c r="BR56" s="96">
        <f t="shared" si="50"/>
        <v>611</v>
      </c>
      <c r="BS56" s="96">
        <f t="shared" si="72"/>
        <v>-5</v>
      </c>
      <c r="BT56" s="96">
        <f t="shared" si="51"/>
        <v>-0.7142857142857143</v>
      </c>
      <c r="BU56" s="92">
        <f t="shared" si="16"/>
        <v>615</v>
      </c>
      <c r="BV56" s="98">
        <f t="shared" si="17"/>
        <v>17</v>
      </c>
      <c r="BW56" s="92">
        <f t="shared" si="18"/>
        <v>51.428571428571431</v>
      </c>
      <c r="BX56" s="98">
        <f t="shared" si="52"/>
        <v>9.418000000000001</v>
      </c>
      <c r="BY56" s="61">
        <f t="shared" si="74"/>
        <v>17</v>
      </c>
      <c r="BZ56" s="62">
        <f t="shared" si="53"/>
        <v>17</v>
      </c>
      <c r="CA56" s="98">
        <f t="shared" si="54"/>
        <v>6.4290000000000003</v>
      </c>
      <c r="CB56" s="92">
        <f t="shared" si="97"/>
        <v>918</v>
      </c>
      <c r="CC56" s="92">
        <f t="shared" si="97"/>
        <v>360</v>
      </c>
      <c r="CD56" s="92">
        <f t="shared" si="97"/>
        <v>51.428571428571431</v>
      </c>
      <c r="CE56" s="99"/>
      <c r="CF56" s="99"/>
      <c r="CG56" s="51">
        <f t="shared" si="55"/>
        <v>5.1090000000000009</v>
      </c>
      <c r="CH56" s="62">
        <f t="shared" si="56"/>
        <v>5.1090000000000009</v>
      </c>
      <c r="CI56" s="89"/>
      <c r="CJ56" s="89">
        <v>550</v>
      </c>
      <c r="CK56" s="89"/>
      <c r="CL56" s="96">
        <v>1600</v>
      </c>
      <c r="CM56" s="89"/>
      <c r="CN56" s="89">
        <v>3759</v>
      </c>
      <c r="CO56" s="92"/>
      <c r="CP56" s="101">
        <v>520</v>
      </c>
      <c r="CQ56" s="102">
        <f t="shared" si="100"/>
        <v>78</v>
      </c>
      <c r="CR56" s="102">
        <f t="shared" si="100"/>
        <v>0</v>
      </c>
      <c r="CS56" s="102">
        <f t="shared" si="100"/>
        <v>228</v>
      </c>
      <c r="CT56" s="92">
        <f t="shared" si="58"/>
        <v>537</v>
      </c>
      <c r="CU56" s="92">
        <f t="shared" si="101"/>
        <v>0</v>
      </c>
      <c r="CV56" s="103">
        <f t="shared" si="101"/>
        <v>74</v>
      </c>
      <c r="CW56" s="104" t="s">
        <v>147</v>
      </c>
      <c r="CX56" s="105">
        <v>10</v>
      </c>
      <c r="CY56" s="106">
        <f t="shared" si="60"/>
        <v>2790</v>
      </c>
      <c r="CZ56" s="106">
        <f t="shared" si="61"/>
        <v>40.5</v>
      </c>
      <c r="DA56" s="106"/>
      <c r="DB56" s="106"/>
      <c r="DC56" s="105"/>
      <c r="DD56" s="107"/>
      <c r="DE56" s="92">
        <f t="shared" si="21"/>
        <v>78</v>
      </c>
      <c r="DF56" s="108">
        <f t="shared" si="22"/>
        <v>5</v>
      </c>
      <c r="DG56" s="112">
        <f t="shared" si="23"/>
        <v>52.142857142857146</v>
      </c>
      <c r="DH56" s="136">
        <f t="shared" si="24"/>
        <v>537</v>
      </c>
      <c r="DI56" s="135">
        <f t="shared" si="25"/>
        <v>12</v>
      </c>
      <c r="DJ56" s="115">
        <f t="shared" si="26"/>
        <v>-0.7142857142857143</v>
      </c>
      <c r="DK56" s="110">
        <f t="shared" si="87"/>
        <v>615</v>
      </c>
      <c r="DL56" s="108">
        <f t="shared" si="87"/>
        <v>17</v>
      </c>
      <c r="DM56" s="111">
        <f t="shared" si="87"/>
        <v>51.428571428571431</v>
      </c>
      <c r="DN56" s="76">
        <f t="shared" si="90"/>
        <v>10</v>
      </c>
      <c r="DO56" s="76">
        <f t="shared" si="90"/>
        <v>20</v>
      </c>
      <c r="DP56" s="112"/>
      <c r="DQ56" s="112"/>
      <c r="DR56" s="113" t="s">
        <v>280</v>
      </c>
      <c r="DS56" s="112"/>
      <c r="DT56" s="112"/>
      <c r="DU56" s="111"/>
      <c r="DV56" s="114"/>
      <c r="DW56" s="80">
        <f t="shared" si="103"/>
        <v>17</v>
      </c>
      <c r="DX56" s="81">
        <f t="shared" si="29"/>
        <v>683.42857142857144</v>
      </c>
      <c r="DY56" s="80">
        <f t="shared" si="63"/>
        <v>917</v>
      </c>
      <c r="DZ56" s="82">
        <f t="shared" si="64"/>
        <v>2.1139999999999999</v>
      </c>
      <c r="EA56" s="82">
        <f t="shared" si="65"/>
        <v>4.3049999999999997</v>
      </c>
      <c r="EB56" s="82">
        <f t="shared" si="66"/>
        <v>5.1130000000000013</v>
      </c>
      <c r="EC56" s="82">
        <f t="shared" si="104"/>
        <v>5.1090000000000009</v>
      </c>
      <c r="EF56" s="83">
        <f t="shared" si="93"/>
        <v>51.428571428571431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1"/>
        <v>GWA6063-T5-8.3x3-H9B14</v>
      </c>
      <c r="H57" s="46" t="str">
        <f t="shared" si="32"/>
        <v>A6063-T5GW8.30DH9</v>
      </c>
      <c r="I57" s="46" t="str">
        <f t="shared" si="33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4"/>
        <v>12</v>
      </c>
      <c r="T57" s="51"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5"/>
        <v>0</v>
      </c>
      <c r="AF57" s="54">
        <f t="shared" si="36"/>
        <v>0</v>
      </c>
      <c r="AG57" s="94">
        <f t="shared" si="67"/>
        <v>47</v>
      </c>
      <c r="AH57" s="56">
        <f t="shared" si="13"/>
        <v>0</v>
      </c>
      <c r="AI57" s="93"/>
      <c r="AJ57" s="93">
        <f t="shared" si="68"/>
        <v>0</v>
      </c>
      <c r="AK57" s="95">
        <f t="shared" si="37"/>
        <v>1</v>
      </c>
      <c r="AL57" s="58">
        <f t="shared" si="38"/>
        <v>0</v>
      </c>
      <c r="AM57" s="55">
        <f t="shared" si="69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9"/>
        <v>0</v>
      </c>
      <c r="AV57" s="96">
        <f t="shared" si="39"/>
        <v>0</v>
      </c>
      <c r="AW57" s="96">
        <f t="shared" si="40"/>
        <v>0</v>
      </c>
      <c r="AX57" s="96">
        <f t="shared" si="41"/>
        <v>0</v>
      </c>
      <c r="AY57" s="94">
        <f t="shared" si="70"/>
        <v>0</v>
      </c>
      <c r="AZ57" s="94">
        <f t="shared" si="42"/>
        <v>0</v>
      </c>
      <c r="BA57" s="94">
        <f t="shared" si="43"/>
        <v>47</v>
      </c>
      <c r="BB57" s="97">
        <f t="shared" si="44"/>
        <v>0</v>
      </c>
      <c r="BC57" s="93"/>
      <c r="BD57" s="93">
        <f t="shared" si="45"/>
        <v>0</v>
      </c>
      <c r="BE57" s="95">
        <f t="shared" si="46"/>
        <v>1</v>
      </c>
      <c r="BF57" s="58">
        <f t="shared" si="47"/>
        <v>0</v>
      </c>
      <c r="BG57" s="94">
        <f t="shared" si="48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1"/>
        <v>0</v>
      </c>
      <c r="BP57" s="92">
        <f t="shared" si="71"/>
        <v>0</v>
      </c>
      <c r="BQ57" s="96">
        <f t="shared" si="49"/>
        <v>0</v>
      </c>
      <c r="BR57" s="96">
        <f t="shared" si="50"/>
        <v>0</v>
      </c>
      <c r="BS57" s="96">
        <f t="shared" si="72"/>
        <v>0</v>
      </c>
      <c r="BT57" s="96">
        <f t="shared" si="51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2"/>
        <v>0</v>
      </c>
      <c r="BY57" s="61">
        <f t="shared" si="74"/>
        <v>0</v>
      </c>
      <c r="BZ57" s="62">
        <f t="shared" si="53"/>
        <v>0</v>
      </c>
      <c r="CA57" s="98">
        <f t="shared" si="54"/>
        <v>0</v>
      </c>
      <c r="CB57" s="92">
        <f t="shared" si="97"/>
        <v>0</v>
      </c>
      <c r="CC57" s="92">
        <f t="shared" si="97"/>
        <v>0</v>
      </c>
      <c r="CD57" s="92">
        <f t="shared" si="97"/>
        <v>0</v>
      </c>
      <c r="CE57" s="99"/>
      <c r="CF57" s="99"/>
      <c r="CG57" s="51">
        <f t="shared" si="55"/>
        <v>0</v>
      </c>
      <c r="CH57" s="62">
        <f t="shared" si="56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100"/>
        <v>0</v>
      </c>
      <c r="CR57" s="102">
        <f t="shared" si="100"/>
        <v>0</v>
      </c>
      <c r="CS57" s="102">
        <f t="shared" si="100"/>
        <v>0</v>
      </c>
      <c r="CT57" s="92">
        <f t="shared" si="58"/>
        <v>0</v>
      </c>
      <c r="CU57" s="92">
        <f t="shared" si="101"/>
        <v>0</v>
      </c>
      <c r="CV57" s="103">
        <f t="shared" si="101"/>
        <v>0</v>
      </c>
      <c r="CW57" s="104" t="s">
        <v>147</v>
      </c>
      <c r="CX57" s="105">
        <v>22</v>
      </c>
      <c r="CY57" s="106">
        <f t="shared" si="60"/>
        <v>1914</v>
      </c>
      <c r="CZ57" s="106">
        <f t="shared" si="61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7"/>
        <v>0</v>
      </c>
      <c r="DL57" s="108">
        <f t="shared" si="87"/>
        <v>0</v>
      </c>
      <c r="DM57" s="111">
        <f t="shared" si="87"/>
        <v>0</v>
      </c>
      <c r="DN57" s="76">
        <f t="shared" si="90"/>
        <v>47</v>
      </c>
      <c r="DO57" s="76">
        <f t="shared" si="90"/>
        <v>0</v>
      </c>
      <c r="DP57" s="112"/>
      <c r="DQ57" s="112"/>
      <c r="DR57" s="113" t="s">
        <v>283</v>
      </c>
      <c r="DS57" s="112"/>
      <c r="DT57" s="112"/>
      <c r="DU57" s="111"/>
      <c r="DV57" s="114"/>
      <c r="DW57" s="80">
        <f t="shared" si="103"/>
        <v>0</v>
      </c>
      <c r="DX57" s="81">
        <f t="shared" si="29"/>
        <v>0</v>
      </c>
      <c r="DY57" s="80">
        <f t="shared" si="63"/>
        <v>0</v>
      </c>
      <c r="DZ57" s="82">
        <f t="shared" si="64"/>
        <v>0</v>
      </c>
      <c r="EA57" s="82">
        <f t="shared" si="65"/>
        <v>0</v>
      </c>
      <c r="EB57" s="82">
        <f t="shared" si="66"/>
        <v>0</v>
      </c>
      <c r="EC57" s="82">
        <f t="shared" si="76"/>
        <v>0</v>
      </c>
      <c r="EF57" s="83">
        <f t="shared" si="93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1"/>
        <v>IBC3604-6.5x3-H9A15</v>
      </c>
      <c r="H58" s="46" t="str">
        <f t="shared" si="32"/>
        <v>C3604IB6.50DH9</v>
      </c>
      <c r="I58" s="46" t="str">
        <f t="shared" si="33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4"/>
        <v>20</v>
      </c>
      <c r="T58" s="51">
        <v>7</v>
      </c>
      <c r="U58" s="92">
        <v>23</v>
      </c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6862</v>
      </c>
      <c r="AC58" s="93">
        <f t="shared" si="11"/>
        <v>0</v>
      </c>
      <c r="AD58" s="93">
        <f t="shared" si="12"/>
        <v>24</v>
      </c>
      <c r="AE58" s="93">
        <f t="shared" si="35"/>
        <v>6862</v>
      </c>
      <c r="AF58" s="54">
        <f t="shared" si="36"/>
        <v>6862</v>
      </c>
      <c r="AG58" s="94">
        <f t="shared" si="67"/>
        <v>7</v>
      </c>
      <c r="AH58" s="56">
        <f t="shared" si="13"/>
        <v>0</v>
      </c>
      <c r="AI58" s="93">
        <v>12</v>
      </c>
      <c r="AJ58" s="93">
        <f t="shared" si="68"/>
        <v>70</v>
      </c>
      <c r="AK58" s="95">
        <f t="shared" si="37"/>
        <v>0.36898423910178696</v>
      </c>
      <c r="AL58" s="58">
        <f t="shared" si="38"/>
        <v>11.37</v>
      </c>
      <c r="AM58" s="55">
        <f t="shared" si="69"/>
        <v>18.630000000000003</v>
      </c>
      <c r="AN58" s="93"/>
      <c r="AO58" s="96"/>
      <c r="AP58" s="96"/>
      <c r="AQ58" s="96"/>
      <c r="AR58" s="96"/>
      <c r="AS58" s="96"/>
      <c r="AT58" s="96">
        <f>$CJ58</f>
        <v>2200</v>
      </c>
      <c r="AU58" s="96">
        <f t="shared" si="39"/>
        <v>0</v>
      </c>
      <c r="AV58" s="96">
        <f t="shared" si="39"/>
        <v>5</v>
      </c>
      <c r="AW58" s="96">
        <f t="shared" si="40"/>
        <v>2205</v>
      </c>
      <c r="AX58" s="96">
        <f t="shared" si="41"/>
        <v>3614</v>
      </c>
      <c r="AY58" s="94">
        <f t="shared" si="70"/>
        <v>47.99730000000045</v>
      </c>
      <c r="AZ58" s="94">
        <f t="shared" si="42"/>
        <v>78.684098360656478</v>
      </c>
      <c r="BA58" s="94">
        <f t="shared" si="43"/>
        <v>18.630000000000003</v>
      </c>
      <c r="BB58" s="97">
        <f t="shared" si="44"/>
        <v>0.63</v>
      </c>
      <c r="BC58" s="93">
        <v>10</v>
      </c>
      <c r="BD58" s="93">
        <f t="shared" si="45"/>
        <v>0</v>
      </c>
      <c r="BE58" s="95">
        <f t="shared" si="46"/>
        <v>1</v>
      </c>
      <c r="BF58" s="58">
        <f t="shared" si="47"/>
        <v>10.63</v>
      </c>
      <c r="BG58" s="94">
        <f t="shared" si="48"/>
        <v>8.0000000000000018</v>
      </c>
      <c r="BH58" s="89"/>
      <c r="BI58" s="89"/>
      <c r="BJ58" s="89"/>
      <c r="BK58" s="89"/>
      <c r="BL58" s="89"/>
      <c r="BM58" s="89"/>
      <c r="BN58" s="92">
        <f>$CN58</f>
        <v>1986</v>
      </c>
      <c r="BO58" s="92">
        <f t="shared" si="71"/>
        <v>0</v>
      </c>
      <c r="BP58" s="92">
        <f t="shared" si="71"/>
        <v>10</v>
      </c>
      <c r="BQ58" s="96">
        <f t="shared" si="49"/>
        <v>1996</v>
      </c>
      <c r="BR58" s="96">
        <f t="shared" si="50"/>
        <v>3272</v>
      </c>
      <c r="BS58" s="96">
        <f t="shared" si="72"/>
        <v>-20.617300000000114</v>
      </c>
      <c r="BT58" s="96">
        <f t="shared" si="51"/>
        <v>-33.79885245901658</v>
      </c>
      <c r="BU58" s="92">
        <f t="shared" si="16"/>
        <v>6862</v>
      </c>
      <c r="BV58" s="98">
        <f t="shared" si="17"/>
        <v>22</v>
      </c>
      <c r="BW58" s="92">
        <f t="shared" si="18"/>
        <v>44.885245901639898</v>
      </c>
      <c r="BX58" s="98">
        <f t="shared" si="52"/>
        <v>18.501999999999999</v>
      </c>
      <c r="BY58" s="61">
        <f t="shared" si="74"/>
        <v>22</v>
      </c>
      <c r="BZ58" s="62">
        <f t="shared" si="53"/>
        <v>22</v>
      </c>
      <c r="CA58" s="98">
        <f t="shared" si="54"/>
        <v>4.2009999999999996</v>
      </c>
      <c r="CB58" s="92">
        <f t="shared" si="97"/>
        <v>6886</v>
      </c>
      <c r="CC58" s="92">
        <f t="shared" si="97"/>
        <v>27.380000000000337</v>
      </c>
      <c r="CD58" s="92">
        <f t="shared" si="97"/>
        <v>44.885245901639898</v>
      </c>
      <c r="CE58" s="99"/>
      <c r="CF58" s="99"/>
      <c r="CG58" s="51">
        <f t="shared" si="55"/>
        <v>14.315999999999999</v>
      </c>
      <c r="CH58" s="62">
        <f t="shared" si="56"/>
        <v>14.315999999999999</v>
      </c>
      <c r="CI58" s="89">
        <v>70</v>
      </c>
      <c r="CJ58" s="89">
        <v>2200</v>
      </c>
      <c r="CK58" s="89"/>
      <c r="CL58" s="96">
        <v>5</v>
      </c>
      <c r="CM58" s="89"/>
      <c r="CN58" s="89">
        <v>1986</v>
      </c>
      <c r="CO58" s="92"/>
      <c r="CP58" s="101">
        <v>10</v>
      </c>
      <c r="CQ58" s="102">
        <f t="shared" si="100"/>
        <v>3606</v>
      </c>
      <c r="CR58" s="102">
        <f t="shared" si="100"/>
        <v>0</v>
      </c>
      <c r="CS58" s="102">
        <f t="shared" si="100"/>
        <v>8</v>
      </c>
      <c r="CT58" s="92">
        <f t="shared" si="58"/>
        <v>3256</v>
      </c>
      <c r="CU58" s="92">
        <f t="shared" si="101"/>
        <v>0</v>
      </c>
      <c r="CV58" s="103">
        <f t="shared" si="101"/>
        <v>16</v>
      </c>
      <c r="CW58" s="104" t="s">
        <v>147</v>
      </c>
      <c r="CX58" s="105">
        <v>13</v>
      </c>
      <c r="CY58" s="106">
        <f t="shared" si="60"/>
        <v>3170</v>
      </c>
      <c r="CZ58" s="106">
        <f t="shared" si="61"/>
        <v>52.650000000000006</v>
      </c>
      <c r="DA58" s="106"/>
      <c r="DB58" s="106"/>
      <c r="DC58" s="105"/>
      <c r="DD58" s="107"/>
      <c r="DE58" s="92">
        <f t="shared" si="21"/>
        <v>3606</v>
      </c>
      <c r="DF58" s="108">
        <f t="shared" si="22"/>
        <v>11.37</v>
      </c>
      <c r="DG58" s="112">
        <f t="shared" si="23"/>
        <v>78.684098360656478</v>
      </c>
      <c r="DH58" s="110">
        <f t="shared" si="24"/>
        <v>3256</v>
      </c>
      <c r="DI58" s="108">
        <f t="shared" si="25"/>
        <v>10.63</v>
      </c>
      <c r="DJ58" s="112">
        <f t="shared" si="26"/>
        <v>-33.79885245901658</v>
      </c>
      <c r="DK58" s="110">
        <f t="shared" si="87"/>
        <v>6862</v>
      </c>
      <c r="DL58" s="108">
        <f t="shared" si="87"/>
        <v>22</v>
      </c>
      <c r="DM58" s="111">
        <f t="shared" si="87"/>
        <v>44.885245901639898</v>
      </c>
      <c r="DN58" s="76">
        <f t="shared" si="90"/>
        <v>7</v>
      </c>
      <c r="DO58" s="76">
        <f t="shared" si="90"/>
        <v>23</v>
      </c>
      <c r="DP58" s="112"/>
      <c r="DQ58" s="112"/>
      <c r="DR58" s="113" t="s">
        <v>285</v>
      </c>
      <c r="DS58" s="112"/>
      <c r="DT58" s="112"/>
      <c r="DU58" s="111"/>
      <c r="DV58" s="114"/>
      <c r="DW58" s="80">
        <f t="shared" si="103"/>
        <v>22</v>
      </c>
      <c r="DX58" s="81">
        <f t="shared" si="29"/>
        <v>6928.8852459016398</v>
      </c>
      <c r="DY58" s="80">
        <f t="shared" si="63"/>
        <v>6886</v>
      </c>
      <c r="DZ58" s="82">
        <f t="shared" si="64"/>
        <v>1.464E-2</v>
      </c>
      <c r="EA58" s="82">
        <f t="shared" si="65"/>
        <v>4.1858199999999997</v>
      </c>
      <c r="EB58" s="82">
        <f t="shared" si="66"/>
        <v>14.316179999999999</v>
      </c>
      <c r="EC58" s="82">
        <f>(BX58-CA58)+((AV58+BP58)/1000)</f>
        <v>14.315999999999999</v>
      </c>
      <c r="EF58" s="83">
        <f t="shared" si="93"/>
        <v>44.885245901639898</v>
      </c>
    </row>
    <row r="59" spans="1:136" ht="14.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1"/>
        <v>GWA6063-T5-7.5x3-H9B14</v>
      </c>
      <c r="H59" s="46" t="str">
        <f t="shared" si="32"/>
        <v>A6063-T5GW7.50DH9</v>
      </c>
      <c r="I59" s="46" t="str">
        <f t="shared" si="33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4"/>
        <v>22</v>
      </c>
      <c r="T59" s="51"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5"/>
        <v>0</v>
      </c>
      <c r="AF59" s="54">
        <f t="shared" si="36"/>
        <v>0</v>
      </c>
      <c r="AG59" s="94">
        <f t="shared" si="67"/>
        <v>0</v>
      </c>
      <c r="AH59" s="56">
        <f t="shared" si="13"/>
        <v>0</v>
      </c>
      <c r="AI59" s="93"/>
      <c r="AJ59" s="93">
        <f t="shared" si="68"/>
        <v>0</v>
      </c>
      <c r="AK59" s="95">
        <f t="shared" si="37"/>
        <v>1</v>
      </c>
      <c r="AL59" s="58">
        <f t="shared" si="38"/>
        <v>0</v>
      </c>
      <c r="AM59" s="55">
        <f t="shared" si="69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9"/>
        <v>0</v>
      </c>
      <c r="AV59" s="96">
        <f t="shared" si="39"/>
        <v>0</v>
      </c>
      <c r="AW59" s="96">
        <f t="shared" si="40"/>
        <v>0</v>
      </c>
      <c r="AX59" s="96">
        <f t="shared" si="41"/>
        <v>0</v>
      </c>
      <c r="AY59" s="94">
        <f t="shared" si="70"/>
        <v>0</v>
      </c>
      <c r="AZ59" s="94">
        <f t="shared" si="42"/>
        <v>0</v>
      </c>
      <c r="BA59" s="94">
        <f t="shared" si="43"/>
        <v>0</v>
      </c>
      <c r="BB59" s="97">
        <f t="shared" si="44"/>
        <v>0</v>
      </c>
      <c r="BC59" s="93"/>
      <c r="BD59" s="93">
        <f t="shared" si="45"/>
        <v>0</v>
      </c>
      <c r="BE59" s="95">
        <f t="shared" si="46"/>
        <v>1</v>
      </c>
      <c r="BF59" s="58">
        <f t="shared" si="47"/>
        <v>0</v>
      </c>
      <c r="BG59" s="94">
        <f t="shared" si="48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1"/>
        <v>0</v>
      </c>
      <c r="BP59" s="92">
        <f t="shared" si="71"/>
        <v>0</v>
      </c>
      <c r="BQ59" s="96">
        <f t="shared" si="49"/>
        <v>0</v>
      </c>
      <c r="BR59" s="96">
        <f t="shared" si="50"/>
        <v>0</v>
      </c>
      <c r="BS59" s="96">
        <f t="shared" si="72"/>
        <v>0</v>
      </c>
      <c r="BT59" s="96">
        <f t="shared" si="51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2"/>
        <v>0</v>
      </c>
      <c r="BY59" s="61">
        <f t="shared" si="74"/>
        <v>0</v>
      </c>
      <c r="BZ59" s="62">
        <f t="shared" si="53"/>
        <v>0</v>
      </c>
      <c r="CA59" s="98">
        <f t="shared" si="54"/>
        <v>0</v>
      </c>
      <c r="CB59" s="92">
        <f t="shared" si="97"/>
        <v>0</v>
      </c>
      <c r="CC59" s="92">
        <f t="shared" si="97"/>
        <v>0</v>
      </c>
      <c r="CD59" s="92">
        <f t="shared" si="97"/>
        <v>0</v>
      </c>
      <c r="CE59" s="99"/>
      <c r="CF59" s="99"/>
      <c r="CG59" s="51">
        <f t="shared" si="55"/>
        <v>0</v>
      </c>
      <c r="CH59" s="62">
        <f t="shared" si="56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100"/>
        <v>0</v>
      </c>
      <c r="CR59" s="102">
        <f t="shared" si="100"/>
        <v>0</v>
      </c>
      <c r="CS59" s="102">
        <f t="shared" si="100"/>
        <v>0</v>
      </c>
      <c r="CT59" s="92">
        <f t="shared" si="58"/>
        <v>0</v>
      </c>
      <c r="CU59" s="92">
        <f t="shared" si="101"/>
        <v>0</v>
      </c>
      <c r="CV59" s="103">
        <f t="shared" si="101"/>
        <v>0</v>
      </c>
      <c r="CW59" s="104" t="s">
        <v>147</v>
      </c>
      <c r="CX59" s="105">
        <v>15.56</v>
      </c>
      <c r="CY59" s="106">
        <f t="shared" si="60"/>
        <v>2637</v>
      </c>
      <c r="CZ59" s="106">
        <f t="shared" si="61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7"/>
        <v>0</v>
      </c>
      <c r="DL59" s="108">
        <f t="shared" si="87"/>
        <v>0</v>
      </c>
      <c r="DM59" s="111">
        <f t="shared" si="87"/>
        <v>0</v>
      </c>
      <c r="DN59" s="76">
        <f t="shared" si="90"/>
        <v>0</v>
      </c>
      <c r="DO59" s="76">
        <f t="shared" si="90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2"/>
        <v>0</v>
      </c>
      <c r="DX59" s="81">
        <f t="shared" si="29"/>
        <v>0</v>
      </c>
      <c r="DY59" s="80">
        <f t="shared" si="63"/>
        <v>0</v>
      </c>
      <c r="DZ59" s="82">
        <f t="shared" si="64"/>
        <v>0</v>
      </c>
      <c r="EA59" s="82">
        <f t="shared" si="65"/>
        <v>0</v>
      </c>
      <c r="EB59" s="82">
        <f t="shared" si="66"/>
        <v>0</v>
      </c>
      <c r="EC59" s="82">
        <f t="shared" si="76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1"/>
        <v>TVSUS303-5x3-H7B13</v>
      </c>
      <c r="H60" s="46" t="str">
        <f t="shared" si="32"/>
        <v>SUS303TV50DH7</v>
      </c>
      <c r="I60" s="46" t="str">
        <f t="shared" si="33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4"/>
        <v>6</v>
      </c>
      <c r="T60" s="51">
        <v>7</v>
      </c>
      <c r="U60" s="92"/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0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0</v>
      </c>
      <c r="AE60" s="93">
        <f t="shared" si="35"/>
        <v>0</v>
      </c>
      <c r="AF60" s="54">
        <f t="shared" si="36"/>
        <v>0</v>
      </c>
      <c r="AG60" s="94">
        <f t="shared" si="67"/>
        <v>7</v>
      </c>
      <c r="AH60" s="56">
        <f t="shared" si="13"/>
        <v>0</v>
      </c>
      <c r="AI60" s="93"/>
      <c r="AJ60" s="93">
        <f t="shared" si="68"/>
        <v>0</v>
      </c>
      <c r="AK60" s="95">
        <f t="shared" si="37"/>
        <v>1</v>
      </c>
      <c r="AL60" s="58">
        <f t="shared" si="38"/>
        <v>0</v>
      </c>
      <c r="AM60" s="55">
        <f t="shared" si="69"/>
        <v>7</v>
      </c>
      <c r="AN60" s="93"/>
      <c r="AO60" s="96"/>
      <c r="AP60" s="96"/>
      <c r="AQ60" s="96"/>
      <c r="AR60" s="96">
        <f t="shared" ref="AP60:AR61" si="105">$CJ60</f>
        <v>0</v>
      </c>
      <c r="AS60" s="96"/>
      <c r="AT60" s="96"/>
      <c r="AU60" s="96">
        <f t="shared" si="39"/>
        <v>0</v>
      </c>
      <c r="AV60" s="96">
        <f t="shared" si="39"/>
        <v>0</v>
      </c>
      <c r="AW60" s="96">
        <f t="shared" si="40"/>
        <v>0</v>
      </c>
      <c r="AX60" s="96">
        <f t="shared" si="41"/>
        <v>0</v>
      </c>
      <c r="AY60" s="94">
        <f t="shared" si="70"/>
        <v>0</v>
      </c>
      <c r="AZ60" s="94">
        <f t="shared" si="42"/>
        <v>0</v>
      </c>
      <c r="BA60" s="94">
        <f t="shared" si="43"/>
        <v>7</v>
      </c>
      <c r="BB60" s="97">
        <f t="shared" si="44"/>
        <v>0</v>
      </c>
      <c r="BC60" s="93"/>
      <c r="BD60" s="93">
        <f t="shared" si="45"/>
        <v>0</v>
      </c>
      <c r="BE60" s="95">
        <f t="shared" si="46"/>
        <v>1</v>
      </c>
      <c r="BF60" s="58">
        <f t="shared" si="47"/>
        <v>0</v>
      </c>
      <c r="BG60" s="94">
        <f t="shared" si="48"/>
        <v>7</v>
      </c>
      <c r="BH60" s="89"/>
      <c r="BI60" s="89"/>
      <c r="BJ60" s="92"/>
      <c r="BK60" s="89"/>
      <c r="BL60" s="92">
        <f>$CN60</f>
        <v>0</v>
      </c>
      <c r="BM60" s="92"/>
      <c r="BN60" s="92"/>
      <c r="BO60" s="92">
        <f t="shared" si="71"/>
        <v>0</v>
      </c>
      <c r="BP60" s="92">
        <f t="shared" si="71"/>
        <v>0</v>
      </c>
      <c r="BQ60" s="96">
        <f t="shared" si="49"/>
        <v>0</v>
      </c>
      <c r="BR60" s="96">
        <f t="shared" si="50"/>
        <v>0</v>
      </c>
      <c r="BS60" s="96">
        <f t="shared" si="72"/>
        <v>0</v>
      </c>
      <c r="BT60" s="96">
        <f t="shared" si="51"/>
        <v>0</v>
      </c>
      <c r="BU60" s="92">
        <f t="shared" si="16"/>
        <v>0</v>
      </c>
      <c r="BV60" s="98">
        <f t="shared" si="17"/>
        <v>0</v>
      </c>
      <c r="BW60" s="92">
        <f t="shared" si="18"/>
        <v>0</v>
      </c>
      <c r="BX60" s="98">
        <f t="shared" si="52"/>
        <v>0</v>
      </c>
      <c r="BY60" s="61">
        <f t="shared" si="74"/>
        <v>0</v>
      </c>
      <c r="BZ60" s="62">
        <f t="shared" si="53"/>
        <v>0</v>
      </c>
      <c r="CA60" s="98">
        <f t="shared" si="54"/>
        <v>0</v>
      </c>
      <c r="CB60" s="92">
        <f t="shared" si="97"/>
        <v>0</v>
      </c>
      <c r="CC60" s="92">
        <f t="shared" si="97"/>
        <v>0</v>
      </c>
      <c r="CD60" s="92">
        <f t="shared" si="97"/>
        <v>0</v>
      </c>
      <c r="CE60" s="99"/>
      <c r="CF60" s="99"/>
      <c r="CG60" s="51">
        <f t="shared" si="55"/>
        <v>0</v>
      </c>
      <c r="CH60" s="62">
        <f t="shared" si="56"/>
        <v>0</v>
      </c>
      <c r="CI60" s="89"/>
      <c r="CJ60" s="89"/>
      <c r="CK60" s="89"/>
      <c r="CL60" s="96"/>
      <c r="CM60" s="89"/>
      <c r="CN60" s="89"/>
      <c r="CO60" s="92"/>
      <c r="CP60" s="101"/>
      <c r="CQ60" s="102">
        <f t="shared" si="100"/>
        <v>0</v>
      </c>
      <c r="CR60" s="102">
        <f t="shared" si="100"/>
        <v>0</v>
      </c>
      <c r="CS60" s="102">
        <f t="shared" si="100"/>
        <v>0</v>
      </c>
      <c r="CT60" s="92">
        <f t="shared" si="58"/>
        <v>0</v>
      </c>
      <c r="CU60" s="92">
        <f t="shared" si="101"/>
        <v>0</v>
      </c>
      <c r="CV60" s="103">
        <f t="shared" si="101"/>
        <v>0</v>
      </c>
      <c r="CW60" s="104" t="s">
        <v>147</v>
      </c>
      <c r="CX60" s="105">
        <v>30</v>
      </c>
      <c r="CY60" s="106">
        <f t="shared" si="60"/>
        <v>1422</v>
      </c>
      <c r="CZ60" s="106">
        <f t="shared" si="61"/>
        <v>121.50000000000001</v>
      </c>
      <c r="DA60" s="106"/>
      <c r="DB60" s="106"/>
      <c r="DC60" s="105"/>
      <c r="DD60" s="107"/>
      <c r="DE60" s="92">
        <f t="shared" si="21"/>
        <v>0</v>
      </c>
      <c r="DF60" s="108">
        <f t="shared" si="22"/>
        <v>0</v>
      </c>
      <c r="DG60" s="115">
        <f t="shared" si="23"/>
        <v>0</v>
      </c>
      <c r="DH60" s="110">
        <f t="shared" si="24"/>
        <v>0</v>
      </c>
      <c r="DI60" s="108">
        <f t="shared" si="25"/>
        <v>0</v>
      </c>
      <c r="DJ60" s="115">
        <f t="shared" si="26"/>
        <v>0</v>
      </c>
      <c r="DK60" s="110">
        <f t="shared" si="87"/>
        <v>0</v>
      </c>
      <c r="DL60" s="108">
        <f t="shared" si="87"/>
        <v>0</v>
      </c>
      <c r="DM60" s="111">
        <f t="shared" si="87"/>
        <v>0</v>
      </c>
      <c r="DN60" s="76">
        <f t="shared" si="90"/>
        <v>7</v>
      </c>
      <c r="DO60" s="76">
        <f t="shared" si="90"/>
        <v>0</v>
      </c>
      <c r="DP60" s="112"/>
      <c r="DQ60" s="112"/>
      <c r="DR60" s="113" t="s">
        <v>289</v>
      </c>
      <c r="DS60" s="112"/>
      <c r="DT60" s="112"/>
      <c r="DU60" s="111"/>
      <c r="DV60" s="114"/>
      <c r="DW60" s="80">
        <f>IFERROR(AL60+BF60,"")</f>
        <v>0</v>
      </c>
      <c r="DX60" s="81">
        <f t="shared" si="29"/>
        <v>0</v>
      </c>
      <c r="DY60" s="80">
        <f t="shared" si="63"/>
        <v>0</v>
      </c>
      <c r="DZ60" s="82">
        <f t="shared" si="64"/>
        <v>0</v>
      </c>
      <c r="EA60" s="82">
        <f t="shared" si="65"/>
        <v>0</v>
      </c>
      <c r="EB60" s="82">
        <f t="shared" si="66"/>
        <v>0</v>
      </c>
      <c r="EC60" s="82">
        <f t="shared" si="76"/>
        <v>0</v>
      </c>
      <c r="EF60" s="83">
        <f t="shared" ref="EF60:EF88" si="106">DG60+DJ60</f>
        <v>0</v>
      </c>
    </row>
    <row r="61" spans="1:136" ht="14.1" customHeight="1">
      <c r="A61" s="84">
        <v>54</v>
      </c>
      <c r="B61" s="85" t="s">
        <v>290</v>
      </c>
      <c r="C61" s="86"/>
      <c r="D61" s="171" t="s">
        <v>291</v>
      </c>
      <c r="E61" s="88">
        <v>160</v>
      </c>
      <c r="F61" s="89" t="s">
        <v>147</v>
      </c>
      <c r="G61" s="45" t="str">
        <f t="shared" si="31"/>
        <v>IBC3604-9x3-H9B14</v>
      </c>
      <c r="H61" s="46" t="str">
        <f t="shared" si="32"/>
        <v>C3604IB90DH9</v>
      </c>
      <c r="I61" s="46" t="str">
        <f t="shared" si="33"/>
        <v>C3604IB90DH93B14</v>
      </c>
      <c r="J61" s="90" t="s">
        <v>148</v>
      </c>
      <c r="K61" s="90" t="s">
        <v>156</v>
      </c>
      <c r="L61" s="90">
        <v>9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171</v>
      </c>
      <c r="S61" s="89">
        <f t="shared" si="34"/>
        <v>38</v>
      </c>
      <c r="T61" s="51">
        <v>32</v>
      </c>
      <c r="U61" s="92"/>
      <c r="V61" s="100">
        <v>4.18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35"/>
        <v>0</v>
      </c>
      <c r="AF61" s="54">
        <f t="shared" si="36"/>
        <v>0</v>
      </c>
      <c r="AG61" s="94">
        <f t="shared" si="67"/>
        <v>32</v>
      </c>
      <c r="AH61" s="56">
        <f t="shared" si="13"/>
        <v>0</v>
      </c>
      <c r="AI61" s="93"/>
      <c r="AJ61" s="93">
        <f t="shared" si="68"/>
        <v>0</v>
      </c>
      <c r="AK61" s="95">
        <f t="shared" si="37"/>
        <v>1</v>
      </c>
      <c r="AL61" s="58">
        <f t="shared" si="38"/>
        <v>0</v>
      </c>
      <c r="AM61" s="55">
        <f t="shared" si="69"/>
        <v>32</v>
      </c>
      <c r="AN61" s="93"/>
      <c r="AO61" s="96"/>
      <c r="AP61" s="96">
        <f t="shared" si="105"/>
        <v>0</v>
      </c>
      <c r="AQ61" s="96"/>
      <c r="AR61" s="96"/>
      <c r="AS61" s="96"/>
      <c r="AT61" s="96"/>
      <c r="AU61" s="96">
        <f t="shared" si="39"/>
        <v>0</v>
      </c>
      <c r="AV61" s="96">
        <f t="shared" si="39"/>
        <v>0</v>
      </c>
      <c r="AW61" s="96">
        <f t="shared" si="40"/>
        <v>0</v>
      </c>
      <c r="AX61" s="96">
        <f t="shared" si="41"/>
        <v>0</v>
      </c>
      <c r="AY61" s="94">
        <f t="shared" si="70"/>
        <v>0</v>
      </c>
      <c r="AZ61" s="94">
        <f t="shared" si="42"/>
        <v>0</v>
      </c>
      <c r="BA61" s="94">
        <f t="shared" si="43"/>
        <v>32</v>
      </c>
      <c r="BB61" s="97">
        <f t="shared" si="44"/>
        <v>0</v>
      </c>
      <c r="BC61" s="93"/>
      <c r="BD61" s="93">
        <f t="shared" si="45"/>
        <v>0</v>
      </c>
      <c r="BE61" s="95">
        <f t="shared" si="46"/>
        <v>1</v>
      </c>
      <c r="BF61" s="58">
        <f t="shared" si="47"/>
        <v>0</v>
      </c>
      <c r="BG61" s="94">
        <f t="shared" si="48"/>
        <v>32</v>
      </c>
      <c r="BH61" s="89"/>
      <c r="BI61" s="89"/>
      <c r="BJ61" s="92">
        <f>$CN61</f>
        <v>0</v>
      </c>
      <c r="BK61" s="89"/>
      <c r="BL61" s="89"/>
      <c r="BM61" s="89"/>
      <c r="BN61" s="92"/>
      <c r="BO61" s="92">
        <f t="shared" si="71"/>
        <v>0</v>
      </c>
      <c r="BP61" s="92">
        <f t="shared" si="71"/>
        <v>0</v>
      </c>
      <c r="BQ61" s="96">
        <f t="shared" si="49"/>
        <v>0</v>
      </c>
      <c r="BR61" s="96">
        <f t="shared" si="50"/>
        <v>0</v>
      </c>
      <c r="BS61" s="96">
        <f t="shared" si="72"/>
        <v>0</v>
      </c>
      <c r="BT61" s="96">
        <f>IF($V61="","",BS61/$V61)</f>
        <v>0</v>
      </c>
      <c r="BU61" s="92">
        <f t="shared" si="16"/>
        <v>0</v>
      </c>
      <c r="BV61" s="98">
        <f t="shared" si="17"/>
        <v>0</v>
      </c>
      <c r="BW61" s="92">
        <f t="shared" si="18"/>
        <v>0</v>
      </c>
      <c r="BX61" s="98">
        <f t="shared" si="52"/>
        <v>0</v>
      </c>
      <c r="BY61" s="61">
        <f t="shared" si="74"/>
        <v>0</v>
      </c>
      <c r="BZ61" s="62">
        <f t="shared" si="53"/>
        <v>0</v>
      </c>
      <c r="CA61" s="98">
        <f t="shared" si="54"/>
        <v>0</v>
      </c>
      <c r="CB61" s="92">
        <f t="shared" si="97"/>
        <v>0</v>
      </c>
      <c r="CC61" s="92">
        <f t="shared" si="97"/>
        <v>0</v>
      </c>
      <c r="CD61" s="92">
        <f t="shared" si="97"/>
        <v>0</v>
      </c>
      <c r="CE61" s="99"/>
      <c r="CF61" s="99"/>
      <c r="CG61" s="51">
        <f t="shared" si="55"/>
        <v>0</v>
      </c>
      <c r="CH61" s="62">
        <f t="shared" si="56"/>
        <v>0</v>
      </c>
      <c r="CI61" s="89"/>
      <c r="CJ61" s="89"/>
      <c r="CK61" s="89"/>
      <c r="CL61" s="96"/>
      <c r="CM61" s="89"/>
      <c r="CN61" s="89"/>
      <c r="CO61" s="92"/>
      <c r="CP61" s="101"/>
      <c r="CQ61" s="102">
        <f t="shared" si="100"/>
        <v>0</v>
      </c>
      <c r="CR61" s="102">
        <f t="shared" si="100"/>
        <v>0</v>
      </c>
      <c r="CS61" s="102">
        <f t="shared" si="100"/>
        <v>0</v>
      </c>
      <c r="CT61" s="92">
        <f t="shared" si="58"/>
        <v>0</v>
      </c>
      <c r="CU61" s="92">
        <f t="shared" si="101"/>
        <v>0</v>
      </c>
      <c r="CV61" s="103">
        <f t="shared" si="101"/>
        <v>0</v>
      </c>
      <c r="CW61" s="104" t="s">
        <v>147</v>
      </c>
      <c r="CX61" s="105">
        <v>13</v>
      </c>
      <c r="CY61" s="106">
        <f t="shared" si="60"/>
        <v>3032</v>
      </c>
      <c r="CZ61" s="106">
        <f t="shared" si="61"/>
        <v>52.650000000000006</v>
      </c>
      <c r="DA61" s="106"/>
      <c r="DB61" s="106"/>
      <c r="DC61" s="105"/>
      <c r="DD61" s="107"/>
      <c r="DE61" s="92">
        <f t="shared" si="21"/>
        <v>0</v>
      </c>
      <c r="DF61" s="108">
        <f t="shared" si="22"/>
        <v>0</v>
      </c>
      <c r="DG61" s="112">
        <f t="shared" si="23"/>
        <v>0</v>
      </c>
      <c r="DH61" s="110">
        <f t="shared" si="24"/>
        <v>0</v>
      </c>
      <c r="DI61" s="108">
        <f t="shared" si="25"/>
        <v>0</v>
      </c>
      <c r="DJ61" s="112">
        <f t="shared" si="26"/>
        <v>0</v>
      </c>
      <c r="DK61" s="110">
        <f t="shared" si="87"/>
        <v>0</v>
      </c>
      <c r="DL61" s="108">
        <f t="shared" si="87"/>
        <v>0</v>
      </c>
      <c r="DM61" s="111">
        <f t="shared" si="87"/>
        <v>0</v>
      </c>
      <c r="DN61" s="76">
        <f t="shared" si="90"/>
        <v>32</v>
      </c>
      <c r="DO61" s="76">
        <f t="shared" si="90"/>
        <v>0</v>
      </c>
      <c r="DP61" s="112"/>
      <c r="DQ61" s="112"/>
      <c r="DR61" s="113" t="s">
        <v>292</v>
      </c>
      <c r="DS61" s="112"/>
      <c r="DT61" s="112"/>
      <c r="DU61" s="111"/>
      <c r="DV61" s="114"/>
      <c r="DW61" s="80">
        <f t="shared" si="62"/>
        <v>0</v>
      </c>
      <c r="DX61" s="81">
        <f t="shared" si="29"/>
        <v>0</v>
      </c>
      <c r="DY61" s="80">
        <f t="shared" si="63"/>
        <v>0</v>
      </c>
      <c r="DZ61" s="82">
        <f t="shared" si="64"/>
        <v>0</v>
      </c>
      <c r="EA61" s="82">
        <f t="shared" si="65"/>
        <v>0</v>
      </c>
      <c r="EB61" s="82">
        <f t="shared" si="66"/>
        <v>0</v>
      </c>
      <c r="EC61" s="82">
        <f t="shared" ref="EC61:EC65" si="107">(BX61-CA61)+((AV61+BP61)/1000)</f>
        <v>0</v>
      </c>
      <c r="EF61" s="83">
        <f t="shared" si="106"/>
        <v>0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1"/>
        <v>MIC3602-3x2.5-H9A14</v>
      </c>
      <c r="H62" s="46" t="str">
        <f t="shared" si="32"/>
        <v>C3602MI30DH9</v>
      </c>
      <c r="I62" s="46" t="str">
        <f t="shared" si="33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4"/>
        <v>34</v>
      </c>
      <c r="T62" s="51"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5"/>
        <v>0</v>
      </c>
      <c r="AF62" s="54">
        <f t="shared" si="36"/>
        <v>0</v>
      </c>
      <c r="AG62" s="94">
        <f t="shared" si="67"/>
        <v>47</v>
      </c>
      <c r="AH62" s="56">
        <f t="shared" si="13"/>
        <v>0</v>
      </c>
      <c r="AI62" s="93"/>
      <c r="AJ62" s="93">
        <f t="shared" si="68"/>
        <v>0</v>
      </c>
      <c r="AK62" s="95">
        <f t="shared" si="37"/>
        <v>1</v>
      </c>
      <c r="AL62" s="58">
        <f t="shared" si="38"/>
        <v>0</v>
      </c>
      <c r="AM62" s="55">
        <f t="shared" si="69"/>
        <v>47</v>
      </c>
      <c r="AN62" s="93"/>
      <c r="AO62" s="96"/>
      <c r="AP62" s="96"/>
      <c r="AQ62" s="96"/>
      <c r="AR62" s="96"/>
      <c r="AS62" s="96"/>
      <c r="AT62" s="96">
        <f t="shared" ref="AT62:AT64" si="108">$CJ62</f>
        <v>0</v>
      </c>
      <c r="AU62" s="96">
        <f t="shared" si="39"/>
        <v>0</v>
      </c>
      <c r="AV62" s="96">
        <f t="shared" si="39"/>
        <v>0</v>
      </c>
      <c r="AW62" s="96">
        <f t="shared" si="40"/>
        <v>0</v>
      </c>
      <c r="AX62" s="96">
        <f t="shared" si="41"/>
        <v>0</v>
      </c>
      <c r="AY62" s="94">
        <f t="shared" si="70"/>
        <v>0</v>
      </c>
      <c r="AZ62" s="94">
        <f t="shared" si="42"/>
        <v>0</v>
      </c>
      <c r="BA62" s="94">
        <f t="shared" si="43"/>
        <v>47</v>
      </c>
      <c r="BB62" s="97">
        <f t="shared" si="44"/>
        <v>0</v>
      </c>
      <c r="BC62" s="93"/>
      <c r="BD62" s="93">
        <f t="shared" si="45"/>
        <v>0</v>
      </c>
      <c r="BE62" s="95">
        <f t="shared" si="46"/>
        <v>1</v>
      </c>
      <c r="BF62" s="58">
        <f t="shared" si="47"/>
        <v>0</v>
      </c>
      <c r="BG62" s="94">
        <f t="shared" si="48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1"/>
        <v>0</v>
      </c>
      <c r="BP62" s="92">
        <f t="shared" si="71"/>
        <v>0</v>
      </c>
      <c r="BQ62" s="96">
        <f t="shared" si="49"/>
        <v>0</v>
      </c>
      <c r="BR62" s="96">
        <f t="shared" si="50"/>
        <v>0</v>
      </c>
      <c r="BS62" s="96">
        <f t="shared" si="72"/>
        <v>0</v>
      </c>
      <c r="BT62" s="96">
        <f t="shared" si="51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2"/>
        <v>0</v>
      </c>
      <c r="BY62" s="61">
        <f t="shared" si="74"/>
        <v>0</v>
      </c>
      <c r="BZ62" s="62">
        <f t="shared" si="53"/>
        <v>0</v>
      </c>
      <c r="CA62" s="98">
        <f t="shared" si="54"/>
        <v>0</v>
      </c>
      <c r="CB62" s="92">
        <f t="shared" si="97"/>
        <v>0</v>
      </c>
      <c r="CC62" s="92">
        <f t="shared" si="97"/>
        <v>0</v>
      </c>
      <c r="CD62" s="92">
        <f t="shared" si="97"/>
        <v>0</v>
      </c>
      <c r="CE62" s="99"/>
      <c r="CF62" s="99"/>
      <c r="CG62" s="51">
        <f t="shared" si="55"/>
        <v>0</v>
      </c>
      <c r="CH62" s="62">
        <f t="shared" si="56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100"/>
        <v>0</v>
      </c>
      <c r="CR62" s="102">
        <f t="shared" si="100"/>
        <v>0</v>
      </c>
      <c r="CS62" s="102">
        <f t="shared" si="100"/>
        <v>0</v>
      </c>
      <c r="CT62" s="92">
        <f t="shared" si="58"/>
        <v>0</v>
      </c>
      <c r="CU62" s="92">
        <f t="shared" si="101"/>
        <v>0</v>
      </c>
      <c r="CV62" s="103">
        <f t="shared" si="101"/>
        <v>0</v>
      </c>
      <c r="CW62" s="104" t="s">
        <v>147</v>
      </c>
      <c r="CX62" s="105">
        <v>6</v>
      </c>
      <c r="CY62" s="106">
        <f t="shared" si="60"/>
        <v>6630</v>
      </c>
      <c r="CZ62" s="106">
        <f t="shared" si="61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7"/>
        <v>0</v>
      </c>
      <c r="DL62" s="108">
        <f t="shared" si="87"/>
        <v>0</v>
      </c>
      <c r="DM62" s="111">
        <f t="shared" si="87"/>
        <v>0</v>
      </c>
      <c r="DN62" s="76">
        <f t="shared" si="90"/>
        <v>47</v>
      </c>
      <c r="DO62" s="76">
        <f t="shared" si="90"/>
        <v>0</v>
      </c>
      <c r="DP62" s="112"/>
      <c r="DQ62" s="112"/>
      <c r="DR62" s="113" t="s">
        <v>295</v>
      </c>
      <c r="DS62" s="112"/>
      <c r="DT62" s="112"/>
      <c r="DU62" s="111"/>
      <c r="DV62" s="114"/>
      <c r="DW62" s="80">
        <f t="shared" ref="DW62:DW65" si="109">IFERROR(AL62+BF62,"")</f>
        <v>0</v>
      </c>
      <c r="DX62" s="81">
        <f t="shared" si="29"/>
        <v>0</v>
      </c>
      <c r="DY62" s="80">
        <f t="shared" si="63"/>
        <v>0</v>
      </c>
      <c r="DZ62" s="82">
        <f t="shared" si="64"/>
        <v>0</v>
      </c>
      <c r="EA62" s="82">
        <f t="shared" si="65"/>
        <v>0</v>
      </c>
      <c r="EB62" s="82">
        <f t="shared" si="66"/>
        <v>0</v>
      </c>
      <c r="EC62" s="82">
        <f t="shared" si="107"/>
        <v>0</v>
      </c>
      <c r="EF62" s="83">
        <f t="shared" si="106"/>
        <v>0</v>
      </c>
    </row>
    <row r="63" spans="1:136" ht="11.25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1"/>
        <v>FRCuBe2Pb-3.15x3-H9A08</v>
      </c>
      <c r="H63" s="46" t="str">
        <f t="shared" si="32"/>
        <v>CuBe2PbFR3.150DH9</v>
      </c>
      <c r="I63" s="46" t="str">
        <f t="shared" si="33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4"/>
        <v>16</v>
      </c>
      <c r="T63" s="51"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5"/>
        <v>0</v>
      </c>
      <c r="AF63" s="54">
        <f t="shared" si="36"/>
        <v>0</v>
      </c>
      <c r="AG63" s="94">
        <f t="shared" si="67"/>
        <v>0</v>
      </c>
      <c r="AH63" s="56">
        <f t="shared" si="13"/>
        <v>0</v>
      </c>
      <c r="AI63" s="93"/>
      <c r="AJ63" s="93">
        <f t="shared" si="68"/>
        <v>0</v>
      </c>
      <c r="AK63" s="95">
        <f t="shared" si="37"/>
        <v>1</v>
      </c>
      <c r="AL63" s="58">
        <f t="shared" si="38"/>
        <v>0</v>
      </c>
      <c r="AM63" s="55">
        <f t="shared" si="69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9"/>
        <v>0</v>
      </c>
      <c r="AV63" s="96">
        <f t="shared" si="39"/>
        <v>0</v>
      </c>
      <c r="AW63" s="96">
        <f t="shared" si="40"/>
        <v>0</v>
      </c>
      <c r="AX63" s="96">
        <f t="shared" si="41"/>
        <v>0</v>
      </c>
      <c r="AY63" s="94">
        <f t="shared" si="70"/>
        <v>0</v>
      </c>
      <c r="AZ63" s="94">
        <f t="shared" si="42"/>
        <v>0</v>
      </c>
      <c r="BA63" s="94">
        <f t="shared" si="43"/>
        <v>0</v>
      </c>
      <c r="BB63" s="97">
        <f t="shared" si="44"/>
        <v>0</v>
      </c>
      <c r="BC63" s="93"/>
      <c r="BD63" s="93">
        <f t="shared" si="45"/>
        <v>0</v>
      </c>
      <c r="BE63" s="95">
        <f t="shared" si="46"/>
        <v>1</v>
      </c>
      <c r="BF63" s="58">
        <f t="shared" si="47"/>
        <v>0</v>
      </c>
      <c r="BG63" s="94">
        <f t="shared" si="48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1"/>
        <v>0</v>
      </c>
      <c r="BP63" s="92">
        <f t="shared" si="71"/>
        <v>0</v>
      </c>
      <c r="BQ63" s="96">
        <f t="shared" si="49"/>
        <v>0</v>
      </c>
      <c r="BR63" s="96">
        <f>IF(AA63="","",INT(BQ63/$V63))</f>
        <v>0</v>
      </c>
      <c r="BS63" s="96">
        <f t="shared" si="72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2"/>
        <v>0</v>
      </c>
      <c r="BY63" s="61">
        <f t="shared" si="74"/>
        <v>0</v>
      </c>
      <c r="BZ63" s="62">
        <f t="shared" si="53"/>
        <v>0</v>
      </c>
      <c r="CA63" s="98">
        <f t="shared" si="54"/>
        <v>0</v>
      </c>
      <c r="CB63" s="92">
        <f t="shared" si="97"/>
        <v>0</v>
      </c>
      <c r="CC63" s="92">
        <f t="shared" si="97"/>
        <v>0</v>
      </c>
      <c r="CD63" s="92">
        <f t="shared" si="97"/>
        <v>0</v>
      </c>
      <c r="CE63" s="99"/>
      <c r="CF63" s="99"/>
      <c r="CG63" s="51">
        <f t="shared" si="55"/>
        <v>0</v>
      </c>
      <c r="CH63" s="62">
        <f t="shared" si="56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100"/>
        <v>0</v>
      </c>
      <c r="CR63" s="102">
        <f t="shared" si="100"/>
        <v>0</v>
      </c>
      <c r="CS63" s="102">
        <f t="shared" si="100"/>
        <v>0</v>
      </c>
      <c r="CT63" s="92">
        <f t="shared" si="58"/>
        <v>0</v>
      </c>
      <c r="CU63" s="92">
        <f t="shared" si="101"/>
        <v>0</v>
      </c>
      <c r="CV63" s="103">
        <f t="shared" si="101"/>
        <v>0</v>
      </c>
      <c r="CW63" s="104" t="s">
        <v>147</v>
      </c>
      <c r="CX63" s="105">
        <v>6</v>
      </c>
      <c r="CY63" s="106">
        <f t="shared" si="60"/>
        <v>6960</v>
      </c>
      <c r="CZ63" s="106">
        <f t="shared" si="61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7"/>
        <v>0</v>
      </c>
      <c r="DL63" s="108">
        <f t="shared" si="87"/>
        <v>0</v>
      </c>
      <c r="DM63" s="111">
        <f t="shared" si="87"/>
        <v>0</v>
      </c>
      <c r="DN63" s="76">
        <f t="shared" si="90"/>
        <v>0</v>
      </c>
      <c r="DO63" s="76">
        <f t="shared" si="90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09"/>
        <v>0</v>
      </c>
      <c r="DX63" s="81">
        <f t="shared" si="29"/>
        <v>0</v>
      </c>
      <c r="DY63" s="80">
        <f t="shared" si="63"/>
        <v>0</v>
      </c>
      <c r="DZ63" s="82">
        <f t="shared" si="64"/>
        <v>0</v>
      </c>
      <c r="EA63" s="82">
        <f t="shared" si="65"/>
        <v>0</v>
      </c>
      <c r="EB63" s="82">
        <f t="shared" si="66"/>
        <v>0</v>
      </c>
      <c r="EC63" s="82">
        <f t="shared" si="107"/>
        <v>0</v>
      </c>
      <c r="EF63" s="83">
        <f t="shared" si="106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1"/>
        <v>IBC3604-5x3-H9B14</v>
      </c>
      <c r="H64" s="46" t="str">
        <f t="shared" si="32"/>
        <v>C3604IB50DH9</v>
      </c>
      <c r="I64" s="46" t="str">
        <f t="shared" si="33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4"/>
        <v>22</v>
      </c>
      <c r="T64" s="51">
        <v>9</v>
      </c>
      <c r="U64" s="92">
        <v>21</v>
      </c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7986</v>
      </c>
      <c r="AC64" s="93">
        <f t="shared" si="11"/>
        <v>0</v>
      </c>
      <c r="AD64" s="93">
        <f t="shared" si="12"/>
        <v>0</v>
      </c>
      <c r="AE64" s="93">
        <f t="shared" si="35"/>
        <v>7986</v>
      </c>
      <c r="AF64" s="54">
        <f t="shared" si="36"/>
        <v>7986</v>
      </c>
      <c r="AG64" s="94">
        <f t="shared" si="67"/>
        <v>9</v>
      </c>
      <c r="AH64" s="56">
        <f t="shared" si="13"/>
        <v>0</v>
      </c>
      <c r="AI64" s="93">
        <v>9</v>
      </c>
      <c r="AJ64" s="93">
        <f t="shared" si="68"/>
        <v>0</v>
      </c>
      <c r="AK64" s="95">
        <f t="shared" si="37"/>
        <v>1</v>
      </c>
      <c r="AL64" s="58">
        <f t="shared" si="38"/>
        <v>9</v>
      </c>
      <c r="AM64" s="55">
        <f t="shared" si="69"/>
        <v>21</v>
      </c>
      <c r="AN64" s="93"/>
      <c r="AO64" s="96"/>
      <c r="AP64" s="96"/>
      <c r="AQ64" s="96"/>
      <c r="AR64" s="96"/>
      <c r="AS64" s="96"/>
      <c r="AT64" s="96">
        <f t="shared" si="108"/>
        <v>1981</v>
      </c>
      <c r="AU64" s="96">
        <f t="shared" si="39"/>
        <v>0</v>
      </c>
      <c r="AV64" s="96">
        <f t="shared" si="39"/>
        <v>0</v>
      </c>
      <c r="AW64" s="96">
        <f t="shared" si="40"/>
        <v>1981</v>
      </c>
      <c r="AX64" s="96">
        <f t="shared" si="41"/>
        <v>4306</v>
      </c>
      <c r="AY64" s="94">
        <f t="shared" si="70"/>
        <v>18.639999999999873</v>
      </c>
      <c r="AZ64" s="94">
        <f t="shared" si="42"/>
        <v>40.521739130434504</v>
      </c>
      <c r="BA64" s="94">
        <f t="shared" si="43"/>
        <v>21</v>
      </c>
      <c r="BB64" s="97">
        <f t="shared" si="44"/>
        <v>0</v>
      </c>
      <c r="BC64" s="93">
        <v>8</v>
      </c>
      <c r="BD64" s="93">
        <f t="shared" si="45"/>
        <v>0</v>
      </c>
      <c r="BE64" s="95">
        <f t="shared" si="46"/>
        <v>1</v>
      </c>
      <c r="BF64" s="58">
        <f t="shared" si="47"/>
        <v>8</v>
      </c>
      <c r="BG64" s="94">
        <f t="shared" si="48"/>
        <v>13</v>
      </c>
      <c r="BH64" s="89"/>
      <c r="BI64" s="89"/>
      <c r="BJ64" s="89"/>
      <c r="BK64" s="89"/>
      <c r="BL64" s="89"/>
      <c r="BM64" s="92"/>
      <c r="BN64" s="92">
        <f>$CN64</f>
        <v>1693</v>
      </c>
      <c r="BO64" s="92">
        <f t="shared" si="71"/>
        <v>0</v>
      </c>
      <c r="BP64" s="92">
        <f t="shared" si="71"/>
        <v>0</v>
      </c>
      <c r="BQ64" s="96">
        <f t="shared" si="49"/>
        <v>1693</v>
      </c>
      <c r="BR64" s="96">
        <f t="shared" si="50"/>
        <v>3680</v>
      </c>
      <c r="BS64" s="96">
        <f t="shared" si="72"/>
        <v>-51.320000000000164</v>
      </c>
      <c r="BT64" s="96">
        <f t="shared" si="51"/>
        <v>-111.5652173913047</v>
      </c>
      <c r="BU64" s="92">
        <f t="shared" si="16"/>
        <v>7986</v>
      </c>
      <c r="BV64" s="98">
        <f t="shared" si="17"/>
        <v>17</v>
      </c>
      <c r="BW64" s="92">
        <f t="shared" si="18"/>
        <v>-71.043478260870188</v>
      </c>
      <c r="BX64" s="98">
        <f t="shared" si="52"/>
        <v>8.5</v>
      </c>
      <c r="BY64" s="61">
        <f>IFERROR(BF64+AL64,0)</f>
        <v>17</v>
      </c>
      <c r="BZ64" s="62">
        <f t="shared" si="53"/>
        <v>17</v>
      </c>
      <c r="CA64" s="98">
        <f t="shared" si="54"/>
        <v>3.6739999999999999</v>
      </c>
      <c r="CB64" s="92">
        <f t="shared" si="97"/>
        <v>7986</v>
      </c>
      <c r="CC64" s="92">
        <f t="shared" si="97"/>
        <v>-32.680000000000291</v>
      </c>
      <c r="CD64" s="92">
        <f t="shared" si="97"/>
        <v>-71.043478260870188</v>
      </c>
      <c r="CE64" s="99"/>
      <c r="CF64" s="99"/>
      <c r="CG64" s="51">
        <f t="shared" si="55"/>
        <v>4.8260000000000005</v>
      </c>
      <c r="CH64" s="62">
        <f t="shared" si="56"/>
        <v>4.8260000000000005</v>
      </c>
      <c r="CI64" s="89"/>
      <c r="CJ64" s="89">
        <v>1981</v>
      </c>
      <c r="CK64" s="89"/>
      <c r="CL64" s="96"/>
      <c r="CM64" s="89"/>
      <c r="CN64" s="89">
        <v>1693</v>
      </c>
      <c r="CO64" s="92"/>
      <c r="CP64" s="101"/>
      <c r="CQ64" s="102">
        <f t="shared" si="100"/>
        <v>4306</v>
      </c>
      <c r="CR64" s="102">
        <f t="shared" si="100"/>
        <v>0</v>
      </c>
      <c r="CS64" s="102">
        <f t="shared" si="100"/>
        <v>0</v>
      </c>
      <c r="CT64" s="92">
        <f t="shared" si="58"/>
        <v>3680</v>
      </c>
      <c r="CU64" s="92">
        <f t="shared" si="101"/>
        <v>0</v>
      </c>
      <c r="CV64" s="103">
        <f t="shared" si="101"/>
        <v>0</v>
      </c>
      <c r="CW64" s="104" t="s">
        <v>147</v>
      </c>
      <c r="CX64" s="105">
        <v>8</v>
      </c>
      <c r="CY64" s="106">
        <f t="shared" si="60"/>
        <v>5130</v>
      </c>
      <c r="CZ64" s="106">
        <f t="shared" si="61"/>
        <v>32.400000000000006</v>
      </c>
      <c r="DA64" s="106"/>
      <c r="DB64" s="106"/>
      <c r="DC64" s="105"/>
      <c r="DD64" s="107"/>
      <c r="DE64" s="92">
        <f t="shared" si="21"/>
        <v>4306</v>
      </c>
      <c r="DF64" s="108">
        <f t="shared" si="22"/>
        <v>9</v>
      </c>
      <c r="DG64" s="112">
        <f t="shared" si="23"/>
        <v>40.521739130434504</v>
      </c>
      <c r="DH64" s="110">
        <f t="shared" si="24"/>
        <v>3680</v>
      </c>
      <c r="DI64" s="108">
        <f t="shared" si="25"/>
        <v>8</v>
      </c>
      <c r="DJ64" s="112">
        <f t="shared" si="26"/>
        <v>-111.5652173913047</v>
      </c>
      <c r="DK64" s="110">
        <f t="shared" si="87"/>
        <v>7986</v>
      </c>
      <c r="DL64" s="108">
        <f t="shared" si="87"/>
        <v>17</v>
      </c>
      <c r="DM64" s="111">
        <f t="shared" si="87"/>
        <v>-71.043478260870188</v>
      </c>
      <c r="DN64" s="76">
        <f t="shared" si="90"/>
        <v>9</v>
      </c>
      <c r="DO64" s="76">
        <f t="shared" si="90"/>
        <v>21</v>
      </c>
      <c r="DP64" s="112"/>
      <c r="DQ64" s="112"/>
      <c r="DR64" s="113" t="s">
        <v>302</v>
      </c>
      <c r="DS64" s="112"/>
      <c r="DT64" s="112"/>
      <c r="DU64" s="111"/>
      <c r="DV64" s="114"/>
      <c r="DW64" s="80">
        <f t="shared" si="109"/>
        <v>17</v>
      </c>
      <c r="DX64" s="81">
        <f t="shared" si="29"/>
        <v>7931.95652173913</v>
      </c>
      <c r="DY64" s="80">
        <f t="shared" si="63"/>
        <v>7986</v>
      </c>
      <c r="DZ64" s="82">
        <f t="shared" si="64"/>
        <v>0</v>
      </c>
      <c r="EA64" s="82">
        <f t="shared" si="65"/>
        <v>3.6735600000000002</v>
      </c>
      <c r="EB64" s="82">
        <f t="shared" si="66"/>
        <v>4.8264399999999998</v>
      </c>
      <c r="EC64" s="82">
        <f t="shared" si="107"/>
        <v>4.8260000000000005</v>
      </c>
      <c r="EF64" s="83">
        <f t="shared" si="106"/>
        <v>-71.043478260870188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1"/>
        <v>TVA2011-T3-6x3-H9B14</v>
      </c>
      <c r="H65" s="46" t="str">
        <f t="shared" si="32"/>
        <v>A2011-T3TV60DH9</v>
      </c>
      <c r="I65" s="46" t="str">
        <f t="shared" si="33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4"/>
        <v>#DIV/0!</v>
      </c>
      <c r="T65" s="51">
        <v>3</v>
      </c>
      <c r="U65" s="92">
        <v>17</v>
      </c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2596</v>
      </c>
      <c r="AC65" s="93">
        <f t="shared" si="11"/>
        <v>0</v>
      </c>
      <c r="AD65" s="93">
        <f t="shared" si="12"/>
        <v>0</v>
      </c>
      <c r="AE65" s="93">
        <f t="shared" si="35"/>
        <v>2596</v>
      </c>
      <c r="AF65" s="54">
        <f t="shared" si="36"/>
        <v>2596</v>
      </c>
      <c r="AG65" s="94">
        <f t="shared" si="67"/>
        <v>3</v>
      </c>
      <c r="AH65" s="56">
        <f t="shared" si="13"/>
        <v>0</v>
      </c>
      <c r="AI65" s="93">
        <v>5</v>
      </c>
      <c r="AJ65" s="93">
        <f t="shared" si="68"/>
        <v>53</v>
      </c>
      <c r="AK65" s="95">
        <f t="shared" si="37"/>
        <v>0.43505027703673299</v>
      </c>
      <c r="AL65" s="58">
        <f t="shared" si="38"/>
        <v>4.4399999999999995</v>
      </c>
      <c r="AM65" s="55">
        <f t="shared" si="69"/>
        <v>15.56</v>
      </c>
      <c r="AN65" s="93"/>
      <c r="AO65" s="96"/>
      <c r="AP65" s="96"/>
      <c r="AQ65" s="96"/>
      <c r="AR65" s="96"/>
      <c r="AS65" s="96"/>
      <c r="AT65" s="96">
        <f>$CJ65</f>
        <v>550</v>
      </c>
      <c r="AU65" s="96">
        <f t="shared" si="39"/>
        <v>0</v>
      </c>
      <c r="AV65" s="96">
        <f t="shared" si="39"/>
        <v>0</v>
      </c>
      <c r="AW65" s="96">
        <f t="shared" si="40"/>
        <v>550</v>
      </c>
      <c r="AX65" s="96">
        <f t="shared" si="41"/>
        <v>2000</v>
      </c>
      <c r="AY65" s="94">
        <f t="shared" si="70"/>
        <v>9.09699999999998</v>
      </c>
      <c r="AZ65" s="94">
        <f t="shared" si="42"/>
        <v>33.079999999999927</v>
      </c>
      <c r="BA65" s="94">
        <f t="shared" si="43"/>
        <v>15.56</v>
      </c>
      <c r="BB65" s="97">
        <f t="shared" si="44"/>
        <v>0.56000000000000005</v>
      </c>
      <c r="BC65" s="93">
        <v>1</v>
      </c>
      <c r="BD65" s="93">
        <f t="shared" si="45"/>
        <v>0</v>
      </c>
      <c r="BE65" s="95">
        <f t="shared" si="46"/>
        <v>1</v>
      </c>
      <c r="BF65" s="58">
        <f t="shared" si="47"/>
        <v>1.56</v>
      </c>
      <c r="BG65" s="94">
        <f t="shared" si="48"/>
        <v>14</v>
      </c>
      <c r="BH65" s="89"/>
      <c r="BI65" s="89"/>
      <c r="BJ65" s="92"/>
      <c r="BK65" s="89"/>
      <c r="BL65" s="89"/>
      <c r="BM65" s="89"/>
      <c r="BN65" s="92">
        <f>$CN65</f>
        <v>164</v>
      </c>
      <c r="BO65" s="92">
        <f t="shared" si="71"/>
        <v>0</v>
      </c>
      <c r="BP65" s="92">
        <f t="shared" si="71"/>
        <v>0</v>
      </c>
      <c r="BQ65" s="96">
        <f t="shared" si="49"/>
        <v>164</v>
      </c>
      <c r="BR65" s="96">
        <f t="shared" si="50"/>
        <v>596</v>
      </c>
      <c r="BS65" s="96">
        <f t="shared" si="72"/>
        <v>-26.047000000000025</v>
      </c>
      <c r="BT65" s="96">
        <f t="shared" si="51"/>
        <v>-94.716363636363724</v>
      </c>
      <c r="BU65" s="92">
        <f t="shared" si="16"/>
        <v>2596</v>
      </c>
      <c r="BV65" s="98">
        <f t="shared" si="17"/>
        <v>6</v>
      </c>
      <c r="BW65" s="92">
        <f t="shared" si="18"/>
        <v>-61.636363636363797</v>
      </c>
      <c r="BX65" s="98">
        <f t="shared" si="52"/>
        <v>1.44</v>
      </c>
      <c r="BY65" s="61">
        <f t="shared" si="74"/>
        <v>6</v>
      </c>
      <c r="BZ65" s="62">
        <f t="shared" si="53"/>
        <v>6</v>
      </c>
      <c r="CA65" s="98">
        <f t="shared" si="54"/>
        <v>0.71399999999999997</v>
      </c>
      <c r="CB65" s="92">
        <f t="shared" si="97"/>
        <v>2596</v>
      </c>
      <c r="CC65" s="92">
        <f t="shared" si="97"/>
        <v>-16.950000000000045</v>
      </c>
      <c r="CD65" s="92">
        <f t="shared" si="97"/>
        <v>-61.636363636363797</v>
      </c>
      <c r="CE65" s="99"/>
      <c r="CF65" s="99"/>
      <c r="CG65" s="51">
        <f t="shared" si="55"/>
        <v>0.72599999999999998</v>
      </c>
      <c r="CH65" s="62">
        <f t="shared" si="56"/>
        <v>0.72599999999999998</v>
      </c>
      <c r="CI65" s="89">
        <v>53</v>
      </c>
      <c r="CJ65" s="89">
        <v>550</v>
      </c>
      <c r="CK65" s="89"/>
      <c r="CL65" s="96"/>
      <c r="CM65" s="89"/>
      <c r="CN65" s="89">
        <v>164</v>
      </c>
      <c r="CO65" s="92"/>
      <c r="CP65" s="101"/>
      <c r="CQ65" s="102">
        <f t="shared" si="100"/>
        <v>2000</v>
      </c>
      <c r="CR65" s="102">
        <f t="shared" si="100"/>
        <v>0</v>
      </c>
      <c r="CS65" s="102">
        <f t="shared" si="100"/>
        <v>0</v>
      </c>
      <c r="CT65" s="92">
        <f t="shared" si="58"/>
        <v>596</v>
      </c>
      <c r="CU65" s="92">
        <f t="shared" si="101"/>
        <v>0</v>
      </c>
      <c r="CV65" s="103">
        <f t="shared" si="101"/>
        <v>0</v>
      </c>
      <c r="CW65" s="104" t="s">
        <v>147</v>
      </c>
      <c r="CX65" s="105"/>
      <c r="CY65" s="106" t="e">
        <f t="shared" si="60"/>
        <v>#DIV/0!</v>
      </c>
      <c r="CZ65" s="106">
        <f t="shared" si="61"/>
        <v>0</v>
      </c>
      <c r="DA65" s="106"/>
      <c r="DB65" s="106"/>
      <c r="DC65" s="105"/>
      <c r="DD65" s="107"/>
      <c r="DE65" s="92">
        <f t="shared" si="21"/>
        <v>2000</v>
      </c>
      <c r="DF65" s="108">
        <f t="shared" si="22"/>
        <v>4.4399999999999995</v>
      </c>
      <c r="DG65" s="115">
        <f t="shared" si="23"/>
        <v>33.079999999999927</v>
      </c>
      <c r="DH65" s="110">
        <f t="shared" si="24"/>
        <v>596</v>
      </c>
      <c r="DI65" s="108">
        <f t="shared" si="25"/>
        <v>1.56</v>
      </c>
      <c r="DJ65" s="115">
        <f t="shared" si="26"/>
        <v>-94.716363636363724</v>
      </c>
      <c r="DK65" s="110">
        <f t="shared" si="87"/>
        <v>2596</v>
      </c>
      <c r="DL65" s="108">
        <f t="shared" si="87"/>
        <v>6</v>
      </c>
      <c r="DM65" s="111">
        <f t="shared" si="87"/>
        <v>-61.636363636363797</v>
      </c>
      <c r="DN65" s="76">
        <f t="shared" si="90"/>
        <v>3</v>
      </c>
      <c r="DO65" s="76">
        <f t="shared" si="90"/>
        <v>17</v>
      </c>
      <c r="DP65" s="112"/>
      <c r="DQ65" s="112"/>
      <c r="DR65" s="113" t="s">
        <v>306</v>
      </c>
      <c r="DS65" s="112"/>
      <c r="DT65" s="112"/>
      <c r="DU65" s="111"/>
      <c r="DV65" s="114"/>
      <c r="DW65" s="80">
        <f t="shared" si="109"/>
        <v>6</v>
      </c>
      <c r="DX65" s="81">
        <f t="shared" si="29"/>
        <v>2540.363636363636</v>
      </c>
      <c r="DY65" s="80">
        <f t="shared" si="63"/>
        <v>2596</v>
      </c>
      <c r="DZ65" s="82">
        <f t="shared" si="64"/>
        <v>0</v>
      </c>
      <c r="EA65" s="82">
        <f t="shared" si="65"/>
        <v>0.71390000000000009</v>
      </c>
      <c r="EB65" s="82">
        <f t="shared" si="66"/>
        <v>0.72609999999999986</v>
      </c>
      <c r="EC65" s="82">
        <f t="shared" si="107"/>
        <v>0.72599999999999998</v>
      </c>
      <c r="EF65" s="83">
        <f t="shared" si="106"/>
        <v>-61.636363636363797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1"/>
        <v>GAA5052-5.7x3-H9A14</v>
      </c>
      <c r="H66" s="46" t="str">
        <f t="shared" si="32"/>
        <v>A5052GA5.70DH9</v>
      </c>
      <c r="I66" s="46" t="str">
        <f t="shared" si="33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4"/>
        <v>52</v>
      </c>
      <c r="T66" s="51">
        <v>12</v>
      </c>
      <c r="U66" s="92">
        <v>13</v>
      </c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3146</v>
      </c>
      <c r="AC66" s="93">
        <f t="shared" si="11"/>
        <v>0</v>
      </c>
      <c r="AD66" s="93">
        <f t="shared" si="12"/>
        <v>0</v>
      </c>
      <c r="AE66" s="93">
        <f t="shared" si="35"/>
        <v>3146</v>
      </c>
      <c r="AF66" s="54">
        <f t="shared" si="36"/>
        <v>3146</v>
      </c>
      <c r="AG66" s="94">
        <f t="shared" si="67"/>
        <v>12</v>
      </c>
      <c r="AH66" s="56">
        <f t="shared" si="13"/>
        <v>0</v>
      </c>
      <c r="AI66" s="93">
        <v>6</v>
      </c>
      <c r="AJ66" s="93">
        <f t="shared" si="68"/>
        <v>0</v>
      </c>
      <c r="AK66" s="95">
        <f t="shared" si="37"/>
        <v>1</v>
      </c>
      <c r="AL66" s="58">
        <f t="shared" si="38"/>
        <v>6</v>
      </c>
      <c r="AM66" s="55">
        <f t="shared" si="69"/>
        <v>19</v>
      </c>
      <c r="AN66" s="93"/>
      <c r="AO66" s="96"/>
      <c r="AP66" s="96"/>
      <c r="AQ66" s="96"/>
      <c r="AR66" s="96"/>
      <c r="AS66" s="96"/>
      <c r="AT66" s="96">
        <f>$CJ66</f>
        <v>219</v>
      </c>
      <c r="AU66" s="96">
        <f t="shared" si="39"/>
        <v>0</v>
      </c>
      <c r="AV66" s="96">
        <f t="shared" si="39"/>
        <v>0</v>
      </c>
      <c r="AW66" s="96">
        <f t="shared" si="40"/>
        <v>219</v>
      </c>
      <c r="AX66" s="96">
        <f t="shared" si="41"/>
        <v>1460</v>
      </c>
      <c r="AY66" s="94">
        <f t="shared" si="70"/>
        <v>3</v>
      </c>
      <c r="AZ66" s="94">
        <f t="shared" si="42"/>
        <v>20</v>
      </c>
      <c r="BA66" s="94">
        <f t="shared" si="43"/>
        <v>19</v>
      </c>
      <c r="BB66" s="97">
        <f t="shared" si="44"/>
        <v>0</v>
      </c>
      <c r="BC66" s="93">
        <v>7</v>
      </c>
      <c r="BD66" s="93">
        <f t="shared" si="45"/>
        <v>0</v>
      </c>
      <c r="BE66" s="95">
        <f t="shared" si="46"/>
        <v>1</v>
      </c>
      <c r="BF66" s="58">
        <f t="shared" si="47"/>
        <v>7</v>
      </c>
      <c r="BG66" s="94">
        <f t="shared" si="48"/>
        <v>12</v>
      </c>
      <c r="BH66" s="89"/>
      <c r="BI66" s="89"/>
      <c r="BJ66" s="89"/>
      <c r="BK66" s="92"/>
      <c r="BL66" s="89"/>
      <c r="BM66" s="92"/>
      <c r="BN66" s="92">
        <f>$CN66</f>
        <v>253</v>
      </c>
      <c r="BO66" s="92">
        <f t="shared" si="71"/>
        <v>0</v>
      </c>
      <c r="BP66" s="92">
        <f t="shared" si="71"/>
        <v>0</v>
      </c>
      <c r="BQ66" s="96">
        <f t="shared" si="49"/>
        <v>253</v>
      </c>
      <c r="BR66" s="96">
        <f t="shared" si="50"/>
        <v>1686</v>
      </c>
      <c r="BS66" s="96">
        <f t="shared" si="72"/>
        <v>1</v>
      </c>
      <c r="BT66" s="96">
        <f t="shared" si="51"/>
        <v>6.666666666666667</v>
      </c>
      <c r="BU66" s="92">
        <f t="shared" si="16"/>
        <v>3146</v>
      </c>
      <c r="BV66" s="98">
        <f t="shared" si="17"/>
        <v>13</v>
      </c>
      <c r="BW66" s="92">
        <f t="shared" si="18"/>
        <v>26.666666666666668</v>
      </c>
      <c r="BX66" s="98">
        <f t="shared" si="52"/>
        <v>2.6519999999999997</v>
      </c>
      <c r="BY66" s="61">
        <f t="shared" si="74"/>
        <v>13</v>
      </c>
      <c r="BZ66" s="62">
        <f t="shared" si="53"/>
        <v>13</v>
      </c>
      <c r="CA66" s="98">
        <f t="shared" si="54"/>
        <v>0.47199999999999998</v>
      </c>
      <c r="CB66" s="92">
        <f t="shared" si="97"/>
        <v>3146</v>
      </c>
      <c r="CC66" s="92">
        <f t="shared" si="97"/>
        <v>4</v>
      </c>
      <c r="CD66" s="92">
        <f t="shared" si="97"/>
        <v>26.666666666666668</v>
      </c>
      <c r="CE66" s="99" t="s">
        <v>2</v>
      </c>
      <c r="CF66" s="99"/>
      <c r="CG66" s="51">
        <f t="shared" si="55"/>
        <v>2.1799999999999997</v>
      </c>
      <c r="CH66" s="62">
        <f t="shared" si="56"/>
        <v>2.1799999999999997</v>
      </c>
      <c r="CI66" s="89"/>
      <c r="CJ66" s="89">
        <v>219</v>
      </c>
      <c r="CK66" s="89"/>
      <c r="CL66" s="96"/>
      <c r="CM66" s="89"/>
      <c r="CN66" s="89">
        <v>253</v>
      </c>
      <c r="CO66" s="92"/>
      <c r="CP66" s="101"/>
      <c r="CQ66" s="102">
        <f t="shared" si="100"/>
        <v>1460</v>
      </c>
      <c r="CR66" s="102">
        <f t="shared" si="100"/>
        <v>0</v>
      </c>
      <c r="CS66" s="102">
        <f t="shared" si="100"/>
        <v>0</v>
      </c>
      <c r="CT66" s="92">
        <f t="shared" si="58"/>
        <v>1686</v>
      </c>
      <c r="CU66" s="92">
        <f t="shared" si="101"/>
        <v>0</v>
      </c>
      <c r="CV66" s="103">
        <f t="shared" si="101"/>
        <v>0</v>
      </c>
      <c r="CW66" s="104" t="s">
        <v>147</v>
      </c>
      <c r="CX66" s="105">
        <v>6</v>
      </c>
      <c r="CY66" s="106">
        <f t="shared" si="60"/>
        <v>6300</v>
      </c>
      <c r="CZ66" s="106">
        <f t="shared" si="61"/>
        <v>24.3</v>
      </c>
      <c r="DA66" s="106"/>
      <c r="DB66" s="106"/>
      <c r="DC66" s="105"/>
      <c r="DD66" s="107"/>
      <c r="DE66" s="92">
        <f t="shared" si="21"/>
        <v>1460</v>
      </c>
      <c r="DF66" s="108">
        <f t="shared" si="22"/>
        <v>6</v>
      </c>
      <c r="DG66" s="115">
        <f t="shared" si="23"/>
        <v>20</v>
      </c>
      <c r="DH66" s="110">
        <f t="shared" si="24"/>
        <v>1686</v>
      </c>
      <c r="DI66" s="108">
        <f t="shared" si="25"/>
        <v>7</v>
      </c>
      <c r="DJ66" s="112">
        <f t="shared" si="26"/>
        <v>6.666666666666667</v>
      </c>
      <c r="DK66" s="110">
        <f t="shared" si="87"/>
        <v>3146</v>
      </c>
      <c r="DL66" s="108">
        <f t="shared" si="87"/>
        <v>13</v>
      </c>
      <c r="DM66" s="111">
        <f t="shared" si="87"/>
        <v>26.666666666666668</v>
      </c>
      <c r="DN66" s="76">
        <f t="shared" si="90"/>
        <v>12</v>
      </c>
      <c r="DO66" s="76">
        <f t="shared" si="90"/>
        <v>13</v>
      </c>
      <c r="DP66" s="112"/>
      <c r="DQ66" s="112"/>
      <c r="DR66" s="113" t="s">
        <v>308</v>
      </c>
      <c r="DS66" s="112"/>
      <c r="DT66" s="112"/>
      <c r="DU66" s="111"/>
      <c r="DV66" s="114"/>
      <c r="DW66" s="80">
        <f t="shared" si="62"/>
        <v>3159</v>
      </c>
      <c r="DX66" s="81">
        <f t="shared" si="29"/>
        <v>3185.6666666666665</v>
      </c>
      <c r="DY66" s="80">
        <f t="shared" si="63"/>
        <v>3146</v>
      </c>
      <c r="DZ66" s="82">
        <f t="shared" si="64"/>
        <v>0</v>
      </c>
      <c r="EA66" s="82">
        <f t="shared" si="65"/>
        <v>0.47189999999999999</v>
      </c>
      <c r="EB66" s="82">
        <f t="shared" si="66"/>
        <v>2.1800999999999995</v>
      </c>
      <c r="EC66" s="82">
        <f t="shared" si="76"/>
        <v>2.1800999999999995</v>
      </c>
      <c r="EF66" s="83">
        <f t="shared" si="106"/>
        <v>26.666666666666668</v>
      </c>
    </row>
    <row r="67" spans="1:136" ht="14.1" customHeight="1">
      <c r="A67" s="84">
        <v>60</v>
      </c>
      <c r="B67" s="147" t="s">
        <v>309</v>
      </c>
      <c r="C67" s="148"/>
      <c r="D67" s="172" t="s">
        <v>310</v>
      </c>
      <c r="E67" s="149">
        <v>175</v>
      </c>
      <c r="F67" s="150" t="s">
        <v>147</v>
      </c>
      <c r="G67" s="45" t="str">
        <f t="shared" si="31"/>
        <v>IBC3604-H7x3-H11C14</v>
      </c>
      <c r="H67" s="46" t="str">
        <f t="shared" si="32"/>
        <v>C3604IB70HH11</v>
      </c>
      <c r="I67" s="46" t="str">
        <f t="shared" si="33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4"/>
        <v>30</v>
      </c>
      <c r="T67" s="51">
        <v>0</v>
      </c>
      <c r="U67" s="146"/>
      <c r="V67" s="100">
        <v>2.44</v>
      </c>
      <c r="W67" s="151">
        <f t="shared" si="5"/>
        <v>0</v>
      </c>
      <c r="X67" s="151">
        <f t="shared" si="6"/>
        <v>0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5"/>
        <v>0</v>
      </c>
      <c r="AF67" s="54">
        <f t="shared" si="36"/>
        <v>0</v>
      </c>
      <c r="AG67" s="94">
        <f t="shared" si="67"/>
        <v>0</v>
      </c>
      <c r="AH67" s="56">
        <f t="shared" si="13"/>
        <v>0</v>
      </c>
      <c r="AI67" s="151"/>
      <c r="AJ67" s="93">
        <f t="shared" si="68"/>
        <v>0</v>
      </c>
      <c r="AK67" s="95">
        <f t="shared" si="37"/>
        <v>1</v>
      </c>
      <c r="AL67" s="58">
        <f t="shared" si="38"/>
        <v>0</v>
      </c>
      <c r="AM67" s="55">
        <f t="shared" si="69"/>
        <v>0</v>
      </c>
      <c r="AN67" s="151"/>
      <c r="AO67" s="145"/>
      <c r="AP67" s="145">
        <f>$CJ67</f>
        <v>0</v>
      </c>
      <c r="AQ67" s="145"/>
      <c r="AR67" s="145"/>
      <c r="AS67" s="145"/>
      <c r="AT67" s="145"/>
      <c r="AU67" s="145">
        <f t="shared" si="39"/>
        <v>0</v>
      </c>
      <c r="AV67" s="145">
        <f t="shared" si="39"/>
        <v>0</v>
      </c>
      <c r="AW67" s="145">
        <f t="shared" si="40"/>
        <v>0</v>
      </c>
      <c r="AX67" s="145">
        <f t="shared" si="41"/>
        <v>0</v>
      </c>
      <c r="AY67" s="94">
        <f t="shared" si="70"/>
        <v>0</v>
      </c>
      <c r="AZ67" s="94">
        <f t="shared" si="42"/>
        <v>0</v>
      </c>
      <c r="BA67" s="94">
        <f t="shared" si="43"/>
        <v>0</v>
      </c>
      <c r="BB67" s="97">
        <f t="shared" si="44"/>
        <v>0</v>
      </c>
      <c r="BC67" s="151"/>
      <c r="BD67" s="93">
        <f t="shared" si="45"/>
        <v>0</v>
      </c>
      <c r="BE67" s="152">
        <f t="shared" si="46"/>
        <v>1</v>
      </c>
      <c r="BF67" s="58">
        <f t="shared" si="47"/>
        <v>0</v>
      </c>
      <c r="BG67" s="94">
        <f t="shared" si="48"/>
        <v>0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1"/>
        <v>0</v>
      </c>
      <c r="BP67" s="146">
        <f t="shared" si="71"/>
        <v>0</v>
      </c>
      <c r="BQ67" s="145">
        <f t="shared" si="49"/>
        <v>0</v>
      </c>
      <c r="BR67" s="145">
        <f t="shared" si="50"/>
        <v>0</v>
      </c>
      <c r="BS67" s="96">
        <f t="shared" si="72"/>
        <v>0</v>
      </c>
      <c r="BT67" s="145">
        <f t="shared" si="51"/>
        <v>0</v>
      </c>
      <c r="BU67" s="146">
        <f t="shared" si="16"/>
        <v>0</v>
      </c>
      <c r="BV67" s="153">
        <f t="shared" si="17"/>
        <v>0</v>
      </c>
      <c r="BW67" s="146">
        <f t="shared" si="18"/>
        <v>0</v>
      </c>
      <c r="BX67" s="153">
        <f t="shared" si="52"/>
        <v>0</v>
      </c>
      <c r="BY67" s="61">
        <f t="shared" si="74"/>
        <v>0</v>
      </c>
      <c r="BZ67" s="62">
        <f t="shared" si="53"/>
        <v>0</v>
      </c>
      <c r="CA67" s="153">
        <f t="shared" si="54"/>
        <v>0</v>
      </c>
      <c r="CB67" s="146">
        <f t="shared" si="97"/>
        <v>0</v>
      </c>
      <c r="CC67" s="146">
        <f t="shared" si="97"/>
        <v>0</v>
      </c>
      <c r="CD67" s="146">
        <f t="shared" si="97"/>
        <v>0</v>
      </c>
      <c r="CE67" s="150"/>
      <c r="CF67" s="150"/>
      <c r="CG67" s="51">
        <f t="shared" si="55"/>
        <v>0</v>
      </c>
      <c r="CH67" s="62">
        <f t="shared" si="56"/>
        <v>0</v>
      </c>
      <c r="CI67" s="150"/>
      <c r="CJ67" s="150"/>
      <c r="CK67" s="150"/>
      <c r="CL67" s="145"/>
      <c r="CM67" s="150"/>
      <c r="CN67" s="150"/>
      <c r="CO67" s="146"/>
      <c r="CP67" s="154"/>
      <c r="CQ67" s="102">
        <f t="shared" si="100"/>
        <v>0</v>
      </c>
      <c r="CR67" s="102">
        <f t="shared" si="100"/>
        <v>0</v>
      </c>
      <c r="CS67" s="102">
        <f t="shared" si="100"/>
        <v>0</v>
      </c>
      <c r="CT67" s="92">
        <f t="shared" si="58"/>
        <v>0</v>
      </c>
      <c r="CU67" s="92">
        <f t="shared" si="101"/>
        <v>0</v>
      </c>
      <c r="CV67" s="103">
        <f t="shared" si="101"/>
        <v>0</v>
      </c>
      <c r="CW67" s="155" t="s">
        <v>147</v>
      </c>
      <c r="CX67" s="156">
        <v>15</v>
      </c>
      <c r="CY67" s="157">
        <f t="shared" si="60"/>
        <v>2676</v>
      </c>
      <c r="CZ67" s="157">
        <f t="shared" si="61"/>
        <v>60.750000000000007</v>
      </c>
      <c r="DA67" s="157"/>
      <c r="DB67" s="157"/>
      <c r="DC67" s="156"/>
      <c r="DD67" s="158"/>
      <c r="DE67" s="92">
        <f t="shared" si="21"/>
        <v>0</v>
      </c>
      <c r="DF67" s="108">
        <f t="shared" si="22"/>
        <v>0</v>
      </c>
      <c r="DG67" s="115">
        <f t="shared" si="23"/>
        <v>0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7"/>
        <v>0</v>
      </c>
      <c r="DL67" s="108">
        <f t="shared" si="87"/>
        <v>0</v>
      </c>
      <c r="DM67" s="111">
        <f t="shared" si="87"/>
        <v>0</v>
      </c>
      <c r="DN67" s="76">
        <f t="shared" si="90"/>
        <v>0</v>
      </c>
      <c r="DO67" s="76">
        <f t="shared" si="90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10">IFERROR(AL67+BF67,"")</f>
        <v>0</v>
      </c>
      <c r="DX67" s="159">
        <f t="shared" si="29"/>
        <v>0</v>
      </c>
      <c r="DY67" s="80">
        <f t="shared" si="63"/>
        <v>0</v>
      </c>
      <c r="DZ67" s="82">
        <f t="shared" si="64"/>
        <v>0</v>
      </c>
      <c r="EA67" s="82">
        <f t="shared" si="65"/>
        <v>0</v>
      </c>
      <c r="EB67" s="82">
        <f t="shared" si="66"/>
        <v>0</v>
      </c>
      <c r="EC67" s="82">
        <f>(BX67-CA67)+((AV67+BP67)/1000)</f>
        <v>0</v>
      </c>
      <c r="EF67" s="83">
        <f t="shared" si="106"/>
        <v>0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1"/>
        <v>TVA2011-T3-6.35x3-H9A14</v>
      </c>
      <c r="H68" s="46" t="str">
        <f t="shared" si="32"/>
        <v>A2011-T3TV6.350DH9</v>
      </c>
      <c r="I68" s="46" t="str">
        <f t="shared" si="33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4"/>
        <v>8</v>
      </c>
      <c r="T68" s="51">
        <v>7</v>
      </c>
      <c r="U68" s="92">
        <v>23</v>
      </c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11032</v>
      </c>
      <c r="AC68" s="93">
        <f t="shared" si="11"/>
        <v>0</v>
      </c>
      <c r="AD68" s="93">
        <f t="shared" si="12"/>
        <v>0</v>
      </c>
      <c r="AE68" s="93">
        <f t="shared" si="35"/>
        <v>11032</v>
      </c>
      <c r="AF68" s="54">
        <f t="shared" si="36"/>
        <v>11032</v>
      </c>
      <c r="AG68" s="94">
        <f t="shared" si="67"/>
        <v>7</v>
      </c>
      <c r="AH68" s="56">
        <f t="shared" si="13"/>
        <v>0</v>
      </c>
      <c r="AI68" s="93">
        <v>13</v>
      </c>
      <c r="AJ68" s="93">
        <f t="shared" si="68"/>
        <v>140</v>
      </c>
      <c r="AK68" s="95">
        <f t="shared" si="37"/>
        <v>0.8057368463459833</v>
      </c>
      <c r="AL68" s="58">
        <f t="shared" si="38"/>
        <v>12.81</v>
      </c>
      <c r="AM68" s="55">
        <f t="shared" si="69"/>
        <v>17.189999999999998</v>
      </c>
      <c r="AN68" s="93"/>
      <c r="AO68" s="96"/>
      <c r="AP68" s="96"/>
      <c r="AQ68" s="96"/>
      <c r="AR68" s="96"/>
      <c r="AS68" s="96"/>
      <c r="AT68" s="96">
        <f t="shared" ref="AT68:AT73" si="111">$CJ68</f>
        <v>2230</v>
      </c>
      <c r="AU68" s="96">
        <f t="shared" si="39"/>
        <v>0</v>
      </c>
      <c r="AV68" s="96">
        <f t="shared" si="39"/>
        <v>0</v>
      </c>
      <c r="AW68" s="96">
        <f t="shared" si="40"/>
        <v>2230</v>
      </c>
      <c r="AX68" s="96">
        <f t="shared" si="41"/>
        <v>5659</v>
      </c>
      <c r="AY68" s="94">
        <f t="shared" si="70"/>
        <v>4.2112600000000384</v>
      </c>
      <c r="AZ68" s="94">
        <f t="shared" si="42"/>
        <v>10.688477157360504</v>
      </c>
      <c r="BA68" s="94">
        <f t="shared" si="43"/>
        <v>17.189999999999998</v>
      </c>
      <c r="BB68" s="97">
        <f t="shared" si="44"/>
        <v>0.19</v>
      </c>
      <c r="BC68" s="93">
        <v>12</v>
      </c>
      <c r="BD68" s="93">
        <f t="shared" si="45"/>
        <v>0</v>
      </c>
      <c r="BE68" s="95">
        <f t="shared" si="46"/>
        <v>1</v>
      </c>
      <c r="BF68" s="58">
        <f t="shared" si="47"/>
        <v>12.19</v>
      </c>
      <c r="BG68" s="94">
        <f t="shared" si="48"/>
        <v>4.9999999999999982</v>
      </c>
      <c r="BH68" s="89"/>
      <c r="BI68" s="89"/>
      <c r="BJ68" s="92"/>
      <c r="BK68" s="89"/>
      <c r="BL68" s="89"/>
      <c r="BM68" s="89"/>
      <c r="BN68" s="92">
        <f t="shared" ref="BN68:BN73" si="112">$CN68</f>
        <v>2117</v>
      </c>
      <c r="BO68" s="92">
        <f t="shared" si="71"/>
        <v>0</v>
      </c>
      <c r="BP68" s="92">
        <f t="shared" si="71"/>
        <v>0</v>
      </c>
      <c r="BQ68" s="96">
        <f t="shared" si="49"/>
        <v>2117</v>
      </c>
      <c r="BR68" s="96">
        <f t="shared" si="50"/>
        <v>5373</v>
      </c>
      <c r="BS68" s="96">
        <f t="shared" si="72"/>
        <v>-1.0612599999999475</v>
      </c>
      <c r="BT68" s="96">
        <f t="shared" si="51"/>
        <v>-2.6935532994922524</v>
      </c>
      <c r="BU68" s="92">
        <f t="shared" si="16"/>
        <v>11032</v>
      </c>
      <c r="BV68" s="98">
        <f t="shared" si="17"/>
        <v>25</v>
      </c>
      <c r="BW68" s="92">
        <f t="shared" si="18"/>
        <v>7.9949238578682511</v>
      </c>
      <c r="BX68" s="98">
        <f t="shared" si="52"/>
        <v>6.5</v>
      </c>
      <c r="BY68" s="61">
        <f t="shared" si="74"/>
        <v>25</v>
      </c>
      <c r="BZ68" s="62">
        <f t="shared" si="53"/>
        <v>25</v>
      </c>
      <c r="CA68" s="98">
        <f t="shared" si="54"/>
        <v>4.3470000000000004</v>
      </c>
      <c r="CB68" s="92">
        <f t="shared" si="97"/>
        <v>11032</v>
      </c>
      <c r="CC68" s="92">
        <f t="shared" si="97"/>
        <v>3.1500000000000909</v>
      </c>
      <c r="CD68" s="92">
        <f t="shared" si="97"/>
        <v>7.9949238578682511</v>
      </c>
      <c r="CE68" s="99"/>
      <c r="CF68" s="99"/>
      <c r="CG68" s="51">
        <f t="shared" si="55"/>
        <v>2.1529999999999996</v>
      </c>
      <c r="CH68" s="62">
        <f t="shared" si="56"/>
        <v>2.1529999999999996</v>
      </c>
      <c r="CI68" s="89">
        <v>140</v>
      </c>
      <c r="CJ68" s="89">
        <v>2230</v>
      </c>
      <c r="CK68" s="89"/>
      <c r="CL68" s="96"/>
      <c r="CM68" s="89"/>
      <c r="CN68" s="89">
        <v>2117</v>
      </c>
      <c r="CO68" s="92"/>
      <c r="CP68" s="101"/>
      <c r="CQ68" s="102">
        <f t="shared" si="100"/>
        <v>5659</v>
      </c>
      <c r="CR68" s="102">
        <f t="shared" si="100"/>
        <v>0</v>
      </c>
      <c r="CS68" s="102">
        <f t="shared" si="100"/>
        <v>0</v>
      </c>
      <c r="CT68" s="92">
        <f t="shared" si="58"/>
        <v>5373</v>
      </c>
      <c r="CU68" s="92">
        <f t="shared" si="101"/>
        <v>0</v>
      </c>
      <c r="CV68" s="103">
        <f t="shared" si="101"/>
        <v>0</v>
      </c>
      <c r="CW68" s="104" t="s">
        <v>147</v>
      </c>
      <c r="CX68" s="105">
        <v>23.98</v>
      </c>
      <c r="CY68" s="106">
        <f t="shared" si="60"/>
        <v>1763</v>
      </c>
      <c r="CZ68" s="106">
        <f t="shared" si="61"/>
        <v>97.119</v>
      </c>
      <c r="DA68" s="106"/>
      <c r="DB68" s="106"/>
      <c r="DC68" s="105"/>
      <c r="DD68" s="107"/>
      <c r="DE68" s="92">
        <f t="shared" si="21"/>
        <v>5659</v>
      </c>
      <c r="DF68" s="108">
        <f t="shared" si="22"/>
        <v>12.81</v>
      </c>
      <c r="DG68" s="115">
        <f t="shared" si="23"/>
        <v>10.688477157360504</v>
      </c>
      <c r="DH68" s="110">
        <f t="shared" si="24"/>
        <v>5373</v>
      </c>
      <c r="DI68" s="108">
        <f t="shared" si="25"/>
        <v>12.19</v>
      </c>
      <c r="DJ68" s="115">
        <f t="shared" si="26"/>
        <v>-2.6935532994922524</v>
      </c>
      <c r="DK68" s="110">
        <f t="shared" si="87"/>
        <v>11032</v>
      </c>
      <c r="DL68" s="108">
        <f t="shared" si="87"/>
        <v>25</v>
      </c>
      <c r="DM68" s="111">
        <f t="shared" si="87"/>
        <v>7.9949238578682511</v>
      </c>
      <c r="DN68" s="76">
        <f t="shared" si="90"/>
        <v>7</v>
      </c>
      <c r="DO68" s="76">
        <f t="shared" si="90"/>
        <v>23</v>
      </c>
      <c r="DP68" s="112"/>
      <c r="DQ68" s="112"/>
      <c r="DR68" s="113" t="s">
        <v>313</v>
      </c>
      <c r="DS68" s="112"/>
      <c r="DT68" s="112"/>
      <c r="DU68" s="111"/>
      <c r="DV68" s="114"/>
      <c r="DW68" s="80">
        <f t="shared" si="110"/>
        <v>25</v>
      </c>
      <c r="DX68" s="81">
        <f t="shared" si="29"/>
        <v>11064.994923857868</v>
      </c>
      <c r="DY68" s="80">
        <f t="shared" si="63"/>
        <v>11032</v>
      </c>
      <c r="DZ68" s="82">
        <f t="shared" si="64"/>
        <v>0</v>
      </c>
      <c r="EA68" s="82">
        <f t="shared" si="65"/>
        <v>4.3466079999999998</v>
      </c>
      <c r="EB68" s="82">
        <f t="shared" si="66"/>
        <v>2.1533920000000002</v>
      </c>
      <c r="EC68" s="82">
        <f t="shared" si="76"/>
        <v>2.1533920000000002</v>
      </c>
      <c r="EF68" s="83">
        <f t="shared" si="106"/>
        <v>7.9949238578682511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1"/>
        <v>GAA5052-5.7x3-H9A14</v>
      </c>
      <c r="H69" s="46" t="str">
        <f t="shared" si="32"/>
        <v>A5052GA5.70DH9</v>
      </c>
      <c r="I69" s="46" t="str">
        <f t="shared" si="33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4"/>
        <v>20</v>
      </c>
      <c r="T69" s="51">
        <v>13</v>
      </c>
      <c r="U69" s="92">
        <v>14</v>
      </c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2780</v>
      </c>
      <c r="AC69" s="93">
        <f t="shared" si="11"/>
        <v>0</v>
      </c>
      <c r="AD69" s="93">
        <f t="shared" si="12"/>
        <v>0</v>
      </c>
      <c r="AE69" s="93">
        <f t="shared" si="35"/>
        <v>2780</v>
      </c>
      <c r="AF69" s="54">
        <f t="shared" si="36"/>
        <v>2780</v>
      </c>
      <c r="AG69" s="94">
        <f t="shared" si="67"/>
        <v>13</v>
      </c>
      <c r="AH69" s="56">
        <f t="shared" si="13"/>
        <v>0</v>
      </c>
      <c r="AI69" s="93">
        <v>6</v>
      </c>
      <c r="AJ69" s="93">
        <f t="shared" si="68"/>
        <v>0</v>
      </c>
      <c r="AK69" s="95">
        <f t="shared" si="37"/>
        <v>1</v>
      </c>
      <c r="AL69" s="58">
        <f t="shared" si="38"/>
        <v>6</v>
      </c>
      <c r="AM69" s="55">
        <f t="shared" si="69"/>
        <v>21</v>
      </c>
      <c r="AN69" s="93"/>
      <c r="AO69" s="96"/>
      <c r="AP69" s="96"/>
      <c r="AQ69" s="96"/>
      <c r="AR69" s="96"/>
      <c r="AS69" s="96"/>
      <c r="AT69" s="96">
        <f t="shared" si="111"/>
        <v>222</v>
      </c>
      <c r="AU69" s="96">
        <f t="shared" si="39"/>
        <v>0</v>
      </c>
      <c r="AV69" s="96">
        <f t="shared" si="39"/>
        <v>0</v>
      </c>
      <c r="AW69" s="96">
        <f t="shared" si="40"/>
        <v>222</v>
      </c>
      <c r="AX69" s="96">
        <f t="shared" si="41"/>
        <v>1480</v>
      </c>
      <c r="AY69" s="94">
        <f t="shared" si="70"/>
        <v>6</v>
      </c>
      <c r="AZ69" s="94">
        <f t="shared" si="42"/>
        <v>40</v>
      </c>
      <c r="BA69" s="94">
        <f t="shared" si="43"/>
        <v>21</v>
      </c>
      <c r="BB69" s="97">
        <f t="shared" si="44"/>
        <v>0</v>
      </c>
      <c r="BC69" s="93">
        <v>7</v>
      </c>
      <c r="BD69" s="93">
        <f t="shared" si="45"/>
        <v>8</v>
      </c>
      <c r="BE69" s="95">
        <f t="shared" si="46"/>
        <v>0.22222222222222224</v>
      </c>
      <c r="BF69" s="58">
        <f t="shared" si="47"/>
        <v>6.2299999999999995</v>
      </c>
      <c r="BG69" s="94">
        <f t="shared" si="48"/>
        <v>14.77</v>
      </c>
      <c r="BH69" s="89"/>
      <c r="BI69" s="89"/>
      <c r="BJ69" s="89"/>
      <c r="BK69" s="89"/>
      <c r="BL69" s="89"/>
      <c r="BM69" s="89"/>
      <c r="BN69" s="92">
        <f t="shared" si="112"/>
        <v>195</v>
      </c>
      <c r="BO69" s="92">
        <f t="shared" si="71"/>
        <v>0</v>
      </c>
      <c r="BP69" s="92">
        <f t="shared" si="71"/>
        <v>0</v>
      </c>
      <c r="BQ69" s="96">
        <f t="shared" si="49"/>
        <v>195</v>
      </c>
      <c r="BR69" s="96">
        <f t="shared" si="50"/>
        <v>1300</v>
      </c>
      <c r="BS69" s="96">
        <f t="shared" si="72"/>
        <v>-29.279999999999973</v>
      </c>
      <c r="BT69" s="96">
        <f>IF($V69="","",BS69/$V69)</f>
        <v>-195.19999999999982</v>
      </c>
      <c r="BU69" s="92">
        <f t="shared" si="16"/>
        <v>2780</v>
      </c>
      <c r="BV69" s="98">
        <f t="shared" si="17"/>
        <v>12.23</v>
      </c>
      <c r="BW69" s="92">
        <f t="shared" si="18"/>
        <v>-155.19999999999982</v>
      </c>
      <c r="BX69" s="98">
        <f t="shared" si="52"/>
        <v>2.49492</v>
      </c>
      <c r="BY69" s="61">
        <f t="shared" si="74"/>
        <v>12.23</v>
      </c>
      <c r="BZ69" s="62">
        <f t="shared" si="53"/>
        <v>12.23</v>
      </c>
      <c r="CA69" s="98">
        <f t="shared" si="54"/>
        <v>0.41699999999999998</v>
      </c>
      <c r="CB69" s="92">
        <f t="shared" si="97"/>
        <v>2780</v>
      </c>
      <c r="CC69" s="92">
        <f t="shared" si="97"/>
        <v>-23.279999999999973</v>
      </c>
      <c r="CD69" s="92">
        <f t="shared" si="97"/>
        <v>-155.19999999999982</v>
      </c>
      <c r="CE69" s="99"/>
      <c r="CF69" s="99"/>
      <c r="CG69" s="51">
        <f t="shared" si="55"/>
        <v>2.0779200000000002</v>
      </c>
      <c r="CH69" s="62">
        <f t="shared" si="56"/>
        <v>2.0779200000000002</v>
      </c>
      <c r="CI69" s="89"/>
      <c r="CJ69" s="89">
        <v>222</v>
      </c>
      <c r="CK69" s="89"/>
      <c r="CL69" s="96"/>
      <c r="CM69" s="89">
        <v>8</v>
      </c>
      <c r="CN69" s="89">
        <v>195</v>
      </c>
      <c r="CO69" s="92"/>
      <c r="CP69" s="101"/>
      <c r="CQ69" s="102">
        <f t="shared" si="100"/>
        <v>1480</v>
      </c>
      <c r="CR69" s="102">
        <f t="shared" si="100"/>
        <v>0</v>
      </c>
      <c r="CS69" s="102">
        <f t="shared" si="100"/>
        <v>0</v>
      </c>
      <c r="CT69" s="92">
        <f t="shared" si="58"/>
        <v>1300</v>
      </c>
      <c r="CU69" s="92">
        <f t="shared" si="101"/>
        <v>0</v>
      </c>
      <c r="CV69" s="103">
        <f t="shared" si="101"/>
        <v>0</v>
      </c>
      <c r="CW69" s="104" t="s">
        <v>147</v>
      </c>
      <c r="CX69" s="105">
        <v>16.8</v>
      </c>
      <c r="CY69" s="106">
        <f t="shared" si="60"/>
        <v>2453</v>
      </c>
      <c r="CZ69" s="106">
        <f t="shared" si="61"/>
        <v>68.040000000000006</v>
      </c>
      <c r="DA69" s="106"/>
      <c r="DB69" s="106"/>
      <c r="DC69" s="105"/>
      <c r="DD69" s="107"/>
      <c r="DE69" s="92">
        <f t="shared" si="21"/>
        <v>1480</v>
      </c>
      <c r="DF69" s="108">
        <f t="shared" si="22"/>
        <v>6</v>
      </c>
      <c r="DG69" s="115">
        <f t="shared" si="23"/>
        <v>40</v>
      </c>
      <c r="DH69" s="110">
        <f t="shared" si="24"/>
        <v>1300</v>
      </c>
      <c r="DI69" s="108">
        <f t="shared" si="25"/>
        <v>6.2299999999999995</v>
      </c>
      <c r="DJ69" s="112">
        <f t="shared" si="26"/>
        <v>-195.19999999999982</v>
      </c>
      <c r="DK69" s="110">
        <f t="shared" si="87"/>
        <v>2780</v>
      </c>
      <c r="DL69" s="108">
        <f t="shared" si="87"/>
        <v>12.23</v>
      </c>
      <c r="DM69" s="111">
        <f t="shared" si="87"/>
        <v>-155.19999999999982</v>
      </c>
      <c r="DN69" s="76">
        <f t="shared" si="90"/>
        <v>13</v>
      </c>
      <c r="DO69" s="76">
        <f t="shared" si="90"/>
        <v>14</v>
      </c>
      <c r="DP69" s="112"/>
      <c r="DQ69" s="112"/>
      <c r="DR69" s="113" t="s">
        <v>315</v>
      </c>
      <c r="DS69" s="112"/>
      <c r="DT69" s="112"/>
      <c r="DU69" s="111"/>
      <c r="DV69" s="114"/>
      <c r="DW69" s="80">
        <f t="shared" si="62"/>
        <v>2792.23</v>
      </c>
      <c r="DX69" s="81">
        <f t="shared" si="29"/>
        <v>2637.03</v>
      </c>
      <c r="DY69" s="80">
        <f t="shared" si="63"/>
        <v>2780</v>
      </c>
      <c r="DZ69" s="82">
        <f t="shared" si="64"/>
        <v>0</v>
      </c>
      <c r="EA69" s="82">
        <f t="shared" si="65"/>
        <v>0.41699999999999998</v>
      </c>
      <c r="EB69" s="82">
        <f t="shared" si="66"/>
        <v>2.0779200000000002</v>
      </c>
      <c r="EC69" s="82">
        <f t="shared" si="76"/>
        <v>2.0779200000000002</v>
      </c>
      <c r="EF69" s="83">
        <f t="shared" si="106"/>
        <v>-155.19999999999982</v>
      </c>
    </row>
    <row r="70" spans="1:136" ht="14.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1"/>
        <v>YHC2700-5.5x3-H9A14</v>
      </c>
      <c r="H70" s="46" t="str">
        <f t="shared" si="32"/>
        <v>C2700YH5.50DH9</v>
      </c>
      <c r="I70" s="46" t="str">
        <f t="shared" si="33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4"/>
        <v>24</v>
      </c>
      <c r="T70" s="51"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 t="shared" si="36"/>
        <v>0</v>
      </c>
      <c r="AG70" s="94">
        <f t="shared" si="67"/>
        <v>0</v>
      </c>
      <c r="AH70" s="56">
        <f t="shared" si="13"/>
        <v>0</v>
      </c>
      <c r="AI70" s="93"/>
      <c r="AJ70" s="93">
        <f t="shared" si="68"/>
        <v>0</v>
      </c>
      <c r="AK70" s="95">
        <f t="shared" si="37"/>
        <v>1</v>
      </c>
      <c r="AL70" s="58">
        <f t="shared" si="38"/>
        <v>0</v>
      </c>
      <c r="AM70" s="55">
        <f t="shared" si="69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9"/>
        <v>0</v>
      </c>
      <c r="AV70" s="96">
        <f t="shared" si="39"/>
        <v>0</v>
      </c>
      <c r="AW70" s="96">
        <f t="shared" si="40"/>
        <v>0</v>
      </c>
      <c r="AX70" s="96">
        <f>IF(V70="","",INT(AW70/$V70))</f>
        <v>0</v>
      </c>
      <c r="AY70" s="94">
        <f t="shared" si="70"/>
        <v>0</v>
      </c>
      <c r="AZ70" s="94">
        <f t="shared" si="42"/>
        <v>0</v>
      </c>
      <c r="BA70" s="94">
        <f t="shared" si="43"/>
        <v>0</v>
      </c>
      <c r="BB70" s="97">
        <f t="shared" si="44"/>
        <v>0</v>
      </c>
      <c r="BC70" s="93"/>
      <c r="BD70" s="93">
        <f t="shared" si="45"/>
        <v>0</v>
      </c>
      <c r="BE70" s="95">
        <f t="shared" si="46"/>
        <v>1</v>
      </c>
      <c r="BF70" s="58">
        <f t="shared" si="47"/>
        <v>0</v>
      </c>
      <c r="BG70" s="94">
        <f t="shared" si="48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1"/>
        <v>0</v>
      </c>
      <c r="BP70" s="92">
        <f t="shared" si="71"/>
        <v>0</v>
      </c>
      <c r="BQ70" s="96">
        <f t="shared" si="49"/>
        <v>0</v>
      </c>
      <c r="BR70" s="96">
        <f t="shared" si="50"/>
        <v>0</v>
      </c>
      <c r="BS70" s="96">
        <f t="shared" si="72"/>
        <v>0</v>
      </c>
      <c r="BT70" s="96">
        <f t="shared" si="51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2"/>
        <v>0</v>
      </c>
      <c r="BY70" s="61">
        <f t="shared" si="74"/>
        <v>0</v>
      </c>
      <c r="BZ70" s="62">
        <f t="shared" si="53"/>
        <v>0</v>
      </c>
      <c r="CA70" s="98">
        <f t="shared" si="54"/>
        <v>0</v>
      </c>
      <c r="CB70" s="92">
        <f t="shared" si="97"/>
        <v>0</v>
      </c>
      <c r="CC70" s="92">
        <f t="shared" si="97"/>
        <v>0</v>
      </c>
      <c r="CD70" s="92">
        <f t="shared" si="97"/>
        <v>0</v>
      </c>
      <c r="CE70" s="99"/>
      <c r="CF70" s="99"/>
      <c r="CG70" s="51">
        <f t="shared" si="55"/>
        <v>0</v>
      </c>
      <c r="CH70" s="62">
        <f t="shared" si="56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100"/>
        <v>0</v>
      </c>
      <c r="CR70" s="102">
        <f t="shared" si="100"/>
        <v>0</v>
      </c>
      <c r="CS70" s="102">
        <f t="shared" si="100"/>
        <v>0</v>
      </c>
      <c r="CT70" s="92">
        <f t="shared" si="58"/>
        <v>0</v>
      </c>
      <c r="CU70" s="92">
        <f t="shared" si="101"/>
        <v>0</v>
      </c>
      <c r="CV70" s="103">
        <f t="shared" si="101"/>
        <v>0</v>
      </c>
      <c r="CW70" s="104" t="s">
        <v>147</v>
      </c>
      <c r="CX70" s="105">
        <v>20</v>
      </c>
      <c r="CY70" s="106">
        <f t="shared" si="60"/>
        <v>2034</v>
      </c>
      <c r="CZ70" s="106">
        <f t="shared" si="61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7"/>
        <v>0</v>
      </c>
      <c r="DL70" s="108">
        <f t="shared" si="87"/>
        <v>0</v>
      </c>
      <c r="DM70" s="111">
        <f t="shared" si="87"/>
        <v>0</v>
      </c>
      <c r="DN70" s="76">
        <f t="shared" si="90"/>
        <v>0</v>
      </c>
      <c r="DO70" s="76">
        <f t="shared" si="90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2"/>
        <v>0</v>
      </c>
      <c r="DX70" s="81">
        <f t="shared" si="29"/>
        <v>0</v>
      </c>
      <c r="DY70" s="80">
        <f t="shared" si="63"/>
        <v>0</v>
      </c>
      <c r="DZ70" s="82">
        <f t="shared" si="64"/>
        <v>0</v>
      </c>
      <c r="EA70" s="82">
        <f t="shared" si="65"/>
        <v>0</v>
      </c>
      <c r="EB70" s="82">
        <f t="shared" si="66"/>
        <v>0</v>
      </c>
      <c r="EC70" s="82">
        <f>(BX70-CA70)+((AV70+BP70)/1000)</f>
        <v>0</v>
      </c>
      <c r="EF70" s="83">
        <f t="shared" si="106"/>
        <v>0</v>
      </c>
    </row>
    <row r="71" spans="1:136" ht="14.1" customHeight="1">
      <c r="A71" s="84">
        <v>64</v>
      </c>
      <c r="B71" s="85" t="s">
        <v>319</v>
      </c>
      <c r="C71" s="86"/>
      <c r="D71" s="119">
        <v>8400</v>
      </c>
      <c r="E71" s="88">
        <v>92</v>
      </c>
      <c r="F71" s="89" t="s">
        <v>147</v>
      </c>
      <c r="G71" s="45" t="str">
        <f t="shared" si="31"/>
        <v>IBC3604-6.2x3-H9B14</v>
      </c>
      <c r="H71" s="46" t="str">
        <f t="shared" si="32"/>
        <v>C3604IB6.20DH9</v>
      </c>
      <c r="I71" s="46" t="str">
        <f t="shared" si="33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4"/>
        <v>38</v>
      </c>
      <c r="T71" s="51">
        <v>0</v>
      </c>
      <c r="U71" s="92"/>
      <c r="V71" s="100">
        <v>4.26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5"/>
        <v>0</v>
      </c>
      <c r="AF71" s="54">
        <f t="shared" si="36"/>
        <v>0</v>
      </c>
      <c r="AG71" s="94">
        <f t="shared" si="67"/>
        <v>0</v>
      </c>
      <c r="AH71" s="56">
        <f t="shared" si="13"/>
        <v>0</v>
      </c>
      <c r="AI71" s="93"/>
      <c r="AJ71" s="93">
        <f t="shared" si="68"/>
        <v>0</v>
      </c>
      <c r="AK71" s="95">
        <f t="shared" si="37"/>
        <v>1</v>
      </c>
      <c r="AL71" s="58">
        <f t="shared" si="38"/>
        <v>0</v>
      </c>
      <c r="AM71" s="55">
        <f t="shared" si="69"/>
        <v>0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9"/>
        <v>0</v>
      </c>
      <c r="AV71" s="96">
        <f t="shared" si="39"/>
        <v>0</v>
      </c>
      <c r="AW71" s="96">
        <f t="shared" si="40"/>
        <v>0</v>
      </c>
      <c r="AX71" s="96">
        <f t="shared" si="41"/>
        <v>0</v>
      </c>
      <c r="AY71" s="94">
        <f t="shared" si="70"/>
        <v>0</v>
      </c>
      <c r="AZ71" s="94">
        <f t="shared" si="42"/>
        <v>0</v>
      </c>
      <c r="BA71" s="94">
        <f t="shared" si="43"/>
        <v>0</v>
      </c>
      <c r="BB71" s="97">
        <f t="shared" si="44"/>
        <v>0</v>
      </c>
      <c r="BC71" s="93"/>
      <c r="BD71" s="93">
        <f t="shared" si="45"/>
        <v>0</v>
      </c>
      <c r="BE71" s="95">
        <f t="shared" si="46"/>
        <v>1</v>
      </c>
      <c r="BF71" s="58">
        <f t="shared" si="47"/>
        <v>0</v>
      </c>
      <c r="BG71" s="94">
        <f t="shared" si="48"/>
        <v>0</v>
      </c>
      <c r="BH71" s="89"/>
      <c r="BI71" s="89"/>
      <c r="BJ71" s="92">
        <f>$CN71</f>
        <v>0</v>
      </c>
      <c r="BK71" s="89"/>
      <c r="BL71" s="89"/>
      <c r="BM71" s="89"/>
      <c r="BN71" s="89"/>
      <c r="BO71" s="92">
        <f t="shared" si="71"/>
        <v>0</v>
      </c>
      <c r="BP71" s="92">
        <f t="shared" si="71"/>
        <v>0</v>
      </c>
      <c r="BQ71" s="96">
        <f t="shared" si="49"/>
        <v>0</v>
      </c>
      <c r="BR71" s="96">
        <f t="shared" si="50"/>
        <v>0</v>
      </c>
      <c r="BS71" s="96">
        <f t="shared" si="72"/>
        <v>0</v>
      </c>
      <c r="BT71" s="96">
        <f t="shared" si="51"/>
        <v>0</v>
      </c>
      <c r="BU71" s="92">
        <f t="shared" si="16"/>
        <v>0</v>
      </c>
      <c r="BV71" s="98">
        <f t="shared" si="17"/>
        <v>0</v>
      </c>
      <c r="BW71" s="92">
        <f t="shared" si="18"/>
        <v>0</v>
      </c>
      <c r="BX71" s="98">
        <f t="shared" si="52"/>
        <v>0</v>
      </c>
      <c r="BY71" s="61">
        <f t="shared" si="74"/>
        <v>0</v>
      </c>
      <c r="BZ71" s="62">
        <f t="shared" si="53"/>
        <v>0</v>
      </c>
      <c r="CA71" s="98">
        <f t="shared" si="54"/>
        <v>0</v>
      </c>
      <c r="CB71" s="92">
        <f t="shared" si="97"/>
        <v>0</v>
      </c>
      <c r="CC71" s="92">
        <f t="shared" si="97"/>
        <v>0</v>
      </c>
      <c r="CD71" s="92">
        <f t="shared" si="97"/>
        <v>0</v>
      </c>
      <c r="CE71" s="99"/>
      <c r="CF71" s="99"/>
      <c r="CG71" s="51">
        <f t="shared" si="55"/>
        <v>0</v>
      </c>
      <c r="CH71" s="62">
        <f t="shared" si="56"/>
        <v>0</v>
      </c>
      <c r="CI71" s="89"/>
      <c r="CJ71" s="89"/>
      <c r="CK71" s="89"/>
      <c r="CL71" s="96"/>
      <c r="CM71" s="89"/>
      <c r="CN71" s="89"/>
      <c r="CO71" s="92"/>
      <c r="CP71" s="101"/>
      <c r="CQ71" s="102">
        <f t="shared" si="100"/>
        <v>0</v>
      </c>
      <c r="CR71" s="102">
        <f t="shared" si="100"/>
        <v>0</v>
      </c>
      <c r="CS71" s="102">
        <f t="shared" si="100"/>
        <v>0</v>
      </c>
      <c r="CT71" s="92">
        <f t="shared" si="58"/>
        <v>0</v>
      </c>
      <c r="CU71" s="92">
        <f t="shared" si="101"/>
        <v>0</v>
      </c>
      <c r="CV71" s="103">
        <f t="shared" si="101"/>
        <v>0</v>
      </c>
      <c r="CW71" s="104" t="s">
        <v>147</v>
      </c>
      <c r="CX71" s="105">
        <v>23</v>
      </c>
      <c r="CY71" s="106">
        <f t="shared" si="60"/>
        <v>1713</v>
      </c>
      <c r="CZ71" s="106">
        <f t="shared" si="61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0</v>
      </c>
      <c r="DG71" s="115">
        <f t="shared" si="23"/>
        <v>0</v>
      </c>
      <c r="DH71" s="110">
        <f t="shared" si="24"/>
        <v>0</v>
      </c>
      <c r="DI71" s="108">
        <f t="shared" si="25"/>
        <v>0</v>
      </c>
      <c r="DJ71" s="112">
        <f t="shared" si="26"/>
        <v>0</v>
      </c>
      <c r="DK71" s="110">
        <f t="shared" si="87"/>
        <v>0</v>
      </c>
      <c r="DL71" s="108">
        <f t="shared" si="87"/>
        <v>0</v>
      </c>
      <c r="DM71" s="111">
        <f t="shared" si="87"/>
        <v>0</v>
      </c>
      <c r="DN71" s="76">
        <f t="shared" si="90"/>
        <v>0</v>
      </c>
      <c r="DO71" s="76">
        <f t="shared" si="90"/>
        <v>0</v>
      </c>
      <c r="DP71" s="112"/>
      <c r="DQ71" s="112"/>
      <c r="DR71" s="113"/>
      <c r="DS71" s="112"/>
      <c r="DT71" s="112"/>
      <c r="DU71" s="111"/>
      <c r="DV71" s="114"/>
      <c r="DW71" s="80">
        <f t="shared" si="62"/>
        <v>0</v>
      </c>
      <c r="DX71" s="81">
        <f t="shared" si="29"/>
        <v>0</v>
      </c>
      <c r="DY71" s="80">
        <f t="shared" si="63"/>
        <v>0</v>
      </c>
      <c r="DZ71" s="82">
        <f t="shared" si="64"/>
        <v>0</v>
      </c>
      <c r="EA71" s="82">
        <f t="shared" si="65"/>
        <v>0</v>
      </c>
      <c r="EB71" s="82">
        <f t="shared" si="66"/>
        <v>0</v>
      </c>
      <c r="EC71" s="82">
        <f t="shared" si="76"/>
        <v>0</v>
      </c>
      <c r="EF71" s="83">
        <f t="shared" si="106"/>
        <v>0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1"/>
        <v>TVA2011-T3-7.5x3-H9B14</v>
      </c>
      <c r="H72" s="46" t="str">
        <f t="shared" si="32"/>
        <v>A2011-T3TV7.50DH9</v>
      </c>
      <c r="I72" s="46" t="str">
        <f t="shared" si="33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4"/>
        <v>24</v>
      </c>
      <c r="T72" s="51">
        <v>30</v>
      </c>
      <c r="U72" s="92"/>
      <c r="V72" s="100">
        <v>0.58299999999999996</v>
      </c>
      <c r="W72" s="93">
        <f t="shared" ref="W72:W103" si="113">IF(V72="","",INT((AO72+BI72)/$V72))</f>
        <v>0</v>
      </c>
      <c r="X72" s="93">
        <f t="shared" ref="X72:X106" si="114">IF(V72="","",INT((AP72+BJ72)/$V72))</f>
        <v>0</v>
      </c>
      <c r="Y72" s="93">
        <f t="shared" ref="Y72:Y106" si="115">IF(V72="","",INT((AQ72+BK72)/$V72))</f>
        <v>0</v>
      </c>
      <c r="Z72" s="93">
        <f t="shared" ref="Z72:Z106" si="116">IF(V72="","",INT((AR72+BL72)/$V72))</f>
        <v>0</v>
      </c>
      <c r="AA72" s="93">
        <f t="shared" ref="AA72:AA106" si="117">IF(V72="","",INT((AS72+BM72)/$V72))</f>
        <v>0</v>
      </c>
      <c r="AB72" s="93">
        <f t="shared" ref="AB72:AB106" si="118">IF(V72="","",INT((AT72+BN72)/$V72))</f>
        <v>0</v>
      </c>
      <c r="AC72" s="93">
        <f t="shared" ref="AC72:AC106" si="119">IF(V72="","",INT((AU72+BO72)/$V72))</f>
        <v>0</v>
      </c>
      <c r="AD72" s="93">
        <f t="shared" ref="AD72:AD106" si="120">IF(V72="","",INT((AV72+BP72)/$V72))</f>
        <v>0</v>
      </c>
      <c r="AE72" s="93">
        <f t="shared" si="35"/>
        <v>0</v>
      </c>
      <c r="AF72" s="54">
        <f t="shared" si="36"/>
        <v>0</v>
      </c>
      <c r="AG72" s="94">
        <f t="shared" si="67"/>
        <v>30</v>
      </c>
      <c r="AH72" s="56">
        <f t="shared" si="13"/>
        <v>0</v>
      </c>
      <c r="AI72" s="93"/>
      <c r="AJ72" s="93">
        <f t="shared" si="68"/>
        <v>0</v>
      </c>
      <c r="AK72" s="95">
        <f t="shared" si="37"/>
        <v>1</v>
      </c>
      <c r="AL72" s="58">
        <f t="shared" si="38"/>
        <v>0</v>
      </c>
      <c r="AM72" s="55">
        <f t="shared" si="69"/>
        <v>30</v>
      </c>
      <c r="AN72" s="93"/>
      <c r="AO72" s="96"/>
      <c r="AP72" s="96"/>
      <c r="AQ72" s="96"/>
      <c r="AR72" s="96"/>
      <c r="AS72" s="96"/>
      <c r="AT72" s="96">
        <f t="shared" si="111"/>
        <v>0</v>
      </c>
      <c r="AU72" s="96">
        <f t="shared" si="39"/>
        <v>0</v>
      </c>
      <c r="AV72" s="96">
        <f t="shared" si="39"/>
        <v>0</v>
      </c>
      <c r="AW72" s="96">
        <f t="shared" si="40"/>
        <v>0</v>
      </c>
      <c r="AX72" s="96">
        <f t="shared" si="41"/>
        <v>0</v>
      </c>
      <c r="AY72" s="94">
        <f t="shared" si="70"/>
        <v>0</v>
      </c>
      <c r="AZ72" s="94">
        <f t="shared" si="42"/>
        <v>0</v>
      </c>
      <c r="BA72" s="94">
        <f t="shared" si="43"/>
        <v>30</v>
      </c>
      <c r="BB72" s="97">
        <f t="shared" si="44"/>
        <v>0</v>
      </c>
      <c r="BC72" s="93"/>
      <c r="BD72" s="93">
        <f t="shared" si="45"/>
        <v>0</v>
      </c>
      <c r="BE72" s="95">
        <f t="shared" si="46"/>
        <v>1</v>
      </c>
      <c r="BF72" s="58">
        <f t="shared" si="47"/>
        <v>0</v>
      </c>
      <c r="BG72" s="94">
        <f t="shared" si="48"/>
        <v>30</v>
      </c>
      <c r="BH72" s="89"/>
      <c r="BI72" s="89"/>
      <c r="BJ72" s="89"/>
      <c r="BK72" s="89"/>
      <c r="BL72" s="89"/>
      <c r="BM72" s="89"/>
      <c r="BN72" s="92">
        <f t="shared" si="112"/>
        <v>0</v>
      </c>
      <c r="BO72" s="92">
        <f t="shared" si="71"/>
        <v>0</v>
      </c>
      <c r="BP72" s="92">
        <f t="shared" si="71"/>
        <v>0</v>
      </c>
      <c r="BQ72" s="96">
        <f t="shared" si="49"/>
        <v>0</v>
      </c>
      <c r="BR72" s="96">
        <f t="shared" si="50"/>
        <v>0</v>
      </c>
      <c r="BS72" s="96">
        <f t="shared" si="72"/>
        <v>0</v>
      </c>
      <c r="BT72" s="96">
        <f t="shared" si="51"/>
        <v>0</v>
      </c>
      <c r="BU72" s="92">
        <f t="shared" ref="BU72:BU106" si="121">IFERROR(AE72,"")</f>
        <v>0</v>
      </c>
      <c r="BV72" s="98">
        <f t="shared" si="17"/>
        <v>0</v>
      </c>
      <c r="BW72" s="92">
        <f t="shared" ref="BW72:BW106" si="122">IFERROR(BT72+AZ72,"")</f>
        <v>0</v>
      </c>
      <c r="BX72" s="98">
        <f t="shared" si="52"/>
        <v>0</v>
      </c>
      <c r="BY72" s="61">
        <f t="shared" si="74"/>
        <v>0</v>
      </c>
      <c r="BZ72" s="62">
        <f t="shared" si="53"/>
        <v>0</v>
      </c>
      <c r="CA72" s="98">
        <f t="shared" si="54"/>
        <v>0</v>
      </c>
      <c r="CB72" s="92">
        <f t="shared" ref="CB72:CD106" si="123">IFERROR(BR72+AX72,"")</f>
        <v>0</v>
      </c>
      <c r="CC72" s="92">
        <f t="shared" si="123"/>
        <v>0</v>
      </c>
      <c r="CD72" s="92">
        <f t="shared" si="123"/>
        <v>0</v>
      </c>
      <c r="CE72" s="99"/>
      <c r="CF72" s="99"/>
      <c r="CG72" s="51">
        <f t="shared" si="55"/>
        <v>0</v>
      </c>
      <c r="CH72" s="62">
        <f t="shared" si="56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100"/>
        <v>0</v>
      </c>
      <c r="CR72" s="102">
        <f t="shared" si="100"/>
        <v>0</v>
      </c>
      <c r="CS72" s="102">
        <f t="shared" si="100"/>
        <v>0</v>
      </c>
      <c r="CT72" s="92">
        <f t="shared" si="58"/>
        <v>0</v>
      </c>
      <c r="CU72" s="92">
        <f t="shared" si="101"/>
        <v>0</v>
      </c>
      <c r="CV72" s="103">
        <f t="shared" si="101"/>
        <v>0</v>
      </c>
      <c r="CW72" s="104" t="s">
        <v>147</v>
      </c>
      <c r="CX72" s="105">
        <v>8</v>
      </c>
      <c r="CY72" s="106">
        <f t="shared" si="60"/>
        <v>5107</v>
      </c>
      <c r="CZ72" s="106">
        <f t="shared" si="61"/>
        <v>32.400000000000006</v>
      </c>
      <c r="DA72" s="106"/>
      <c r="DB72" s="106"/>
      <c r="DC72" s="105"/>
      <c r="DD72" s="107"/>
      <c r="DE72" s="92">
        <f t="shared" ref="DE72:DE106" si="124">IFERROR(CQ72+CR72,"")</f>
        <v>0</v>
      </c>
      <c r="DF72" s="108">
        <f t="shared" ref="DF72:DF106" si="125">IFERROR(AL72,"")</f>
        <v>0</v>
      </c>
      <c r="DG72" s="115">
        <f t="shared" ref="DG72:DG106" si="126">IFERROR(AZ72,"")</f>
        <v>0</v>
      </c>
      <c r="DH72" s="110">
        <f t="shared" ref="DH72:DH106" si="127">IFERROR(CT72+CU72,"")</f>
        <v>0</v>
      </c>
      <c r="DI72" s="108">
        <f t="shared" ref="DI72:DI106" si="128">IFERROR(BF72,"")</f>
        <v>0</v>
      </c>
      <c r="DJ72" s="112">
        <f t="shared" ref="DJ72:DJ106" si="129">IFERROR(BT72,"")</f>
        <v>0</v>
      </c>
      <c r="DK72" s="110">
        <f t="shared" si="87"/>
        <v>0</v>
      </c>
      <c r="DL72" s="108">
        <f t="shared" si="87"/>
        <v>0</v>
      </c>
      <c r="DM72" s="111">
        <f t="shared" si="87"/>
        <v>0</v>
      </c>
      <c r="DN72" s="76">
        <f t="shared" si="90"/>
        <v>30</v>
      </c>
      <c r="DO72" s="76">
        <f t="shared" si="90"/>
        <v>0</v>
      </c>
      <c r="DP72" s="112"/>
      <c r="DQ72" s="112"/>
      <c r="DR72" s="113" t="s">
        <v>322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30">IFERROR(DK72+DL72+DM72,"")</f>
        <v>0</v>
      </c>
      <c r="DY72" s="80">
        <f t="shared" si="63"/>
        <v>0</v>
      </c>
      <c r="DZ72" s="82">
        <f t="shared" si="64"/>
        <v>0</v>
      </c>
      <c r="EA72" s="82">
        <f t="shared" si="65"/>
        <v>0</v>
      </c>
      <c r="EB72" s="82">
        <f t="shared" si="66"/>
        <v>0</v>
      </c>
      <c r="EC72" s="82">
        <f t="shared" si="76"/>
        <v>0</v>
      </c>
      <c r="EF72" s="83">
        <f t="shared" si="106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1">CONCATENATE(K73,J73,"-",IF(N73="D",L73,IF(N73="H",CONCATENATE(N73,L73),CONCATENATE(N73,L73,"x",M73))),"x",P73,"-",O73,R73)</f>
        <v>GAA5052-5.7x3-H9A14</v>
      </c>
      <c r="H73" s="46" t="str">
        <f t="shared" ref="H73:H106" si="132">CONCATENATE(J73,,K73,L73,M73,N73,O73)</f>
        <v>A5052GA5.70DH9</v>
      </c>
      <c r="I73" s="46" t="str">
        <f t="shared" ref="I73:I106" si="133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4">ROUND(CY73/E73,0)*2</f>
        <v>14</v>
      </c>
      <c r="T73" s="51">
        <v>12.43</v>
      </c>
      <c r="U73" s="92">
        <v>13</v>
      </c>
      <c r="V73" s="100">
        <v>0.15</v>
      </c>
      <c r="W73" s="93">
        <f t="shared" si="113"/>
        <v>0</v>
      </c>
      <c r="X73" s="93">
        <f t="shared" si="114"/>
        <v>0</v>
      </c>
      <c r="Y73" s="93">
        <f t="shared" si="115"/>
        <v>0</v>
      </c>
      <c r="Z73" s="93">
        <f t="shared" si="116"/>
        <v>0</v>
      </c>
      <c r="AA73" s="93">
        <f t="shared" si="117"/>
        <v>0</v>
      </c>
      <c r="AB73" s="93">
        <f t="shared" si="118"/>
        <v>2913</v>
      </c>
      <c r="AC73" s="93">
        <f t="shared" si="119"/>
        <v>0</v>
      </c>
      <c r="AD73" s="93">
        <f t="shared" si="120"/>
        <v>66</v>
      </c>
      <c r="AE73" s="93">
        <f t="shared" ref="AE73:AE106" si="135">IF(V73="","",SUM(W73:AC73))</f>
        <v>2913</v>
      </c>
      <c r="AF73" s="54">
        <f t="shared" ref="AF73:AF108" si="136">AE73</f>
        <v>2913</v>
      </c>
      <c r="AG73" s="94">
        <f t="shared" si="67"/>
        <v>12.43</v>
      </c>
      <c r="AH73" s="56">
        <f t="shared" ref="AH73:AH106" si="137">IFERROR(VALUE("0"&amp;RIGHT(AG73,(LEN(AG73)-LEN(TRUNC(AG73))))),"")</f>
        <v>0.43</v>
      </c>
      <c r="AI73" s="93">
        <v>6</v>
      </c>
      <c r="AJ73" s="93">
        <f t="shared" si="68"/>
        <v>0</v>
      </c>
      <c r="AK73" s="95">
        <f t="shared" ref="AK73:AK107" si="138">IF(V73="","",IF(AJ73=0,1,AJ73/$V73/$E73))</f>
        <v>1</v>
      </c>
      <c r="AL73" s="58">
        <f t="shared" si="38"/>
        <v>6.43</v>
      </c>
      <c r="AM73" s="55">
        <f t="shared" si="69"/>
        <v>19</v>
      </c>
      <c r="AN73" s="93"/>
      <c r="AO73" s="96"/>
      <c r="AP73" s="96"/>
      <c r="AQ73" s="96"/>
      <c r="AR73" s="96"/>
      <c r="AS73" s="96"/>
      <c r="AT73" s="96">
        <f t="shared" si="111"/>
        <v>237</v>
      </c>
      <c r="AU73" s="96">
        <f t="shared" ref="AU73:AV106" si="139">CK73</f>
        <v>0</v>
      </c>
      <c r="AV73" s="96">
        <f t="shared" si="139"/>
        <v>0</v>
      </c>
      <c r="AW73" s="96">
        <f t="shared" ref="AW73:AW106" si="140">SUM(AO73:AV73)</f>
        <v>237</v>
      </c>
      <c r="AX73" s="96">
        <f t="shared" ref="AX73:AX106" si="141">IF(V73="","",INT(AW73/$V73))</f>
        <v>1580</v>
      </c>
      <c r="AY73" s="94">
        <f t="shared" si="70"/>
        <v>-0.26699999999999591</v>
      </c>
      <c r="AZ73" s="94">
        <f t="shared" ref="AZ73:AZ106" si="142">IF($V73="","",AY73/$V73)</f>
        <v>-1.7799999999999727</v>
      </c>
      <c r="BA73" s="94">
        <f t="shared" si="43"/>
        <v>19</v>
      </c>
      <c r="BB73" s="97">
        <f t="shared" si="44"/>
        <v>0</v>
      </c>
      <c r="BC73" s="93">
        <v>6</v>
      </c>
      <c r="BD73" s="93">
        <f t="shared" ref="BD73:BD106" si="143">$CM73</f>
        <v>0</v>
      </c>
      <c r="BE73" s="95">
        <f t="shared" ref="BE73:BE106" si="144">IF(AA73="","",IF(BD73=0,1,BD73/$V73/$E73))</f>
        <v>1</v>
      </c>
      <c r="BF73" s="58">
        <f t="shared" si="47"/>
        <v>6</v>
      </c>
      <c r="BG73" s="94">
        <f t="shared" ref="BG73:BG106" si="145">IF(AA73="","",BA73-BF73)</f>
        <v>13</v>
      </c>
      <c r="BH73" s="89"/>
      <c r="BI73" s="89"/>
      <c r="BJ73" s="89"/>
      <c r="BK73" s="89"/>
      <c r="BL73" s="89"/>
      <c r="BM73" s="89"/>
      <c r="BN73" s="92">
        <f t="shared" si="112"/>
        <v>200</v>
      </c>
      <c r="BO73" s="92">
        <f t="shared" si="71"/>
        <v>0</v>
      </c>
      <c r="BP73" s="92">
        <f t="shared" si="71"/>
        <v>10</v>
      </c>
      <c r="BQ73" s="96">
        <f t="shared" ref="BQ73:BQ106" si="146">SUM(BI73:BP73)</f>
        <v>210</v>
      </c>
      <c r="BR73" s="96">
        <f t="shared" ref="BR73:BR106" si="147">IF(AA73="","",INT(BQ73/$V73))</f>
        <v>1400</v>
      </c>
      <c r="BS73" s="96">
        <f t="shared" si="72"/>
        <v>-11.400000000000006</v>
      </c>
      <c r="BT73" s="96">
        <f t="shared" ref="BT73:BT106" si="148">IF($V73="","",BS73/$V73)</f>
        <v>-76.000000000000043</v>
      </c>
      <c r="BU73" s="92">
        <f t="shared" si="121"/>
        <v>2913</v>
      </c>
      <c r="BV73" s="98">
        <f t="shared" si="17"/>
        <v>12.43</v>
      </c>
      <c r="BW73" s="92">
        <f t="shared" si="122"/>
        <v>-77.780000000000015</v>
      </c>
      <c r="BX73" s="98">
        <f t="shared" ref="BX73:BX106" si="149">IF($Q73="","",(BF73+AL73)*$Q73)</f>
        <v>2.53572</v>
      </c>
      <c r="BY73" s="61">
        <f t="shared" si="74"/>
        <v>12.43</v>
      </c>
      <c r="BZ73" s="62">
        <f t="shared" ref="BZ73:BZ108" si="150">BY73</f>
        <v>12.43</v>
      </c>
      <c r="CA73" s="98">
        <f t="shared" ref="CA73:CA106" si="151">IFERROR((BQ73+AW73)/1000,"")</f>
        <v>0.44700000000000001</v>
      </c>
      <c r="CB73" s="92">
        <f t="shared" si="123"/>
        <v>2980</v>
      </c>
      <c r="CC73" s="92">
        <f t="shared" si="123"/>
        <v>-11.667000000000002</v>
      </c>
      <c r="CD73" s="92">
        <f t="shared" si="123"/>
        <v>-77.780000000000015</v>
      </c>
      <c r="CE73" s="99"/>
      <c r="CF73" s="99"/>
      <c r="CG73" s="51">
        <f t="shared" ref="CG73:CG106" si="152">IF(BX73="",0,(BX73-CA73)+((AV73+BP73)/1000))</f>
        <v>2.0987199999999997</v>
      </c>
      <c r="CH73" s="62">
        <f t="shared" ref="CH73:CH108" si="153">CG73</f>
        <v>2.0987199999999997</v>
      </c>
      <c r="CI73" s="89"/>
      <c r="CJ73" s="89">
        <v>237</v>
      </c>
      <c r="CK73" s="89"/>
      <c r="CL73" s="96"/>
      <c r="CM73" s="89"/>
      <c r="CN73" s="89">
        <v>200</v>
      </c>
      <c r="CO73" s="92"/>
      <c r="CP73" s="101">
        <v>10</v>
      </c>
      <c r="CQ73" s="102">
        <f t="shared" si="100"/>
        <v>1580</v>
      </c>
      <c r="CR73" s="102">
        <f t="shared" si="100"/>
        <v>0</v>
      </c>
      <c r="CS73" s="102">
        <f t="shared" si="100"/>
        <v>0</v>
      </c>
      <c r="CT73" s="92">
        <f t="shared" ref="CT73:CT106" si="154">INT(IFERROR( AE73-CQ73-CU73-CR73,0))</f>
        <v>1333</v>
      </c>
      <c r="CU73" s="92">
        <f t="shared" si="101"/>
        <v>0</v>
      </c>
      <c r="CV73" s="103">
        <f t="shared" si="101"/>
        <v>66</v>
      </c>
      <c r="CW73" s="104" t="s">
        <v>147</v>
      </c>
      <c r="CX73" s="105">
        <v>23.04</v>
      </c>
      <c r="CY73" s="106">
        <f t="shared" ref="CY73:CY106" si="155">INT(60/CX73*60*(12-(CEILING((60/CX73*60*12)/E73,1)*IF(CW73="T",0.45,IF(CW73="",5,3))/60)))</f>
        <v>1812</v>
      </c>
      <c r="CZ73" s="106">
        <f t="shared" ref="CZ73:CZ106" si="156">IF(CX73="",0,(IF(CW73="",360,180)/(60/CX73))*1.35)</f>
        <v>93.311999999999998</v>
      </c>
      <c r="DA73" s="106"/>
      <c r="DB73" s="106"/>
      <c r="DC73" s="105"/>
      <c r="DD73" s="107"/>
      <c r="DE73" s="92">
        <f t="shared" si="124"/>
        <v>1580</v>
      </c>
      <c r="DF73" s="108">
        <f t="shared" si="125"/>
        <v>6.43</v>
      </c>
      <c r="DG73" s="115">
        <f t="shared" si="126"/>
        <v>-1.7799999999999727</v>
      </c>
      <c r="DH73" s="110">
        <f t="shared" si="127"/>
        <v>1333</v>
      </c>
      <c r="DI73" s="108">
        <f t="shared" si="128"/>
        <v>6</v>
      </c>
      <c r="DJ73" s="112">
        <f t="shared" si="129"/>
        <v>-76.000000000000043</v>
      </c>
      <c r="DK73" s="110">
        <f t="shared" si="87"/>
        <v>2913</v>
      </c>
      <c r="DL73" s="108">
        <f t="shared" si="87"/>
        <v>12.43</v>
      </c>
      <c r="DM73" s="111">
        <f t="shared" si="87"/>
        <v>-77.780000000000015</v>
      </c>
      <c r="DN73" s="76">
        <f t="shared" si="90"/>
        <v>12.43</v>
      </c>
      <c r="DO73" s="76">
        <f t="shared" si="90"/>
        <v>13</v>
      </c>
      <c r="DP73" s="112"/>
      <c r="DQ73" s="112"/>
      <c r="DR73" s="113" t="s">
        <v>324</v>
      </c>
      <c r="DS73" s="112"/>
      <c r="DT73" s="112"/>
      <c r="DU73" s="111"/>
      <c r="DV73" s="114"/>
      <c r="DW73" s="80">
        <f t="shared" ref="DW73:DW106" si="157">IFERROR(BU73+BV73,"")</f>
        <v>2925.43</v>
      </c>
      <c r="DX73" s="81">
        <f t="shared" si="130"/>
        <v>2847.6499999999996</v>
      </c>
      <c r="DY73" s="80">
        <f t="shared" ref="DY73:DY106" si="158">CQ73+CR73+CS73+CT73+CU73+CV73</f>
        <v>2979</v>
      </c>
      <c r="DZ73" s="82">
        <f t="shared" ref="DZ73:DZ106" si="159">IFERROR((AD73*V73/1000),0)</f>
        <v>9.9000000000000008E-3</v>
      </c>
      <c r="EA73" s="82">
        <f t="shared" ref="EA73:EA106" si="160">IFERROR((AE73*V73/1000),0)</f>
        <v>0.43695000000000001</v>
      </c>
      <c r="EB73" s="82">
        <f t="shared" ref="EB73:EB106" si="161">BX73-EA73</f>
        <v>2.09877</v>
      </c>
      <c r="EC73" s="82">
        <f t="shared" si="76"/>
        <v>2.10867</v>
      </c>
      <c r="EF73" s="83">
        <f t="shared" si="106"/>
        <v>-77.780000000000015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1"/>
        <v>IBC3604-7x3-H9D14</v>
      </c>
      <c r="H74" s="46" t="str">
        <f t="shared" si="132"/>
        <v>C3604IB70DH9</v>
      </c>
      <c r="I74" s="46" t="str">
        <f t="shared" si="133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4"/>
        <v>28</v>
      </c>
      <c r="T74" s="51">
        <v>22.53</v>
      </c>
      <c r="U74" s="92">
        <v>28</v>
      </c>
      <c r="V74" s="100">
        <v>3.3769999999999998</v>
      </c>
      <c r="W74" s="93">
        <f t="shared" si="113"/>
        <v>0</v>
      </c>
      <c r="X74" s="93">
        <f t="shared" si="114"/>
        <v>1776</v>
      </c>
      <c r="Y74" s="93">
        <f t="shared" si="115"/>
        <v>0</v>
      </c>
      <c r="Z74" s="93">
        <f t="shared" si="116"/>
        <v>0</v>
      </c>
      <c r="AA74" s="93">
        <f t="shared" si="117"/>
        <v>0</v>
      </c>
      <c r="AB74" s="93">
        <f t="shared" si="118"/>
        <v>0</v>
      </c>
      <c r="AC74" s="93">
        <f t="shared" si="119"/>
        <v>0</v>
      </c>
      <c r="AD74" s="93">
        <f t="shared" si="120"/>
        <v>5</v>
      </c>
      <c r="AE74" s="93">
        <f t="shared" si="135"/>
        <v>1776</v>
      </c>
      <c r="AF74" s="54">
        <f t="shared" si="136"/>
        <v>1776</v>
      </c>
      <c r="AG74" s="94">
        <f t="shared" ref="AG74:AG106" si="162">T74</f>
        <v>22.53</v>
      </c>
      <c r="AH74" s="56">
        <f t="shared" si="137"/>
        <v>0.53</v>
      </c>
      <c r="AI74" s="93">
        <v>13</v>
      </c>
      <c r="AJ74" s="93">
        <f t="shared" ref="AJ74:AJ106" si="163">$CI74</f>
        <v>290</v>
      </c>
      <c r="AK74" s="95">
        <f t="shared" si="138"/>
        <v>0.63611138529705313</v>
      </c>
      <c r="AL74" s="58">
        <f t="shared" si="38"/>
        <v>13.17</v>
      </c>
      <c r="AM74" s="55">
        <f t="shared" ref="AM74:AM106" si="164">IF(V74="","",AG74+U74-AL74)</f>
        <v>37.36</v>
      </c>
      <c r="AN74" s="93"/>
      <c r="AO74" s="96"/>
      <c r="AP74" s="96">
        <f>$CJ74</f>
        <v>6000</v>
      </c>
      <c r="AQ74" s="96"/>
      <c r="AR74" s="96"/>
      <c r="AS74" s="96"/>
      <c r="AT74" s="96"/>
      <c r="AU74" s="96">
        <f t="shared" si="139"/>
        <v>0</v>
      </c>
      <c r="AV74" s="96">
        <f t="shared" si="139"/>
        <v>20</v>
      </c>
      <c r="AW74" s="96">
        <f t="shared" si="140"/>
        <v>6020</v>
      </c>
      <c r="AX74" s="96">
        <f t="shared" si="141"/>
        <v>1782</v>
      </c>
      <c r="AY74" s="94">
        <f t="shared" ref="AY74:AY106" si="165">IF(V74="","",AW74-AL74*$E74*$V74)</f>
        <v>15.862850000000435</v>
      </c>
      <c r="AZ74" s="94">
        <f t="shared" si="142"/>
        <v>4.6973201066036232</v>
      </c>
      <c r="BA74" s="94">
        <f t="shared" si="43"/>
        <v>37.36</v>
      </c>
      <c r="BB74" s="97">
        <f t="shared" si="44"/>
        <v>0.36</v>
      </c>
      <c r="BC74" s="93"/>
      <c r="BD74" s="93">
        <f t="shared" si="143"/>
        <v>0</v>
      </c>
      <c r="BE74" s="95">
        <f t="shared" si="144"/>
        <v>1</v>
      </c>
      <c r="BF74" s="58">
        <f t="shared" si="47"/>
        <v>0</v>
      </c>
      <c r="BG74" s="94">
        <f t="shared" si="145"/>
        <v>37.36</v>
      </c>
      <c r="BH74" s="89"/>
      <c r="BI74" s="89"/>
      <c r="BJ74" s="92">
        <f>$CN74</f>
        <v>0</v>
      </c>
      <c r="BK74" s="89"/>
      <c r="BL74" s="89"/>
      <c r="BM74" s="89"/>
      <c r="BN74" s="89"/>
      <c r="BO74" s="92">
        <f t="shared" ref="BO74:BP103" si="166">CO74</f>
        <v>0</v>
      </c>
      <c r="BP74" s="92">
        <f t="shared" si="166"/>
        <v>0</v>
      </c>
      <c r="BQ74" s="96">
        <f t="shared" si="146"/>
        <v>0</v>
      </c>
      <c r="BR74" s="96">
        <f t="shared" si="147"/>
        <v>0</v>
      </c>
      <c r="BS74" s="96">
        <f t="shared" ref="BS74:BS106" si="167">IF(AA74="","",-BF74*$E74*$V74+BQ74)</f>
        <v>0</v>
      </c>
      <c r="BT74" s="96">
        <f t="shared" si="148"/>
        <v>0</v>
      </c>
      <c r="BU74" s="92">
        <f t="shared" si="121"/>
        <v>1776</v>
      </c>
      <c r="BV74" s="98">
        <f t="shared" ref="BV74:BV106" si="168">IFERROR(BF74+AL74,"")</f>
        <v>13.17</v>
      </c>
      <c r="BW74" s="92">
        <f t="shared" si="122"/>
        <v>4.6973201066036232</v>
      </c>
      <c r="BX74" s="98">
        <f t="shared" si="149"/>
        <v>12.906599999999999</v>
      </c>
      <c r="BY74" s="61">
        <f>IFERROR(BF74+AL74,0)</f>
        <v>13.17</v>
      </c>
      <c r="BZ74" s="62">
        <f t="shared" si="150"/>
        <v>13.17</v>
      </c>
      <c r="CA74" s="98">
        <f t="shared" si="151"/>
        <v>6.02</v>
      </c>
      <c r="CB74" s="92">
        <f t="shared" si="123"/>
        <v>1782</v>
      </c>
      <c r="CC74" s="92">
        <f t="shared" si="123"/>
        <v>15.862850000000435</v>
      </c>
      <c r="CD74" s="92">
        <f t="shared" si="123"/>
        <v>4.6973201066036232</v>
      </c>
      <c r="CE74" s="99"/>
      <c r="CF74" s="99"/>
      <c r="CG74" s="51">
        <f t="shared" si="152"/>
        <v>6.9065999999999992</v>
      </c>
      <c r="CH74" s="62">
        <f t="shared" si="153"/>
        <v>6.9065999999999992</v>
      </c>
      <c r="CI74" s="89">
        <v>290</v>
      </c>
      <c r="CJ74" s="89">
        <v>6000</v>
      </c>
      <c r="CK74" s="89"/>
      <c r="CL74" s="96">
        <v>20</v>
      </c>
      <c r="CM74" s="89"/>
      <c r="CN74" s="89"/>
      <c r="CO74" s="92"/>
      <c r="CP74" s="101"/>
      <c r="CQ74" s="102">
        <f t="shared" si="100"/>
        <v>1776</v>
      </c>
      <c r="CR74" s="102">
        <f t="shared" si="100"/>
        <v>0</v>
      </c>
      <c r="CS74" s="102">
        <f t="shared" si="100"/>
        <v>5</v>
      </c>
      <c r="CT74" s="92">
        <f t="shared" si="154"/>
        <v>0</v>
      </c>
      <c r="CU74" s="92">
        <f t="shared" si="101"/>
        <v>0</v>
      </c>
      <c r="CV74" s="103">
        <f t="shared" si="101"/>
        <v>0</v>
      </c>
      <c r="CW74" s="104" t="s">
        <v>147</v>
      </c>
      <c r="CX74" s="105">
        <v>22</v>
      </c>
      <c r="CY74" s="106">
        <f t="shared" si="155"/>
        <v>1840</v>
      </c>
      <c r="CZ74" s="106">
        <f t="shared" si="156"/>
        <v>89.100000000000009</v>
      </c>
      <c r="DA74" s="106"/>
      <c r="DB74" s="106"/>
      <c r="DC74" s="105"/>
      <c r="DD74" s="107"/>
      <c r="DE74" s="92">
        <f t="shared" si="124"/>
        <v>1776</v>
      </c>
      <c r="DF74" s="108">
        <f t="shared" si="125"/>
        <v>13.17</v>
      </c>
      <c r="DG74" s="115">
        <f t="shared" si="126"/>
        <v>4.6973201066036232</v>
      </c>
      <c r="DH74" s="110">
        <f t="shared" si="127"/>
        <v>0</v>
      </c>
      <c r="DI74" s="108">
        <f t="shared" si="128"/>
        <v>0</v>
      </c>
      <c r="DJ74" s="112">
        <f t="shared" si="129"/>
        <v>0</v>
      </c>
      <c r="DK74" s="110">
        <f t="shared" si="87"/>
        <v>1776</v>
      </c>
      <c r="DL74" s="108">
        <f t="shared" si="87"/>
        <v>13.17</v>
      </c>
      <c r="DM74" s="111">
        <f t="shared" si="87"/>
        <v>4.6973201066036232</v>
      </c>
      <c r="DN74" s="76">
        <v>22</v>
      </c>
      <c r="DO74" s="76">
        <f t="shared" si="90"/>
        <v>28</v>
      </c>
      <c r="DP74" s="112"/>
      <c r="DQ74" s="112"/>
      <c r="DR74" s="113" t="s">
        <v>328</v>
      </c>
      <c r="DS74" s="112"/>
      <c r="DT74" s="112"/>
      <c r="DU74" s="111"/>
      <c r="DV74" s="114"/>
      <c r="DW74" s="80">
        <f t="shared" ref="DW74:DW76" si="169">IFERROR(AL74+BF74,"")</f>
        <v>13.17</v>
      </c>
      <c r="DX74" s="81">
        <f t="shared" si="130"/>
        <v>1793.8673201066038</v>
      </c>
      <c r="DY74" s="80">
        <f t="shared" si="158"/>
        <v>1781</v>
      </c>
      <c r="DZ74" s="82">
        <f t="shared" si="159"/>
        <v>1.6884999999999997E-2</v>
      </c>
      <c r="EA74" s="82">
        <f t="shared" si="160"/>
        <v>5.9975519999999998</v>
      </c>
      <c r="EB74" s="82">
        <f t="shared" si="161"/>
        <v>6.9090479999999994</v>
      </c>
      <c r="EC74" s="82">
        <f t="shared" ref="EC74:EC75" si="170">(BX74-CA74)+((AV74+BP74)/1000)</f>
        <v>6.9065999999999992</v>
      </c>
      <c r="EF74" s="83">
        <f t="shared" si="106"/>
        <v>4.6973201066036232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1"/>
        <v>IBC3604-5x3-H9B14</v>
      </c>
      <c r="H75" s="46" t="str">
        <f t="shared" si="132"/>
        <v>C3604IB50DH9</v>
      </c>
      <c r="I75" s="46" t="str">
        <f t="shared" si="133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4"/>
        <v>82</v>
      </c>
      <c r="T75" s="51">
        <v>120</v>
      </c>
      <c r="U75" s="92">
        <v>98</v>
      </c>
      <c r="V75" s="100">
        <v>2.65</v>
      </c>
      <c r="W75" s="93">
        <f t="shared" si="113"/>
        <v>0</v>
      </c>
      <c r="X75" s="93">
        <f t="shared" si="114"/>
        <v>0</v>
      </c>
      <c r="Y75" s="93">
        <f t="shared" si="115"/>
        <v>0</v>
      </c>
      <c r="Z75" s="93">
        <f t="shared" si="116"/>
        <v>0</v>
      </c>
      <c r="AA75" s="93">
        <f t="shared" si="117"/>
        <v>0</v>
      </c>
      <c r="AB75" s="93">
        <f t="shared" si="118"/>
        <v>0</v>
      </c>
      <c r="AC75" s="93">
        <f t="shared" si="119"/>
        <v>0</v>
      </c>
      <c r="AD75" s="93">
        <f t="shared" si="120"/>
        <v>0</v>
      </c>
      <c r="AE75" s="93">
        <f t="shared" si="135"/>
        <v>0</v>
      </c>
      <c r="AF75" s="54">
        <f t="shared" si="136"/>
        <v>0</v>
      </c>
      <c r="AG75" s="94">
        <f t="shared" si="162"/>
        <v>120</v>
      </c>
      <c r="AH75" s="56">
        <f t="shared" si="137"/>
        <v>0</v>
      </c>
      <c r="AI75" s="93"/>
      <c r="AJ75" s="93">
        <f t="shared" si="163"/>
        <v>0</v>
      </c>
      <c r="AK75" s="95">
        <f t="shared" si="138"/>
        <v>1</v>
      </c>
      <c r="AL75" s="58">
        <f t="shared" si="38"/>
        <v>0</v>
      </c>
      <c r="AM75" s="55">
        <f t="shared" si="164"/>
        <v>218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39"/>
        <v>0</v>
      </c>
      <c r="AV75" s="96">
        <f t="shared" si="139"/>
        <v>0</v>
      </c>
      <c r="AW75" s="96">
        <f t="shared" si="140"/>
        <v>0</v>
      </c>
      <c r="AX75" s="96">
        <f t="shared" si="141"/>
        <v>0</v>
      </c>
      <c r="AY75" s="94">
        <f t="shared" si="165"/>
        <v>0</v>
      </c>
      <c r="AZ75" s="94">
        <f t="shared" si="142"/>
        <v>0</v>
      </c>
      <c r="BA75" s="94">
        <f t="shared" ref="BA75:BA106" si="171">AM75</f>
        <v>218</v>
      </c>
      <c r="BB75" s="97">
        <f t="shared" ref="BB75:BB106" si="172">VALUE("0"&amp;RIGHT(BA75,(LEN(BA75)-LEN(TRUNC(BA75)))))</f>
        <v>0</v>
      </c>
      <c r="BC75" s="93"/>
      <c r="BD75" s="93">
        <f t="shared" si="143"/>
        <v>0</v>
      </c>
      <c r="BE75" s="95">
        <f t="shared" si="144"/>
        <v>1</v>
      </c>
      <c r="BF75" s="58">
        <f t="shared" si="47"/>
        <v>0</v>
      </c>
      <c r="BG75" s="94">
        <f t="shared" si="145"/>
        <v>218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6"/>
        <v>0</v>
      </c>
      <c r="BP75" s="92">
        <f t="shared" si="166"/>
        <v>0</v>
      </c>
      <c r="BQ75" s="96">
        <f t="shared" si="146"/>
        <v>0</v>
      </c>
      <c r="BR75" s="96">
        <f t="shared" si="147"/>
        <v>0</v>
      </c>
      <c r="BS75" s="96">
        <f t="shared" si="167"/>
        <v>0</v>
      </c>
      <c r="BT75" s="96">
        <f t="shared" si="148"/>
        <v>0</v>
      </c>
      <c r="BU75" s="92">
        <f t="shared" si="121"/>
        <v>0</v>
      </c>
      <c r="BV75" s="98">
        <f t="shared" si="168"/>
        <v>0</v>
      </c>
      <c r="BW75" s="92">
        <f t="shared" si="122"/>
        <v>0</v>
      </c>
      <c r="BX75" s="98">
        <f t="shared" si="149"/>
        <v>0</v>
      </c>
      <c r="BY75" s="61">
        <f t="shared" ref="BY75:BY106" si="173">IFERROR(BF75+AL75,0)</f>
        <v>0</v>
      </c>
      <c r="BZ75" s="62">
        <f t="shared" si="150"/>
        <v>0</v>
      </c>
      <c r="CA75" s="98">
        <f t="shared" si="151"/>
        <v>0</v>
      </c>
      <c r="CB75" s="92">
        <f t="shared" si="123"/>
        <v>0</v>
      </c>
      <c r="CC75" s="92">
        <f t="shared" si="123"/>
        <v>0</v>
      </c>
      <c r="CD75" s="92">
        <f t="shared" si="123"/>
        <v>0</v>
      </c>
      <c r="CE75" s="99"/>
      <c r="CF75" s="99"/>
      <c r="CG75" s="51">
        <f t="shared" si="152"/>
        <v>0</v>
      </c>
      <c r="CH75" s="62">
        <f t="shared" si="153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100"/>
        <v>0</v>
      </c>
      <c r="CR75" s="102">
        <f t="shared" si="100"/>
        <v>0</v>
      </c>
      <c r="CS75" s="102">
        <f t="shared" si="100"/>
        <v>0</v>
      </c>
      <c r="CT75" s="92">
        <f t="shared" si="154"/>
        <v>0</v>
      </c>
      <c r="CU75" s="92">
        <f t="shared" si="101"/>
        <v>0</v>
      </c>
      <c r="CV75" s="103">
        <f t="shared" si="101"/>
        <v>0</v>
      </c>
      <c r="CW75" s="104" t="s">
        <v>147</v>
      </c>
      <c r="CX75" s="105">
        <v>11</v>
      </c>
      <c r="CY75" s="106">
        <f t="shared" si="155"/>
        <v>3043</v>
      </c>
      <c r="CZ75" s="106">
        <f t="shared" si="156"/>
        <v>44.550000000000004</v>
      </c>
      <c r="DA75" s="106"/>
      <c r="DB75" s="106"/>
      <c r="DC75" s="105"/>
      <c r="DD75" s="107"/>
      <c r="DE75" s="92">
        <f t="shared" si="124"/>
        <v>0</v>
      </c>
      <c r="DF75" s="108">
        <f t="shared" si="125"/>
        <v>0</v>
      </c>
      <c r="DG75" s="115">
        <f t="shared" si="126"/>
        <v>0</v>
      </c>
      <c r="DH75" s="110">
        <f t="shared" si="127"/>
        <v>0</v>
      </c>
      <c r="DI75" s="108">
        <f t="shared" si="128"/>
        <v>0</v>
      </c>
      <c r="DJ75" s="112">
        <f t="shared" si="129"/>
        <v>0</v>
      </c>
      <c r="DK75" s="110">
        <f t="shared" si="87"/>
        <v>0</v>
      </c>
      <c r="DL75" s="108">
        <f t="shared" si="87"/>
        <v>0</v>
      </c>
      <c r="DM75" s="111">
        <f t="shared" si="87"/>
        <v>0</v>
      </c>
      <c r="DN75" s="76">
        <f t="shared" si="90"/>
        <v>120</v>
      </c>
      <c r="DO75" s="76">
        <f t="shared" si="90"/>
        <v>98</v>
      </c>
      <c r="DP75" s="112"/>
      <c r="DQ75" s="112"/>
      <c r="DR75" s="113" t="s">
        <v>331</v>
      </c>
      <c r="DS75" s="112"/>
      <c r="DT75" s="112"/>
      <c r="DU75" s="111"/>
      <c r="DV75" s="114"/>
      <c r="DW75" s="80">
        <f t="shared" si="169"/>
        <v>0</v>
      </c>
      <c r="DX75" s="81">
        <f t="shared" si="130"/>
        <v>0</v>
      </c>
      <c r="DY75" s="80">
        <f t="shared" si="158"/>
        <v>0</v>
      </c>
      <c r="DZ75" s="82">
        <f t="shared" si="159"/>
        <v>0</v>
      </c>
      <c r="EA75" s="82">
        <f t="shared" si="160"/>
        <v>0</v>
      </c>
      <c r="EB75" s="82">
        <f t="shared" si="161"/>
        <v>0</v>
      </c>
      <c r="EC75" s="82">
        <f t="shared" si="170"/>
        <v>0</v>
      </c>
      <c r="EF75" s="83">
        <f t="shared" si="106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1"/>
        <v>GAA5052-5.7x3-H9A14</v>
      </c>
      <c r="H76" s="46" t="str">
        <f t="shared" si="132"/>
        <v>A5052GA5.70DH9</v>
      </c>
      <c r="I76" s="46" t="str">
        <f t="shared" si="133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4"/>
        <v>22</v>
      </c>
      <c r="T76" s="51">
        <v>11</v>
      </c>
      <c r="U76" s="92">
        <v>14</v>
      </c>
      <c r="V76" s="100">
        <v>0.15</v>
      </c>
      <c r="W76" s="93">
        <f t="shared" si="113"/>
        <v>0</v>
      </c>
      <c r="X76" s="93">
        <f t="shared" si="114"/>
        <v>0</v>
      </c>
      <c r="Y76" s="93">
        <f t="shared" si="115"/>
        <v>0</v>
      </c>
      <c r="Z76" s="93">
        <f t="shared" si="116"/>
        <v>0</v>
      </c>
      <c r="AA76" s="93">
        <f t="shared" si="117"/>
        <v>0</v>
      </c>
      <c r="AB76" s="93">
        <f t="shared" si="118"/>
        <v>2433</v>
      </c>
      <c r="AC76" s="93">
        <f t="shared" si="119"/>
        <v>0</v>
      </c>
      <c r="AD76" s="93">
        <f t="shared" si="120"/>
        <v>200</v>
      </c>
      <c r="AE76" s="93">
        <f t="shared" si="135"/>
        <v>2433</v>
      </c>
      <c r="AF76" s="54">
        <f t="shared" si="136"/>
        <v>2433</v>
      </c>
      <c r="AG76" s="94">
        <f t="shared" si="162"/>
        <v>11</v>
      </c>
      <c r="AH76" s="56">
        <f t="shared" si="137"/>
        <v>0</v>
      </c>
      <c r="AI76" s="93">
        <v>6</v>
      </c>
      <c r="AJ76" s="93">
        <f t="shared" si="163"/>
        <v>16</v>
      </c>
      <c r="AK76" s="95">
        <f t="shared" si="138"/>
        <v>0.44444444444444448</v>
      </c>
      <c r="AL76" s="58">
        <f t="shared" ref="AL76:AL108" si="174">IF(V76="","",MAX(ROUNDUP((IF(AI76+AJ76=0,0,AH76)+AI76+AK76-1),2),0))</f>
        <v>5.45</v>
      </c>
      <c r="AM76" s="55">
        <f t="shared" si="164"/>
        <v>19.55</v>
      </c>
      <c r="AN76" s="93"/>
      <c r="AO76" s="96"/>
      <c r="AP76" s="96"/>
      <c r="AQ76" s="96"/>
      <c r="AR76" s="96"/>
      <c r="AS76" s="96"/>
      <c r="AT76" s="96">
        <f>$CJ76</f>
        <v>205</v>
      </c>
      <c r="AU76" s="96">
        <f t="shared" si="139"/>
        <v>0</v>
      </c>
      <c r="AV76" s="96">
        <f t="shared" si="139"/>
        <v>0</v>
      </c>
      <c r="AW76" s="96">
        <f t="shared" si="140"/>
        <v>205</v>
      </c>
      <c r="AX76" s="96">
        <f t="shared" si="141"/>
        <v>1366</v>
      </c>
      <c r="AY76" s="94">
        <f t="shared" si="165"/>
        <v>8.8000000000000114</v>
      </c>
      <c r="AZ76" s="94">
        <f t="shared" si="142"/>
        <v>58.666666666666742</v>
      </c>
      <c r="BA76" s="94">
        <f t="shared" si="171"/>
        <v>19.55</v>
      </c>
      <c r="BB76" s="97">
        <f t="shared" si="172"/>
        <v>0.55000000000000004</v>
      </c>
      <c r="BC76" s="93">
        <v>5</v>
      </c>
      <c r="BD76" s="93">
        <f t="shared" si="143"/>
        <v>0</v>
      </c>
      <c r="BE76" s="95">
        <f t="shared" si="144"/>
        <v>1</v>
      </c>
      <c r="BF76" s="58">
        <f t="shared" si="47"/>
        <v>5.55</v>
      </c>
      <c r="BG76" s="94">
        <f t="shared" si="145"/>
        <v>14</v>
      </c>
      <c r="BH76" s="89"/>
      <c r="BI76" s="89"/>
      <c r="BJ76" s="92"/>
      <c r="BK76" s="89"/>
      <c r="BL76" s="89"/>
      <c r="BM76" s="89"/>
      <c r="BN76" s="92">
        <f>$CN76</f>
        <v>160</v>
      </c>
      <c r="BO76" s="92">
        <f t="shared" si="166"/>
        <v>0</v>
      </c>
      <c r="BP76" s="92">
        <f t="shared" si="166"/>
        <v>30</v>
      </c>
      <c r="BQ76" s="96">
        <f t="shared" si="146"/>
        <v>190</v>
      </c>
      <c r="BR76" s="96">
        <f t="shared" si="147"/>
        <v>1266</v>
      </c>
      <c r="BS76" s="96">
        <f t="shared" si="167"/>
        <v>-9.7999999999999829</v>
      </c>
      <c r="BT76" s="96">
        <f t="shared" si="148"/>
        <v>-65.333333333333229</v>
      </c>
      <c r="BU76" s="92">
        <f t="shared" si="121"/>
        <v>2433</v>
      </c>
      <c r="BV76" s="98">
        <f t="shared" si="168"/>
        <v>11</v>
      </c>
      <c r="BW76" s="92">
        <f t="shared" si="122"/>
        <v>-6.6666666666664867</v>
      </c>
      <c r="BX76" s="98">
        <f t="shared" si="149"/>
        <v>2.2439999999999998</v>
      </c>
      <c r="BY76" s="61">
        <f>IFERROR(BF76+AL76,0)</f>
        <v>11</v>
      </c>
      <c r="BZ76" s="62">
        <f t="shared" si="150"/>
        <v>11</v>
      </c>
      <c r="CA76" s="98">
        <f t="shared" si="151"/>
        <v>0.39500000000000002</v>
      </c>
      <c r="CB76" s="92">
        <f t="shared" si="123"/>
        <v>2632</v>
      </c>
      <c r="CC76" s="92">
        <f t="shared" si="123"/>
        <v>-0.99999999999997158</v>
      </c>
      <c r="CD76" s="92">
        <f t="shared" si="123"/>
        <v>-6.6666666666664867</v>
      </c>
      <c r="CE76" s="99"/>
      <c r="CF76" s="99"/>
      <c r="CG76" s="51">
        <f t="shared" si="152"/>
        <v>1.8789999999999998</v>
      </c>
      <c r="CH76" s="62">
        <f t="shared" si="153"/>
        <v>1.8789999999999998</v>
      </c>
      <c r="CI76" s="89">
        <v>16</v>
      </c>
      <c r="CJ76" s="89">
        <v>205</v>
      </c>
      <c r="CK76" s="89"/>
      <c r="CL76" s="96"/>
      <c r="CM76" s="89"/>
      <c r="CN76" s="89">
        <v>160</v>
      </c>
      <c r="CO76" s="92"/>
      <c r="CP76" s="101">
        <v>30</v>
      </c>
      <c r="CQ76" s="102">
        <f t="shared" si="100"/>
        <v>1366</v>
      </c>
      <c r="CR76" s="102">
        <f t="shared" si="100"/>
        <v>0</v>
      </c>
      <c r="CS76" s="102">
        <f t="shared" si="100"/>
        <v>0</v>
      </c>
      <c r="CT76" s="92">
        <f t="shared" si="154"/>
        <v>1067</v>
      </c>
      <c r="CU76" s="92">
        <f t="shared" si="101"/>
        <v>0</v>
      </c>
      <c r="CV76" s="103">
        <f t="shared" si="101"/>
        <v>200</v>
      </c>
      <c r="CW76" s="104" t="s">
        <v>147</v>
      </c>
      <c r="CX76" s="105">
        <v>16</v>
      </c>
      <c r="CY76" s="106">
        <f t="shared" si="155"/>
        <v>2565</v>
      </c>
      <c r="CZ76" s="106">
        <f t="shared" si="156"/>
        <v>64.800000000000011</v>
      </c>
      <c r="DA76" s="106"/>
      <c r="DB76" s="106"/>
      <c r="DC76" s="105"/>
      <c r="DD76" s="107"/>
      <c r="DE76" s="92">
        <f t="shared" si="124"/>
        <v>1366</v>
      </c>
      <c r="DF76" s="108">
        <f t="shared" si="125"/>
        <v>5.45</v>
      </c>
      <c r="DG76" s="115">
        <f t="shared" si="126"/>
        <v>58.666666666666742</v>
      </c>
      <c r="DH76" s="110">
        <f t="shared" si="127"/>
        <v>1067</v>
      </c>
      <c r="DI76" s="108">
        <f t="shared" si="128"/>
        <v>5.55</v>
      </c>
      <c r="DJ76" s="112">
        <f t="shared" si="129"/>
        <v>-65.333333333333229</v>
      </c>
      <c r="DK76" s="110">
        <f t="shared" si="87"/>
        <v>2433</v>
      </c>
      <c r="DL76" s="108">
        <f t="shared" si="87"/>
        <v>11</v>
      </c>
      <c r="DM76" s="111">
        <f t="shared" si="87"/>
        <v>-6.6666666666664867</v>
      </c>
      <c r="DN76" s="76">
        <f t="shared" si="90"/>
        <v>11</v>
      </c>
      <c r="DO76" s="76">
        <f t="shared" si="90"/>
        <v>14</v>
      </c>
      <c r="DP76" s="112"/>
      <c r="DQ76" s="112"/>
      <c r="DR76" s="113" t="s">
        <v>333</v>
      </c>
      <c r="DS76" s="112"/>
      <c r="DT76" s="112"/>
      <c r="DU76" s="111"/>
      <c r="DV76" s="114"/>
      <c r="DW76" s="80">
        <f t="shared" si="169"/>
        <v>11</v>
      </c>
      <c r="DX76" s="81">
        <f t="shared" si="130"/>
        <v>2437.3333333333335</v>
      </c>
      <c r="DY76" s="80">
        <f t="shared" si="158"/>
        <v>2633</v>
      </c>
      <c r="DZ76" s="82">
        <f t="shared" si="159"/>
        <v>0.03</v>
      </c>
      <c r="EA76" s="82">
        <f t="shared" si="160"/>
        <v>0.36495</v>
      </c>
      <c r="EB76" s="82">
        <f t="shared" si="161"/>
        <v>1.8790499999999999</v>
      </c>
      <c r="EC76" s="82">
        <f t="shared" si="76"/>
        <v>1.9090499999999999</v>
      </c>
      <c r="EF76" s="83">
        <f t="shared" si="106"/>
        <v>-6.6666666666664867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1"/>
        <v>GAA5052-5.7x3-H9A14</v>
      </c>
      <c r="H77" s="46" t="str">
        <f t="shared" si="132"/>
        <v>A5052GA5.70DH9</v>
      </c>
      <c r="I77" s="46" t="str">
        <f t="shared" si="133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4"/>
        <v>16</v>
      </c>
      <c r="T77" s="51">
        <v>12</v>
      </c>
      <c r="U77" s="92">
        <v>14</v>
      </c>
      <c r="V77" s="100">
        <v>0.15</v>
      </c>
      <c r="W77" s="93">
        <f t="shared" si="113"/>
        <v>0</v>
      </c>
      <c r="X77" s="93">
        <f t="shared" si="114"/>
        <v>0</v>
      </c>
      <c r="Y77" s="93">
        <f t="shared" si="115"/>
        <v>0</v>
      </c>
      <c r="Z77" s="93">
        <f t="shared" si="116"/>
        <v>0</v>
      </c>
      <c r="AA77" s="93">
        <f t="shared" si="117"/>
        <v>0</v>
      </c>
      <c r="AB77" s="93">
        <f t="shared" si="118"/>
        <v>1946</v>
      </c>
      <c r="AC77" s="93">
        <f t="shared" si="119"/>
        <v>0</v>
      </c>
      <c r="AD77" s="93">
        <f t="shared" si="120"/>
        <v>133</v>
      </c>
      <c r="AE77" s="93">
        <f t="shared" si="135"/>
        <v>1946</v>
      </c>
      <c r="AF77" s="54">
        <f t="shared" si="136"/>
        <v>1946</v>
      </c>
      <c r="AG77" s="94">
        <f t="shared" si="162"/>
        <v>12</v>
      </c>
      <c r="AH77" s="56">
        <f t="shared" si="137"/>
        <v>0</v>
      </c>
      <c r="AI77" s="93">
        <v>2</v>
      </c>
      <c r="AJ77" s="93">
        <f t="shared" si="163"/>
        <v>0</v>
      </c>
      <c r="AK77" s="95">
        <f t="shared" si="138"/>
        <v>1</v>
      </c>
      <c r="AL77" s="58">
        <f t="shared" si="174"/>
        <v>2</v>
      </c>
      <c r="AM77" s="55">
        <f t="shared" si="164"/>
        <v>24</v>
      </c>
      <c r="AN77" s="93"/>
      <c r="AO77" s="96"/>
      <c r="AP77" s="96"/>
      <c r="AQ77" s="96"/>
      <c r="AR77" s="96"/>
      <c r="AS77" s="96"/>
      <c r="AT77" s="96">
        <f>$CJ77</f>
        <v>82</v>
      </c>
      <c r="AU77" s="96">
        <f t="shared" si="139"/>
        <v>0</v>
      </c>
      <c r="AV77" s="96">
        <f t="shared" si="139"/>
        <v>0</v>
      </c>
      <c r="AW77" s="96">
        <f t="shared" si="140"/>
        <v>82</v>
      </c>
      <c r="AX77" s="96">
        <f t="shared" si="141"/>
        <v>546</v>
      </c>
      <c r="AY77" s="94">
        <f t="shared" si="165"/>
        <v>10</v>
      </c>
      <c r="AZ77" s="94">
        <f t="shared" si="142"/>
        <v>66.666666666666671</v>
      </c>
      <c r="BA77" s="94">
        <f t="shared" si="171"/>
        <v>24</v>
      </c>
      <c r="BB77" s="97">
        <f t="shared" si="172"/>
        <v>0</v>
      </c>
      <c r="BC77" s="93">
        <v>6</v>
      </c>
      <c r="BD77" s="93">
        <f t="shared" si="143"/>
        <v>0</v>
      </c>
      <c r="BE77" s="95">
        <f t="shared" si="144"/>
        <v>1</v>
      </c>
      <c r="BF77" s="58">
        <f t="shared" ref="BF77:BF106" si="175">IF(V77="","",MAX(ROUNDUP((IF(BC77+BD77=0,0,BB77)+BC77+BE77-1),2),0))</f>
        <v>6</v>
      </c>
      <c r="BG77" s="94">
        <f t="shared" si="145"/>
        <v>18</v>
      </c>
      <c r="BH77" s="89"/>
      <c r="BI77" s="89"/>
      <c r="BJ77" s="89"/>
      <c r="BK77" s="89"/>
      <c r="BL77" s="89"/>
      <c r="BM77" s="89"/>
      <c r="BN77" s="92">
        <f>$CN77</f>
        <v>210</v>
      </c>
      <c r="BO77" s="92">
        <f t="shared" si="166"/>
        <v>0</v>
      </c>
      <c r="BP77" s="92">
        <f t="shared" si="166"/>
        <v>20</v>
      </c>
      <c r="BQ77" s="96">
        <f t="shared" si="146"/>
        <v>230</v>
      </c>
      <c r="BR77" s="96">
        <f t="shared" si="147"/>
        <v>1533</v>
      </c>
      <c r="BS77" s="96">
        <f t="shared" si="167"/>
        <v>14</v>
      </c>
      <c r="BT77" s="96">
        <f t="shared" si="148"/>
        <v>93.333333333333343</v>
      </c>
      <c r="BU77" s="92">
        <f t="shared" si="121"/>
        <v>1946</v>
      </c>
      <c r="BV77" s="98">
        <f t="shared" si="168"/>
        <v>8</v>
      </c>
      <c r="BW77" s="92">
        <f t="shared" si="122"/>
        <v>160</v>
      </c>
      <c r="BX77" s="98">
        <f t="shared" si="149"/>
        <v>1.6319999999999999</v>
      </c>
      <c r="BY77" s="61">
        <f t="shared" si="173"/>
        <v>8</v>
      </c>
      <c r="BZ77" s="62">
        <f t="shared" si="150"/>
        <v>8</v>
      </c>
      <c r="CA77" s="98">
        <f t="shared" si="151"/>
        <v>0.312</v>
      </c>
      <c r="CB77" s="92">
        <f t="shared" si="123"/>
        <v>2079</v>
      </c>
      <c r="CC77" s="92">
        <f t="shared" si="123"/>
        <v>24</v>
      </c>
      <c r="CD77" s="92">
        <f t="shared" si="123"/>
        <v>160</v>
      </c>
      <c r="CE77" s="99"/>
      <c r="CF77" s="99"/>
      <c r="CG77" s="51">
        <f t="shared" si="152"/>
        <v>1.3399999999999999</v>
      </c>
      <c r="CH77" s="62">
        <f t="shared" si="153"/>
        <v>1.3399999999999999</v>
      </c>
      <c r="CI77" s="89"/>
      <c r="CJ77" s="89">
        <v>82</v>
      </c>
      <c r="CK77" s="89"/>
      <c r="CL77" s="96"/>
      <c r="CM77" s="89"/>
      <c r="CN77" s="89">
        <v>210</v>
      </c>
      <c r="CO77" s="92"/>
      <c r="CP77" s="101">
        <v>20</v>
      </c>
      <c r="CQ77" s="102">
        <f t="shared" si="100"/>
        <v>546</v>
      </c>
      <c r="CR77" s="102">
        <f t="shared" si="100"/>
        <v>0</v>
      </c>
      <c r="CS77" s="102">
        <f t="shared" si="100"/>
        <v>0</v>
      </c>
      <c r="CT77" s="92">
        <f t="shared" si="154"/>
        <v>1400</v>
      </c>
      <c r="CU77" s="92">
        <f t="shared" si="101"/>
        <v>0</v>
      </c>
      <c r="CV77" s="103">
        <f t="shared" si="101"/>
        <v>133</v>
      </c>
      <c r="CW77" s="104" t="s">
        <v>147</v>
      </c>
      <c r="CX77" s="105">
        <v>21.26</v>
      </c>
      <c r="CY77" s="106">
        <f t="shared" si="155"/>
        <v>1955</v>
      </c>
      <c r="CZ77" s="106">
        <f t="shared" si="156"/>
        <v>86.103000000000023</v>
      </c>
      <c r="DA77" s="106"/>
      <c r="DB77" s="106"/>
      <c r="DC77" s="105"/>
      <c r="DD77" s="107"/>
      <c r="DE77" s="92">
        <f t="shared" si="124"/>
        <v>546</v>
      </c>
      <c r="DF77" s="108">
        <f t="shared" si="125"/>
        <v>2</v>
      </c>
      <c r="DG77" s="115">
        <f t="shared" si="126"/>
        <v>66.666666666666671</v>
      </c>
      <c r="DH77" s="110">
        <f t="shared" si="127"/>
        <v>1400</v>
      </c>
      <c r="DI77" s="108">
        <f t="shared" si="128"/>
        <v>6</v>
      </c>
      <c r="DJ77" s="112">
        <f t="shared" si="129"/>
        <v>93.333333333333343</v>
      </c>
      <c r="DK77" s="110">
        <f t="shared" si="87"/>
        <v>1946</v>
      </c>
      <c r="DL77" s="108">
        <f t="shared" si="87"/>
        <v>8</v>
      </c>
      <c r="DM77" s="111">
        <f t="shared" si="87"/>
        <v>160</v>
      </c>
      <c r="DN77" s="76">
        <f t="shared" si="90"/>
        <v>12</v>
      </c>
      <c r="DO77" s="76">
        <f t="shared" si="90"/>
        <v>14</v>
      </c>
      <c r="DP77" s="112"/>
      <c r="DQ77" s="112"/>
      <c r="DR77" s="113" t="s">
        <v>335</v>
      </c>
      <c r="DS77" s="112"/>
      <c r="DT77" s="112"/>
      <c r="DU77" s="111"/>
      <c r="DV77" s="114"/>
      <c r="DW77" s="80">
        <f t="shared" si="157"/>
        <v>1954</v>
      </c>
      <c r="DX77" s="81">
        <f t="shared" si="130"/>
        <v>2114</v>
      </c>
      <c r="DY77" s="80">
        <f t="shared" si="158"/>
        <v>2079</v>
      </c>
      <c r="DZ77" s="82">
        <f t="shared" si="159"/>
        <v>1.9949999999999999E-2</v>
      </c>
      <c r="EA77" s="82">
        <f t="shared" si="160"/>
        <v>0.29189999999999999</v>
      </c>
      <c r="EB77" s="82">
        <f t="shared" si="161"/>
        <v>1.3400999999999998</v>
      </c>
      <c r="EC77" s="82">
        <f t="shared" si="76"/>
        <v>1.3600499999999998</v>
      </c>
      <c r="EF77" s="83">
        <f t="shared" si="106"/>
        <v>160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1"/>
        <v>TTS22C-2x2-H9A12</v>
      </c>
      <c r="H78" s="46" t="str">
        <f t="shared" si="132"/>
        <v>S22CTT20DH9</v>
      </c>
      <c r="I78" s="46" t="str">
        <f t="shared" si="133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4"/>
        <v>16</v>
      </c>
      <c r="T78" s="51">
        <v>16</v>
      </c>
      <c r="U78" s="92">
        <v>14</v>
      </c>
      <c r="V78" s="100">
        <v>3.5000000000000003E-2</v>
      </c>
      <c r="W78" s="93">
        <f t="shared" si="113"/>
        <v>0</v>
      </c>
      <c r="X78" s="93">
        <f t="shared" si="114"/>
        <v>0</v>
      </c>
      <c r="Y78" s="93">
        <f t="shared" si="115"/>
        <v>0</v>
      </c>
      <c r="Z78" s="93">
        <f t="shared" si="116"/>
        <v>6571</v>
      </c>
      <c r="AA78" s="93">
        <f t="shared" si="117"/>
        <v>0</v>
      </c>
      <c r="AB78" s="93">
        <f t="shared" si="118"/>
        <v>0</v>
      </c>
      <c r="AC78" s="93">
        <f t="shared" si="119"/>
        <v>0</v>
      </c>
      <c r="AD78" s="93">
        <f t="shared" si="120"/>
        <v>0</v>
      </c>
      <c r="AE78" s="93">
        <f t="shared" si="135"/>
        <v>6571</v>
      </c>
      <c r="AF78" s="54">
        <f t="shared" si="136"/>
        <v>6571</v>
      </c>
      <c r="AG78" s="94">
        <f t="shared" si="162"/>
        <v>16</v>
      </c>
      <c r="AH78" s="56">
        <f t="shared" si="137"/>
        <v>0</v>
      </c>
      <c r="AI78" s="93">
        <v>7</v>
      </c>
      <c r="AJ78" s="93">
        <f t="shared" si="163"/>
        <v>0</v>
      </c>
      <c r="AK78" s="95">
        <f t="shared" si="138"/>
        <v>1</v>
      </c>
      <c r="AL78" s="58">
        <f t="shared" si="174"/>
        <v>7</v>
      </c>
      <c r="AM78" s="55">
        <f t="shared" si="164"/>
        <v>23</v>
      </c>
      <c r="AN78" s="93"/>
      <c r="AO78" s="96"/>
      <c r="AP78" s="96"/>
      <c r="AQ78" s="96"/>
      <c r="AR78" s="96">
        <f>$CJ78</f>
        <v>120</v>
      </c>
      <c r="AS78" s="96"/>
      <c r="AT78" s="96"/>
      <c r="AU78" s="96">
        <f t="shared" si="139"/>
        <v>0</v>
      </c>
      <c r="AV78" s="96">
        <f t="shared" si="139"/>
        <v>0</v>
      </c>
      <c r="AW78" s="96">
        <f t="shared" si="140"/>
        <v>120</v>
      </c>
      <c r="AX78" s="96">
        <f t="shared" si="141"/>
        <v>3428</v>
      </c>
      <c r="AY78" s="94">
        <f t="shared" si="165"/>
        <v>-2.7450000000000188</v>
      </c>
      <c r="AZ78" s="94">
        <f t="shared" si="142"/>
        <v>-78.428571428571956</v>
      </c>
      <c r="BA78" s="94">
        <f t="shared" si="171"/>
        <v>23</v>
      </c>
      <c r="BB78" s="97">
        <f t="shared" si="172"/>
        <v>0</v>
      </c>
      <c r="BC78" s="93">
        <v>6</v>
      </c>
      <c r="BD78" s="93">
        <f t="shared" si="143"/>
        <v>0</v>
      </c>
      <c r="BE78" s="95">
        <f t="shared" si="144"/>
        <v>1</v>
      </c>
      <c r="BF78" s="58">
        <f t="shared" si="175"/>
        <v>6</v>
      </c>
      <c r="BG78" s="94">
        <f t="shared" si="145"/>
        <v>17</v>
      </c>
      <c r="BH78" s="89"/>
      <c r="BI78" s="89"/>
      <c r="BJ78" s="89"/>
      <c r="BK78" s="89"/>
      <c r="BL78" s="92">
        <f>$CN78</f>
        <v>110</v>
      </c>
      <c r="BM78" s="89"/>
      <c r="BN78" s="89"/>
      <c r="BO78" s="92">
        <f t="shared" si="166"/>
        <v>0</v>
      </c>
      <c r="BP78" s="92">
        <f t="shared" si="166"/>
        <v>0</v>
      </c>
      <c r="BQ78" s="96">
        <f t="shared" si="146"/>
        <v>110</v>
      </c>
      <c r="BR78" s="96">
        <f t="shared" si="147"/>
        <v>3142</v>
      </c>
      <c r="BS78" s="96">
        <f t="shared" si="167"/>
        <v>4.789999999999992</v>
      </c>
      <c r="BT78" s="96">
        <f t="shared" si="148"/>
        <v>136.85714285714261</v>
      </c>
      <c r="BU78" s="92">
        <f t="shared" si="121"/>
        <v>6571</v>
      </c>
      <c r="BV78" s="98">
        <f t="shared" si="168"/>
        <v>13</v>
      </c>
      <c r="BW78" s="92">
        <f t="shared" si="122"/>
        <v>58.428571428570649</v>
      </c>
      <c r="BX78" s="98" t="str">
        <f t="shared" si="149"/>
        <v/>
      </c>
      <c r="BY78" s="61">
        <f t="shared" si="173"/>
        <v>13</v>
      </c>
      <c r="BZ78" s="62">
        <f t="shared" si="150"/>
        <v>13</v>
      </c>
      <c r="CA78" s="98">
        <f t="shared" si="151"/>
        <v>0.23</v>
      </c>
      <c r="CB78" s="92">
        <f t="shared" si="123"/>
        <v>6570</v>
      </c>
      <c r="CC78" s="92">
        <f t="shared" si="123"/>
        <v>2.0449999999999733</v>
      </c>
      <c r="CD78" s="92">
        <f t="shared" si="123"/>
        <v>58.428571428570649</v>
      </c>
      <c r="CE78" s="99"/>
      <c r="CF78" s="99"/>
      <c r="CG78" s="51">
        <f t="shared" si="152"/>
        <v>0</v>
      </c>
      <c r="CH78" s="62">
        <f t="shared" si="153"/>
        <v>0</v>
      </c>
      <c r="CI78" s="89"/>
      <c r="CJ78" s="89">
        <v>120</v>
      </c>
      <c r="CK78" s="89"/>
      <c r="CL78" s="96"/>
      <c r="CM78" s="89"/>
      <c r="CN78" s="89">
        <v>110</v>
      </c>
      <c r="CO78" s="92"/>
      <c r="CP78" s="101"/>
      <c r="CQ78" s="102">
        <f t="shared" si="100"/>
        <v>3428</v>
      </c>
      <c r="CR78" s="102">
        <f t="shared" si="100"/>
        <v>0</v>
      </c>
      <c r="CS78" s="102">
        <f t="shared" si="100"/>
        <v>0</v>
      </c>
      <c r="CT78" s="92">
        <f t="shared" si="154"/>
        <v>3143</v>
      </c>
      <c r="CU78" s="92">
        <f t="shared" si="101"/>
        <v>0</v>
      </c>
      <c r="CV78" s="103">
        <f t="shared" si="101"/>
        <v>0</v>
      </c>
      <c r="CW78" s="104" t="s">
        <v>147</v>
      </c>
      <c r="CX78" s="105">
        <v>9.85</v>
      </c>
      <c r="CY78" s="106">
        <f t="shared" si="155"/>
        <v>4221</v>
      </c>
      <c r="CZ78" s="106">
        <f t="shared" si="156"/>
        <v>39.892499999999998</v>
      </c>
      <c r="DA78" s="106"/>
      <c r="DB78" s="106"/>
      <c r="DC78" s="105"/>
      <c r="DD78" s="107"/>
      <c r="DE78" s="92">
        <f t="shared" si="124"/>
        <v>3428</v>
      </c>
      <c r="DF78" s="108">
        <f t="shared" si="125"/>
        <v>7</v>
      </c>
      <c r="DG78" s="115">
        <f t="shared" si="126"/>
        <v>-78.428571428571956</v>
      </c>
      <c r="DH78" s="110">
        <f t="shared" si="127"/>
        <v>3143</v>
      </c>
      <c r="DI78" s="108">
        <f t="shared" si="128"/>
        <v>6</v>
      </c>
      <c r="DJ78" s="115">
        <f t="shared" si="129"/>
        <v>136.85714285714261</v>
      </c>
      <c r="DK78" s="110">
        <f t="shared" si="87"/>
        <v>6571</v>
      </c>
      <c r="DL78" s="108">
        <f t="shared" si="87"/>
        <v>13</v>
      </c>
      <c r="DM78" s="111">
        <f t="shared" si="87"/>
        <v>58.428571428570649</v>
      </c>
      <c r="DN78" s="76">
        <f t="shared" si="90"/>
        <v>16</v>
      </c>
      <c r="DO78" s="76">
        <f t="shared" si="90"/>
        <v>14</v>
      </c>
      <c r="DP78" s="112"/>
      <c r="DQ78" s="112"/>
      <c r="DR78" s="113" t="s">
        <v>340</v>
      </c>
      <c r="DS78" s="112"/>
      <c r="DT78" s="112"/>
      <c r="DU78" s="111"/>
      <c r="DV78" s="114"/>
      <c r="DW78" s="80">
        <f t="shared" si="157"/>
        <v>6584</v>
      </c>
      <c r="DX78" s="81">
        <f t="shared" si="130"/>
        <v>6642.4285714285706</v>
      </c>
      <c r="DY78" s="80">
        <f t="shared" si="158"/>
        <v>6571</v>
      </c>
      <c r="DZ78" s="82">
        <f t="shared" si="159"/>
        <v>0</v>
      </c>
      <c r="EA78" s="82">
        <f t="shared" si="160"/>
        <v>0.22998500000000002</v>
      </c>
      <c r="EB78" s="82" t="e">
        <f t="shared" si="161"/>
        <v>#VALUE!</v>
      </c>
      <c r="EC78" s="82" t="e">
        <f t="shared" si="76"/>
        <v>#VALUE!</v>
      </c>
      <c r="EF78" s="83">
        <f t="shared" si="106"/>
        <v>58.428571428570649</v>
      </c>
    </row>
    <row r="79" spans="1:136" ht="15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1"/>
        <v>IBC3604-6x3-H9B13</v>
      </c>
      <c r="H79" s="46" t="str">
        <f t="shared" si="132"/>
        <v>C3604IB60DH9</v>
      </c>
      <c r="I79" s="46" t="str">
        <f t="shared" si="133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4"/>
        <v>10</v>
      </c>
      <c r="T79" s="51">
        <v>0</v>
      </c>
      <c r="U79" s="92"/>
      <c r="V79" s="100">
        <v>0.67</v>
      </c>
      <c r="W79" s="93">
        <f t="shared" si="113"/>
        <v>0</v>
      </c>
      <c r="X79" s="93">
        <f t="shared" si="114"/>
        <v>0</v>
      </c>
      <c r="Y79" s="93">
        <f t="shared" si="115"/>
        <v>0</v>
      </c>
      <c r="Z79" s="93">
        <f t="shared" si="116"/>
        <v>0</v>
      </c>
      <c r="AA79" s="93">
        <f t="shared" si="117"/>
        <v>0</v>
      </c>
      <c r="AB79" s="93">
        <f t="shared" si="118"/>
        <v>0</v>
      </c>
      <c r="AC79" s="93">
        <f t="shared" si="119"/>
        <v>0</v>
      </c>
      <c r="AD79" s="93">
        <f t="shared" si="120"/>
        <v>0</v>
      </c>
      <c r="AE79" s="93">
        <f t="shared" si="135"/>
        <v>0</v>
      </c>
      <c r="AF79" s="54">
        <f t="shared" si="136"/>
        <v>0</v>
      </c>
      <c r="AG79" s="94">
        <f t="shared" si="162"/>
        <v>0</v>
      </c>
      <c r="AH79" s="56">
        <f t="shared" si="137"/>
        <v>0</v>
      </c>
      <c r="AI79" s="93"/>
      <c r="AJ79" s="93">
        <f t="shared" si="163"/>
        <v>0</v>
      </c>
      <c r="AK79" s="95">
        <f t="shared" si="138"/>
        <v>1</v>
      </c>
      <c r="AL79" s="58">
        <f t="shared" si="174"/>
        <v>0</v>
      </c>
      <c r="AM79" s="55">
        <f t="shared" si="164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39"/>
        <v>0</v>
      </c>
      <c r="AV79" s="96">
        <f t="shared" si="139"/>
        <v>0</v>
      </c>
      <c r="AW79" s="96">
        <f t="shared" si="140"/>
        <v>0</v>
      </c>
      <c r="AX79" s="96">
        <f t="shared" si="141"/>
        <v>0</v>
      </c>
      <c r="AY79" s="94">
        <f t="shared" si="165"/>
        <v>0</v>
      </c>
      <c r="AZ79" s="94">
        <f t="shared" si="142"/>
        <v>0</v>
      </c>
      <c r="BA79" s="94">
        <f t="shared" si="171"/>
        <v>0</v>
      </c>
      <c r="BB79" s="97">
        <f t="shared" si="172"/>
        <v>0</v>
      </c>
      <c r="BC79" s="93"/>
      <c r="BD79" s="93">
        <f t="shared" si="143"/>
        <v>0</v>
      </c>
      <c r="BE79" s="95">
        <f t="shared" si="144"/>
        <v>1</v>
      </c>
      <c r="BF79" s="58">
        <f t="shared" si="175"/>
        <v>0</v>
      </c>
      <c r="BG79" s="94">
        <f t="shared" si="145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6"/>
        <v>0</v>
      </c>
      <c r="BP79" s="92">
        <f t="shared" si="166"/>
        <v>0</v>
      </c>
      <c r="BQ79" s="96">
        <f t="shared" si="146"/>
        <v>0</v>
      </c>
      <c r="BR79" s="96">
        <f t="shared" si="147"/>
        <v>0</v>
      </c>
      <c r="BS79" s="96">
        <f t="shared" si="167"/>
        <v>0</v>
      </c>
      <c r="BT79" s="96">
        <f t="shared" si="148"/>
        <v>0</v>
      </c>
      <c r="BU79" s="92">
        <f t="shared" si="121"/>
        <v>0</v>
      </c>
      <c r="BV79" s="98">
        <f t="shared" si="168"/>
        <v>0</v>
      </c>
      <c r="BW79" s="92">
        <f t="shared" si="122"/>
        <v>0</v>
      </c>
      <c r="BX79" s="98">
        <f t="shared" si="149"/>
        <v>0</v>
      </c>
      <c r="BY79" s="61">
        <f t="shared" si="173"/>
        <v>0</v>
      </c>
      <c r="BZ79" s="62">
        <f t="shared" si="150"/>
        <v>0</v>
      </c>
      <c r="CA79" s="98">
        <f t="shared" si="151"/>
        <v>0</v>
      </c>
      <c r="CB79" s="92">
        <f t="shared" si="123"/>
        <v>0</v>
      </c>
      <c r="CC79" s="92">
        <f t="shared" si="123"/>
        <v>0</v>
      </c>
      <c r="CD79" s="92">
        <f t="shared" si="123"/>
        <v>0</v>
      </c>
      <c r="CE79" s="99"/>
      <c r="CF79" s="99"/>
      <c r="CG79" s="51">
        <f t="shared" si="152"/>
        <v>0</v>
      </c>
      <c r="CH79" s="62">
        <f t="shared" si="153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100"/>
        <v>0</v>
      </c>
      <c r="CR79" s="102">
        <f t="shared" si="100"/>
        <v>0</v>
      </c>
      <c r="CS79" s="102">
        <f t="shared" si="100"/>
        <v>0</v>
      </c>
      <c r="CT79" s="92">
        <f t="shared" si="154"/>
        <v>0</v>
      </c>
      <c r="CU79" s="92">
        <f t="shared" si="101"/>
        <v>0</v>
      </c>
      <c r="CV79" s="103">
        <f t="shared" si="101"/>
        <v>0</v>
      </c>
      <c r="CW79" s="104" t="s">
        <v>147</v>
      </c>
      <c r="CX79" s="105">
        <v>20</v>
      </c>
      <c r="CY79" s="106">
        <f t="shared" si="155"/>
        <v>2106</v>
      </c>
      <c r="CZ79" s="106">
        <f t="shared" si="156"/>
        <v>81</v>
      </c>
      <c r="DA79" s="106"/>
      <c r="DB79" s="106"/>
      <c r="DC79" s="105"/>
      <c r="DD79" s="107"/>
      <c r="DE79" s="92">
        <f t="shared" si="124"/>
        <v>0</v>
      </c>
      <c r="DF79" s="108">
        <f t="shared" si="125"/>
        <v>0</v>
      </c>
      <c r="DG79" s="115">
        <f t="shared" si="126"/>
        <v>0</v>
      </c>
      <c r="DH79" s="110">
        <f t="shared" si="127"/>
        <v>0</v>
      </c>
      <c r="DI79" s="108">
        <f t="shared" si="128"/>
        <v>0</v>
      </c>
      <c r="DJ79" s="112">
        <f t="shared" si="129"/>
        <v>0</v>
      </c>
      <c r="DK79" s="110">
        <f t="shared" si="87"/>
        <v>0</v>
      </c>
      <c r="DL79" s="108">
        <f t="shared" si="87"/>
        <v>0</v>
      </c>
      <c r="DM79" s="111">
        <f t="shared" si="87"/>
        <v>0</v>
      </c>
      <c r="DN79" s="76">
        <f t="shared" si="90"/>
        <v>0</v>
      </c>
      <c r="DO79" s="76">
        <f t="shared" si="90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7"/>
        <v>0</v>
      </c>
      <c r="DX79" s="81">
        <f t="shared" si="130"/>
        <v>0</v>
      </c>
      <c r="DY79" s="80">
        <f t="shared" si="158"/>
        <v>0</v>
      </c>
      <c r="DZ79" s="82">
        <f t="shared" si="159"/>
        <v>0</v>
      </c>
      <c r="EA79" s="82">
        <f t="shared" si="160"/>
        <v>0</v>
      </c>
      <c r="EB79" s="82">
        <f t="shared" si="161"/>
        <v>0</v>
      </c>
      <c r="EC79" s="82">
        <f t="shared" ref="EC79:EC82" si="176">(BX79-CA79)+((AV79+BP79)/1000)</f>
        <v>0</v>
      </c>
      <c r="EF79" s="83">
        <f t="shared" si="106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1"/>
        <v>YHC2700-5.5x3-H9A14</v>
      </c>
      <c r="H80" s="46" t="str">
        <f t="shared" si="132"/>
        <v>C2700YH5.50DH9</v>
      </c>
      <c r="I80" s="46" t="str">
        <f t="shared" si="133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4"/>
        <v>46</v>
      </c>
      <c r="T80" s="51">
        <v>18</v>
      </c>
      <c r="U80" s="92">
        <v>22</v>
      </c>
      <c r="V80" s="100">
        <v>1.1000000000000001</v>
      </c>
      <c r="W80" s="93">
        <f t="shared" si="113"/>
        <v>0</v>
      </c>
      <c r="X80" s="93">
        <f t="shared" si="114"/>
        <v>1584</v>
      </c>
      <c r="Y80" s="93">
        <f t="shared" si="115"/>
        <v>0</v>
      </c>
      <c r="Z80" s="93">
        <f t="shared" si="116"/>
        <v>0</v>
      </c>
      <c r="AA80" s="93">
        <f t="shared" si="117"/>
        <v>0</v>
      </c>
      <c r="AB80" s="93">
        <f t="shared" si="118"/>
        <v>0</v>
      </c>
      <c r="AC80" s="93">
        <f t="shared" si="119"/>
        <v>0</v>
      </c>
      <c r="AD80" s="93">
        <f t="shared" si="120"/>
        <v>0</v>
      </c>
      <c r="AE80" s="93">
        <f t="shared" si="135"/>
        <v>1584</v>
      </c>
      <c r="AF80" s="54">
        <f t="shared" si="136"/>
        <v>1584</v>
      </c>
      <c r="AG80" s="94">
        <f t="shared" si="162"/>
        <v>18</v>
      </c>
      <c r="AH80" s="56">
        <f t="shared" si="137"/>
        <v>0</v>
      </c>
      <c r="AI80" s="93">
        <v>9</v>
      </c>
      <c r="AJ80" s="93">
        <f t="shared" si="163"/>
        <v>120</v>
      </c>
      <c r="AK80" s="95">
        <f t="shared" si="138"/>
        <v>0.66115702479338834</v>
      </c>
      <c r="AL80" s="58">
        <f t="shared" si="174"/>
        <v>8.67</v>
      </c>
      <c r="AM80" s="55">
        <f t="shared" si="164"/>
        <v>31.33</v>
      </c>
      <c r="AN80" s="93"/>
      <c r="AO80" s="96"/>
      <c r="AP80" s="96">
        <f>$CJ80</f>
        <v>1600</v>
      </c>
      <c r="AQ80" s="96"/>
      <c r="AR80" s="96"/>
      <c r="AS80" s="96"/>
      <c r="AT80" s="96"/>
      <c r="AU80" s="96">
        <f t="shared" si="139"/>
        <v>0</v>
      </c>
      <c r="AV80" s="96">
        <f t="shared" si="139"/>
        <v>0</v>
      </c>
      <c r="AW80" s="96">
        <f t="shared" si="140"/>
        <v>1600</v>
      </c>
      <c r="AX80" s="96">
        <f t="shared" si="141"/>
        <v>1454</v>
      </c>
      <c r="AY80" s="94">
        <f t="shared" si="165"/>
        <v>26.394999999999982</v>
      </c>
      <c r="AZ80" s="94">
        <f t="shared" si="142"/>
        <v>23.995454545454528</v>
      </c>
      <c r="BA80" s="94">
        <f t="shared" si="171"/>
        <v>31.33</v>
      </c>
      <c r="BB80" s="97">
        <f t="shared" si="172"/>
        <v>0.33</v>
      </c>
      <c r="BC80" s="93">
        <v>1</v>
      </c>
      <c r="BD80" s="93">
        <f t="shared" si="143"/>
        <v>0</v>
      </c>
      <c r="BE80" s="95">
        <f t="shared" si="144"/>
        <v>1</v>
      </c>
      <c r="BF80" s="58">
        <f t="shared" si="175"/>
        <v>1.33</v>
      </c>
      <c r="BG80" s="94">
        <f t="shared" si="145"/>
        <v>30</v>
      </c>
      <c r="BH80" s="89"/>
      <c r="BI80" s="89"/>
      <c r="BJ80" s="92">
        <f>$CN80</f>
        <v>143</v>
      </c>
      <c r="BK80" s="89"/>
      <c r="BL80" s="89"/>
      <c r="BM80" s="89"/>
      <c r="BN80" s="92"/>
      <c r="BO80" s="92">
        <f t="shared" si="166"/>
        <v>0</v>
      </c>
      <c r="BP80" s="92">
        <f t="shared" si="166"/>
        <v>0</v>
      </c>
      <c r="BQ80" s="96">
        <f t="shared" si="146"/>
        <v>143</v>
      </c>
      <c r="BR80" s="96">
        <f t="shared" si="147"/>
        <v>130</v>
      </c>
      <c r="BS80" s="96">
        <f t="shared" si="167"/>
        <v>-98.395000000000039</v>
      </c>
      <c r="BT80" s="96">
        <f t="shared" si="148"/>
        <v>-89.450000000000031</v>
      </c>
      <c r="BU80" s="92">
        <f t="shared" si="121"/>
        <v>1584</v>
      </c>
      <c r="BV80" s="98">
        <f t="shared" si="168"/>
        <v>10</v>
      </c>
      <c r="BW80" s="92">
        <f t="shared" si="122"/>
        <v>-65.454545454545496</v>
      </c>
      <c r="BX80" s="98">
        <f t="shared" si="149"/>
        <v>5.99</v>
      </c>
      <c r="BY80" s="61">
        <f t="shared" si="173"/>
        <v>10</v>
      </c>
      <c r="BZ80" s="62">
        <f t="shared" si="150"/>
        <v>10</v>
      </c>
      <c r="CA80" s="98">
        <f t="shared" si="151"/>
        <v>1.7430000000000001</v>
      </c>
      <c r="CB80" s="92">
        <f>IFERROR(BR80+AX80,"")</f>
        <v>1584</v>
      </c>
      <c r="CC80" s="92">
        <f t="shared" si="123"/>
        <v>-72.000000000000057</v>
      </c>
      <c r="CD80" s="92">
        <f t="shared" si="123"/>
        <v>-65.454545454545496</v>
      </c>
      <c r="CE80" s="99"/>
      <c r="CF80" s="99"/>
      <c r="CG80" s="51">
        <f t="shared" si="152"/>
        <v>4.2469999999999999</v>
      </c>
      <c r="CH80" s="62">
        <f t="shared" si="153"/>
        <v>4.2469999999999999</v>
      </c>
      <c r="CI80" s="89">
        <v>120</v>
      </c>
      <c r="CJ80" s="89">
        <v>1600</v>
      </c>
      <c r="CK80" s="89"/>
      <c r="CL80" s="96"/>
      <c r="CM80" s="89"/>
      <c r="CN80" s="89">
        <v>143</v>
      </c>
      <c r="CO80" s="92"/>
      <c r="CP80" s="101"/>
      <c r="CQ80" s="102">
        <f t="shared" si="100"/>
        <v>1454</v>
      </c>
      <c r="CR80" s="102">
        <f t="shared" si="100"/>
        <v>0</v>
      </c>
      <c r="CS80" s="102">
        <f t="shared" si="100"/>
        <v>0</v>
      </c>
      <c r="CT80" s="92">
        <f t="shared" si="154"/>
        <v>130</v>
      </c>
      <c r="CU80" s="92">
        <f t="shared" si="101"/>
        <v>0</v>
      </c>
      <c r="CV80" s="103">
        <f t="shared" si="101"/>
        <v>0</v>
      </c>
      <c r="CW80" s="104" t="s">
        <v>147</v>
      </c>
      <c r="CX80" s="105">
        <v>10</v>
      </c>
      <c r="CY80" s="106">
        <f t="shared" si="155"/>
        <v>3834</v>
      </c>
      <c r="CZ80" s="106">
        <f t="shared" si="156"/>
        <v>40.5</v>
      </c>
      <c r="DA80" s="106"/>
      <c r="DB80" s="106"/>
      <c r="DC80" s="105"/>
      <c r="DD80" s="107"/>
      <c r="DE80" s="92">
        <f t="shared" si="124"/>
        <v>1454</v>
      </c>
      <c r="DF80" s="108">
        <f t="shared" si="125"/>
        <v>8.67</v>
      </c>
      <c r="DG80" s="115">
        <f t="shared" si="126"/>
        <v>23.995454545454528</v>
      </c>
      <c r="DH80" s="110">
        <f t="shared" si="127"/>
        <v>130</v>
      </c>
      <c r="DI80" s="108">
        <f t="shared" si="128"/>
        <v>1.33</v>
      </c>
      <c r="DJ80" s="112">
        <f t="shared" si="129"/>
        <v>-89.450000000000031</v>
      </c>
      <c r="DK80" s="110">
        <f t="shared" si="87"/>
        <v>1584</v>
      </c>
      <c r="DL80" s="108">
        <f t="shared" si="87"/>
        <v>10</v>
      </c>
      <c r="DM80" s="111">
        <f t="shared" si="87"/>
        <v>-65.454545454545496</v>
      </c>
      <c r="DN80" s="76">
        <f t="shared" si="90"/>
        <v>18</v>
      </c>
      <c r="DO80" s="76">
        <f t="shared" si="90"/>
        <v>22</v>
      </c>
      <c r="DP80" s="112"/>
      <c r="DQ80" s="112"/>
      <c r="DR80" s="113" t="s">
        <v>344</v>
      </c>
      <c r="DS80" s="112"/>
      <c r="DT80" s="112"/>
      <c r="DU80" s="111"/>
      <c r="DV80" s="114"/>
      <c r="DW80" s="80">
        <f t="shared" si="157"/>
        <v>1594</v>
      </c>
      <c r="DX80" s="81">
        <f t="shared" si="130"/>
        <v>1528.5454545454545</v>
      </c>
      <c r="DY80" s="80">
        <f t="shared" si="158"/>
        <v>1584</v>
      </c>
      <c r="DZ80" s="82">
        <f t="shared" si="159"/>
        <v>0</v>
      </c>
      <c r="EA80" s="82">
        <f t="shared" si="160"/>
        <v>1.7424000000000002</v>
      </c>
      <c r="EB80" s="82">
        <f t="shared" si="161"/>
        <v>4.2476000000000003</v>
      </c>
      <c r="EC80" s="82">
        <f t="shared" si="176"/>
        <v>4.2469999999999999</v>
      </c>
      <c r="EF80" s="83">
        <f t="shared" si="106"/>
        <v>-65.454545454545496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1"/>
        <v>IBC3604-7x3-H9D14</v>
      </c>
      <c r="H81" s="46" t="str">
        <f t="shared" si="132"/>
        <v>C3604IB70DH9</v>
      </c>
      <c r="I81" s="46" t="str">
        <f t="shared" si="133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4"/>
        <v>34</v>
      </c>
      <c r="T81" s="51">
        <v>19</v>
      </c>
      <c r="U81" s="92">
        <v>31</v>
      </c>
      <c r="V81" s="100">
        <v>2.12</v>
      </c>
      <c r="W81" s="93">
        <f t="shared" si="113"/>
        <v>0</v>
      </c>
      <c r="X81" s="93">
        <f t="shared" si="114"/>
        <v>2914</v>
      </c>
      <c r="Y81" s="93">
        <f t="shared" si="115"/>
        <v>0</v>
      </c>
      <c r="Z81" s="93">
        <f t="shared" si="116"/>
        <v>0</v>
      </c>
      <c r="AA81" s="93">
        <f t="shared" si="117"/>
        <v>0</v>
      </c>
      <c r="AB81" s="93">
        <f t="shared" si="118"/>
        <v>0</v>
      </c>
      <c r="AC81" s="93">
        <f t="shared" si="119"/>
        <v>0</v>
      </c>
      <c r="AD81" s="93">
        <f t="shared" si="120"/>
        <v>23</v>
      </c>
      <c r="AE81" s="93">
        <f t="shared" si="135"/>
        <v>2914</v>
      </c>
      <c r="AF81" s="54">
        <f t="shared" si="136"/>
        <v>2914</v>
      </c>
      <c r="AG81" s="94">
        <f t="shared" si="162"/>
        <v>19</v>
      </c>
      <c r="AH81" s="56">
        <f t="shared" si="137"/>
        <v>0</v>
      </c>
      <c r="AI81" s="93">
        <v>16</v>
      </c>
      <c r="AJ81" s="93">
        <f t="shared" si="163"/>
        <v>0</v>
      </c>
      <c r="AK81" s="95">
        <f t="shared" si="138"/>
        <v>1</v>
      </c>
      <c r="AL81" s="58">
        <f t="shared" si="174"/>
        <v>16</v>
      </c>
      <c r="AM81" s="55">
        <f t="shared" si="164"/>
        <v>34</v>
      </c>
      <c r="AN81" s="93"/>
      <c r="AO81" s="96"/>
      <c r="AP81" s="96">
        <f>$CJ81</f>
        <v>5441</v>
      </c>
      <c r="AQ81" s="96"/>
      <c r="AR81" s="96"/>
      <c r="AS81" s="96"/>
      <c r="AT81" s="96"/>
      <c r="AU81" s="96">
        <f t="shared" si="139"/>
        <v>0</v>
      </c>
      <c r="AV81" s="96">
        <f t="shared" si="139"/>
        <v>0</v>
      </c>
      <c r="AW81" s="96">
        <f t="shared" si="140"/>
        <v>5441</v>
      </c>
      <c r="AX81" s="96">
        <f t="shared" si="141"/>
        <v>2566</v>
      </c>
      <c r="AY81" s="94">
        <f t="shared" si="165"/>
        <v>-427.15999999999985</v>
      </c>
      <c r="AZ81" s="94">
        <f t="shared" si="142"/>
        <v>-201.49056603773576</v>
      </c>
      <c r="BA81" s="94">
        <f t="shared" si="171"/>
        <v>34</v>
      </c>
      <c r="BB81" s="97">
        <f t="shared" si="172"/>
        <v>0</v>
      </c>
      <c r="BC81" s="93">
        <v>2</v>
      </c>
      <c r="BD81" s="93">
        <f t="shared" si="143"/>
        <v>0</v>
      </c>
      <c r="BE81" s="95">
        <f t="shared" si="144"/>
        <v>1</v>
      </c>
      <c r="BF81" s="58">
        <f t="shared" si="175"/>
        <v>2</v>
      </c>
      <c r="BG81" s="94">
        <f t="shared" si="145"/>
        <v>32</v>
      </c>
      <c r="BH81" s="89"/>
      <c r="BI81" s="89"/>
      <c r="BJ81" s="92">
        <f>$CN81</f>
        <v>738</v>
      </c>
      <c r="BK81" s="89"/>
      <c r="BL81" s="89"/>
      <c r="BM81" s="89"/>
      <c r="BN81" s="89"/>
      <c r="BO81" s="92">
        <f t="shared" si="166"/>
        <v>0</v>
      </c>
      <c r="BP81" s="92">
        <f t="shared" si="166"/>
        <v>50</v>
      </c>
      <c r="BQ81" s="96">
        <f t="shared" si="146"/>
        <v>788</v>
      </c>
      <c r="BR81" s="96">
        <f t="shared" si="147"/>
        <v>371</v>
      </c>
      <c r="BS81" s="96">
        <f t="shared" si="167"/>
        <v>54.480000000000018</v>
      </c>
      <c r="BT81" s="96">
        <f t="shared" si="148"/>
        <v>25.698113207547177</v>
      </c>
      <c r="BU81" s="92">
        <f t="shared" si="121"/>
        <v>2914</v>
      </c>
      <c r="BV81" s="98">
        <f t="shared" si="168"/>
        <v>18</v>
      </c>
      <c r="BW81" s="92">
        <f t="shared" si="122"/>
        <v>-175.79245283018858</v>
      </c>
      <c r="BX81" s="98">
        <f t="shared" si="149"/>
        <v>17.64</v>
      </c>
      <c r="BY81" s="61">
        <f t="shared" si="173"/>
        <v>18</v>
      </c>
      <c r="BZ81" s="62">
        <f t="shared" si="150"/>
        <v>18</v>
      </c>
      <c r="CA81" s="98">
        <f t="shared" si="151"/>
        <v>6.2290000000000001</v>
      </c>
      <c r="CB81" s="92">
        <f t="shared" si="123"/>
        <v>2937</v>
      </c>
      <c r="CC81" s="92">
        <f t="shared" si="123"/>
        <v>-372.67999999999984</v>
      </c>
      <c r="CD81" s="92">
        <f t="shared" si="123"/>
        <v>-175.79245283018858</v>
      </c>
      <c r="CE81" s="99"/>
      <c r="CF81" s="99"/>
      <c r="CG81" s="51">
        <f t="shared" si="152"/>
        <v>11.461000000000002</v>
      </c>
      <c r="CH81" s="62">
        <f t="shared" si="153"/>
        <v>11.461000000000002</v>
      </c>
      <c r="CI81" s="89"/>
      <c r="CJ81" s="89">
        <v>5441</v>
      </c>
      <c r="CK81" s="89"/>
      <c r="CL81" s="96"/>
      <c r="CM81" s="89"/>
      <c r="CN81" s="89">
        <v>738</v>
      </c>
      <c r="CO81" s="92"/>
      <c r="CP81" s="101">
        <v>50</v>
      </c>
      <c r="CQ81" s="102">
        <f t="shared" si="100"/>
        <v>2566</v>
      </c>
      <c r="CR81" s="102">
        <f t="shared" si="100"/>
        <v>0</v>
      </c>
      <c r="CS81" s="102">
        <f t="shared" si="100"/>
        <v>0</v>
      </c>
      <c r="CT81" s="92">
        <f t="shared" si="154"/>
        <v>348</v>
      </c>
      <c r="CU81" s="92">
        <f t="shared" si="101"/>
        <v>0</v>
      </c>
      <c r="CV81" s="103">
        <f t="shared" si="101"/>
        <v>23</v>
      </c>
      <c r="CW81" s="104" t="s">
        <v>147</v>
      </c>
      <c r="CX81" s="105">
        <v>13.35</v>
      </c>
      <c r="CY81" s="106">
        <f t="shared" si="155"/>
        <v>2979</v>
      </c>
      <c r="CZ81" s="106">
        <f t="shared" si="156"/>
        <v>54.067500000000003</v>
      </c>
      <c r="DA81" s="106"/>
      <c r="DB81" s="106"/>
      <c r="DC81" s="105"/>
      <c r="DD81" s="107"/>
      <c r="DE81" s="92">
        <f t="shared" si="124"/>
        <v>2566</v>
      </c>
      <c r="DF81" s="108">
        <f t="shared" si="125"/>
        <v>16</v>
      </c>
      <c r="DG81" s="115">
        <f t="shared" si="126"/>
        <v>-201.49056603773576</v>
      </c>
      <c r="DH81" s="110">
        <f t="shared" si="127"/>
        <v>348</v>
      </c>
      <c r="DI81" s="108">
        <f t="shared" si="128"/>
        <v>2</v>
      </c>
      <c r="DJ81" s="112">
        <f t="shared" si="129"/>
        <v>25.698113207547177</v>
      </c>
      <c r="DK81" s="110">
        <f t="shared" si="87"/>
        <v>2914</v>
      </c>
      <c r="DL81" s="108">
        <f t="shared" si="87"/>
        <v>18</v>
      </c>
      <c r="DM81" s="111">
        <f t="shared" si="87"/>
        <v>-175.79245283018858</v>
      </c>
      <c r="DN81" s="76">
        <f t="shared" si="90"/>
        <v>19</v>
      </c>
      <c r="DO81" s="76">
        <f t="shared" si="90"/>
        <v>31</v>
      </c>
      <c r="DP81" s="112"/>
      <c r="DQ81" s="112"/>
      <c r="DR81" s="113" t="s">
        <v>347</v>
      </c>
      <c r="DS81" s="112"/>
      <c r="DT81" s="112"/>
      <c r="DU81" s="111"/>
      <c r="DV81" s="114"/>
      <c r="DW81" s="80">
        <f t="shared" ref="DW81:DW82" si="177">IFERROR(AL81+BF81,"")</f>
        <v>18</v>
      </c>
      <c r="DX81" s="81">
        <f t="shared" si="130"/>
        <v>2756.2075471698113</v>
      </c>
      <c r="DY81" s="80">
        <f t="shared" si="158"/>
        <v>2937</v>
      </c>
      <c r="DZ81" s="82">
        <f t="shared" si="159"/>
        <v>4.8760000000000005E-2</v>
      </c>
      <c r="EA81" s="82">
        <f t="shared" si="160"/>
        <v>6.1776800000000005</v>
      </c>
      <c r="EB81" s="82">
        <f t="shared" si="161"/>
        <v>11.46232</v>
      </c>
      <c r="EC81" s="82">
        <f t="shared" si="176"/>
        <v>11.461000000000002</v>
      </c>
      <c r="EF81" s="83">
        <f t="shared" si="106"/>
        <v>-175.79245283018858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1"/>
        <v>IBC3602-7.5x3-H9B14</v>
      </c>
      <c r="H82" s="46" t="str">
        <f t="shared" si="132"/>
        <v>C3602IB7.50DH9</v>
      </c>
      <c r="I82" s="46" t="str">
        <f t="shared" si="133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4"/>
        <v>34</v>
      </c>
      <c r="T82" s="51">
        <v>10</v>
      </c>
      <c r="U82" s="92">
        <v>39</v>
      </c>
      <c r="V82" s="174">
        <v>1.23</v>
      </c>
      <c r="W82" s="93">
        <f t="shared" si="113"/>
        <v>0</v>
      </c>
      <c r="X82" s="93">
        <f t="shared" si="114"/>
        <v>0</v>
      </c>
      <c r="Y82" s="93">
        <f t="shared" si="115"/>
        <v>5186</v>
      </c>
      <c r="Z82" s="93">
        <f t="shared" si="116"/>
        <v>0</v>
      </c>
      <c r="AA82" s="93">
        <f t="shared" si="117"/>
        <v>0</v>
      </c>
      <c r="AB82" s="93">
        <f t="shared" si="118"/>
        <v>0</v>
      </c>
      <c r="AC82" s="93">
        <f t="shared" si="119"/>
        <v>0</v>
      </c>
      <c r="AD82" s="93">
        <f t="shared" si="120"/>
        <v>16</v>
      </c>
      <c r="AE82" s="93">
        <f t="shared" si="135"/>
        <v>5186</v>
      </c>
      <c r="AF82" s="54">
        <f t="shared" si="136"/>
        <v>5186</v>
      </c>
      <c r="AG82" s="94">
        <f t="shared" si="162"/>
        <v>10</v>
      </c>
      <c r="AH82" s="56">
        <f t="shared" si="137"/>
        <v>0</v>
      </c>
      <c r="AI82" s="93">
        <v>16</v>
      </c>
      <c r="AJ82" s="93">
        <f t="shared" si="163"/>
        <v>0</v>
      </c>
      <c r="AK82" s="95">
        <f t="shared" si="138"/>
        <v>1</v>
      </c>
      <c r="AL82" s="58">
        <f t="shared" si="174"/>
        <v>16</v>
      </c>
      <c r="AM82" s="55">
        <f t="shared" si="164"/>
        <v>33</v>
      </c>
      <c r="AN82" s="93"/>
      <c r="AO82" s="96"/>
      <c r="AP82" s="96"/>
      <c r="AQ82" s="96">
        <f>$CJ82</f>
        <v>3180</v>
      </c>
      <c r="AR82" s="96"/>
      <c r="AS82" s="96"/>
      <c r="AT82" s="96"/>
      <c r="AU82" s="96">
        <f t="shared" si="139"/>
        <v>0</v>
      </c>
      <c r="AV82" s="96">
        <f t="shared" si="139"/>
        <v>10</v>
      </c>
      <c r="AW82" s="96">
        <f t="shared" si="140"/>
        <v>3190</v>
      </c>
      <c r="AX82" s="96">
        <f t="shared" si="141"/>
        <v>2593</v>
      </c>
      <c r="AY82" s="94">
        <f t="shared" si="165"/>
        <v>21.519999999999982</v>
      </c>
      <c r="AZ82" s="94">
        <f t="shared" si="142"/>
        <v>17.495934959349579</v>
      </c>
      <c r="BA82" s="94">
        <f t="shared" si="171"/>
        <v>33</v>
      </c>
      <c r="BB82" s="97">
        <f t="shared" si="172"/>
        <v>0</v>
      </c>
      <c r="BC82" s="93">
        <v>16</v>
      </c>
      <c r="BD82" s="93">
        <f t="shared" si="143"/>
        <v>0</v>
      </c>
      <c r="BE82" s="95">
        <f t="shared" si="144"/>
        <v>1</v>
      </c>
      <c r="BF82" s="58">
        <f t="shared" si="175"/>
        <v>16</v>
      </c>
      <c r="BG82" s="94">
        <f t="shared" si="145"/>
        <v>17</v>
      </c>
      <c r="BH82" s="89"/>
      <c r="BI82" s="89"/>
      <c r="BJ82" s="89"/>
      <c r="BK82" s="92">
        <f>$CN82</f>
        <v>3200</v>
      </c>
      <c r="BL82" s="89"/>
      <c r="BM82" s="89"/>
      <c r="BN82" s="89"/>
      <c r="BO82" s="92">
        <f t="shared" si="166"/>
        <v>0</v>
      </c>
      <c r="BP82" s="92">
        <f t="shared" si="166"/>
        <v>10</v>
      </c>
      <c r="BQ82" s="96">
        <f t="shared" si="146"/>
        <v>3210</v>
      </c>
      <c r="BR82" s="96">
        <f t="shared" si="147"/>
        <v>2609</v>
      </c>
      <c r="BS82" s="96">
        <f t="shared" si="167"/>
        <v>41.519999999999982</v>
      </c>
      <c r="BT82" s="96">
        <f t="shared" si="148"/>
        <v>33.756097560975597</v>
      </c>
      <c r="BU82" s="92">
        <f t="shared" si="121"/>
        <v>5186</v>
      </c>
      <c r="BV82" s="98">
        <f t="shared" si="168"/>
        <v>32</v>
      </c>
      <c r="BW82" s="92">
        <f t="shared" si="122"/>
        <v>51.252032520325173</v>
      </c>
      <c r="BX82" s="98">
        <f t="shared" si="149"/>
        <v>35.872</v>
      </c>
      <c r="BY82" s="61">
        <f t="shared" si="173"/>
        <v>32</v>
      </c>
      <c r="BZ82" s="62">
        <f t="shared" si="150"/>
        <v>32</v>
      </c>
      <c r="CA82" s="98">
        <f t="shared" si="151"/>
        <v>6.4</v>
      </c>
      <c r="CB82" s="92">
        <f t="shared" si="123"/>
        <v>5202</v>
      </c>
      <c r="CC82" s="92">
        <f t="shared" si="123"/>
        <v>63.039999999999964</v>
      </c>
      <c r="CD82" s="92">
        <f t="shared" si="123"/>
        <v>51.252032520325173</v>
      </c>
      <c r="CE82" s="99"/>
      <c r="CF82" s="99"/>
      <c r="CG82" s="51">
        <f t="shared" si="152"/>
        <v>29.492000000000001</v>
      </c>
      <c r="CH82" s="62">
        <f t="shared" si="153"/>
        <v>29.492000000000001</v>
      </c>
      <c r="CI82" s="89"/>
      <c r="CJ82" s="89">
        <v>3180</v>
      </c>
      <c r="CK82" s="89"/>
      <c r="CL82" s="96">
        <v>10</v>
      </c>
      <c r="CM82" s="89"/>
      <c r="CN82" s="89">
        <v>3200</v>
      </c>
      <c r="CO82" s="92"/>
      <c r="CP82" s="101">
        <v>10</v>
      </c>
      <c r="CQ82" s="102">
        <f t="shared" si="100"/>
        <v>2585</v>
      </c>
      <c r="CR82" s="102">
        <f t="shared" si="100"/>
        <v>0</v>
      </c>
      <c r="CS82" s="102">
        <f t="shared" si="100"/>
        <v>8</v>
      </c>
      <c r="CT82" s="92">
        <f t="shared" si="154"/>
        <v>2601</v>
      </c>
      <c r="CU82" s="92">
        <f t="shared" si="101"/>
        <v>0</v>
      </c>
      <c r="CV82" s="103">
        <f t="shared" si="101"/>
        <v>8</v>
      </c>
      <c r="CW82" s="104" t="s">
        <v>147</v>
      </c>
      <c r="CX82" s="105">
        <v>15</v>
      </c>
      <c r="CY82" s="106">
        <f t="shared" si="155"/>
        <v>2664</v>
      </c>
      <c r="CZ82" s="106">
        <f t="shared" si="156"/>
        <v>60.750000000000007</v>
      </c>
      <c r="DA82" s="106"/>
      <c r="DB82" s="106"/>
      <c r="DC82" s="105"/>
      <c r="DD82" s="107"/>
      <c r="DE82" s="92">
        <f t="shared" si="124"/>
        <v>2585</v>
      </c>
      <c r="DF82" s="108">
        <f t="shared" si="125"/>
        <v>16</v>
      </c>
      <c r="DG82" s="115">
        <f t="shared" si="126"/>
        <v>17.495934959349579</v>
      </c>
      <c r="DH82" s="110">
        <f t="shared" si="127"/>
        <v>2601</v>
      </c>
      <c r="DI82" s="108">
        <f t="shared" si="128"/>
        <v>16</v>
      </c>
      <c r="DJ82" s="112">
        <f t="shared" si="129"/>
        <v>33.756097560975597</v>
      </c>
      <c r="DK82" s="110">
        <f t="shared" si="87"/>
        <v>5186</v>
      </c>
      <c r="DL82" s="108">
        <f t="shared" si="87"/>
        <v>32</v>
      </c>
      <c r="DM82" s="111">
        <f t="shared" si="87"/>
        <v>51.252032520325173</v>
      </c>
      <c r="DN82" s="76">
        <f t="shared" si="90"/>
        <v>10</v>
      </c>
      <c r="DO82" s="76">
        <f t="shared" si="90"/>
        <v>39</v>
      </c>
      <c r="DP82" s="112"/>
      <c r="DQ82" s="112"/>
      <c r="DR82" s="113" t="s">
        <v>350</v>
      </c>
      <c r="DS82" s="112"/>
      <c r="DT82" s="112"/>
      <c r="DU82" s="111"/>
      <c r="DV82" s="114"/>
      <c r="DW82" s="80">
        <f t="shared" si="177"/>
        <v>32</v>
      </c>
      <c r="DX82" s="81">
        <f t="shared" si="130"/>
        <v>5269.252032520325</v>
      </c>
      <c r="DY82" s="80">
        <f t="shared" si="158"/>
        <v>5202</v>
      </c>
      <c r="DZ82" s="82">
        <f t="shared" si="159"/>
        <v>1.968E-2</v>
      </c>
      <c r="EA82" s="82">
        <f t="shared" si="160"/>
        <v>6.3787799999999999</v>
      </c>
      <c r="EB82" s="82">
        <f t="shared" si="161"/>
        <v>29.493220000000001</v>
      </c>
      <c r="EC82" s="82">
        <f t="shared" si="176"/>
        <v>29.492000000000001</v>
      </c>
      <c r="EF82" s="83">
        <f t="shared" si="106"/>
        <v>51.252032520325173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1"/>
        <v>GWA6063-T5-7.5x3-H9B14</v>
      </c>
      <c r="H83" s="46" t="str">
        <f t="shared" si="132"/>
        <v>A6063-T5GW7.50DH9</v>
      </c>
      <c r="I83" s="46" t="str">
        <f t="shared" si="133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4"/>
        <v>18</v>
      </c>
      <c r="T83" s="51">
        <v>46</v>
      </c>
      <c r="U83" s="92"/>
      <c r="V83" s="100">
        <v>0.70299999999999996</v>
      </c>
      <c r="W83" s="93">
        <f t="shared" si="113"/>
        <v>0</v>
      </c>
      <c r="X83" s="93">
        <f t="shared" si="114"/>
        <v>0</v>
      </c>
      <c r="Y83" s="93">
        <f t="shared" si="115"/>
        <v>0</v>
      </c>
      <c r="Z83" s="93">
        <f t="shared" si="116"/>
        <v>0</v>
      </c>
      <c r="AA83" s="93">
        <f t="shared" si="117"/>
        <v>0</v>
      </c>
      <c r="AB83" s="93">
        <f t="shared" si="118"/>
        <v>0</v>
      </c>
      <c r="AC83" s="93">
        <f t="shared" si="119"/>
        <v>0</v>
      </c>
      <c r="AD83" s="93">
        <f t="shared" si="120"/>
        <v>0</v>
      </c>
      <c r="AE83" s="93">
        <f t="shared" si="135"/>
        <v>0</v>
      </c>
      <c r="AF83" s="54">
        <f t="shared" si="136"/>
        <v>0</v>
      </c>
      <c r="AG83" s="94">
        <f t="shared" si="162"/>
        <v>46</v>
      </c>
      <c r="AH83" s="56">
        <f t="shared" si="137"/>
        <v>0</v>
      </c>
      <c r="AI83" s="93"/>
      <c r="AJ83" s="93">
        <f t="shared" si="163"/>
        <v>0</v>
      </c>
      <c r="AK83" s="95">
        <f t="shared" si="138"/>
        <v>1</v>
      </c>
      <c r="AL83" s="58">
        <f t="shared" si="174"/>
        <v>0</v>
      </c>
      <c r="AM83" s="55">
        <f t="shared" si="164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39"/>
        <v>0</v>
      </c>
      <c r="AV83" s="96">
        <f t="shared" si="139"/>
        <v>0</v>
      </c>
      <c r="AW83" s="96">
        <f t="shared" si="140"/>
        <v>0</v>
      </c>
      <c r="AX83" s="96">
        <f t="shared" si="141"/>
        <v>0</v>
      </c>
      <c r="AY83" s="94">
        <f t="shared" si="165"/>
        <v>0</v>
      </c>
      <c r="AZ83" s="94">
        <f t="shared" si="142"/>
        <v>0</v>
      </c>
      <c r="BA83" s="94">
        <f t="shared" si="171"/>
        <v>46</v>
      </c>
      <c r="BB83" s="97">
        <f t="shared" si="172"/>
        <v>0</v>
      </c>
      <c r="BC83" s="93"/>
      <c r="BD83" s="93">
        <f t="shared" si="143"/>
        <v>0</v>
      </c>
      <c r="BE83" s="95">
        <f t="shared" si="144"/>
        <v>1</v>
      </c>
      <c r="BF83" s="58">
        <f t="shared" si="175"/>
        <v>0</v>
      </c>
      <c r="BG83" s="94">
        <f t="shared" si="145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6"/>
        <v>0</v>
      </c>
      <c r="BP83" s="92">
        <f t="shared" si="166"/>
        <v>0</v>
      </c>
      <c r="BQ83" s="96">
        <f t="shared" si="146"/>
        <v>0</v>
      </c>
      <c r="BR83" s="96">
        <f t="shared" si="147"/>
        <v>0</v>
      </c>
      <c r="BS83" s="96">
        <f t="shared" si="167"/>
        <v>0</v>
      </c>
      <c r="BT83" s="96">
        <f t="shared" si="148"/>
        <v>0</v>
      </c>
      <c r="BU83" s="92">
        <f t="shared" si="121"/>
        <v>0</v>
      </c>
      <c r="BV83" s="98">
        <f t="shared" si="168"/>
        <v>0</v>
      </c>
      <c r="BW83" s="92">
        <f t="shared" si="122"/>
        <v>0</v>
      </c>
      <c r="BX83" s="98">
        <f t="shared" si="149"/>
        <v>0</v>
      </c>
      <c r="BY83" s="61">
        <f t="shared" si="173"/>
        <v>0</v>
      </c>
      <c r="BZ83" s="62">
        <f t="shared" si="150"/>
        <v>0</v>
      </c>
      <c r="CA83" s="98">
        <f t="shared" si="151"/>
        <v>0</v>
      </c>
      <c r="CB83" s="92">
        <f t="shared" si="123"/>
        <v>0</v>
      </c>
      <c r="CC83" s="92">
        <f t="shared" si="123"/>
        <v>0</v>
      </c>
      <c r="CD83" s="92">
        <f t="shared" si="123"/>
        <v>0</v>
      </c>
      <c r="CE83" s="99"/>
      <c r="CF83" s="99"/>
      <c r="CG83" s="51">
        <f t="shared" si="152"/>
        <v>0</v>
      </c>
      <c r="CH83" s="62">
        <f t="shared" si="153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100"/>
        <v>0</v>
      </c>
      <c r="CR83" s="102">
        <f t="shared" si="100"/>
        <v>0</v>
      </c>
      <c r="CS83" s="102">
        <f t="shared" si="100"/>
        <v>0</v>
      </c>
      <c r="CT83" s="92">
        <f t="shared" si="154"/>
        <v>0</v>
      </c>
      <c r="CU83" s="92">
        <f t="shared" si="101"/>
        <v>0</v>
      </c>
      <c r="CV83" s="103">
        <f t="shared" si="101"/>
        <v>0</v>
      </c>
      <c r="CW83" s="104" t="s">
        <v>147</v>
      </c>
      <c r="CX83" s="105">
        <v>18.5</v>
      </c>
      <c r="CY83" s="106">
        <f t="shared" si="155"/>
        <v>2237</v>
      </c>
      <c r="CZ83" s="106">
        <f t="shared" si="156"/>
        <v>74.925000000000011</v>
      </c>
      <c r="DA83" s="106"/>
      <c r="DB83" s="106"/>
      <c r="DC83" s="105"/>
      <c r="DD83" s="107"/>
      <c r="DE83" s="92">
        <f t="shared" si="124"/>
        <v>0</v>
      </c>
      <c r="DF83" s="108">
        <f t="shared" si="125"/>
        <v>0</v>
      </c>
      <c r="DG83" s="115">
        <f t="shared" si="126"/>
        <v>0</v>
      </c>
      <c r="DH83" s="110">
        <f t="shared" si="127"/>
        <v>0</v>
      </c>
      <c r="DI83" s="108">
        <f t="shared" si="128"/>
        <v>0</v>
      </c>
      <c r="DJ83" s="112">
        <f t="shared" si="129"/>
        <v>0</v>
      </c>
      <c r="DK83" s="110">
        <f t="shared" si="87"/>
        <v>0</v>
      </c>
      <c r="DL83" s="108">
        <f t="shared" si="87"/>
        <v>0</v>
      </c>
      <c r="DM83" s="111">
        <f t="shared" si="87"/>
        <v>0</v>
      </c>
      <c r="DN83" s="76">
        <f t="shared" si="90"/>
        <v>46</v>
      </c>
      <c r="DO83" s="76">
        <f t="shared" si="90"/>
        <v>0</v>
      </c>
      <c r="DP83" s="112"/>
      <c r="DQ83" s="112"/>
      <c r="DR83" s="113" t="s">
        <v>353</v>
      </c>
      <c r="DS83" s="112"/>
      <c r="DT83" s="112"/>
      <c r="DU83" s="111"/>
      <c r="DV83" s="114"/>
      <c r="DW83" s="80">
        <f t="shared" si="157"/>
        <v>0</v>
      </c>
      <c r="DX83" s="81">
        <f t="shared" si="130"/>
        <v>0</v>
      </c>
      <c r="DY83" s="80">
        <f t="shared" si="158"/>
        <v>0</v>
      </c>
      <c r="DZ83" s="82">
        <f t="shared" si="159"/>
        <v>0</v>
      </c>
      <c r="EA83" s="82">
        <f t="shared" si="160"/>
        <v>0</v>
      </c>
      <c r="EB83" s="82">
        <f t="shared" si="161"/>
        <v>0</v>
      </c>
      <c r="EC83" s="82">
        <f t="shared" ref="EC83:EC106" si="178">EB83+DZ83</f>
        <v>0</v>
      </c>
      <c r="EF83" s="83">
        <f t="shared" si="106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1"/>
        <v>GAA5052-5.7x3-H9A14</v>
      </c>
      <c r="H84" s="46" t="str">
        <f t="shared" si="132"/>
        <v>A5052GA5.70DH9</v>
      </c>
      <c r="I84" s="46" t="str">
        <f t="shared" si="133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4"/>
        <v>30</v>
      </c>
      <c r="T84" s="51">
        <v>10.5</v>
      </c>
      <c r="U84" s="92">
        <v>15</v>
      </c>
      <c r="V84" s="100">
        <v>0.15</v>
      </c>
      <c r="W84" s="93">
        <f t="shared" si="113"/>
        <v>0</v>
      </c>
      <c r="X84" s="93">
        <f t="shared" si="114"/>
        <v>0</v>
      </c>
      <c r="Y84" s="93">
        <f t="shared" si="115"/>
        <v>0</v>
      </c>
      <c r="Z84" s="93">
        <f t="shared" si="116"/>
        <v>0</v>
      </c>
      <c r="AA84" s="93">
        <f t="shared" si="117"/>
        <v>0</v>
      </c>
      <c r="AB84" s="93">
        <f t="shared" si="118"/>
        <v>3433</v>
      </c>
      <c r="AC84" s="93">
        <f t="shared" si="119"/>
        <v>0</v>
      </c>
      <c r="AD84" s="93">
        <f t="shared" si="120"/>
        <v>33</v>
      </c>
      <c r="AE84" s="93">
        <f t="shared" si="135"/>
        <v>3433</v>
      </c>
      <c r="AF84" s="54">
        <f t="shared" si="136"/>
        <v>3433</v>
      </c>
      <c r="AG84" s="94">
        <f t="shared" si="162"/>
        <v>10.5</v>
      </c>
      <c r="AH84" s="56">
        <f t="shared" si="137"/>
        <v>0.5</v>
      </c>
      <c r="AI84" s="93">
        <v>7</v>
      </c>
      <c r="AJ84" s="93">
        <f t="shared" si="163"/>
        <v>19</v>
      </c>
      <c r="AK84" s="95">
        <f t="shared" si="138"/>
        <v>0.52777777777777779</v>
      </c>
      <c r="AL84" s="58">
        <f t="shared" si="174"/>
        <v>7.0299999999999994</v>
      </c>
      <c r="AM84" s="55">
        <f t="shared" si="164"/>
        <v>18.47</v>
      </c>
      <c r="AN84" s="93"/>
      <c r="AO84" s="96"/>
      <c r="AP84" s="96"/>
      <c r="AQ84" s="96"/>
      <c r="AR84" s="96"/>
      <c r="AS84" s="96"/>
      <c r="AT84" s="96">
        <f>$CJ84</f>
        <v>244</v>
      </c>
      <c r="AU84" s="96">
        <f t="shared" si="139"/>
        <v>0</v>
      </c>
      <c r="AV84" s="96">
        <f t="shared" si="139"/>
        <v>0</v>
      </c>
      <c r="AW84" s="96">
        <f t="shared" ref="AW84" si="179">SUM(AO84:AV84)</f>
        <v>244</v>
      </c>
      <c r="AX84" s="96">
        <f t="shared" si="141"/>
        <v>1626</v>
      </c>
      <c r="AY84" s="94">
        <f t="shared" si="165"/>
        <v>-9.0799999999999557</v>
      </c>
      <c r="AZ84" s="94">
        <f t="shared" si="142"/>
        <v>-60.53333333333304</v>
      </c>
      <c r="BA84" s="94">
        <f t="shared" si="171"/>
        <v>18.47</v>
      </c>
      <c r="BB84" s="97">
        <f t="shared" si="172"/>
        <v>0.47</v>
      </c>
      <c r="BC84" s="93">
        <v>7</v>
      </c>
      <c r="BD84" s="93">
        <f t="shared" si="143"/>
        <v>29</v>
      </c>
      <c r="BE84" s="95">
        <f t="shared" si="144"/>
        <v>0.80555555555555558</v>
      </c>
      <c r="BF84" s="58">
        <f t="shared" si="175"/>
        <v>7.2799999999999994</v>
      </c>
      <c r="BG84" s="94">
        <f t="shared" si="145"/>
        <v>11.19</v>
      </c>
      <c r="BH84" s="89"/>
      <c r="BI84" s="89"/>
      <c r="BJ84" s="92"/>
      <c r="BK84" s="89"/>
      <c r="BL84" s="89"/>
      <c r="BM84" s="89"/>
      <c r="BN84" s="92">
        <f>$CN84</f>
        <v>271</v>
      </c>
      <c r="BO84" s="92">
        <f t="shared" si="166"/>
        <v>0</v>
      </c>
      <c r="BP84" s="92">
        <f t="shared" si="166"/>
        <v>5</v>
      </c>
      <c r="BQ84" s="96">
        <f t="shared" si="146"/>
        <v>276</v>
      </c>
      <c r="BR84" s="96">
        <f t="shared" si="147"/>
        <v>1840</v>
      </c>
      <c r="BS84" s="96">
        <f t="shared" si="167"/>
        <v>13.920000000000016</v>
      </c>
      <c r="BT84" s="96">
        <f t="shared" si="148"/>
        <v>92.800000000000111</v>
      </c>
      <c r="BU84" s="92">
        <f t="shared" si="121"/>
        <v>3433</v>
      </c>
      <c r="BV84" s="98">
        <f t="shared" si="168"/>
        <v>14.309999999999999</v>
      </c>
      <c r="BW84" s="92">
        <f t="shared" si="122"/>
        <v>32.266666666667071</v>
      </c>
      <c r="BX84" s="98">
        <f t="shared" si="149"/>
        <v>2.9192399999999994</v>
      </c>
      <c r="BY84" s="61">
        <f t="shared" si="173"/>
        <v>14.309999999999999</v>
      </c>
      <c r="BZ84" s="62">
        <f t="shared" si="150"/>
        <v>14.309999999999999</v>
      </c>
      <c r="CA84" s="98">
        <f t="shared" si="151"/>
        <v>0.52</v>
      </c>
      <c r="CB84" s="92">
        <f t="shared" si="123"/>
        <v>3466</v>
      </c>
      <c r="CC84" s="92">
        <f t="shared" si="123"/>
        <v>4.8400000000000603</v>
      </c>
      <c r="CD84" s="92">
        <f t="shared" si="123"/>
        <v>32.266666666667071</v>
      </c>
      <c r="CE84" s="99"/>
      <c r="CF84" s="99"/>
      <c r="CG84" s="51">
        <f t="shared" si="152"/>
        <v>2.4042399999999993</v>
      </c>
      <c r="CH84" s="62">
        <f t="shared" si="153"/>
        <v>2.4042399999999993</v>
      </c>
      <c r="CI84" s="89">
        <v>19</v>
      </c>
      <c r="CJ84" s="89">
        <v>244</v>
      </c>
      <c r="CK84" s="89"/>
      <c r="CL84" s="96"/>
      <c r="CM84" s="89">
        <v>29</v>
      </c>
      <c r="CN84" s="89">
        <v>271</v>
      </c>
      <c r="CO84" s="92"/>
      <c r="CP84" s="101">
        <v>5</v>
      </c>
      <c r="CQ84" s="102">
        <f t="shared" si="100"/>
        <v>1626</v>
      </c>
      <c r="CR84" s="102">
        <f t="shared" si="100"/>
        <v>0</v>
      </c>
      <c r="CS84" s="102">
        <f t="shared" si="100"/>
        <v>0</v>
      </c>
      <c r="CT84" s="92">
        <f t="shared" si="154"/>
        <v>1807</v>
      </c>
      <c r="CU84" s="92">
        <f t="shared" si="101"/>
        <v>0</v>
      </c>
      <c r="CV84" s="103">
        <f t="shared" si="101"/>
        <v>33</v>
      </c>
      <c r="CW84" s="104" t="s">
        <v>147</v>
      </c>
      <c r="CX84" s="105">
        <v>11</v>
      </c>
      <c r="CY84" s="106">
        <f t="shared" si="155"/>
        <v>3649</v>
      </c>
      <c r="CZ84" s="106">
        <f t="shared" si="156"/>
        <v>44.550000000000004</v>
      </c>
      <c r="DA84" s="106"/>
      <c r="DB84" s="106"/>
      <c r="DC84" s="105"/>
      <c r="DD84" s="107"/>
      <c r="DE84" s="92">
        <f t="shared" si="124"/>
        <v>1626</v>
      </c>
      <c r="DF84" s="108">
        <f t="shared" si="125"/>
        <v>7.0299999999999994</v>
      </c>
      <c r="DG84" s="115">
        <f t="shared" si="126"/>
        <v>-60.53333333333304</v>
      </c>
      <c r="DH84" s="110">
        <f t="shared" si="127"/>
        <v>1807</v>
      </c>
      <c r="DI84" s="108">
        <f t="shared" si="128"/>
        <v>7.2799999999999994</v>
      </c>
      <c r="DJ84" s="112">
        <f t="shared" si="129"/>
        <v>92.800000000000111</v>
      </c>
      <c r="DK84" s="110">
        <f t="shared" si="87"/>
        <v>3433</v>
      </c>
      <c r="DL84" s="108">
        <f t="shared" si="87"/>
        <v>14.309999999999999</v>
      </c>
      <c r="DM84" s="111">
        <f t="shared" si="87"/>
        <v>32.266666666667071</v>
      </c>
      <c r="DN84" s="76">
        <v>10</v>
      </c>
      <c r="DO84" s="76">
        <f t="shared" si="90"/>
        <v>15</v>
      </c>
      <c r="DP84" s="112"/>
      <c r="DQ84" s="112"/>
      <c r="DR84" s="113" t="s">
        <v>355</v>
      </c>
      <c r="DS84" s="112"/>
      <c r="DT84" s="112"/>
      <c r="DU84" s="111"/>
      <c r="DV84" s="114"/>
      <c r="DW84" s="80">
        <f t="shared" si="157"/>
        <v>3447.31</v>
      </c>
      <c r="DX84" s="81">
        <f t="shared" si="130"/>
        <v>3479.5766666666668</v>
      </c>
      <c r="DY84" s="80">
        <f t="shared" si="158"/>
        <v>3466</v>
      </c>
      <c r="DZ84" s="82">
        <f t="shared" si="159"/>
        <v>4.9500000000000004E-3</v>
      </c>
      <c r="EA84" s="82">
        <f t="shared" si="160"/>
        <v>0.51494999999999991</v>
      </c>
      <c r="EB84" s="82">
        <f t="shared" si="161"/>
        <v>2.4042899999999996</v>
      </c>
      <c r="EC84" s="82">
        <f t="shared" si="178"/>
        <v>2.4092399999999996</v>
      </c>
      <c r="EF84" s="83">
        <f t="shared" si="106"/>
        <v>32.266666666667071</v>
      </c>
    </row>
    <row r="85" spans="1:136" ht="15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1"/>
        <v>TVSUS303Cu-H15.87x2.5-H11B14</v>
      </c>
      <c r="H85" s="46" t="str">
        <f t="shared" si="132"/>
        <v>SUS303CuTV15.870HH11</v>
      </c>
      <c r="I85" s="46" t="str">
        <f t="shared" si="133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v>0</v>
      </c>
      <c r="U85" s="92"/>
      <c r="V85" s="100">
        <v>27.35</v>
      </c>
      <c r="W85" s="93">
        <f t="shared" si="113"/>
        <v>0</v>
      </c>
      <c r="X85" s="93">
        <f t="shared" si="114"/>
        <v>0</v>
      </c>
      <c r="Y85" s="93">
        <f t="shared" si="115"/>
        <v>0</v>
      </c>
      <c r="Z85" s="93">
        <f t="shared" si="116"/>
        <v>0</v>
      </c>
      <c r="AA85" s="93">
        <f t="shared" si="117"/>
        <v>0</v>
      </c>
      <c r="AB85" s="93">
        <f t="shared" si="118"/>
        <v>0</v>
      </c>
      <c r="AC85" s="93">
        <f t="shared" si="119"/>
        <v>0</v>
      </c>
      <c r="AD85" s="93">
        <f t="shared" si="120"/>
        <v>0</v>
      </c>
      <c r="AE85" s="93">
        <f t="shared" si="135"/>
        <v>0</v>
      </c>
      <c r="AF85" s="54">
        <f t="shared" si="136"/>
        <v>0</v>
      </c>
      <c r="AG85" s="94">
        <f t="shared" si="162"/>
        <v>0</v>
      </c>
      <c r="AH85" s="56">
        <f t="shared" si="137"/>
        <v>0</v>
      </c>
      <c r="AI85" s="93"/>
      <c r="AJ85" s="93">
        <f t="shared" si="163"/>
        <v>0</v>
      </c>
      <c r="AK85" s="95">
        <f t="shared" si="138"/>
        <v>1</v>
      </c>
      <c r="AL85" s="58">
        <f t="shared" si="174"/>
        <v>0</v>
      </c>
      <c r="AM85" s="55">
        <f t="shared" si="164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39"/>
        <v>0</v>
      </c>
      <c r="AV85" s="96">
        <f t="shared" si="139"/>
        <v>0</v>
      </c>
      <c r="AW85" s="96">
        <f t="shared" si="140"/>
        <v>0</v>
      </c>
      <c r="AX85" s="96">
        <f t="shared" si="141"/>
        <v>0</v>
      </c>
      <c r="AY85" s="94">
        <f t="shared" si="165"/>
        <v>0</v>
      </c>
      <c r="AZ85" s="94">
        <f t="shared" si="142"/>
        <v>0</v>
      </c>
      <c r="BA85" s="94">
        <f t="shared" si="171"/>
        <v>0</v>
      </c>
      <c r="BB85" s="97">
        <f t="shared" si="172"/>
        <v>0</v>
      </c>
      <c r="BC85" s="93"/>
      <c r="BD85" s="93">
        <f t="shared" si="143"/>
        <v>0</v>
      </c>
      <c r="BE85" s="95">
        <f t="shared" si="144"/>
        <v>1</v>
      </c>
      <c r="BF85" s="58">
        <f t="shared" si="175"/>
        <v>0</v>
      </c>
      <c r="BG85" s="94">
        <f t="shared" si="145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6"/>
        <v>0</v>
      </c>
      <c r="BP85" s="92">
        <f t="shared" si="166"/>
        <v>0</v>
      </c>
      <c r="BQ85" s="96">
        <f t="shared" si="146"/>
        <v>0</v>
      </c>
      <c r="BR85" s="96">
        <f t="shared" si="147"/>
        <v>0</v>
      </c>
      <c r="BS85" s="96">
        <f t="shared" si="167"/>
        <v>0</v>
      </c>
      <c r="BT85" s="96">
        <f t="shared" si="148"/>
        <v>0</v>
      </c>
      <c r="BU85" s="92">
        <f t="shared" si="121"/>
        <v>0</v>
      </c>
      <c r="BV85" s="98">
        <f t="shared" si="168"/>
        <v>0</v>
      </c>
      <c r="BW85" s="92">
        <f t="shared" si="122"/>
        <v>0</v>
      </c>
      <c r="BX85" s="98">
        <f t="shared" si="149"/>
        <v>0</v>
      </c>
      <c r="BY85" s="61">
        <f t="shared" si="173"/>
        <v>0</v>
      </c>
      <c r="BZ85" s="62">
        <f t="shared" si="150"/>
        <v>0</v>
      </c>
      <c r="CA85" s="98">
        <f t="shared" si="151"/>
        <v>0</v>
      </c>
      <c r="CB85" s="92">
        <f t="shared" si="123"/>
        <v>0</v>
      </c>
      <c r="CC85" s="92">
        <f t="shared" si="123"/>
        <v>0</v>
      </c>
      <c r="CD85" s="92">
        <f t="shared" si="123"/>
        <v>0</v>
      </c>
      <c r="CE85" s="99"/>
      <c r="CF85" s="99"/>
      <c r="CG85" s="51">
        <f t="shared" si="152"/>
        <v>0</v>
      </c>
      <c r="CH85" s="62">
        <f t="shared" si="153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100"/>
        <v>0</v>
      </c>
      <c r="CR85" s="102">
        <f t="shared" si="100"/>
        <v>0</v>
      </c>
      <c r="CS85" s="102">
        <f t="shared" si="100"/>
        <v>0</v>
      </c>
      <c r="CT85" s="92">
        <f t="shared" si="154"/>
        <v>0</v>
      </c>
      <c r="CU85" s="92">
        <f t="shared" si="101"/>
        <v>0</v>
      </c>
      <c r="CV85" s="103">
        <f t="shared" si="101"/>
        <v>0</v>
      </c>
      <c r="CW85" s="104"/>
      <c r="CX85" s="105">
        <v>100</v>
      </c>
      <c r="CY85" s="106">
        <f t="shared" si="155"/>
        <v>414</v>
      </c>
      <c r="CZ85" s="106">
        <f t="shared" si="156"/>
        <v>810</v>
      </c>
      <c r="DA85" s="106"/>
      <c r="DB85" s="106"/>
      <c r="DC85" s="105"/>
      <c r="DD85" s="107"/>
      <c r="DE85" s="92">
        <f t="shared" si="124"/>
        <v>0</v>
      </c>
      <c r="DF85" s="108">
        <f t="shared" si="125"/>
        <v>0</v>
      </c>
      <c r="DG85" s="115">
        <f t="shared" si="126"/>
        <v>0</v>
      </c>
      <c r="DH85" s="110">
        <f t="shared" si="127"/>
        <v>0</v>
      </c>
      <c r="DI85" s="108">
        <f t="shared" si="128"/>
        <v>0</v>
      </c>
      <c r="DJ85" s="112">
        <f t="shared" si="129"/>
        <v>0</v>
      </c>
      <c r="DK85" s="110">
        <f t="shared" si="87"/>
        <v>0</v>
      </c>
      <c r="DL85" s="108">
        <f t="shared" si="87"/>
        <v>0</v>
      </c>
      <c r="DM85" s="111">
        <f t="shared" si="87"/>
        <v>0</v>
      </c>
      <c r="DN85" s="76">
        <f t="shared" si="90"/>
        <v>0</v>
      </c>
      <c r="DO85" s="76">
        <f t="shared" si="90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7"/>
        <v>0</v>
      </c>
      <c r="DX85" s="81">
        <f t="shared" si="130"/>
        <v>0</v>
      </c>
      <c r="DY85" s="80">
        <f t="shared" si="158"/>
        <v>0</v>
      </c>
      <c r="DZ85" s="82">
        <f t="shared" si="159"/>
        <v>0</v>
      </c>
      <c r="EA85" s="82">
        <f t="shared" si="160"/>
        <v>0</v>
      </c>
      <c r="EB85" s="82">
        <f t="shared" si="161"/>
        <v>0</v>
      </c>
      <c r="EC85" s="82">
        <f t="shared" ref="EC85:EC86" si="180">(BX85-CA85)+((AV85+BP85)/1000)</f>
        <v>0</v>
      </c>
      <c r="EF85" s="83">
        <f t="shared" si="106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1"/>
        <v>TVSUS303Cu-24x2.5-H9A15</v>
      </c>
      <c r="H86" s="46" t="str">
        <f t="shared" si="132"/>
        <v>SUS303CuTV240DH9</v>
      </c>
      <c r="I86" s="46" t="str">
        <f t="shared" si="133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4"/>
        <v>16</v>
      </c>
      <c r="T86" s="51">
        <v>2</v>
      </c>
      <c r="U86" s="92"/>
      <c r="V86" s="100">
        <v>59.75</v>
      </c>
      <c r="W86" s="93">
        <f t="shared" si="113"/>
        <v>170</v>
      </c>
      <c r="X86" s="93">
        <f t="shared" si="114"/>
        <v>0</v>
      </c>
      <c r="Y86" s="93">
        <f t="shared" si="115"/>
        <v>0</v>
      </c>
      <c r="Z86" s="93">
        <f t="shared" si="116"/>
        <v>0</v>
      </c>
      <c r="AA86" s="93">
        <f t="shared" si="117"/>
        <v>0</v>
      </c>
      <c r="AB86" s="93">
        <f t="shared" si="118"/>
        <v>0</v>
      </c>
      <c r="AC86" s="93">
        <f t="shared" si="119"/>
        <v>0</v>
      </c>
      <c r="AD86" s="93">
        <f t="shared" si="120"/>
        <v>0</v>
      </c>
      <c r="AE86" s="93">
        <f t="shared" si="135"/>
        <v>170</v>
      </c>
      <c r="AF86" s="54">
        <f t="shared" si="136"/>
        <v>170</v>
      </c>
      <c r="AG86" s="94">
        <f t="shared" si="162"/>
        <v>2</v>
      </c>
      <c r="AH86" s="56">
        <f t="shared" si="137"/>
        <v>0</v>
      </c>
      <c r="AI86" s="93">
        <v>2</v>
      </c>
      <c r="AJ86" s="93">
        <f t="shared" si="163"/>
        <v>2390</v>
      </c>
      <c r="AK86" s="95">
        <f t="shared" si="138"/>
        <v>0.625</v>
      </c>
      <c r="AL86" s="58">
        <f t="shared" si="174"/>
        <v>1.6300000000000001</v>
      </c>
      <c r="AM86" s="55">
        <f t="shared" si="164"/>
        <v>0.36999999999999988</v>
      </c>
      <c r="AN86" s="93"/>
      <c r="AO86" s="96">
        <f>$CJ86</f>
        <v>5377.5</v>
      </c>
      <c r="AP86" s="96"/>
      <c r="AQ86" s="96"/>
      <c r="AR86" s="96"/>
      <c r="AS86" s="96"/>
      <c r="AT86" s="96"/>
      <c r="AU86" s="96">
        <f t="shared" si="139"/>
        <v>0</v>
      </c>
      <c r="AV86" s="96">
        <f t="shared" si="139"/>
        <v>0</v>
      </c>
      <c r="AW86" s="96">
        <f t="shared" si="140"/>
        <v>5377.5</v>
      </c>
      <c r="AX86" s="96">
        <f t="shared" si="141"/>
        <v>90</v>
      </c>
      <c r="AY86" s="94">
        <f t="shared" si="165"/>
        <v>-855.6200000000008</v>
      </c>
      <c r="AZ86" s="94">
        <f t="shared" si="142"/>
        <v>-14.320000000000013</v>
      </c>
      <c r="BA86" s="94">
        <f t="shared" si="171"/>
        <v>0.36999999999999988</v>
      </c>
      <c r="BB86" s="97">
        <f t="shared" si="172"/>
        <v>0.37</v>
      </c>
      <c r="BC86" s="93">
        <v>1</v>
      </c>
      <c r="BD86" s="93">
        <f t="shared" si="143"/>
        <v>0</v>
      </c>
      <c r="BE86" s="95">
        <f t="shared" si="144"/>
        <v>1</v>
      </c>
      <c r="BF86" s="58">
        <f t="shared" si="175"/>
        <v>1.37</v>
      </c>
      <c r="BG86" s="94">
        <f t="shared" si="145"/>
        <v>-1.0000000000000002</v>
      </c>
      <c r="BH86" s="89"/>
      <c r="BI86" s="92">
        <f>$CN86</f>
        <v>4780</v>
      </c>
      <c r="BJ86" s="92"/>
      <c r="BK86" s="89"/>
      <c r="BL86" s="89"/>
      <c r="BM86" s="89"/>
      <c r="BN86" s="89"/>
      <c r="BO86" s="92">
        <f t="shared" si="166"/>
        <v>0</v>
      </c>
      <c r="BP86" s="92">
        <f t="shared" si="166"/>
        <v>0</v>
      </c>
      <c r="BQ86" s="96">
        <f t="shared" si="146"/>
        <v>4780</v>
      </c>
      <c r="BR86" s="96">
        <f t="shared" si="147"/>
        <v>80</v>
      </c>
      <c r="BS86" s="96">
        <f t="shared" si="167"/>
        <v>-458.88000000000011</v>
      </c>
      <c r="BT86" s="96">
        <f t="shared" si="148"/>
        <v>-7.6800000000000015</v>
      </c>
      <c r="BU86" s="92">
        <f t="shared" si="121"/>
        <v>170</v>
      </c>
      <c r="BV86" s="98">
        <f t="shared" si="168"/>
        <v>3</v>
      </c>
      <c r="BW86" s="92">
        <f t="shared" si="122"/>
        <v>-22.000000000000014</v>
      </c>
      <c r="BX86" s="98">
        <f t="shared" si="149"/>
        <v>27.150000000000002</v>
      </c>
      <c r="BY86" s="61">
        <f t="shared" si="173"/>
        <v>3</v>
      </c>
      <c r="BZ86" s="62">
        <f t="shared" si="150"/>
        <v>3</v>
      </c>
      <c r="CA86" s="98">
        <f t="shared" si="151"/>
        <v>10.157500000000001</v>
      </c>
      <c r="CB86" s="92">
        <f t="shared" si="123"/>
        <v>170</v>
      </c>
      <c r="CC86" s="92">
        <f t="shared" si="123"/>
        <v>-1314.5000000000009</v>
      </c>
      <c r="CD86" s="92">
        <f t="shared" si="123"/>
        <v>-22.000000000000014</v>
      </c>
      <c r="CE86" s="99"/>
      <c r="CF86" s="99"/>
      <c r="CG86" s="51">
        <f t="shared" si="152"/>
        <v>16.9925</v>
      </c>
      <c r="CH86" s="62">
        <f t="shared" si="153"/>
        <v>16.9925</v>
      </c>
      <c r="CI86" s="89">
        <f>40*59.75</f>
        <v>2390</v>
      </c>
      <c r="CJ86" s="89">
        <f>90*59.75</f>
        <v>5377.5</v>
      </c>
      <c r="CK86" s="89"/>
      <c r="CL86" s="96"/>
      <c r="CM86" s="89"/>
      <c r="CN86" s="89">
        <f>80*59.75</f>
        <v>4780</v>
      </c>
      <c r="CO86" s="92"/>
      <c r="CP86" s="101"/>
      <c r="CQ86" s="102">
        <f t="shared" si="100"/>
        <v>90</v>
      </c>
      <c r="CR86" s="102">
        <f t="shared" si="100"/>
        <v>0</v>
      </c>
      <c r="CS86" s="102">
        <f t="shared" si="100"/>
        <v>0</v>
      </c>
      <c r="CT86" s="92">
        <f t="shared" si="154"/>
        <v>80</v>
      </c>
      <c r="CU86" s="92">
        <f t="shared" si="101"/>
        <v>0</v>
      </c>
      <c r="CV86" s="103">
        <f t="shared" si="101"/>
        <v>0</v>
      </c>
      <c r="CW86" s="104"/>
      <c r="CX86" s="105">
        <v>80</v>
      </c>
      <c r="CY86" s="106">
        <f t="shared" si="155"/>
        <v>506</v>
      </c>
      <c r="CZ86" s="106">
        <f t="shared" si="156"/>
        <v>648</v>
      </c>
      <c r="DA86" s="106"/>
      <c r="DB86" s="106"/>
      <c r="DC86" s="105"/>
      <c r="DD86" s="107"/>
      <c r="DE86" s="92">
        <f t="shared" si="124"/>
        <v>90</v>
      </c>
      <c r="DF86" s="108">
        <f t="shared" si="125"/>
        <v>1.6300000000000001</v>
      </c>
      <c r="DG86" s="115">
        <f t="shared" si="126"/>
        <v>-14.320000000000013</v>
      </c>
      <c r="DH86" s="110">
        <f t="shared" si="127"/>
        <v>80</v>
      </c>
      <c r="DI86" s="108">
        <f t="shared" si="128"/>
        <v>1.37</v>
      </c>
      <c r="DJ86" s="112">
        <f t="shared" si="129"/>
        <v>-7.6800000000000015</v>
      </c>
      <c r="DK86" s="110">
        <f t="shared" si="87"/>
        <v>170</v>
      </c>
      <c r="DL86" s="108">
        <f t="shared" si="87"/>
        <v>3</v>
      </c>
      <c r="DM86" s="111">
        <f t="shared" si="87"/>
        <v>-22.000000000000014</v>
      </c>
      <c r="DN86" s="76">
        <f t="shared" si="90"/>
        <v>2</v>
      </c>
      <c r="DO86" s="76">
        <f t="shared" si="90"/>
        <v>0</v>
      </c>
      <c r="DP86" s="112"/>
      <c r="DQ86" s="112"/>
      <c r="DR86" s="113" t="s">
        <v>360</v>
      </c>
      <c r="DS86" s="112"/>
      <c r="DT86" s="112"/>
      <c r="DU86" s="111"/>
      <c r="DV86" s="114"/>
      <c r="DW86" s="80">
        <f>IFERROR(AL86+BF86,"")</f>
        <v>3</v>
      </c>
      <c r="DX86" s="81">
        <f t="shared" si="130"/>
        <v>151</v>
      </c>
      <c r="DY86" s="80">
        <f t="shared" si="158"/>
        <v>170</v>
      </c>
      <c r="DZ86" s="82">
        <f t="shared" si="159"/>
        <v>0</v>
      </c>
      <c r="EA86" s="82">
        <f t="shared" si="160"/>
        <v>10.157500000000001</v>
      </c>
      <c r="EB86" s="82">
        <f t="shared" si="161"/>
        <v>16.9925</v>
      </c>
      <c r="EC86" s="82">
        <f t="shared" si="180"/>
        <v>16.9925</v>
      </c>
      <c r="EF86" s="83">
        <f t="shared" si="106"/>
        <v>-22.000000000000014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1"/>
        <v>TVSUS303-7.5x2.5-H9A14</v>
      </c>
      <c r="H87" s="46" t="str">
        <f t="shared" si="132"/>
        <v>SUS303TV7.50DH9</v>
      </c>
      <c r="I87" s="46" t="str">
        <f t="shared" si="133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4"/>
        <v>2</v>
      </c>
      <c r="T87" s="51">
        <v>6</v>
      </c>
      <c r="U87" s="92"/>
      <c r="V87" s="100">
        <v>0.7</v>
      </c>
      <c r="W87" s="93">
        <f t="shared" si="113"/>
        <v>0</v>
      </c>
      <c r="X87" s="93">
        <f t="shared" si="114"/>
        <v>0</v>
      </c>
      <c r="Y87" s="93">
        <f t="shared" si="115"/>
        <v>0</v>
      </c>
      <c r="Z87" s="93">
        <f t="shared" si="116"/>
        <v>0</v>
      </c>
      <c r="AA87" s="93">
        <f t="shared" si="117"/>
        <v>0</v>
      </c>
      <c r="AB87" s="93">
        <f t="shared" si="118"/>
        <v>734</v>
      </c>
      <c r="AC87" s="93">
        <f t="shared" si="119"/>
        <v>0</v>
      </c>
      <c r="AD87" s="93">
        <f t="shared" si="120"/>
        <v>0</v>
      </c>
      <c r="AE87" s="93">
        <f t="shared" si="135"/>
        <v>734</v>
      </c>
      <c r="AF87" s="54">
        <f t="shared" si="136"/>
        <v>734</v>
      </c>
      <c r="AG87" s="94">
        <f t="shared" si="162"/>
        <v>6</v>
      </c>
      <c r="AH87" s="56">
        <f t="shared" si="137"/>
        <v>0</v>
      </c>
      <c r="AI87" s="93">
        <v>2</v>
      </c>
      <c r="AJ87" s="93">
        <f t="shared" si="163"/>
        <v>0</v>
      </c>
      <c r="AK87" s="95">
        <f t="shared" si="138"/>
        <v>1</v>
      </c>
      <c r="AL87" s="58">
        <f t="shared" si="174"/>
        <v>2</v>
      </c>
      <c r="AM87" s="55">
        <f t="shared" si="164"/>
        <v>4</v>
      </c>
      <c r="AN87" s="93"/>
      <c r="AO87" s="96"/>
      <c r="AP87" s="96"/>
      <c r="AQ87" s="96"/>
      <c r="AR87" s="96"/>
      <c r="AS87" s="96"/>
      <c r="AT87" s="96">
        <f>$CJ87</f>
        <v>218</v>
      </c>
      <c r="AU87" s="96">
        <f t="shared" si="139"/>
        <v>0</v>
      </c>
      <c r="AV87" s="96">
        <f t="shared" si="139"/>
        <v>0</v>
      </c>
      <c r="AW87" s="96">
        <f t="shared" si="140"/>
        <v>218</v>
      </c>
      <c r="AX87" s="96">
        <f t="shared" si="141"/>
        <v>311</v>
      </c>
      <c r="AY87" s="94">
        <f t="shared" si="165"/>
        <v>-95.599999999999966</v>
      </c>
      <c r="AZ87" s="94">
        <f t="shared" si="142"/>
        <v>-136.57142857142853</v>
      </c>
      <c r="BA87" s="94">
        <f t="shared" si="171"/>
        <v>4</v>
      </c>
      <c r="BB87" s="97">
        <f t="shared" si="172"/>
        <v>0</v>
      </c>
      <c r="BC87" s="93">
        <v>2</v>
      </c>
      <c r="BD87" s="93">
        <f t="shared" si="143"/>
        <v>0</v>
      </c>
      <c r="BE87" s="95">
        <f t="shared" si="144"/>
        <v>1</v>
      </c>
      <c r="BF87" s="58">
        <f t="shared" si="175"/>
        <v>2</v>
      </c>
      <c r="BG87" s="94">
        <f t="shared" si="145"/>
        <v>2</v>
      </c>
      <c r="BH87" s="89"/>
      <c r="BI87" s="89"/>
      <c r="BJ87" s="92"/>
      <c r="BK87" s="89"/>
      <c r="BL87" s="89"/>
      <c r="BM87" s="89"/>
      <c r="BN87" s="92">
        <f>$CN87</f>
        <v>296</v>
      </c>
      <c r="BO87" s="92">
        <f t="shared" si="166"/>
        <v>0</v>
      </c>
      <c r="BP87" s="92">
        <f t="shared" si="166"/>
        <v>0</v>
      </c>
      <c r="BQ87" s="96">
        <f t="shared" si="146"/>
        <v>296</v>
      </c>
      <c r="BR87" s="96">
        <f t="shared" si="147"/>
        <v>422</v>
      </c>
      <c r="BS87" s="96">
        <f t="shared" si="167"/>
        <v>-17.599999999999966</v>
      </c>
      <c r="BT87" s="96">
        <f t="shared" si="148"/>
        <v>-25.142857142857096</v>
      </c>
      <c r="BU87" s="92">
        <f t="shared" si="121"/>
        <v>734</v>
      </c>
      <c r="BV87" s="98">
        <f t="shared" si="168"/>
        <v>4</v>
      </c>
      <c r="BW87" s="92">
        <f t="shared" si="122"/>
        <v>-161.71428571428561</v>
      </c>
      <c r="BX87" s="98">
        <f t="shared" si="149"/>
        <v>2.2160000000000002</v>
      </c>
      <c r="BY87" s="61">
        <f t="shared" si="173"/>
        <v>4</v>
      </c>
      <c r="BZ87" s="62">
        <f t="shared" si="150"/>
        <v>4</v>
      </c>
      <c r="CA87" s="98">
        <f t="shared" si="151"/>
        <v>0.51400000000000001</v>
      </c>
      <c r="CB87" s="92">
        <f t="shared" si="123"/>
        <v>733</v>
      </c>
      <c r="CC87" s="92">
        <f t="shared" si="123"/>
        <v>-113.19999999999993</v>
      </c>
      <c r="CD87" s="92">
        <f t="shared" si="123"/>
        <v>-161.71428571428561</v>
      </c>
      <c r="CE87" s="99"/>
      <c r="CF87" s="99"/>
      <c r="CG87" s="51">
        <f t="shared" si="152"/>
        <v>1.7020000000000002</v>
      </c>
      <c r="CH87" s="62">
        <f t="shared" si="153"/>
        <v>1.7020000000000002</v>
      </c>
      <c r="CI87" s="89"/>
      <c r="CJ87" s="89">
        <v>218</v>
      </c>
      <c r="CK87" s="89"/>
      <c r="CL87" s="96"/>
      <c r="CM87" s="89"/>
      <c r="CN87" s="89">
        <v>296</v>
      </c>
      <c r="CO87" s="92"/>
      <c r="CP87" s="101"/>
      <c r="CQ87" s="102">
        <f t="shared" si="100"/>
        <v>311</v>
      </c>
      <c r="CR87" s="102">
        <f t="shared" si="100"/>
        <v>0</v>
      </c>
      <c r="CS87" s="102">
        <f t="shared" si="100"/>
        <v>0</v>
      </c>
      <c r="CT87" s="92">
        <f t="shared" si="154"/>
        <v>423</v>
      </c>
      <c r="CU87" s="92">
        <f t="shared" si="101"/>
        <v>0</v>
      </c>
      <c r="CV87" s="103">
        <f t="shared" si="101"/>
        <v>0</v>
      </c>
      <c r="CW87" s="104"/>
      <c r="CX87" s="105">
        <v>134</v>
      </c>
      <c r="CY87" s="106">
        <f t="shared" si="155"/>
        <v>317</v>
      </c>
      <c r="CZ87" s="106">
        <f t="shared" si="156"/>
        <v>1085.4000000000001</v>
      </c>
      <c r="DA87" s="106"/>
      <c r="DB87" s="106"/>
      <c r="DC87" s="105"/>
      <c r="DD87" s="107"/>
      <c r="DE87" s="92">
        <f t="shared" si="124"/>
        <v>311</v>
      </c>
      <c r="DF87" s="108">
        <f t="shared" si="125"/>
        <v>2</v>
      </c>
      <c r="DG87" s="115">
        <f t="shared" si="126"/>
        <v>-136.57142857142853</v>
      </c>
      <c r="DH87" s="110">
        <f t="shared" si="127"/>
        <v>423</v>
      </c>
      <c r="DI87" s="108">
        <f t="shared" si="128"/>
        <v>2</v>
      </c>
      <c r="DJ87" s="112">
        <f t="shared" si="129"/>
        <v>-25.142857142857096</v>
      </c>
      <c r="DK87" s="110">
        <f t="shared" si="87"/>
        <v>734</v>
      </c>
      <c r="DL87" s="108">
        <f t="shared" si="87"/>
        <v>4</v>
      </c>
      <c r="DM87" s="111">
        <f t="shared" si="87"/>
        <v>-161.71428571428561</v>
      </c>
      <c r="DN87" s="76">
        <f t="shared" si="90"/>
        <v>6</v>
      </c>
      <c r="DO87" s="76">
        <f t="shared" si="90"/>
        <v>0</v>
      </c>
      <c r="DP87" s="112"/>
      <c r="DQ87" s="112"/>
      <c r="DR87" s="113" t="s">
        <v>363</v>
      </c>
      <c r="DS87" s="112"/>
      <c r="DT87" s="112"/>
      <c r="DU87" s="111"/>
      <c r="DV87" s="114"/>
      <c r="DW87" s="80">
        <f t="shared" si="157"/>
        <v>738</v>
      </c>
      <c r="DX87" s="81">
        <f t="shared" si="130"/>
        <v>576.28571428571445</v>
      </c>
      <c r="DY87" s="80">
        <f t="shared" si="158"/>
        <v>734</v>
      </c>
      <c r="DZ87" s="82">
        <f t="shared" si="159"/>
        <v>0</v>
      </c>
      <c r="EA87" s="82">
        <f t="shared" si="160"/>
        <v>0.51379999999999992</v>
      </c>
      <c r="EB87" s="82">
        <f t="shared" si="161"/>
        <v>1.7022000000000004</v>
      </c>
      <c r="EC87" s="82">
        <f t="shared" si="178"/>
        <v>1.7022000000000004</v>
      </c>
      <c r="EF87" s="83">
        <f t="shared" si="106"/>
        <v>-161.71428571428561</v>
      </c>
    </row>
    <row r="88" spans="1:136" ht="15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1"/>
        <v>MESUS303-8x3-H7C14</v>
      </c>
      <c r="H88" s="46" t="str">
        <f t="shared" si="132"/>
        <v>SUS303ME80DH7</v>
      </c>
      <c r="I88" s="46" t="str">
        <f t="shared" si="133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4"/>
        <v>22</v>
      </c>
      <c r="T88" s="51">
        <v>0</v>
      </c>
      <c r="U88" s="92"/>
      <c r="V88" s="100">
        <v>15.11</v>
      </c>
      <c r="W88" s="93">
        <f t="shared" si="113"/>
        <v>0</v>
      </c>
      <c r="X88" s="93">
        <f t="shared" si="114"/>
        <v>0</v>
      </c>
      <c r="Y88" s="93">
        <f t="shared" si="115"/>
        <v>0</v>
      </c>
      <c r="Z88" s="93">
        <f t="shared" si="116"/>
        <v>0</v>
      </c>
      <c r="AA88" s="93">
        <f t="shared" si="117"/>
        <v>0</v>
      </c>
      <c r="AB88" s="93">
        <f t="shared" si="118"/>
        <v>0</v>
      </c>
      <c r="AC88" s="93">
        <f t="shared" si="119"/>
        <v>0</v>
      </c>
      <c r="AD88" s="93">
        <f t="shared" si="120"/>
        <v>0</v>
      </c>
      <c r="AE88" s="93">
        <f t="shared" si="135"/>
        <v>0</v>
      </c>
      <c r="AF88" s="54">
        <f t="shared" si="136"/>
        <v>0</v>
      </c>
      <c r="AG88" s="94">
        <f t="shared" si="162"/>
        <v>0</v>
      </c>
      <c r="AH88" s="56">
        <f t="shared" si="137"/>
        <v>0</v>
      </c>
      <c r="AI88" s="93"/>
      <c r="AJ88" s="93">
        <f t="shared" si="163"/>
        <v>0</v>
      </c>
      <c r="AK88" s="95">
        <f t="shared" si="138"/>
        <v>1</v>
      </c>
      <c r="AL88" s="58">
        <f t="shared" si="174"/>
        <v>0</v>
      </c>
      <c r="AM88" s="55">
        <f t="shared" si="164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39"/>
        <v>0</v>
      </c>
      <c r="AV88" s="96">
        <f t="shared" si="139"/>
        <v>0</v>
      </c>
      <c r="AW88" s="96">
        <f t="shared" si="140"/>
        <v>0</v>
      </c>
      <c r="AX88" s="96">
        <f t="shared" si="141"/>
        <v>0</v>
      </c>
      <c r="AY88" s="94">
        <f t="shared" si="165"/>
        <v>0</v>
      </c>
      <c r="AZ88" s="94">
        <f t="shared" si="142"/>
        <v>0</v>
      </c>
      <c r="BA88" s="94">
        <f t="shared" si="171"/>
        <v>0</v>
      </c>
      <c r="BB88" s="97">
        <f t="shared" si="172"/>
        <v>0</v>
      </c>
      <c r="BC88" s="93"/>
      <c r="BD88" s="93">
        <f t="shared" si="143"/>
        <v>0</v>
      </c>
      <c r="BE88" s="95">
        <f t="shared" si="144"/>
        <v>1</v>
      </c>
      <c r="BF88" s="58">
        <f t="shared" si="175"/>
        <v>0</v>
      </c>
      <c r="BG88" s="94">
        <f t="shared" si="145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6"/>
        <v>0</v>
      </c>
      <c r="BP88" s="92">
        <f t="shared" si="166"/>
        <v>0</v>
      </c>
      <c r="BQ88" s="96">
        <f t="shared" si="146"/>
        <v>0</v>
      </c>
      <c r="BR88" s="96">
        <f t="shared" si="147"/>
        <v>0</v>
      </c>
      <c r="BS88" s="96">
        <f t="shared" si="167"/>
        <v>0</v>
      </c>
      <c r="BT88" s="96">
        <f t="shared" si="148"/>
        <v>0</v>
      </c>
      <c r="BU88" s="92">
        <f t="shared" si="121"/>
        <v>0</v>
      </c>
      <c r="BV88" s="98">
        <f t="shared" si="168"/>
        <v>0</v>
      </c>
      <c r="BW88" s="92">
        <f t="shared" si="122"/>
        <v>0</v>
      </c>
      <c r="BX88" s="98">
        <f t="shared" si="149"/>
        <v>0</v>
      </c>
      <c r="BY88" s="61">
        <f t="shared" si="173"/>
        <v>0</v>
      </c>
      <c r="BZ88" s="62">
        <f t="shared" si="150"/>
        <v>0</v>
      </c>
      <c r="CA88" s="98">
        <f t="shared" si="151"/>
        <v>0</v>
      </c>
      <c r="CB88" s="92">
        <f t="shared" si="123"/>
        <v>0</v>
      </c>
      <c r="CC88" s="92">
        <f t="shared" si="123"/>
        <v>0</v>
      </c>
      <c r="CD88" s="92">
        <f t="shared" si="123"/>
        <v>0</v>
      </c>
      <c r="CE88" s="99"/>
      <c r="CF88" s="99"/>
      <c r="CG88" s="51">
        <f t="shared" si="152"/>
        <v>0</v>
      </c>
      <c r="CH88" s="62">
        <f t="shared" si="153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100"/>
        <v>0</v>
      </c>
      <c r="CR88" s="102">
        <f t="shared" si="100"/>
        <v>0</v>
      </c>
      <c r="CS88" s="102">
        <f t="shared" si="100"/>
        <v>0</v>
      </c>
      <c r="CT88" s="92">
        <f t="shared" si="154"/>
        <v>0</v>
      </c>
      <c r="CU88" s="92">
        <f t="shared" si="101"/>
        <v>0</v>
      </c>
      <c r="CV88" s="103">
        <f t="shared" si="101"/>
        <v>0</v>
      </c>
      <c r="CW88" s="104"/>
      <c r="CX88" s="105">
        <v>61</v>
      </c>
      <c r="CY88" s="106">
        <f t="shared" si="155"/>
        <v>649</v>
      </c>
      <c r="CZ88" s="106">
        <f t="shared" si="156"/>
        <v>494.1</v>
      </c>
      <c r="DA88" s="106"/>
      <c r="DB88" s="106"/>
      <c r="DC88" s="105"/>
      <c r="DD88" s="107"/>
      <c r="DE88" s="92">
        <f t="shared" si="124"/>
        <v>0</v>
      </c>
      <c r="DF88" s="108">
        <f t="shared" si="125"/>
        <v>0</v>
      </c>
      <c r="DG88" s="115">
        <f t="shared" si="126"/>
        <v>0</v>
      </c>
      <c r="DH88" s="110">
        <f t="shared" si="127"/>
        <v>0</v>
      </c>
      <c r="DI88" s="108">
        <f t="shared" si="128"/>
        <v>0</v>
      </c>
      <c r="DJ88" s="112">
        <f t="shared" si="129"/>
        <v>0</v>
      </c>
      <c r="DK88" s="110">
        <f t="shared" ref="DK88:DM106" si="181">IFERROR(DE88+DH88,"")</f>
        <v>0</v>
      </c>
      <c r="DL88" s="108">
        <f t="shared" si="181"/>
        <v>0</v>
      </c>
      <c r="DM88" s="111">
        <f t="shared" si="181"/>
        <v>0</v>
      </c>
      <c r="DN88" s="76">
        <f t="shared" si="90"/>
        <v>0</v>
      </c>
      <c r="DO88" s="76">
        <f t="shared" si="90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7"/>
        <v>0</v>
      </c>
      <c r="DX88" s="81">
        <f t="shared" si="130"/>
        <v>0</v>
      </c>
      <c r="DY88" s="80">
        <f t="shared" si="158"/>
        <v>0</v>
      </c>
      <c r="DZ88" s="82">
        <f t="shared" si="159"/>
        <v>0</v>
      </c>
      <c r="EA88" s="82">
        <f t="shared" si="160"/>
        <v>0</v>
      </c>
      <c r="EB88" s="82">
        <f t="shared" si="161"/>
        <v>0</v>
      </c>
      <c r="EC88" s="82">
        <f t="shared" si="178"/>
        <v>0</v>
      </c>
      <c r="EF88" s="83">
        <f t="shared" si="106"/>
        <v>0</v>
      </c>
    </row>
    <row r="89" spans="1:136" ht="15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1"/>
        <v>-xx-</v>
      </c>
      <c r="H89" s="46" t="str">
        <f t="shared" si="132"/>
        <v/>
      </c>
      <c r="I89" s="46" t="str">
        <f t="shared" si="133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4"/>
        <v>#DIV/0!</v>
      </c>
      <c r="T89" s="51">
        <v>0</v>
      </c>
      <c r="U89" s="92"/>
      <c r="V89" s="100">
        <v>1</v>
      </c>
      <c r="W89" s="93">
        <f t="shared" si="113"/>
        <v>0</v>
      </c>
      <c r="X89" s="93">
        <f t="shared" si="114"/>
        <v>0</v>
      </c>
      <c r="Y89" s="93">
        <f t="shared" si="115"/>
        <v>0</v>
      </c>
      <c r="Z89" s="93">
        <f t="shared" si="116"/>
        <v>0</v>
      </c>
      <c r="AA89" s="93">
        <f t="shared" si="117"/>
        <v>0</v>
      </c>
      <c r="AB89" s="93">
        <f t="shared" si="118"/>
        <v>0</v>
      </c>
      <c r="AC89" s="93">
        <f t="shared" si="119"/>
        <v>0</v>
      </c>
      <c r="AD89" s="93">
        <f t="shared" si="120"/>
        <v>0</v>
      </c>
      <c r="AE89" s="93">
        <f t="shared" si="135"/>
        <v>0</v>
      </c>
      <c r="AF89" s="54">
        <f t="shared" si="136"/>
        <v>0</v>
      </c>
      <c r="AG89" s="94">
        <f t="shared" si="162"/>
        <v>0</v>
      </c>
      <c r="AH89" s="56">
        <f t="shared" si="137"/>
        <v>0</v>
      </c>
      <c r="AI89" s="93"/>
      <c r="AJ89" s="93">
        <f t="shared" si="163"/>
        <v>0</v>
      </c>
      <c r="AK89" s="95">
        <f t="shared" si="138"/>
        <v>1</v>
      </c>
      <c r="AL89" s="58">
        <f t="shared" si="174"/>
        <v>0</v>
      </c>
      <c r="AM89" s="55">
        <f t="shared" si="164"/>
        <v>0</v>
      </c>
      <c r="AN89" s="93"/>
      <c r="AO89" s="96"/>
      <c r="AP89" s="96"/>
      <c r="AQ89" s="96"/>
      <c r="AR89" s="96"/>
      <c r="AS89" s="96"/>
      <c r="AT89" s="96"/>
      <c r="AU89" s="96">
        <f t="shared" si="139"/>
        <v>0</v>
      </c>
      <c r="AV89" s="96">
        <f t="shared" si="139"/>
        <v>0</v>
      </c>
      <c r="AW89" s="96">
        <f t="shared" si="140"/>
        <v>0</v>
      </c>
      <c r="AX89" s="96">
        <f t="shared" si="141"/>
        <v>0</v>
      </c>
      <c r="AY89" s="94">
        <f t="shared" si="165"/>
        <v>0</v>
      </c>
      <c r="AZ89" s="94">
        <f t="shared" si="142"/>
        <v>0</v>
      </c>
      <c r="BA89" s="94">
        <f t="shared" si="171"/>
        <v>0</v>
      </c>
      <c r="BB89" s="97">
        <f t="shared" si="172"/>
        <v>0</v>
      </c>
      <c r="BC89" s="93"/>
      <c r="BD89" s="93">
        <f t="shared" si="143"/>
        <v>0</v>
      </c>
      <c r="BE89" s="95">
        <f t="shared" si="144"/>
        <v>1</v>
      </c>
      <c r="BF89" s="58">
        <f t="shared" si="175"/>
        <v>0</v>
      </c>
      <c r="BG89" s="94">
        <f t="shared" si="145"/>
        <v>0</v>
      </c>
      <c r="BH89" s="89"/>
      <c r="BI89" s="89"/>
      <c r="BJ89" s="89"/>
      <c r="BK89" s="89"/>
      <c r="BL89" s="89"/>
      <c r="BM89" s="89"/>
      <c r="BN89" s="89"/>
      <c r="BO89" s="92">
        <f t="shared" si="166"/>
        <v>0</v>
      </c>
      <c r="BP89" s="92">
        <f t="shared" si="166"/>
        <v>0</v>
      </c>
      <c r="BQ89" s="96">
        <f t="shared" si="146"/>
        <v>0</v>
      </c>
      <c r="BR89" s="96">
        <f>IF(AA89="","",INT(BQ89/$V89))</f>
        <v>0</v>
      </c>
      <c r="BS89" s="96">
        <f t="shared" si="167"/>
        <v>0</v>
      </c>
      <c r="BT89" s="96">
        <f t="shared" si="148"/>
        <v>0</v>
      </c>
      <c r="BU89" s="92">
        <f t="shared" si="121"/>
        <v>0</v>
      </c>
      <c r="BV89" s="98">
        <f t="shared" si="168"/>
        <v>0</v>
      </c>
      <c r="BW89" s="92">
        <f t="shared" si="122"/>
        <v>0</v>
      </c>
      <c r="BX89" s="98" t="str">
        <f t="shared" si="149"/>
        <v/>
      </c>
      <c r="BY89" s="61">
        <f t="shared" si="173"/>
        <v>0</v>
      </c>
      <c r="BZ89" s="62">
        <f t="shared" si="150"/>
        <v>0</v>
      </c>
      <c r="CA89" s="98">
        <f t="shared" si="151"/>
        <v>0</v>
      </c>
      <c r="CB89" s="92">
        <f t="shared" si="123"/>
        <v>0</v>
      </c>
      <c r="CC89" s="92">
        <f t="shared" si="123"/>
        <v>0</v>
      </c>
      <c r="CD89" s="92">
        <f t="shared" si="123"/>
        <v>0</v>
      </c>
      <c r="CE89" s="99"/>
      <c r="CF89" s="99"/>
      <c r="CG89" s="51">
        <f t="shared" si="152"/>
        <v>0</v>
      </c>
      <c r="CH89" s="62">
        <f t="shared" si="153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100"/>
        <v>0</v>
      </c>
      <c r="CR89" s="102">
        <f t="shared" si="100"/>
        <v>0</v>
      </c>
      <c r="CS89" s="102">
        <f t="shared" si="100"/>
        <v>0</v>
      </c>
      <c r="CT89" s="92">
        <f t="shared" si="154"/>
        <v>0</v>
      </c>
      <c r="CU89" s="92">
        <f t="shared" si="101"/>
        <v>0</v>
      </c>
      <c r="CV89" s="103">
        <f t="shared" si="101"/>
        <v>0</v>
      </c>
      <c r="CW89" s="104"/>
      <c r="CX89" s="105"/>
      <c r="CY89" s="106" t="e">
        <f t="shared" si="155"/>
        <v>#DIV/0!</v>
      </c>
      <c r="CZ89" s="106">
        <f t="shared" si="156"/>
        <v>0</v>
      </c>
      <c r="DA89" s="106"/>
      <c r="DB89" s="106"/>
      <c r="DC89" s="105"/>
      <c r="DD89" s="107"/>
      <c r="DE89" s="92">
        <f t="shared" si="124"/>
        <v>0</v>
      </c>
      <c r="DF89" s="108">
        <f t="shared" si="125"/>
        <v>0</v>
      </c>
      <c r="DG89" s="115">
        <f t="shared" si="126"/>
        <v>0</v>
      </c>
      <c r="DH89" s="110">
        <f t="shared" si="127"/>
        <v>0</v>
      </c>
      <c r="DI89" s="108">
        <f t="shared" si="128"/>
        <v>0</v>
      </c>
      <c r="DJ89" s="112">
        <f t="shared" si="129"/>
        <v>0</v>
      </c>
      <c r="DK89" s="110">
        <f t="shared" si="181"/>
        <v>0</v>
      </c>
      <c r="DL89" s="108">
        <f t="shared" si="181"/>
        <v>0</v>
      </c>
      <c r="DM89" s="111">
        <f t="shared" si="181"/>
        <v>0</v>
      </c>
      <c r="DN89" s="76">
        <f t="shared" si="90"/>
        <v>0</v>
      </c>
      <c r="DO89" s="76">
        <f t="shared" si="90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7"/>
        <v>0</v>
      </c>
      <c r="DX89" s="81">
        <f t="shared" si="130"/>
        <v>0</v>
      </c>
      <c r="DY89" s="80">
        <f t="shared" si="158"/>
        <v>0</v>
      </c>
      <c r="DZ89" s="82">
        <f t="shared" si="159"/>
        <v>0</v>
      </c>
      <c r="EA89" s="82">
        <f t="shared" si="160"/>
        <v>0</v>
      </c>
      <c r="EB89" s="82" t="e">
        <f t="shared" si="161"/>
        <v>#VALUE!</v>
      </c>
      <c r="EC89" s="82" t="e">
        <f t="shared" si="178"/>
        <v>#VALUE!</v>
      </c>
    </row>
    <row r="90" spans="1:136" ht="15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1"/>
        <v>-xx-</v>
      </c>
      <c r="H90" s="46" t="str">
        <f t="shared" si="132"/>
        <v/>
      </c>
      <c r="I90" s="46" t="str">
        <f t="shared" si="133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4"/>
        <v>#DIV/0!</v>
      </c>
      <c r="T90" s="51">
        <v>0</v>
      </c>
      <c r="U90" s="92"/>
      <c r="V90" s="100">
        <v>1</v>
      </c>
      <c r="W90" s="93">
        <f t="shared" si="113"/>
        <v>0</v>
      </c>
      <c r="X90" s="93">
        <f t="shared" si="114"/>
        <v>0</v>
      </c>
      <c r="Y90" s="93">
        <f t="shared" si="115"/>
        <v>0</v>
      </c>
      <c r="Z90" s="93">
        <f t="shared" si="116"/>
        <v>0</v>
      </c>
      <c r="AA90" s="93">
        <f t="shared" si="117"/>
        <v>0</v>
      </c>
      <c r="AB90" s="93">
        <f t="shared" si="118"/>
        <v>0</v>
      </c>
      <c r="AC90" s="93">
        <f t="shared" si="119"/>
        <v>0</v>
      </c>
      <c r="AD90" s="93">
        <f t="shared" si="120"/>
        <v>0</v>
      </c>
      <c r="AE90" s="93">
        <f t="shared" si="135"/>
        <v>0</v>
      </c>
      <c r="AF90" s="54">
        <f t="shared" si="136"/>
        <v>0</v>
      </c>
      <c r="AG90" s="94">
        <f t="shared" si="162"/>
        <v>0</v>
      </c>
      <c r="AH90" s="56">
        <f t="shared" si="137"/>
        <v>0</v>
      </c>
      <c r="AI90" s="93"/>
      <c r="AJ90" s="93">
        <f t="shared" si="163"/>
        <v>0</v>
      </c>
      <c r="AK90" s="95">
        <f t="shared" si="138"/>
        <v>1</v>
      </c>
      <c r="AL90" s="58">
        <f t="shared" si="174"/>
        <v>0</v>
      </c>
      <c r="AM90" s="55">
        <f t="shared" si="164"/>
        <v>0</v>
      </c>
      <c r="AN90" s="93"/>
      <c r="AO90" s="96"/>
      <c r="AP90" s="96"/>
      <c r="AQ90" s="96"/>
      <c r="AR90" s="96"/>
      <c r="AS90" s="96"/>
      <c r="AT90" s="96"/>
      <c r="AU90" s="96">
        <f t="shared" si="139"/>
        <v>0</v>
      </c>
      <c r="AV90" s="96">
        <f t="shared" si="139"/>
        <v>0</v>
      </c>
      <c r="AW90" s="96">
        <f t="shared" si="140"/>
        <v>0</v>
      </c>
      <c r="AX90" s="96">
        <f t="shared" si="141"/>
        <v>0</v>
      </c>
      <c r="AY90" s="94">
        <f t="shared" si="165"/>
        <v>0</v>
      </c>
      <c r="AZ90" s="94">
        <f t="shared" si="142"/>
        <v>0</v>
      </c>
      <c r="BA90" s="94">
        <f t="shared" si="171"/>
        <v>0</v>
      </c>
      <c r="BB90" s="97">
        <f t="shared" si="172"/>
        <v>0</v>
      </c>
      <c r="BC90" s="93"/>
      <c r="BD90" s="93">
        <f t="shared" si="143"/>
        <v>0</v>
      </c>
      <c r="BE90" s="95">
        <f t="shared" si="144"/>
        <v>1</v>
      </c>
      <c r="BF90" s="58">
        <f t="shared" si="175"/>
        <v>0</v>
      </c>
      <c r="BG90" s="94">
        <f t="shared" si="145"/>
        <v>0</v>
      </c>
      <c r="BH90" s="89"/>
      <c r="BI90" s="89"/>
      <c r="BJ90" s="89"/>
      <c r="BK90" s="89"/>
      <c r="BL90" s="89"/>
      <c r="BM90" s="89"/>
      <c r="BN90" s="89"/>
      <c r="BO90" s="92">
        <f t="shared" si="166"/>
        <v>0</v>
      </c>
      <c r="BP90" s="92">
        <f t="shared" si="166"/>
        <v>0</v>
      </c>
      <c r="BQ90" s="96">
        <f t="shared" si="146"/>
        <v>0</v>
      </c>
      <c r="BR90" s="96">
        <f t="shared" si="147"/>
        <v>0</v>
      </c>
      <c r="BS90" s="96">
        <f t="shared" si="167"/>
        <v>0</v>
      </c>
      <c r="BT90" s="96">
        <f t="shared" si="148"/>
        <v>0</v>
      </c>
      <c r="BU90" s="92">
        <f t="shared" si="121"/>
        <v>0</v>
      </c>
      <c r="BV90" s="98">
        <f t="shared" si="168"/>
        <v>0</v>
      </c>
      <c r="BW90" s="92">
        <f t="shared" si="122"/>
        <v>0</v>
      </c>
      <c r="BX90" s="98" t="str">
        <f t="shared" si="149"/>
        <v/>
      </c>
      <c r="BY90" s="61">
        <f t="shared" si="173"/>
        <v>0</v>
      </c>
      <c r="BZ90" s="62">
        <f t="shared" si="150"/>
        <v>0</v>
      </c>
      <c r="CA90" s="98">
        <f t="shared" si="151"/>
        <v>0</v>
      </c>
      <c r="CB90" s="92">
        <f t="shared" si="123"/>
        <v>0</v>
      </c>
      <c r="CC90" s="92">
        <f t="shared" si="123"/>
        <v>0</v>
      </c>
      <c r="CD90" s="92">
        <f t="shared" si="123"/>
        <v>0</v>
      </c>
      <c r="CE90" s="99"/>
      <c r="CF90" s="99"/>
      <c r="CG90" s="51">
        <f t="shared" si="152"/>
        <v>0</v>
      </c>
      <c r="CH90" s="62">
        <f t="shared" si="153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100"/>
        <v>0</v>
      </c>
      <c r="CR90" s="102">
        <f t="shared" si="100"/>
        <v>0</v>
      </c>
      <c r="CS90" s="102">
        <f t="shared" si="100"/>
        <v>0</v>
      </c>
      <c r="CT90" s="92">
        <f t="shared" si="154"/>
        <v>0</v>
      </c>
      <c r="CU90" s="92">
        <f t="shared" si="101"/>
        <v>0</v>
      </c>
      <c r="CV90" s="103">
        <f t="shared" si="101"/>
        <v>0</v>
      </c>
      <c r="CW90" s="104"/>
      <c r="CX90" s="105"/>
      <c r="CY90" s="106" t="e">
        <f t="shared" si="155"/>
        <v>#DIV/0!</v>
      </c>
      <c r="CZ90" s="106">
        <f t="shared" si="156"/>
        <v>0</v>
      </c>
      <c r="DA90" s="106"/>
      <c r="DB90" s="106"/>
      <c r="DC90" s="105"/>
      <c r="DD90" s="107"/>
      <c r="DE90" s="92">
        <f t="shared" si="124"/>
        <v>0</v>
      </c>
      <c r="DF90" s="108">
        <f t="shared" si="125"/>
        <v>0</v>
      </c>
      <c r="DG90" s="115">
        <f t="shared" si="126"/>
        <v>0</v>
      </c>
      <c r="DH90" s="110">
        <f t="shared" si="127"/>
        <v>0</v>
      </c>
      <c r="DI90" s="108">
        <f t="shared" si="128"/>
        <v>0</v>
      </c>
      <c r="DJ90" s="112">
        <f t="shared" si="129"/>
        <v>0</v>
      </c>
      <c r="DK90" s="110">
        <f t="shared" si="181"/>
        <v>0</v>
      </c>
      <c r="DL90" s="108">
        <f t="shared" si="181"/>
        <v>0</v>
      </c>
      <c r="DM90" s="111">
        <f t="shared" si="181"/>
        <v>0</v>
      </c>
      <c r="DN90" s="76">
        <f t="shared" ref="DN90:DO106" si="182">T90</f>
        <v>0</v>
      </c>
      <c r="DO90" s="76">
        <f t="shared" si="182"/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7"/>
        <v>0</v>
      </c>
      <c r="DX90" s="81">
        <f t="shared" si="130"/>
        <v>0</v>
      </c>
      <c r="DY90" s="80">
        <f t="shared" si="158"/>
        <v>0</v>
      </c>
      <c r="DZ90" s="82">
        <f t="shared" si="159"/>
        <v>0</v>
      </c>
      <c r="EA90" s="82">
        <f t="shared" si="160"/>
        <v>0</v>
      </c>
      <c r="EB90" s="82" t="e">
        <f t="shared" si="161"/>
        <v>#VALUE!</v>
      </c>
      <c r="EC90" s="82" t="e">
        <f t="shared" si="178"/>
        <v>#VALUE!</v>
      </c>
    </row>
    <row r="91" spans="1:136" ht="15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1"/>
        <v>GWA6063-T5-17x3-H9I14</v>
      </c>
      <c r="H91" s="46" t="str">
        <f t="shared" si="132"/>
        <v>A6063-T5GW170DH9</v>
      </c>
      <c r="I91" s="46" t="str">
        <f t="shared" si="133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4"/>
        <v>8</v>
      </c>
      <c r="T91" s="51">
        <v>0</v>
      </c>
      <c r="U91" s="92"/>
      <c r="V91" s="100">
        <v>5.133</v>
      </c>
      <c r="W91" s="93">
        <f t="shared" si="113"/>
        <v>0</v>
      </c>
      <c r="X91" s="93">
        <f t="shared" si="114"/>
        <v>0</v>
      </c>
      <c r="Y91" s="93">
        <f t="shared" si="115"/>
        <v>0</v>
      </c>
      <c r="Z91" s="93">
        <f t="shared" si="116"/>
        <v>0</v>
      </c>
      <c r="AA91" s="93">
        <f t="shared" si="117"/>
        <v>0</v>
      </c>
      <c r="AB91" s="93">
        <f t="shared" si="118"/>
        <v>0</v>
      </c>
      <c r="AC91" s="93">
        <f t="shared" si="119"/>
        <v>0</v>
      </c>
      <c r="AD91" s="93">
        <f t="shared" si="120"/>
        <v>0</v>
      </c>
      <c r="AE91" s="93">
        <f t="shared" si="135"/>
        <v>0</v>
      </c>
      <c r="AF91" s="54">
        <f t="shared" si="136"/>
        <v>0</v>
      </c>
      <c r="AG91" s="94">
        <f t="shared" si="162"/>
        <v>0</v>
      </c>
      <c r="AH91" s="56">
        <f t="shared" si="137"/>
        <v>0</v>
      </c>
      <c r="AI91" s="93"/>
      <c r="AJ91" s="93">
        <f t="shared" si="163"/>
        <v>0</v>
      </c>
      <c r="AK91" s="95">
        <f t="shared" si="138"/>
        <v>1</v>
      </c>
      <c r="AL91" s="58">
        <f t="shared" si="174"/>
        <v>0</v>
      </c>
      <c r="AM91" s="55">
        <f t="shared" si="164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39"/>
        <v>0</v>
      </c>
      <c r="AV91" s="96">
        <f t="shared" si="139"/>
        <v>0</v>
      </c>
      <c r="AW91" s="96">
        <f t="shared" si="140"/>
        <v>0</v>
      </c>
      <c r="AX91" s="96">
        <f t="shared" si="141"/>
        <v>0</v>
      </c>
      <c r="AY91" s="94">
        <f t="shared" si="165"/>
        <v>0</v>
      </c>
      <c r="AZ91" s="94">
        <f t="shared" si="142"/>
        <v>0</v>
      </c>
      <c r="BA91" s="94">
        <f t="shared" si="171"/>
        <v>0</v>
      </c>
      <c r="BB91" s="97">
        <f t="shared" si="172"/>
        <v>0</v>
      </c>
      <c r="BC91" s="93"/>
      <c r="BD91" s="93">
        <f t="shared" si="143"/>
        <v>0</v>
      </c>
      <c r="BE91" s="95">
        <f t="shared" si="144"/>
        <v>1</v>
      </c>
      <c r="BF91" s="58">
        <f t="shared" si="175"/>
        <v>0</v>
      </c>
      <c r="BG91" s="94">
        <f t="shared" si="145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6"/>
        <v>0</v>
      </c>
      <c r="BP91" s="92">
        <f t="shared" si="166"/>
        <v>0</v>
      </c>
      <c r="BQ91" s="96">
        <f t="shared" si="146"/>
        <v>0</v>
      </c>
      <c r="BR91" s="96">
        <f t="shared" si="147"/>
        <v>0</v>
      </c>
      <c r="BS91" s="96">
        <f t="shared" si="167"/>
        <v>0</v>
      </c>
      <c r="BT91" s="96">
        <f t="shared" si="148"/>
        <v>0</v>
      </c>
      <c r="BU91" s="92">
        <f t="shared" si="121"/>
        <v>0</v>
      </c>
      <c r="BV91" s="98">
        <f t="shared" si="168"/>
        <v>0</v>
      </c>
      <c r="BW91" s="92">
        <f t="shared" si="122"/>
        <v>0</v>
      </c>
      <c r="BX91" s="98">
        <f t="shared" si="149"/>
        <v>0</v>
      </c>
      <c r="BY91" s="61">
        <f t="shared" si="173"/>
        <v>0</v>
      </c>
      <c r="BZ91" s="62">
        <f t="shared" si="150"/>
        <v>0</v>
      </c>
      <c r="CA91" s="98">
        <f t="shared" si="151"/>
        <v>0</v>
      </c>
      <c r="CB91" s="92">
        <f t="shared" si="123"/>
        <v>0</v>
      </c>
      <c r="CC91" s="92">
        <f t="shared" si="123"/>
        <v>0</v>
      </c>
      <c r="CD91" s="92">
        <f t="shared" si="123"/>
        <v>0</v>
      </c>
      <c r="CE91" s="99"/>
      <c r="CF91" s="99"/>
      <c r="CG91" s="51">
        <f t="shared" si="152"/>
        <v>0</v>
      </c>
      <c r="CH91" s="62">
        <f t="shared" si="153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100"/>
        <v>0</v>
      </c>
      <c r="CR91" s="102">
        <f t="shared" si="100"/>
        <v>0</v>
      </c>
      <c r="CS91" s="102">
        <f t="shared" si="100"/>
        <v>0</v>
      </c>
      <c r="CT91" s="92">
        <f t="shared" si="154"/>
        <v>0</v>
      </c>
      <c r="CU91" s="92">
        <f t="shared" si="101"/>
        <v>0</v>
      </c>
      <c r="CV91" s="103">
        <f t="shared" si="101"/>
        <v>0</v>
      </c>
      <c r="CW91" s="104"/>
      <c r="CX91" s="105">
        <v>56</v>
      </c>
      <c r="CY91" s="106">
        <f t="shared" si="155"/>
        <v>744</v>
      </c>
      <c r="CZ91" s="106">
        <f t="shared" si="156"/>
        <v>453.6</v>
      </c>
      <c r="DA91" s="106"/>
      <c r="DB91" s="106"/>
      <c r="DC91" s="105"/>
      <c r="DD91" s="107"/>
      <c r="DE91" s="92">
        <f t="shared" si="124"/>
        <v>0</v>
      </c>
      <c r="DF91" s="108">
        <f t="shared" si="125"/>
        <v>0</v>
      </c>
      <c r="DG91" s="115">
        <f t="shared" si="126"/>
        <v>0</v>
      </c>
      <c r="DH91" s="110">
        <f t="shared" si="127"/>
        <v>0</v>
      </c>
      <c r="DI91" s="108">
        <f t="shared" si="128"/>
        <v>0</v>
      </c>
      <c r="DJ91" s="112">
        <f t="shared" si="129"/>
        <v>0</v>
      </c>
      <c r="DK91" s="110">
        <f t="shared" si="181"/>
        <v>0</v>
      </c>
      <c r="DL91" s="108">
        <f t="shared" si="181"/>
        <v>0</v>
      </c>
      <c r="DM91" s="111">
        <f t="shared" si="181"/>
        <v>0</v>
      </c>
      <c r="DN91" s="76">
        <f t="shared" si="182"/>
        <v>0</v>
      </c>
      <c r="DO91" s="76">
        <f t="shared" si="182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7"/>
        <v>0</v>
      </c>
      <c r="DX91" s="81">
        <f t="shared" si="130"/>
        <v>0</v>
      </c>
      <c r="DY91" s="80">
        <f t="shared" si="158"/>
        <v>0</v>
      </c>
      <c r="DZ91" s="82">
        <f t="shared" si="159"/>
        <v>0</v>
      </c>
      <c r="EA91" s="82">
        <f t="shared" si="160"/>
        <v>0</v>
      </c>
      <c r="EB91" s="82">
        <f t="shared" si="161"/>
        <v>0</v>
      </c>
      <c r="EC91" s="82">
        <f t="shared" si="178"/>
        <v>0</v>
      </c>
      <c r="EF91" s="83">
        <f t="shared" ref="EF91:EF101" si="183">DG91+DJ91</f>
        <v>0</v>
      </c>
    </row>
    <row r="92" spans="1:136" ht="15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1"/>
        <v>TVSUS303Cu-H15.87x2.5-H11B14</v>
      </c>
      <c r="H92" s="46" t="str">
        <f t="shared" si="132"/>
        <v>SUS303CuTV15.870HH11</v>
      </c>
      <c r="I92" s="46" t="str">
        <f t="shared" si="133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4"/>
        <v>18</v>
      </c>
      <c r="T92" s="51">
        <v>0</v>
      </c>
      <c r="U92" s="92"/>
      <c r="V92" s="100">
        <v>27.35</v>
      </c>
      <c r="W92" s="93">
        <f t="shared" si="113"/>
        <v>0</v>
      </c>
      <c r="X92" s="93">
        <f t="shared" si="114"/>
        <v>0</v>
      </c>
      <c r="Y92" s="93">
        <f t="shared" si="115"/>
        <v>0</v>
      </c>
      <c r="Z92" s="93">
        <f t="shared" si="116"/>
        <v>0</v>
      </c>
      <c r="AA92" s="93">
        <f t="shared" si="117"/>
        <v>0</v>
      </c>
      <c r="AB92" s="93">
        <f t="shared" si="118"/>
        <v>0</v>
      </c>
      <c r="AC92" s="93">
        <f t="shared" si="119"/>
        <v>0</v>
      </c>
      <c r="AD92" s="93">
        <f t="shared" si="120"/>
        <v>0</v>
      </c>
      <c r="AE92" s="93">
        <f t="shared" si="135"/>
        <v>0</v>
      </c>
      <c r="AF92" s="54">
        <f t="shared" si="136"/>
        <v>0</v>
      </c>
      <c r="AG92" s="94">
        <f t="shared" si="162"/>
        <v>0</v>
      </c>
      <c r="AH92" s="56">
        <f t="shared" si="137"/>
        <v>0</v>
      </c>
      <c r="AI92" s="93"/>
      <c r="AJ92" s="93">
        <f t="shared" si="163"/>
        <v>0</v>
      </c>
      <c r="AK92" s="95">
        <f t="shared" si="138"/>
        <v>1</v>
      </c>
      <c r="AL92" s="58">
        <f t="shared" si="174"/>
        <v>0</v>
      </c>
      <c r="AM92" s="55">
        <f t="shared" si="164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39"/>
        <v>0</v>
      </c>
      <c r="AV92" s="96">
        <f t="shared" si="139"/>
        <v>0</v>
      </c>
      <c r="AW92" s="96">
        <f t="shared" si="140"/>
        <v>0</v>
      </c>
      <c r="AX92" s="96">
        <f t="shared" si="141"/>
        <v>0</v>
      </c>
      <c r="AY92" s="94">
        <f t="shared" si="165"/>
        <v>0</v>
      </c>
      <c r="AZ92" s="94">
        <f t="shared" si="142"/>
        <v>0</v>
      </c>
      <c r="BA92" s="94">
        <f t="shared" si="171"/>
        <v>0</v>
      </c>
      <c r="BB92" s="97">
        <f t="shared" si="172"/>
        <v>0</v>
      </c>
      <c r="BC92" s="93"/>
      <c r="BD92" s="93">
        <f t="shared" si="143"/>
        <v>0</v>
      </c>
      <c r="BE92" s="95">
        <f t="shared" si="144"/>
        <v>1</v>
      </c>
      <c r="BF92" s="58">
        <f t="shared" si="175"/>
        <v>0</v>
      </c>
      <c r="BG92" s="94">
        <f t="shared" si="145"/>
        <v>0</v>
      </c>
      <c r="BH92" s="89"/>
      <c r="BI92" s="92">
        <f t="shared" ref="BI92:BJ97" si="184">$CN92</f>
        <v>0</v>
      </c>
      <c r="BJ92" s="92"/>
      <c r="BK92" s="89"/>
      <c r="BL92" s="89"/>
      <c r="BM92" s="89"/>
      <c r="BN92" s="92"/>
      <c r="BO92" s="92">
        <f t="shared" si="166"/>
        <v>0</v>
      </c>
      <c r="BP92" s="92">
        <f t="shared" si="166"/>
        <v>0</v>
      </c>
      <c r="BQ92" s="96">
        <f t="shared" si="146"/>
        <v>0</v>
      </c>
      <c r="BR92" s="96">
        <f t="shared" si="147"/>
        <v>0</v>
      </c>
      <c r="BS92" s="96">
        <f t="shared" si="167"/>
        <v>0</v>
      </c>
      <c r="BT92" s="96">
        <f t="shared" si="148"/>
        <v>0</v>
      </c>
      <c r="BU92" s="92">
        <f t="shared" si="121"/>
        <v>0</v>
      </c>
      <c r="BV92" s="98">
        <f t="shared" si="168"/>
        <v>0</v>
      </c>
      <c r="BW92" s="92">
        <f t="shared" si="122"/>
        <v>0</v>
      </c>
      <c r="BX92" s="98">
        <f t="shared" si="149"/>
        <v>0</v>
      </c>
      <c r="BY92" s="61">
        <f t="shared" si="173"/>
        <v>0</v>
      </c>
      <c r="BZ92" s="62">
        <f t="shared" si="150"/>
        <v>0</v>
      </c>
      <c r="CA92" s="98">
        <f t="shared" si="151"/>
        <v>0</v>
      </c>
      <c r="CB92" s="92">
        <f t="shared" si="123"/>
        <v>0</v>
      </c>
      <c r="CC92" s="92">
        <f t="shared" si="123"/>
        <v>0</v>
      </c>
      <c r="CD92" s="92">
        <f t="shared" si="123"/>
        <v>0</v>
      </c>
      <c r="CE92" s="99"/>
      <c r="CF92" s="99"/>
      <c r="CG92" s="51">
        <f t="shared" si="152"/>
        <v>0</v>
      </c>
      <c r="CH92" s="62">
        <f t="shared" si="153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100"/>
        <v>0</v>
      </c>
      <c r="CR92" s="102">
        <f t="shared" si="100"/>
        <v>0</v>
      </c>
      <c r="CS92" s="102">
        <f t="shared" si="100"/>
        <v>0</v>
      </c>
      <c r="CT92" s="92">
        <f t="shared" si="154"/>
        <v>0</v>
      </c>
      <c r="CU92" s="92">
        <f t="shared" si="101"/>
        <v>0</v>
      </c>
      <c r="CV92" s="103">
        <f t="shared" si="101"/>
        <v>0</v>
      </c>
      <c r="CW92" s="104"/>
      <c r="CX92" s="105">
        <v>60</v>
      </c>
      <c r="CY92" s="106">
        <f t="shared" si="155"/>
        <v>670</v>
      </c>
      <c r="CZ92" s="106">
        <f t="shared" si="156"/>
        <v>486.00000000000006</v>
      </c>
      <c r="DA92" s="106"/>
      <c r="DB92" s="106"/>
      <c r="DC92" s="105"/>
      <c r="DD92" s="107"/>
      <c r="DE92" s="92">
        <f t="shared" si="124"/>
        <v>0</v>
      </c>
      <c r="DF92" s="108">
        <f t="shared" si="125"/>
        <v>0</v>
      </c>
      <c r="DG92" s="115">
        <f t="shared" si="126"/>
        <v>0</v>
      </c>
      <c r="DH92" s="110">
        <f t="shared" si="127"/>
        <v>0</v>
      </c>
      <c r="DI92" s="108">
        <f t="shared" si="128"/>
        <v>0</v>
      </c>
      <c r="DJ92" s="112">
        <f t="shared" si="129"/>
        <v>0</v>
      </c>
      <c r="DK92" s="110">
        <f t="shared" si="181"/>
        <v>0</v>
      </c>
      <c r="DL92" s="108">
        <f t="shared" si="181"/>
        <v>0</v>
      </c>
      <c r="DM92" s="111">
        <f t="shared" si="181"/>
        <v>0</v>
      </c>
      <c r="DN92" s="76">
        <f t="shared" si="182"/>
        <v>0</v>
      </c>
      <c r="DO92" s="76">
        <f t="shared" si="182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7"/>
        <v>0</v>
      </c>
      <c r="DX92" s="81">
        <f t="shared" si="130"/>
        <v>0</v>
      </c>
      <c r="DY92" s="80">
        <f t="shared" si="158"/>
        <v>0</v>
      </c>
      <c r="DZ92" s="82">
        <f t="shared" si="159"/>
        <v>0</v>
      </c>
      <c r="EA92" s="82">
        <f t="shared" si="160"/>
        <v>0</v>
      </c>
      <c r="EB92" s="82">
        <f t="shared" si="161"/>
        <v>0</v>
      </c>
      <c r="EC92" s="82">
        <f t="shared" si="178"/>
        <v>0</v>
      </c>
      <c r="EF92" s="83">
        <f t="shared" si="183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1"/>
        <v>GWA6061-T6-16x3-H9A15</v>
      </c>
      <c r="H93" s="46" t="str">
        <f t="shared" si="132"/>
        <v>A6061-T6GW160DH9</v>
      </c>
      <c r="I93" s="46" t="str">
        <f t="shared" si="133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4"/>
        <v>22</v>
      </c>
      <c r="T93" s="51">
        <v>0</v>
      </c>
      <c r="U93" s="92"/>
      <c r="V93" s="100">
        <v>14.1</v>
      </c>
      <c r="W93" s="93">
        <f t="shared" si="113"/>
        <v>0</v>
      </c>
      <c r="X93" s="93">
        <f t="shared" si="114"/>
        <v>0</v>
      </c>
      <c r="Y93" s="93">
        <f t="shared" si="115"/>
        <v>0</v>
      </c>
      <c r="Z93" s="93">
        <f t="shared" si="116"/>
        <v>0</v>
      </c>
      <c r="AA93" s="93">
        <f t="shared" si="117"/>
        <v>0</v>
      </c>
      <c r="AB93" s="93">
        <f t="shared" si="118"/>
        <v>0</v>
      </c>
      <c r="AC93" s="93">
        <f t="shared" si="119"/>
        <v>0</v>
      </c>
      <c r="AD93" s="93">
        <f t="shared" si="120"/>
        <v>0</v>
      </c>
      <c r="AE93" s="93">
        <f t="shared" si="135"/>
        <v>0</v>
      </c>
      <c r="AF93" s="54">
        <f t="shared" si="136"/>
        <v>0</v>
      </c>
      <c r="AG93" s="94">
        <f t="shared" si="162"/>
        <v>0</v>
      </c>
      <c r="AH93" s="56">
        <f t="shared" si="137"/>
        <v>0</v>
      </c>
      <c r="AI93" s="93"/>
      <c r="AJ93" s="93">
        <f t="shared" si="163"/>
        <v>0</v>
      </c>
      <c r="AK93" s="95">
        <f t="shared" si="138"/>
        <v>1</v>
      </c>
      <c r="AL93" s="58">
        <f t="shared" si="174"/>
        <v>0</v>
      </c>
      <c r="AM93" s="55">
        <f t="shared" si="164"/>
        <v>0</v>
      </c>
      <c r="AN93" s="93"/>
      <c r="AO93" s="96">
        <f>$CJ93</f>
        <v>0</v>
      </c>
      <c r="AP93" s="96"/>
      <c r="AQ93" s="96"/>
      <c r="AR93" s="96"/>
      <c r="AS93" s="96"/>
      <c r="AT93" s="96"/>
      <c r="AU93" s="96">
        <f t="shared" si="139"/>
        <v>0</v>
      </c>
      <c r="AV93" s="96">
        <f t="shared" si="139"/>
        <v>0</v>
      </c>
      <c r="AW93" s="96">
        <f t="shared" si="140"/>
        <v>0</v>
      </c>
      <c r="AX93" s="96">
        <f t="shared" si="141"/>
        <v>0</v>
      </c>
      <c r="AY93" s="94">
        <f t="shared" si="165"/>
        <v>0</v>
      </c>
      <c r="AZ93" s="94">
        <f t="shared" si="142"/>
        <v>0</v>
      </c>
      <c r="BA93" s="94">
        <f t="shared" si="171"/>
        <v>0</v>
      </c>
      <c r="BB93" s="97">
        <f t="shared" si="172"/>
        <v>0</v>
      </c>
      <c r="BC93" s="93"/>
      <c r="BD93" s="93">
        <f t="shared" si="143"/>
        <v>0</v>
      </c>
      <c r="BE93" s="95">
        <f t="shared" si="144"/>
        <v>1</v>
      </c>
      <c r="BF93" s="58">
        <f t="shared" si="175"/>
        <v>0</v>
      </c>
      <c r="BG93" s="94">
        <f t="shared" si="145"/>
        <v>0</v>
      </c>
      <c r="BH93" s="89"/>
      <c r="BI93" s="92">
        <f t="shared" si="184"/>
        <v>0</v>
      </c>
      <c r="BJ93" s="92"/>
      <c r="BK93" s="89"/>
      <c r="BL93" s="89"/>
      <c r="BM93" s="89"/>
      <c r="BN93" s="89"/>
      <c r="BO93" s="92">
        <f t="shared" si="166"/>
        <v>0</v>
      </c>
      <c r="BP93" s="92">
        <f t="shared" si="166"/>
        <v>0</v>
      </c>
      <c r="BQ93" s="96">
        <f t="shared" si="146"/>
        <v>0</v>
      </c>
      <c r="BR93" s="96">
        <f t="shared" si="147"/>
        <v>0</v>
      </c>
      <c r="BS93" s="96">
        <f t="shared" si="167"/>
        <v>0</v>
      </c>
      <c r="BT93" s="96">
        <f t="shared" si="148"/>
        <v>0</v>
      </c>
      <c r="BU93" s="92">
        <f t="shared" si="121"/>
        <v>0</v>
      </c>
      <c r="BV93" s="98">
        <f t="shared" si="168"/>
        <v>0</v>
      </c>
      <c r="BW93" s="92">
        <f t="shared" si="122"/>
        <v>0</v>
      </c>
      <c r="BX93" s="98">
        <f t="shared" si="149"/>
        <v>0</v>
      </c>
      <c r="BY93" s="61">
        <f>IFERROR(BF93+AL93,0)</f>
        <v>0</v>
      </c>
      <c r="BZ93" s="62">
        <f t="shared" si="150"/>
        <v>0</v>
      </c>
      <c r="CA93" s="98">
        <f t="shared" si="151"/>
        <v>0</v>
      </c>
      <c r="CB93" s="92">
        <f t="shared" si="123"/>
        <v>0</v>
      </c>
      <c r="CC93" s="92">
        <f t="shared" si="123"/>
        <v>0</v>
      </c>
      <c r="CD93" s="92">
        <f t="shared" si="123"/>
        <v>0</v>
      </c>
      <c r="CE93" s="99"/>
      <c r="CF93" s="99"/>
      <c r="CG93" s="51">
        <f t="shared" si="152"/>
        <v>0</v>
      </c>
      <c r="CH93" s="62">
        <f t="shared" si="153"/>
        <v>0</v>
      </c>
      <c r="CI93" s="89"/>
      <c r="CJ93" s="89"/>
      <c r="CK93" s="89"/>
      <c r="CL93" s="96"/>
      <c r="CM93" s="89"/>
      <c r="CN93" s="89"/>
      <c r="CO93" s="92"/>
      <c r="CP93" s="101"/>
      <c r="CQ93" s="102">
        <f t="shared" si="100"/>
        <v>0</v>
      </c>
      <c r="CR93" s="102">
        <f t="shared" si="100"/>
        <v>0</v>
      </c>
      <c r="CS93" s="102">
        <f t="shared" si="100"/>
        <v>0</v>
      </c>
      <c r="CT93" s="92">
        <f t="shared" si="154"/>
        <v>0</v>
      </c>
      <c r="CU93" s="92">
        <f t="shared" si="101"/>
        <v>0</v>
      </c>
      <c r="CV93" s="103">
        <f t="shared" si="101"/>
        <v>0</v>
      </c>
      <c r="CW93" s="104"/>
      <c r="CX93" s="105">
        <v>110</v>
      </c>
      <c r="CY93" s="106">
        <f t="shared" si="155"/>
        <v>360</v>
      </c>
      <c r="CZ93" s="106">
        <f t="shared" si="156"/>
        <v>891.00000000000011</v>
      </c>
      <c r="DA93" s="106"/>
      <c r="DB93" s="106"/>
      <c r="DC93" s="105"/>
      <c r="DD93" s="107"/>
      <c r="DE93" s="92">
        <f t="shared" si="124"/>
        <v>0</v>
      </c>
      <c r="DF93" s="108">
        <f t="shared" si="125"/>
        <v>0</v>
      </c>
      <c r="DG93" s="115">
        <f t="shared" si="126"/>
        <v>0</v>
      </c>
      <c r="DH93" s="110">
        <f t="shared" si="127"/>
        <v>0</v>
      </c>
      <c r="DI93" s="108">
        <f t="shared" si="128"/>
        <v>0</v>
      </c>
      <c r="DJ93" s="115">
        <f t="shared" si="129"/>
        <v>0</v>
      </c>
      <c r="DK93" s="110">
        <f t="shared" si="181"/>
        <v>0</v>
      </c>
      <c r="DL93" s="108">
        <f t="shared" si="181"/>
        <v>0</v>
      </c>
      <c r="DM93" s="111">
        <f t="shared" si="181"/>
        <v>0</v>
      </c>
      <c r="DN93" s="76">
        <f t="shared" si="182"/>
        <v>0</v>
      </c>
      <c r="DO93" s="76">
        <f t="shared" si="182"/>
        <v>0</v>
      </c>
      <c r="DP93" s="112"/>
      <c r="DQ93" s="112"/>
      <c r="DR93" s="113"/>
      <c r="DS93" s="112"/>
      <c r="DT93" s="112"/>
      <c r="DU93" s="111"/>
      <c r="DV93" s="114"/>
      <c r="DW93" s="80">
        <f t="shared" ref="DW93:DW94" si="185">IFERROR(AL93+BF93,"")</f>
        <v>0</v>
      </c>
      <c r="DX93" s="81">
        <f t="shared" si="130"/>
        <v>0</v>
      </c>
      <c r="DY93" s="80">
        <f t="shared" si="158"/>
        <v>0</v>
      </c>
      <c r="DZ93" s="82">
        <f t="shared" si="159"/>
        <v>0</v>
      </c>
      <c r="EA93" s="82">
        <f t="shared" si="160"/>
        <v>0</v>
      </c>
      <c r="EB93" s="82">
        <f t="shared" si="161"/>
        <v>0</v>
      </c>
      <c r="EC93" s="82">
        <f>(BX93-CA93)+((AV93+BP93)/1000)</f>
        <v>0</v>
      </c>
      <c r="EF93" s="83">
        <f t="shared" si="183"/>
        <v>0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1"/>
        <v>GWA6061-T6-19.1x3-H9A14</v>
      </c>
      <c r="H94" s="46" t="str">
        <f t="shared" si="132"/>
        <v>A6061-T6GW19.10DH9</v>
      </c>
      <c r="I94" s="46" t="str">
        <f t="shared" si="133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4"/>
        <v>22</v>
      </c>
      <c r="T94" s="51">
        <v>8</v>
      </c>
      <c r="U94" s="92">
        <v>10</v>
      </c>
      <c r="V94" s="100">
        <v>20.25</v>
      </c>
      <c r="W94" s="93">
        <f t="shared" si="113"/>
        <v>285</v>
      </c>
      <c r="X94" s="93">
        <f t="shared" si="114"/>
        <v>0</v>
      </c>
      <c r="Y94" s="93">
        <f t="shared" si="115"/>
        <v>0</v>
      </c>
      <c r="Z94" s="93">
        <f t="shared" si="116"/>
        <v>0</v>
      </c>
      <c r="AA94" s="93">
        <f t="shared" si="117"/>
        <v>0</v>
      </c>
      <c r="AB94" s="93">
        <f t="shared" si="118"/>
        <v>0</v>
      </c>
      <c r="AC94" s="93">
        <f t="shared" si="119"/>
        <v>0</v>
      </c>
      <c r="AD94" s="93">
        <f t="shared" si="120"/>
        <v>0</v>
      </c>
      <c r="AE94" s="93">
        <f t="shared" si="135"/>
        <v>285</v>
      </c>
      <c r="AF94" s="54">
        <f t="shared" si="136"/>
        <v>285</v>
      </c>
      <c r="AG94" s="94">
        <f t="shared" si="162"/>
        <v>8</v>
      </c>
      <c r="AH94" s="56">
        <f t="shared" si="137"/>
        <v>0</v>
      </c>
      <c r="AI94" s="93">
        <v>7</v>
      </c>
      <c r="AJ94" s="93">
        <f t="shared" si="163"/>
        <v>0</v>
      </c>
      <c r="AK94" s="95">
        <f t="shared" si="138"/>
        <v>1</v>
      </c>
      <c r="AL94" s="58">
        <f t="shared" si="174"/>
        <v>7</v>
      </c>
      <c r="AM94" s="55">
        <f t="shared" si="164"/>
        <v>11</v>
      </c>
      <c r="AN94" s="93"/>
      <c r="AO94" s="96">
        <f>$CJ94</f>
        <v>3341.25</v>
      </c>
      <c r="AP94" s="96"/>
      <c r="AQ94" s="96"/>
      <c r="AR94" s="96"/>
      <c r="AS94" s="96"/>
      <c r="AT94" s="96"/>
      <c r="AU94" s="96">
        <f t="shared" si="139"/>
        <v>0</v>
      </c>
      <c r="AV94" s="96">
        <f t="shared" si="139"/>
        <v>0</v>
      </c>
      <c r="AW94" s="96">
        <f t="shared" si="140"/>
        <v>3341.25</v>
      </c>
      <c r="AX94" s="96">
        <f t="shared" si="141"/>
        <v>165</v>
      </c>
      <c r="AY94" s="94">
        <f t="shared" si="165"/>
        <v>-60.75</v>
      </c>
      <c r="AZ94" s="94">
        <f t="shared" si="142"/>
        <v>-3</v>
      </c>
      <c r="BA94" s="94">
        <f t="shared" si="171"/>
        <v>11</v>
      </c>
      <c r="BB94" s="97">
        <f t="shared" si="172"/>
        <v>0</v>
      </c>
      <c r="BC94" s="93">
        <v>6</v>
      </c>
      <c r="BD94" s="93">
        <f t="shared" si="143"/>
        <v>0</v>
      </c>
      <c r="BE94" s="95">
        <f t="shared" si="144"/>
        <v>1</v>
      </c>
      <c r="BF94" s="58">
        <f t="shared" si="175"/>
        <v>6</v>
      </c>
      <c r="BG94" s="94">
        <f t="shared" si="145"/>
        <v>5</v>
      </c>
      <c r="BH94" s="89"/>
      <c r="BI94" s="92">
        <f t="shared" si="184"/>
        <v>2430</v>
      </c>
      <c r="BJ94" s="92"/>
      <c r="BK94" s="89"/>
      <c r="BL94" s="89"/>
      <c r="BM94" s="89"/>
      <c r="BN94" s="89"/>
      <c r="BO94" s="92">
        <f t="shared" si="166"/>
        <v>0</v>
      </c>
      <c r="BP94" s="92">
        <f t="shared" si="166"/>
        <v>0</v>
      </c>
      <c r="BQ94" s="96">
        <f t="shared" si="146"/>
        <v>2430</v>
      </c>
      <c r="BR94" s="96">
        <f t="shared" si="147"/>
        <v>120</v>
      </c>
      <c r="BS94" s="96">
        <f t="shared" si="167"/>
        <v>-486</v>
      </c>
      <c r="BT94" s="96">
        <f t="shared" si="148"/>
        <v>-24</v>
      </c>
      <c r="BU94" s="92">
        <f t="shared" si="121"/>
        <v>285</v>
      </c>
      <c r="BV94" s="98">
        <f t="shared" si="168"/>
        <v>13</v>
      </c>
      <c r="BW94" s="92">
        <f t="shared" si="122"/>
        <v>-27</v>
      </c>
      <c r="BX94" s="98">
        <f t="shared" si="149"/>
        <v>30.082000000000001</v>
      </c>
      <c r="BY94" s="61">
        <f t="shared" si="173"/>
        <v>13</v>
      </c>
      <c r="BZ94" s="62">
        <f t="shared" si="150"/>
        <v>13</v>
      </c>
      <c r="CA94" s="98">
        <f t="shared" si="151"/>
        <v>5.7712500000000002</v>
      </c>
      <c r="CB94" s="92">
        <f t="shared" si="123"/>
        <v>285</v>
      </c>
      <c r="CC94" s="92">
        <f t="shared" si="123"/>
        <v>-546.75</v>
      </c>
      <c r="CD94" s="92">
        <f t="shared" si="123"/>
        <v>-27</v>
      </c>
      <c r="CE94" s="99"/>
      <c r="CF94" s="99"/>
      <c r="CG94" s="51">
        <f t="shared" si="152"/>
        <v>24.310749999999999</v>
      </c>
      <c r="CH94" s="62">
        <f t="shared" si="153"/>
        <v>24.310749999999999</v>
      </c>
      <c r="CI94" s="89"/>
      <c r="CJ94" s="89">
        <f>165*20.25</f>
        <v>3341.25</v>
      </c>
      <c r="CK94" s="89"/>
      <c r="CL94" s="96"/>
      <c r="CM94" s="89"/>
      <c r="CN94" s="89">
        <f>120*20.25</f>
        <v>2430</v>
      </c>
      <c r="CO94" s="92"/>
      <c r="CP94" s="101"/>
      <c r="CQ94" s="102">
        <f t="shared" si="100"/>
        <v>165</v>
      </c>
      <c r="CR94" s="102">
        <f t="shared" si="100"/>
        <v>0</v>
      </c>
      <c r="CS94" s="102">
        <f t="shared" si="100"/>
        <v>0</v>
      </c>
      <c r="CT94" s="92">
        <f t="shared" si="154"/>
        <v>120</v>
      </c>
      <c r="CU94" s="92">
        <f t="shared" si="101"/>
        <v>0</v>
      </c>
      <c r="CV94" s="103">
        <f t="shared" si="101"/>
        <v>0</v>
      </c>
      <c r="CW94" s="104"/>
      <c r="CX94" s="105">
        <v>150</v>
      </c>
      <c r="CY94" s="106">
        <f t="shared" si="155"/>
        <v>264</v>
      </c>
      <c r="CZ94" s="106">
        <f t="shared" si="156"/>
        <v>1215</v>
      </c>
      <c r="DA94" s="106"/>
      <c r="DB94" s="106"/>
      <c r="DC94" s="105"/>
      <c r="DD94" s="107"/>
      <c r="DE94" s="92">
        <f t="shared" si="124"/>
        <v>165</v>
      </c>
      <c r="DF94" s="108">
        <f t="shared" si="125"/>
        <v>7</v>
      </c>
      <c r="DG94" s="115">
        <f t="shared" si="126"/>
        <v>-3</v>
      </c>
      <c r="DH94" s="110">
        <f t="shared" si="127"/>
        <v>120</v>
      </c>
      <c r="DI94" s="108">
        <f t="shared" si="128"/>
        <v>6</v>
      </c>
      <c r="DJ94" s="115">
        <f t="shared" si="129"/>
        <v>-24</v>
      </c>
      <c r="DK94" s="110">
        <f t="shared" si="181"/>
        <v>285</v>
      </c>
      <c r="DL94" s="108">
        <f t="shared" si="181"/>
        <v>13</v>
      </c>
      <c r="DM94" s="111">
        <f t="shared" si="181"/>
        <v>-27</v>
      </c>
      <c r="DN94" s="76">
        <f t="shared" si="182"/>
        <v>8</v>
      </c>
      <c r="DO94" s="76">
        <f t="shared" si="182"/>
        <v>10</v>
      </c>
      <c r="DP94" s="112"/>
      <c r="DQ94" s="112"/>
      <c r="DR94" s="113" t="s">
        <v>377</v>
      </c>
      <c r="DS94" s="112"/>
      <c r="DT94" s="112"/>
      <c r="DU94" s="111"/>
      <c r="DV94" s="114"/>
      <c r="DW94" s="80">
        <f t="shared" si="185"/>
        <v>13</v>
      </c>
      <c r="DX94" s="81">
        <f t="shared" si="130"/>
        <v>271</v>
      </c>
      <c r="DY94" s="80">
        <f t="shared" si="158"/>
        <v>285</v>
      </c>
      <c r="DZ94" s="82">
        <f t="shared" si="159"/>
        <v>0</v>
      </c>
      <c r="EA94" s="82">
        <f t="shared" si="160"/>
        <v>5.7712500000000002</v>
      </c>
      <c r="EB94" s="82">
        <f t="shared" si="161"/>
        <v>24.310749999999999</v>
      </c>
      <c r="EC94" s="82">
        <f t="shared" si="178"/>
        <v>24.310749999999999</v>
      </c>
      <c r="EF94" s="83">
        <f t="shared" si="183"/>
        <v>-27</v>
      </c>
    </row>
    <row r="95" spans="1:136" ht="15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1"/>
        <v>TVSUS303-10x2.5-H7A14</v>
      </c>
      <c r="H95" s="46" t="str">
        <f t="shared" si="132"/>
        <v>SUS303TV100DH7</v>
      </c>
      <c r="I95" s="46" t="str">
        <f t="shared" si="133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4"/>
        <v>42</v>
      </c>
      <c r="T95" s="51">
        <v>0</v>
      </c>
      <c r="U95" s="92"/>
      <c r="V95" s="100">
        <v>67.7</v>
      </c>
      <c r="W95" s="93">
        <f t="shared" si="113"/>
        <v>0</v>
      </c>
      <c r="X95" s="93">
        <f t="shared" si="114"/>
        <v>0</v>
      </c>
      <c r="Y95" s="93">
        <f t="shared" si="115"/>
        <v>0</v>
      </c>
      <c r="Z95" s="93">
        <f t="shared" si="116"/>
        <v>0</v>
      </c>
      <c r="AA95" s="93">
        <f t="shared" si="117"/>
        <v>0</v>
      </c>
      <c r="AB95" s="93">
        <f t="shared" si="118"/>
        <v>0</v>
      </c>
      <c r="AC95" s="93">
        <f t="shared" si="119"/>
        <v>0</v>
      </c>
      <c r="AD95" s="93">
        <f t="shared" si="120"/>
        <v>0</v>
      </c>
      <c r="AE95" s="93">
        <f t="shared" si="135"/>
        <v>0</v>
      </c>
      <c r="AF95" s="54">
        <f t="shared" si="136"/>
        <v>0</v>
      </c>
      <c r="AG95" s="94">
        <f t="shared" si="162"/>
        <v>0</v>
      </c>
      <c r="AH95" s="56">
        <f t="shared" si="137"/>
        <v>0</v>
      </c>
      <c r="AI95" s="93"/>
      <c r="AJ95" s="93">
        <f t="shared" si="163"/>
        <v>0</v>
      </c>
      <c r="AK95" s="95">
        <f t="shared" si="138"/>
        <v>1</v>
      </c>
      <c r="AL95" s="58">
        <f t="shared" si="174"/>
        <v>0</v>
      </c>
      <c r="AM95" s="55">
        <f t="shared" si="164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39"/>
        <v>0</v>
      </c>
      <c r="AV95" s="96">
        <f t="shared" si="139"/>
        <v>0</v>
      </c>
      <c r="AW95" s="96">
        <f t="shared" si="140"/>
        <v>0</v>
      </c>
      <c r="AX95" s="96">
        <f t="shared" si="141"/>
        <v>0</v>
      </c>
      <c r="AY95" s="94">
        <f t="shared" si="165"/>
        <v>0</v>
      </c>
      <c r="AZ95" s="94">
        <f t="shared" si="142"/>
        <v>0</v>
      </c>
      <c r="BA95" s="94">
        <f t="shared" si="171"/>
        <v>0</v>
      </c>
      <c r="BB95" s="97">
        <f t="shared" si="172"/>
        <v>0</v>
      </c>
      <c r="BC95" s="93"/>
      <c r="BD95" s="93">
        <f t="shared" si="143"/>
        <v>0</v>
      </c>
      <c r="BE95" s="95">
        <f t="shared" si="144"/>
        <v>1</v>
      </c>
      <c r="BF95" s="58">
        <f t="shared" si="175"/>
        <v>0</v>
      </c>
      <c r="BG95" s="94">
        <f t="shared" si="145"/>
        <v>0</v>
      </c>
      <c r="BH95" s="89"/>
      <c r="BI95" s="92">
        <f t="shared" si="184"/>
        <v>0</v>
      </c>
      <c r="BJ95" s="89"/>
      <c r="BK95" s="89"/>
      <c r="BL95" s="89"/>
      <c r="BM95" s="89"/>
      <c r="BN95" s="89"/>
      <c r="BO95" s="92">
        <f t="shared" si="166"/>
        <v>0</v>
      </c>
      <c r="BP95" s="92">
        <f t="shared" si="166"/>
        <v>0</v>
      </c>
      <c r="BQ95" s="96">
        <f t="shared" si="146"/>
        <v>0</v>
      </c>
      <c r="BR95" s="96">
        <f t="shared" si="147"/>
        <v>0</v>
      </c>
      <c r="BS95" s="96">
        <f t="shared" si="167"/>
        <v>0</v>
      </c>
      <c r="BT95" s="96">
        <f t="shared" si="148"/>
        <v>0</v>
      </c>
      <c r="BU95" s="92">
        <f t="shared" si="121"/>
        <v>0</v>
      </c>
      <c r="BV95" s="98">
        <f t="shared" si="168"/>
        <v>0</v>
      </c>
      <c r="BW95" s="92">
        <f t="shared" si="122"/>
        <v>0</v>
      </c>
      <c r="BX95" s="98">
        <f t="shared" si="149"/>
        <v>0</v>
      </c>
      <c r="BY95" s="61">
        <f t="shared" si="173"/>
        <v>0</v>
      </c>
      <c r="BZ95" s="62">
        <f t="shared" si="150"/>
        <v>0</v>
      </c>
      <c r="CA95" s="98">
        <f t="shared" si="151"/>
        <v>0</v>
      </c>
      <c r="CB95" s="92">
        <f t="shared" si="123"/>
        <v>0</v>
      </c>
      <c r="CC95" s="92">
        <f t="shared" si="123"/>
        <v>0</v>
      </c>
      <c r="CD95" s="92">
        <f t="shared" si="123"/>
        <v>0</v>
      </c>
      <c r="CE95" s="99"/>
      <c r="CF95" s="99"/>
      <c r="CG95" s="51">
        <f t="shared" si="152"/>
        <v>0</v>
      </c>
      <c r="CH95" s="62">
        <f t="shared" si="153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100"/>
        <v>0</v>
      </c>
      <c r="CR95" s="102">
        <f t="shared" si="100"/>
        <v>0</v>
      </c>
      <c r="CS95" s="102">
        <f t="shared" si="100"/>
        <v>0</v>
      </c>
      <c r="CT95" s="92">
        <f t="shared" si="154"/>
        <v>0</v>
      </c>
      <c r="CU95" s="92">
        <f t="shared" si="101"/>
        <v>0</v>
      </c>
      <c r="CV95" s="103">
        <f t="shared" si="101"/>
        <v>0</v>
      </c>
      <c r="CW95" s="104"/>
      <c r="CX95" s="105">
        <v>90</v>
      </c>
      <c r="CY95" s="106">
        <f t="shared" si="155"/>
        <v>393</v>
      </c>
      <c r="CZ95" s="106">
        <f t="shared" si="156"/>
        <v>729</v>
      </c>
      <c r="DA95" s="106"/>
      <c r="DB95" s="106"/>
      <c r="DC95" s="105"/>
      <c r="DD95" s="107"/>
      <c r="DE95" s="92">
        <f t="shared" si="124"/>
        <v>0</v>
      </c>
      <c r="DF95" s="108">
        <f t="shared" si="125"/>
        <v>0</v>
      </c>
      <c r="DG95" s="115">
        <f t="shared" si="126"/>
        <v>0</v>
      </c>
      <c r="DH95" s="110">
        <f t="shared" si="127"/>
        <v>0</v>
      </c>
      <c r="DI95" s="108">
        <f t="shared" si="128"/>
        <v>0</v>
      </c>
      <c r="DJ95" s="112">
        <f t="shared" si="129"/>
        <v>0</v>
      </c>
      <c r="DK95" s="110">
        <f t="shared" si="181"/>
        <v>0</v>
      </c>
      <c r="DL95" s="108">
        <f t="shared" si="181"/>
        <v>0</v>
      </c>
      <c r="DM95" s="111">
        <f t="shared" si="181"/>
        <v>0</v>
      </c>
      <c r="DN95" s="76">
        <f t="shared" si="182"/>
        <v>0</v>
      </c>
      <c r="DO95" s="76">
        <f t="shared" si="182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7"/>
        <v>0</v>
      </c>
      <c r="DX95" s="81">
        <f t="shared" si="130"/>
        <v>0</v>
      </c>
      <c r="DY95" s="80">
        <f t="shared" si="158"/>
        <v>0</v>
      </c>
      <c r="DZ95" s="82">
        <f t="shared" si="159"/>
        <v>0</v>
      </c>
      <c r="EA95" s="82">
        <f t="shared" si="160"/>
        <v>0</v>
      </c>
      <c r="EB95" s="82">
        <f t="shared" si="161"/>
        <v>0</v>
      </c>
      <c r="EC95" s="82">
        <f t="shared" si="178"/>
        <v>0</v>
      </c>
      <c r="EF95" s="83">
        <f t="shared" si="183"/>
        <v>0</v>
      </c>
    </row>
    <row r="96" spans="1:136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1"/>
        <v>TVSUS303-6x2.5-H9A14</v>
      </c>
      <c r="H96" s="46" t="str">
        <f t="shared" si="132"/>
        <v>SUS303TV60DH9</v>
      </c>
      <c r="I96" s="46" t="str">
        <f t="shared" si="133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4"/>
        <v>8</v>
      </c>
      <c r="T96" s="51">
        <v>0</v>
      </c>
      <c r="U96" s="92"/>
      <c r="V96" s="100">
        <v>1.875</v>
      </c>
      <c r="W96" s="93">
        <f t="shared" si="113"/>
        <v>0</v>
      </c>
      <c r="X96" s="93">
        <f t="shared" si="114"/>
        <v>0</v>
      </c>
      <c r="Y96" s="93">
        <f t="shared" si="115"/>
        <v>0</v>
      </c>
      <c r="Z96" s="93">
        <f t="shared" si="116"/>
        <v>0</v>
      </c>
      <c r="AA96" s="93">
        <f t="shared" si="117"/>
        <v>0</v>
      </c>
      <c r="AB96" s="93">
        <f t="shared" si="118"/>
        <v>0</v>
      </c>
      <c r="AC96" s="93">
        <f t="shared" si="119"/>
        <v>0</v>
      </c>
      <c r="AD96" s="93">
        <f t="shared" si="120"/>
        <v>0</v>
      </c>
      <c r="AE96" s="93">
        <f t="shared" si="135"/>
        <v>0</v>
      </c>
      <c r="AF96" s="54">
        <f t="shared" si="136"/>
        <v>0</v>
      </c>
      <c r="AG96" s="94">
        <f t="shared" si="162"/>
        <v>0</v>
      </c>
      <c r="AH96" s="56">
        <f t="shared" si="137"/>
        <v>0</v>
      </c>
      <c r="AI96" s="93"/>
      <c r="AJ96" s="93">
        <f t="shared" si="163"/>
        <v>0</v>
      </c>
      <c r="AK96" s="95">
        <f t="shared" si="138"/>
        <v>1</v>
      </c>
      <c r="AL96" s="58">
        <f t="shared" si="174"/>
        <v>0</v>
      </c>
      <c r="AM96" s="55">
        <f t="shared" si="164"/>
        <v>0</v>
      </c>
      <c r="AN96" s="93"/>
      <c r="AO96" s="96"/>
      <c r="AP96" s="96">
        <f t="shared" ref="AP96" si="186">$CJ96</f>
        <v>0</v>
      </c>
      <c r="AQ96" s="96"/>
      <c r="AR96" s="96"/>
      <c r="AS96" s="96"/>
      <c r="AT96" s="96"/>
      <c r="AU96" s="96">
        <f t="shared" si="139"/>
        <v>0</v>
      </c>
      <c r="AV96" s="96">
        <f t="shared" si="139"/>
        <v>0</v>
      </c>
      <c r="AW96" s="96">
        <f t="shared" si="140"/>
        <v>0</v>
      </c>
      <c r="AX96" s="96">
        <f t="shared" si="141"/>
        <v>0</v>
      </c>
      <c r="AY96" s="94">
        <f t="shared" si="165"/>
        <v>0</v>
      </c>
      <c r="AZ96" s="94">
        <f t="shared" si="142"/>
        <v>0</v>
      </c>
      <c r="BA96" s="94">
        <f t="shared" si="171"/>
        <v>0</v>
      </c>
      <c r="BB96" s="97">
        <f t="shared" si="172"/>
        <v>0</v>
      </c>
      <c r="BC96" s="93"/>
      <c r="BD96" s="93">
        <f t="shared" si="143"/>
        <v>0</v>
      </c>
      <c r="BE96" s="95">
        <f t="shared" si="144"/>
        <v>1</v>
      </c>
      <c r="BF96" s="58">
        <f t="shared" si="175"/>
        <v>0</v>
      </c>
      <c r="BG96" s="94">
        <f t="shared" si="145"/>
        <v>0</v>
      </c>
      <c r="BH96" s="89"/>
      <c r="BI96" s="92"/>
      <c r="BJ96" s="92">
        <f t="shared" si="184"/>
        <v>0</v>
      </c>
      <c r="BK96" s="89"/>
      <c r="BL96" s="89"/>
      <c r="BM96" s="89"/>
      <c r="BN96" s="92"/>
      <c r="BO96" s="92">
        <f t="shared" si="166"/>
        <v>0</v>
      </c>
      <c r="BP96" s="92">
        <f t="shared" si="166"/>
        <v>0</v>
      </c>
      <c r="BQ96" s="96">
        <f t="shared" si="146"/>
        <v>0</v>
      </c>
      <c r="BR96" s="96">
        <f t="shared" si="147"/>
        <v>0</v>
      </c>
      <c r="BS96" s="96">
        <f t="shared" si="167"/>
        <v>0</v>
      </c>
      <c r="BT96" s="96">
        <f t="shared" si="148"/>
        <v>0</v>
      </c>
      <c r="BU96" s="92">
        <f t="shared" si="121"/>
        <v>0</v>
      </c>
      <c r="BV96" s="98">
        <f t="shared" si="168"/>
        <v>0</v>
      </c>
      <c r="BW96" s="92">
        <f t="shared" si="122"/>
        <v>0</v>
      </c>
      <c r="BX96" s="98">
        <f t="shared" si="149"/>
        <v>0</v>
      </c>
      <c r="BY96" s="61">
        <f t="shared" si="173"/>
        <v>0</v>
      </c>
      <c r="BZ96" s="62">
        <f t="shared" si="150"/>
        <v>0</v>
      </c>
      <c r="CA96" s="98">
        <f t="shared" si="151"/>
        <v>0</v>
      </c>
      <c r="CB96" s="92">
        <f t="shared" si="123"/>
        <v>0</v>
      </c>
      <c r="CC96" s="92">
        <f t="shared" si="123"/>
        <v>0</v>
      </c>
      <c r="CD96" s="92">
        <f t="shared" si="123"/>
        <v>0</v>
      </c>
      <c r="CE96" s="99"/>
      <c r="CF96" s="99"/>
      <c r="CG96" s="51">
        <f t="shared" si="152"/>
        <v>0</v>
      </c>
      <c r="CH96" s="62">
        <f t="shared" si="153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100"/>
        <v>0</v>
      </c>
      <c r="CR96" s="102">
        <f t="shared" si="100"/>
        <v>0</v>
      </c>
      <c r="CS96" s="102">
        <f t="shared" si="100"/>
        <v>0</v>
      </c>
      <c r="CT96" s="92">
        <f t="shared" si="154"/>
        <v>0</v>
      </c>
      <c r="CU96" s="92">
        <f t="shared" si="101"/>
        <v>0</v>
      </c>
      <c r="CV96" s="103">
        <f t="shared" si="101"/>
        <v>0</v>
      </c>
      <c r="CW96" s="104"/>
      <c r="CX96" s="105">
        <v>56</v>
      </c>
      <c r="CY96" s="106">
        <f t="shared" si="155"/>
        <v>744</v>
      </c>
      <c r="CZ96" s="106">
        <f t="shared" si="156"/>
        <v>453.6</v>
      </c>
      <c r="DA96" s="106"/>
      <c r="DB96" s="106"/>
      <c r="DC96" s="105"/>
      <c r="DD96" s="107"/>
      <c r="DE96" s="92">
        <f t="shared" si="124"/>
        <v>0</v>
      </c>
      <c r="DF96" s="108">
        <f t="shared" si="125"/>
        <v>0</v>
      </c>
      <c r="DG96" s="115">
        <f t="shared" si="126"/>
        <v>0</v>
      </c>
      <c r="DH96" s="110">
        <f t="shared" si="127"/>
        <v>0</v>
      </c>
      <c r="DI96" s="108">
        <f t="shared" si="128"/>
        <v>0</v>
      </c>
      <c r="DJ96" s="112">
        <f t="shared" si="129"/>
        <v>0</v>
      </c>
      <c r="DK96" s="110">
        <f t="shared" si="181"/>
        <v>0</v>
      </c>
      <c r="DL96" s="108">
        <f t="shared" si="181"/>
        <v>0</v>
      </c>
      <c r="DM96" s="111">
        <f t="shared" si="181"/>
        <v>0</v>
      </c>
      <c r="DN96" s="76">
        <f t="shared" si="182"/>
        <v>0</v>
      </c>
      <c r="DO96" s="76">
        <f t="shared" si="182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7"/>
        <v>0</v>
      </c>
      <c r="DX96" s="81">
        <f t="shared" si="130"/>
        <v>0</v>
      </c>
      <c r="DY96" s="80">
        <f t="shared" si="158"/>
        <v>0</v>
      </c>
      <c r="DZ96" s="82">
        <f t="shared" si="159"/>
        <v>0</v>
      </c>
      <c r="EA96" s="82">
        <f t="shared" si="160"/>
        <v>0</v>
      </c>
      <c r="EB96" s="82">
        <f t="shared" si="161"/>
        <v>0</v>
      </c>
      <c r="EC96" s="82">
        <f>(BX96-CA96)+((AV96+BP96)/1000)</f>
        <v>0</v>
      </c>
      <c r="EF96" s="83">
        <f t="shared" si="183"/>
        <v>0</v>
      </c>
    </row>
    <row r="97" spans="1:136" ht="15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1"/>
        <v>MESUS304-10x3-H7C14</v>
      </c>
      <c r="H97" s="46" t="str">
        <f t="shared" si="132"/>
        <v>SUS304ME100DH7</v>
      </c>
      <c r="I97" s="46" t="str">
        <f t="shared" si="133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4"/>
        <v>24</v>
      </c>
      <c r="T97" s="51">
        <v>0</v>
      </c>
      <c r="U97" s="92"/>
      <c r="V97" s="100">
        <v>54.7</v>
      </c>
      <c r="W97" s="93">
        <f t="shared" si="113"/>
        <v>0</v>
      </c>
      <c r="X97" s="93">
        <f t="shared" si="114"/>
        <v>0</v>
      </c>
      <c r="Y97" s="93">
        <f t="shared" si="115"/>
        <v>0</v>
      </c>
      <c r="Z97" s="93">
        <f t="shared" si="116"/>
        <v>0</v>
      </c>
      <c r="AA97" s="93">
        <f t="shared" si="117"/>
        <v>0</v>
      </c>
      <c r="AB97" s="93">
        <f t="shared" si="118"/>
        <v>0</v>
      </c>
      <c r="AC97" s="93">
        <f t="shared" si="119"/>
        <v>0</v>
      </c>
      <c r="AD97" s="93">
        <f t="shared" si="120"/>
        <v>0</v>
      </c>
      <c r="AE97" s="93">
        <f t="shared" si="135"/>
        <v>0</v>
      </c>
      <c r="AF97" s="54">
        <f t="shared" si="136"/>
        <v>0</v>
      </c>
      <c r="AG97" s="94">
        <f t="shared" si="162"/>
        <v>0</v>
      </c>
      <c r="AH97" s="56">
        <f t="shared" si="137"/>
        <v>0</v>
      </c>
      <c r="AI97" s="93"/>
      <c r="AJ97" s="93">
        <f t="shared" si="163"/>
        <v>0</v>
      </c>
      <c r="AK97" s="95">
        <f t="shared" si="138"/>
        <v>1</v>
      </c>
      <c r="AL97" s="58">
        <f t="shared" si="174"/>
        <v>0</v>
      </c>
      <c r="AM97" s="55">
        <f t="shared" si="164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39"/>
        <v>0</v>
      </c>
      <c r="AV97" s="96">
        <f t="shared" si="139"/>
        <v>0</v>
      </c>
      <c r="AW97" s="96">
        <f t="shared" si="140"/>
        <v>0</v>
      </c>
      <c r="AX97" s="96">
        <f t="shared" si="141"/>
        <v>0</v>
      </c>
      <c r="AY97" s="94">
        <f t="shared" si="165"/>
        <v>0</v>
      </c>
      <c r="AZ97" s="94">
        <f t="shared" si="142"/>
        <v>0</v>
      </c>
      <c r="BA97" s="94">
        <f t="shared" si="171"/>
        <v>0</v>
      </c>
      <c r="BB97" s="97">
        <f t="shared" si="172"/>
        <v>0</v>
      </c>
      <c r="BC97" s="93"/>
      <c r="BD97" s="93">
        <f t="shared" si="143"/>
        <v>0</v>
      </c>
      <c r="BE97" s="95">
        <f t="shared" si="144"/>
        <v>1</v>
      </c>
      <c r="BF97" s="58">
        <f t="shared" si="175"/>
        <v>0</v>
      </c>
      <c r="BG97" s="94">
        <f t="shared" si="145"/>
        <v>0</v>
      </c>
      <c r="BH97" s="89"/>
      <c r="BI97" s="92">
        <f t="shared" si="184"/>
        <v>0</v>
      </c>
      <c r="BJ97" s="89"/>
      <c r="BK97" s="89"/>
      <c r="BL97" s="89"/>
      <c r="BM97" s="89"/>
      <c r="BN97" s="89"/>
      <c r="BO97" s="92">
        <f t="shared" si="166"/>
        <v>0</v>
      </c>
      <c r="BP97" s="92">
        <f t="shared" si="166"/>
        <v>0</v>
      </c>
      <c r="BQ97" s="96">
        <f t="shared" si="146"/>
        <v>0</v>
      </c>
      <c r="BR97" s="96">
        <f t="shared" si="147"/>
        <v>0</v>
      </c>
      <c r="BS97" s="96">
        <f t="shared" si="167"/>
        <v>0</v>
      </c>
      <c r="BT97" s="96">
        <f t="shared" si="148"/>
        <v>0</v>
      </c>
      <c r="BU97" s="92">
        <f t="shared" si="121"/>
        <v>0</v>
      </c>
      <c r="BV97" s="98">
        <f t="shared" si="168"/>
        <v>0</v>
      </c>
      <c r="BW97" s="92">
        <f t="shared" si="122"/>
        <v>0</v>
      </c>
      <c r="BX97" s="98">
        <f t="shared" si="149"/>
        <v>0</v>
      </c>
      <c r="BY97" s="61">
        <f t="shared" si="173"/>
        <v>0</v>
      </c>
      <c r="BZ97" s="62">
        <f t="shared" si="150"/>
        <v>0</v>
      </c>
      <c r="CA97" s="98">
        <f t="shared" si="151"/>
        <v>0</v>
      </c>
      <c r="CB97" s="92">
        <f t="shared" si="123"/>
        <v>0</v>
      </c>
      <c r="CC97" s="92">
        <f t="shared" si="123"/>
        <v>0</v>
      </c>
      <c r="CD97" s="92">
        <f t="shared" si="123"/>
        <v>0</v>
      </c>
      <c r="CE97" s="99"/>
      <c r="CF97" s="99"/>
      <c r="CG97" s="51">
        <f t="shared" si="152"/>
        <v>0</v>
      </c>
      <c r="CH97" s="62">
        <f t="shared" si="153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100"/>
        <v>0</v>
      </c>
      <c r="CR97" s="102">
        <f t="shared" si="100"/>
        <v>0</v>
      </c>
      <c r="CS97" s="102">
        <f t="shared" si="100"/>
        <v>0</v>
      </c>
      <c r="CT97" s="92">
        <f t="shared" si="154"/>
        <v>0</v>
      </c>
      <c r="CU97" s="92">
        <f t="shared" si="101"/>
        <v>0</v>
      </c>
      <c r="CV97" s="103">
        <f t="shared" si="101"/>
        <v>0</v>
      </c>
      <c r="CW97" s="104"/>
      <c r="CX97" s="105">
        <v>120</v>
      </c>
      <c r="CY97" s="106">
        <f t="shared" si="155"/>
        <v>325</v>
      </c>
      <c r="CZ97" s="106">
        <f t="shared" si="156"/>
        <v>972.00000000000011</v>
      </c>
      <c r="DA97" s="106"/>
      <c r="DB97" s="106"/>
      <c r="DC97" s="105"/>
      <c r="DD97" s="107"/>
      <c r="DE97" s="92">
        <f t="shared" si="124"/>
        <v>0</v>
      </c>
      <c r="DF97" s="108">
        <f t="shared" si="125"/>
        <v>0</v>
      </c>
      <c r="DG97" s="115">
        <f t="shared" si="126"/>
        <v>0</v>
      </c>
      <c r="DH97" s="110">
        <f t="shared" si="127"/>
        <v>0</v>
      </c>
      <c r="DI97" s="108">
        <f t="shared" si="128"/>
        <v>0</v>
      </c>
      <c r="DJ97" s="112">
        <f t="shared" si="129"/>
        <v>0</v>
      </c>
      <c r="DK97" s="110">
        <f t="shared" si="181"/>
        <v>0</v>
      </c>
      <c r="DL97" s="108">
        <f t="shared" si="181"/>
        <v>0</v>
      </c>
      <c r="DM97" s="111">
        <f t="shared" si="181"/>
        <v>0</v>
      </c>
      <c r="DN97" s="76">
        <f t="shared" si="182"/>
        <v>0</v>
      </c>
      <c r="DO97" s="76">
        <f t="shared" si="182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7"/>
        <v>0</v>
      </c>
      <c r="DX97" s="81">
        <f t="shared" si="130"/>
        <v>0</v>
      </c>
      <c r="DY97" s="80">
        <f t="shared" si="158"/>
        <v>0</v>
      </c>
      <c r="DZ97" s="82">
        <f t="shared" si="159"/>
        <v>0</v>
      </c>
      <c r="EA97" s="82">
        <f t="shared" si="160"/>
        <v>0</v>
      </c>
      <c r="EB97" s="82">
        <f t="shared" si="161"/>
        <v>0</v>
      </c>
      <c r="EC97" s="82">
        <f t="shared" si="178"/>
        <v>0</v>
      </c>
      <c r="EF97" s="83">
        <f t="shared" si="183"/>
        <v>0</v>
      </c>
    </row>
    <row r="98" spans="1:136" ht="15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1"/>
        <v>ORC17300-3.5x3-H9A14</v>
      </c>
      <c r="H98" s="46" t="str">
        <f t="shared" si="132"/>
        <v>C17300OR3.50DH9</v>
      </c>
      <c r="I98" s="46" t="str">
        <f t="shared" si="133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4"/>
        <v>4</v>
      </c>
      <c r="T98" s="51">
        <v>0</v>
      </c>
      <c r="U98" s="92"/>
      <c r="V98" s="100">
        <v>0.06</v>
      </c>
      <c r="W98" s="93">
        <f t="shared" si="113"/>
        <v>0</v>
      </c>
      <c r="X98" s="93">
        <f t="shared" si="114"/>
        <v>0</v>
      </c>
      <c r="Y98" s="93">
        <f t="shared" si="115"/>
        <v>0</v>
      </c>
      <c r="Z98" s="93">
        <f t="shared" si="116"/>
        <v>0</v>
      </c>
      <c r="AA98" s="93">
        <f t="shared" si="117"/>
        <v>0</v>
      </c>
      <c r="AB98" s="93">
        <f t="shared" si="118"/>
        <v>0</v>
      </c>
      <c r="AC98" s="93">
        <f t="shared" si="119"/>
        <v>0</v>
      </c>
      <c r="AD98" s="93">
        <f t="shared" si="120"/>
        <v>0</v>
      </c>
      <c r="AE98" s="93">
        <f t="shared" si="135"/>
        <v>0</v>
      </c>
      <c r="AF98" s="54">
        <f t="shared" si="136"/>
        <v>0</v>
      </c>
      <c r="AG98" s="94">
        <f t="shared" si="162"/>
        <v>0</v>
      </c>
      <c r="AH98" s="56">
        <f t="shared" si="137"/>
        <v>0</v>
      </c>
      <c r="AI98" s="93"/>
      <c r="AJ98" s="93">
        <f t="shared" si="163"/>
        <v>0</v>
      </c>
      <c r="AK98" s="95">
        <f t="shared" si="138"/>
        <v>1</v>
      </c>
      <c r="AL98" s="58">
        <f t="shared" si="174"/>
        <v>0</v>
      </c>
      <c r="AM98" s="55">
        <f t="shared" si="164"/>
        <v>0</v>
      </c>
      <c r="AN98" s="93"/>
      <c r="AO98" s="96"/>
      <c r="AP98" s="96"/>
      <c r="AQ98" s="96"/>
      <c r="AR98" s="96"/>
      <c r="AS98" s="96"/>
      <c r="AT98" s="96">
        <f t="shared" ref="AT98:AT100" si="187">$CJ98</f>
        <v>0</v>
      </c>
      <c r="AU98" s="96">
        <f t="shared" si="139"/>
        <v>0</v>
      </c>
      <c r="AV98" s="96">
        <f t="shared" si="139"/>
        <v>0</v>
      </c>
      <c r="AW98" s="96">
        <f t="shared" si="140"/>
        <v>0</v>
      </c>
      <c r="AX98" s="96">
        <f t="shared" si="141"/>
        <v>0</v>
      </c>
      <c r="AY98" s="94">
        <f t="shared" si="165"/>
        <v>0</v>
      </c>
      <c r="AZ98" s="94">
        <f t="shared" si="142"/>
        <v>0</v>
      </c>
      <c r="BA98" s="94">
        <f t="shared" si="171"/>
        <v>0</v>
      </c>
      <c r="BB98" s="97">
        <f t="shared" si="172"/>
        <v>0</v>
      </c>
      <c r="BC98" s="93"/>
      <c r="BD98" s="93">
        <f t="shared" si="143"/>
        <v>0</v>
      </c>
      <c r="BE98" s="95">
        <f t="shared" si="144"/>
        <v>1</v>
      </c>
      <c r="BF98" s="58">
        <f t="shared" si="175"/>
        <v>0</v>
      </c>
      <c r="BG98" s="94">
        <f t="shared" si="145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6"/>
        <v>0</v>
      </c>
      <c r="BP98" s="92">
        <f t="shared" si="166"/>
        <v>0</v>
      </c>
      <c r="BQ98" s="96">
        <f t="shared" si="146"/>
        <v>0</v>
      </c>
      <c r="BR98" s="96">
        <f t="shared" si="147"/>
        <v>0</v>
      </c>
      <c r="BS98" s="96">
        <f t="shared" si="167"/>
        <v>0</v>
      </c>
      <c r="BT98" s="96">
        <f t="shared" si="148"/>
        <v>0</v>
      </c>
      <c r="BU98" s="92">
        <f t="shared" si="121"/>
        <v>0</v>
      </c>
      <c r="BV98" s="98">
        <f t="shared" si="168"/>
        <v>0</v>
      </c>
      <c r="BW98" s="92">
        <f t="shared" si="122"/>
        <v>0</v>
      </c>
      <c r="BX98" s="98">
        <f t="shared" si="149"/>
        <v>0</v>
      </c>
      <c r="BY98" s="61">
        <f>IFERROR(BF98+AL98,0)</f>
        <v>0</v>
      </c>
      <c r="BZ98" s="62">
        <f t="shared" si="150"/>
        <v>0</v>
      </c>
      <c r="CA98" s="98">
        <f t="shared" si="151"/>
        <v>0</v>
      </c>
      <c r="CB98" s="92">
        <f t="shared" si="123"/>
        <v>0</v>
      </c>
      <c r="CC98" s="92">
        <f t="shared" si="123"/>
        <v>0</v>
      </c>
      <c r="CD98" s="92">
        <f t="shared" si="123"/>
        <v>0</v>
      </c>
      <c r="CE98" s="99"/>
      <c r="CF98" s="99"/>
      <c r="CG98" s="51">
        <f t="shared" si="152"/>
        <v>0</v>
      </c>
      <c r="CH98" s="62">
        <f t="shared" si="153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100"/>
        <v>0</v>
      </c>
      <c r="CR98" s="102">
        <f t="shared" si="100"/>
        <v>0</v>
      </c>
      <c r="CS98" s="102">
        <f t="shared" si="100"/>
        <v>0</v>
      </c>
      <c r="CT98" s="92">
        <f t="shared" si="154"/>
        <v>0</v>
      </c>
      <c r="CU98" s="92">
        <f t="shared" si="101"/>
        <v>0</v>
      </c>
      <c r="CV98" s="103">
        <f t="shared" si="101"/>
        <v>0</v>
      </c>
      <c r="CW98" s="104"/>
      <c r="CX98" s="105">
        <v>60</v>
      </c>
      <c r="CY98" s="106">
        <f t="shared" si="155"/>
        <v>710</v>
      </c>
      <c r="CZ98" s="106">
        <f t="shared" si="156"/>
        <v>486.00000000000006</v>
      </c>
      <c r="DA98" s="106"/>
      <c r="DB98" s="106"/>
      <c r="DC98" s="105"/>
      <c r="DD98" s="107"/>
      <c r="DE98" s="92">
        <f t="shared" si="124"/>
        <v>0</v>
      </c>
      <c r="DF98" s="108">
        <f t="shared" si="125"/>
        <v>0</v>
      </c>
      <c r="DG98" s="115">
        <f t="shared" si="126"/>
        <v>0</v>
      </c>
      <c r="DH98" s="110">
        <f t="shared" si="127"/>
        <v>0</v>
      </c>
      <c r="DI98" s="108">
        <f t="shared" si="128"/>
        <v>0</v>
      </c>
      <c r="DJ98" s="112">
        <f t="shared" si="129"/>
        <v>0</v>
      </c>
      <c r="DK98" s="110">
        <f t="shared" si="181"/>
        <v>0</v>
      </c>
      <c r="DL98" s="108">
        <f t="shared" si="181"/>
        <v>0</v>
      </c>
      <c r="DM98" s="111">
        <f t="shared" si="181"/>
        <v>0</v>
      </c>
      <c r="DN98" s="76">
        <f t="shared" si="182"/>
        <v>0</v>
      </c>
      <c r="DO98" s="76">
        <f t="shared" si="182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30"/>
        <v>0</v>
      </c>
      <c r="DY98" s="80">
        <f t="shared" si="158"/>
        <v>0</v>
      </c>
      <c r="DZ98" s="82">
        <f t="shared" si="159"/>
        <v>0</v>
      </c>
      <c r="EA98" s="82">
        <f t="shared" si="160"/>
        <v>0</v>
      </c>
      <c r="EB98" s="82">
        <f t="shared" si="161"/>
        <v>0</v>
      </c>
      <c r="EC98" s="82">
        <f t="shared" si="178"/>
        <v>0</v>
      </c>
      <c r="EF98" s="83">
        <f t="shared" si="183"/>
        <v>0</v>
      </c>
    </row>
    <row r="99" spans="1:136" ht="14.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1"/>
        <v>TVSUS303-6x2.5-H9A14</v>
      </c>
      <c r="H99" s="46" t="str">
        <f t="shared" si="132"/>
        <v>SUS303TV60DH9</v>
      </c>
      <c r="I99" s="46" t="str">
        <f t="shared" si="133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4"/>
        <v>12</v>
      </c>
      <c r="T99" s="51">
        <v>0</v>
      </c>
      <c r="U99" s="92"/>
      <c r="V99" s="100">
        <v>3.0150000000000001</v>
      </c>
      <c r="W99" s="93">
        <f t="shared" si="113"/>
        <v>0</v>
      </c>
      <c r="X99" s="93">
        <f t="shared" si="114"/>
        <v>0</v>
      </c>
      <c r="Y99" s="93">
        <f t="shared" si="115"/>
        <v>0</v>
      </c>
      <c r="Z99" s="93">
        <f t="shared" si="116"/>
        <v>0</v>
      </c>
      <c r="AA99" s="93">
        <f t="shared" si="117"/>
        <v>0</v>
      </c>
      <c r="AB99" s="93">
        <f t="shared" si="118"/>
        <v>0</v>
      </c>
      <c r="AC99" s="93">
        <f t="shared" si="119"/>
        <v>0</v>
      </c>
      <c r="AD99" s="93">
        <f t="shared" si="120"/>
        <v>0</v>
      </c>
      <c r="AE99" s="93">
        <f t="shared" si="135"/>
        <v>0</v>
      </c>
      <c r="AF99" s="54">
        <f t="shared" si="136"/>
        <v>0</v>
      </c>
      <c r="AG99" s="94">
        <f t="shared" si="162"/>
        <v>0</v>
      </c>
      <c r="AH99" s="56">
        <f t="shared" si="137"/>
        <v>0</v>
      </c>
      <c r="AI99" s="93"/>
      <c r="AJ99" s="93">
        <f t="shared" si="163"/>
        <v>0</v>
      </c>
      <c r="AK99" s="95">
        <f t="shared" si="138"/>
        <v>1</v>
      </c>
      <c r="AL99" s="58">
        <f t="shared" si="174"/>
        <v>0</v>
      </c>
      <c r="AM99" s="55">
        <f t="shared" si="164"/>
        <v>0</v>
      </c>
      <c r="AN99" s="93"/>
      <c r="AO99" s="96"/>
      <c r="AP99" s="96"/>
      <c r="AQ99" s="96"/>
      <c r="AR99" s="96"/>
      <c r="AS99" s="96"/>
      <c r="AT99" s="96">
        <f t="shared" si="187"/>
        <v>0</v>
      </c>
      <c r="AU99" s="96">
        <f t="shared" si="139"/>
        <v>0</v>
      </c>
      <c r="AV99" s="96">
        <f t="shared" si="139"/>
        <v>0</v>
      </c>
      <c r="AW99" s="96">
        <f t="shared" si="140"/>
        <v>0</v>
      </c>
      <c r="AX99" s="96">
        <f t="shared" si="141"/>
        <v>0</v>
      </c>
      <c r="AY99" s="94">
        <f t="shared" si="165"/>
        <v>0</v>
      </c>
      <c r="AZ99" s="94">
        <f t="shared" si="142"/>
        <v>0</v>
      </c>
      <c r="BA99" s="94">
        <f t="shared" si="171"/>
        <v>0</v>
      </c>
      <c r="BB99" s="97">
        <f t="shared" si="172"/>
        <v>0</v>
      </c>
      <c r="BC99" s="93"/>
      <c r="BD99" s="93">
        <f t="shared" si="143"/>
        <v>0</v>
      </c>
      <c r="BE99" s="95">
        <f t="shared" si="144"/>
        <v>1</v>
      </c>
      <c r="BF99" s="58">
        <f t="shared" si="175"/>
        <v>0</v>
      </c>
      <c r="BG99" s="94">
        <f t="shared" si="145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6"/>
        <v>0</v>
      </c>
      <c r="BP99" s="92">
        <f t="shared" si="166"/>
        <v>0</v>
      </c>
      <c r="BQ99" s="96">
        <f t="shared" si="146"/>
        <v>0</v>
      </c>
      <c r="BR99" s="96">
        <f t="shared" si="147"/>
        <v>0</v>
      </c>
      <c r="BS99" s="96">
        <f t="shared" si="167"/>
        <v>0</v>
      </c>
      <c r="BT99" s="96">
        <f t="shared" si="148"/>
        <v>0</v>
      </c>
      <c r="BU99" s="92">
        <f t="shared" si="121"/>
        <v>0</v>
      </c>
      <c r="BV99" s="98">
        <f t="shared" si="168"/>
        <v>0</v>
      </c>
      <c r="BW99" s="92">
        <f t="shared" si="122"/>
        <v>0</v>
      </c>
      <c r="BX99" s="98">
        <f t="shared" si="149"/>
        <v>0</v>
      </c>
      <c r="BY99" s="61">
        <f t="shared" si="173"/>
        <v>0</v>
      </c>
      <c r="BZ99" s="62">
        <f t="shared" si="150"/>
        <v>0</v>
      </c>
      <c r="CA99" s="98">
        <f t="shared" si="151"/>
        <v>0</v>
      </c>
      <c r="CB99" s="92">
        <f t="shared" si="123"/>
        <v>0</v>
      </c>
      <c r="CC99" s="92">
        <f t="shared" si="123"/>
        <v>0</v>
      </c>
      <c r="CD99" s="92">
        <f t="shared" si="123"/>
        <v>0</v>
      </c>
      <c r="CE99" s="99"/>
      <c r="CF99" s="99"/>
      <c r="CG99" s="51">
        <f t="shared" si="152"/>
        <v>0</v>
      </c>
      <c r="CH99" s="62">
        <f t="shared" si="153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88">INT(IFERROR( CJ99/$V99,0))</f>
        <v>0</v>
      </c>
      <c r="CR99" s="102">
        <f t="shared" si="188"/>
        <v>0</v>
      </c>
      <c r="CS99" s="102">
        <f t="shared" si="188"/>
        <v>0</v>
      </c>
      <c r="CT99" s="92">
        <f t="shared" si="154"/>
        <v>0</v>
      </c>
      <c r="CU99" s="92">
        <f t="shared" si="101"/>
        <v>0</v>
      </c>
      <c r="CV99" s="103">
        <f t="shared" si="101"/>
        <v>0</v>
      </c>
      <c r="CW99" s="104"/>
      <c r="CX99" s="105">
        <v>123</v>
      </c>
      <c r="CY99" s="106">
        <f t="shared" si="155"/>
        <v>336</v>
      </c>
      <c r="CZ99" s="106">
        <f t="shared" si="156"/>
        <v>996.30000000000007</v>
      </c>
      <c r="DA99" s="106"/>
      <c r="DB99" s="106"/>
      <c r="DC99" s="105"/>
      <c r="DD99" s="107"/>
      <c r="DE99" s="92">
        <f t="shared" si="124"/>
        <v>0</v>
      </c>
      <c r="DF99" s="108">
        <f t="shared" si="125"/>
        <v>0</v>
      </c>
      <c r="DG99" s="115">
        <f t="shared" si="126"/>
        <v>0</v>
      </c>
      <c r="DH99" s="110">
        <f t="shared" si="127"/>
        <v>0</v>
      </c>
      <c r="DI99" s="108">
        <f t="shared" si="128"/>
        <v>0</v>
      </c>
      <c r="DJ99" s="112">
        <f t="shared" si="129"/>
        <v>0</v>
      </c>
      <c r="DK99" s="110">
        <f t="shared" si="181"/>
        <v>0</v>
      </c>
      <c r="DL99" s="108">
        <f t="shared" si="181"/>
        <v>0</v>
      </c>
      <c r="DM99" s="111">
        <f t="shared" si="181"/>
        <v>0</v>
      </c>
      <c r="DN99" s="76">
        <f t="shared" si="182"/>
        <v>0</v>
      </c>
      <c r="DO99" s="76">
        <f t="shared" si="182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7"/>
        <v>0</v>
      </c>
      <c r="DX99" s="81">
        <f t="shared" si="130"/>
        <v>0</v>
      </c>
      <c r="DY99" s="80">
        <f t="shared" si="158"/>
        <v>0</v>
      </c>
      <c r="DZ99" s="82">
        <f t="shared" si="159"/>
        <v>0</v>
      </c>
      <c r="EA99" s="82">
        <f t="shared" si="160"/>
        <v>0</v>
      </c>
      <c r="EB99" s="82">
        <f t="shared" si="161"/>
        <v>0</v>
      </c>
      <c r="EC99" s="82">
        <f t="shared" si="178"/>
        <v>0</v>
      </c>
      <c r="EF99" s="83">
        <f t="shared" si="183"/>
        <v>0</v>
      </c>
    </row>
    <row r="100" spans="1:136" ht="14.1" customHeight="1">
      <c r="A100" s="84">
        <v>93</v>
      </c>
      <c r="B100" s="85" t="s">
        <v>391</v>
      </c>
      <c r="C100" s="86"/>
      <c r="D100" s="116" t="s">
        <v>392</v>
      </c>
      <c r="E100" s="88">
        <v>108</v>
      </c>
      <c r="F100" s="89" t="s">
        <v>128</v>
      </c>
      <c r="G100" s="45" t="str">
        <f t="shared" si="131"/>
        <v>WTA6061-T6-T17x7x3-H9B13</v>
      </c>
      <c r="H100" s="46" t="str">
        <f t="shared" si="132"/>
        <v>A6061-T6WT177TH9</v>
      </c>
      <c r="I100" s="46" t="str">
        <f t="shared" si="133"/>
        <v>A6061-T6WT177TH93B13</v>
      </c>
      <c r="J100" s="90" t="s">
        <v>374</v>
      </c>
      <c r="K100" s="90" t="s">
        <v>393</v>
      </c>
      <c r="L100" s="90">
        <v>17</v>
      </c>
      <c r="M100" s="90">
        <v>7</v>
      </c>
      <c r="N100" s="90" t="s">
        <v>157</v>
      </c>
      <c r="O100" s="90" t="s">
        <v>131</v>
      </c>
      <c r="P100" s="90">
        <v>3</v>
      </c>
      <c r="Q100" s="91">
        <v>1.522</v>
      </c>
      <c r="R100" s="49" t="s">
        <v>228</v>
      </c>
      <c r="S100" s="89">
        <f t="shared" si="134"/>
        <v>12</v>
      </c>
      <c r="T100" s="51">
        <v>3</v>
      </c>
      <c r="U100" s="92"/>
      <c r="V100" s="100">
        <v>1.65</v>
      </c>
      <c r="W100" s="93">
        <f t="shared" si="113"/>
        <v>0</v>
      </c>
      <c r="X100" s="93">
        <f t="shared" si="114"/>
        <v>0</v>
      </c>
      <c r="Y100" s="93">
        <f t="shared" si="115"/>
        <v>0</v>
      </c>
      <c r="Z100" s="93">
        <f t="shared" si="116"/>
        <v>0</v>
      </c>
      <c r="AA100" s="93">
        <f t="shared" si="117"/>
        <v>0</v>
      </c>
      <c r="AB100" s="93">
        <f t="shared" si="118"/>
        <v>0</v>
      </c>
      <c r="AC100" s="93">
        <f t="shared" si="119"/>
        <v>0</v>
      </c>
      <c r="AD100" s="93">
        <f t="shared" si="120"/>
        <v>0</v>
      </c>
      <c r="AE100" s="93">
        <f t="shared" si="135"/>
        <v>0</v>
      </c>
      <c r="AF100" s="54">
        <f t="shared" si="136"/>
        <v>0</v>
      </c>
      <c r="AG100" s="94">
        <f t="shared" si="162"/>
        <v>3</v>
      </c>
      <c r="AH100" s="56">
        <f t="shared" si="137"/>
        <v>0</v>
      </c>
      <c r="AI100" s="93"/>
      <c r="AJ100" s="93">
        <f t="shared" si="163"/>
        <v>0</v>
      </c>
      <c r="AK100" s="95">
        <f t="shared" si="138"/>
        <v>1</v>
      </c>
      <c r="AL100" s="58">
        <f t="shared" si="174"/>
        <v>0</v>
      </c>
      <c r="AM100" s="55">
        <f t="shared" si="164"/>
        <v>3</v>
      </c>
      <c r="AN100" s="93"/>
      <c r="AO100" s="96"/>
      <c r="AP100" s="96"/>
      <c r="AQ100" s="96"/>
      <c r="AR100" s="96"/>
      <c r="AS100" s="96"/>
      <c r="AT100" s="96">
        <f t="shared" si="187"/>
        <v>0</v>
      </c>
      <c r="AU100" s="96">
        <f t="shared" si="139"/>
        <v>0</v>
      </c>
      <c r="AV100" s="96">
        <f t="shared" si="139"/>
        <v>0</v>
      </c>
      <c r="AW100" s="96">
        <f t="shared" si="140"/>
        <v>0</v>
      </c>
      <c r="AX100" s="96">
        <f t="shared" si="141"/>
        <v>0</v>
      </c>
      <c r="AY100" s="94">
        <f t="shared" si="165"/>
        <v>0</v>
      </c>
      <c r="AZ100" s="94">
        <f t="shared" si="142"/>
        <v>0</v>
      </c>
      <c r="BA100" s="94">
        <f t="shared" si="171"/>
        <v>3</v>
      </c>
      <c r="BB100" s="97">
        <f t="shared" si="172"/>
        <v>0</v>
      </c>
      <c r="BC100" s="93"/>
      <c r="BD100" s="93">
        <f t="shared" si="143"/>
        <v>0</v>
      </c>
      <c r="BE100" s="95">
        <f t="shared" si="144"/>
        <v>1</v>
      </c>
      <c r="BF100" s="58">
        <f t="shared" si="175"/>
        <v>0</v>
      </c>
      <c r="BG100" s="94">
        <f t="shared" si="145"/>
        <v>3</v>
      </c>
      <c r="BH100" s="89"/>
      <c r="BI100" s="89"/>
      <c r="BJ100" s="89"/>
      <c r="BK100" s="89"/>
      <c r="BL100" s="89"/>
      <c r="BM100" s="89"/>
      <c r="BN100" s="92">
        <f>$CN100</f>
        <v>0</v>
      </c>
      <c r="BO100" s="92">
        <f t="shared" si="166"/>
        <v>0</v>
      </c>
      <c r="BP100" s="92">
        <f t="shared" si="166"/>
        <v>0</v>
      </c>
      <c r="BQ100" s="96">
        <f t="shared" si="146"/>
        <v>0</v>
      </c>
      <c r="BR100" s="96">
        <f t="shared" si="147"/>
        <v>0</v>
      </c>
      <c r="BS100" s="96">
        <f t="shared" si="167"/>
        <v>0</v>
      </c>
      <c r="BT100" s="96">
        <f t="shared" si="148"/>
        <v>0</v>
      </c>
      <c r="BU100" s="92">
        <f t="shared" si="121"/>
        <v>0</v>
      </c>
      <c r="BV100" s="98">
        <f t="shared" si="168"/>
        <v>0</v>
      </c>
      <c r="BW100" s="92">
        <f t="shared" si="122"/>
        <v>0</v>
      </c>
      <c r="BX100" s="98">
        <f t="shared" si="149"/>
        <v>0</v>
      </c>
      <c r="BY100" s="61">
        <f>IFERROR(BF100+AL100,0)</f>
        <v>0</v>
      </c>
      <c r="BZ100" s="62">
        <f t="shared" si="150"/>
        <v>0</v>
      </c>
      <c r="CA100" s="98">
        <f t="shared" si="151"/>
        <v>0</v>
      </c>
      <c r="CB100" s="92">
        <f t="shared" si="123"/>
        <v>0</v>
      </c>
      <c r="CC100" s="92">
        <f t="shared" si="123"/>
        <v>0</v>
      </c>
      <c r="CD100" s="92">
        <f t="shared" si="123"/>
        <v>0</v>
      </c>
      <c r="CE100" s="99"/>
      <c r="CF100" s="99"/>
      <c r="CG100" s="51">
        <f t="shared" si="152"/>
        <v>0</v>
      </c>
      <c r="CH100" s="62">
        <f t="shared" si="153"/>
        <v>0</v>
      </c>
      <c r="CI100" s="89"/>
      <c r="CJ100" s="89"/>
      <c r="CK100" s="89"/>
      <c r="CL100" s="96"/>
      <c r="CM100" s="89"/>
      <c r="CN100" s="89"/>
      <c r="CO100" s="92"/>
      <c r="CP100" s="101"/>
      <c r="CQ100" s="102">
        <f t="shared" si="188"/>
        <v>0</v>
      </c>
      <c r="CR100" s="102">
        <f t="shared" si="188"/>
        <v>0</v>
      </c>
      <c r="CS100" s="102">
        <f t="shared" si="188"/>
        <v>0</v>
      </c>
      <c r="CT100" s="92">
        <f t="shared" si="154"/>
        <v>0</v>
      </c>
      <c r="CU100" s="92">
        <f t="shared" si="101"/>
        <v>0</v>
      </c>
      <c r="CV100" s="103">
        <f t="shared" si="101"/>
        <v>0</v>
      </c>
      <c r="CW100" s="104"/>
      <c r="CX100" s="105">
        <v>60</v>
      </c>
      <c r="CY100" s="106">
        <f t="shared" si="155"/>
        <v>685</v>
      </c>
      <c r="CZ100" s="106">
        <f t="shared" si="156"/>
        <v>486.00000000000006</v>
      </c>
      <c r="DA100" s="106"/>
      <c r="DB100" s="106"/>
      <c r="DC100" s="105"/>
      <c r="DD100" s="107"/>
      <c r="DE100" s="92">
        <f t="shared" si="124"/>
        <v>0</v>
      </c>
      <c r="DF100" s="108">
        <f t="shared" si="125"/>
        <v>0</v>
      </c>
      <c r="DG100" s="115">
        <f t="shared" si="126"/>
        <v>0</v>
      </c>
      <c r="DH100" s="110">
        <f t="shared" si="127"/>
        <v>0</v>
      </c>
      <c r="DI100" s="108">
        <f t="shared" si="128"/>
        <v>0</v>
      </c>
      <c r="DJ100" s="112">
        <f t="shared" si="129"/>
        <v>0</v>
      </c>
      <c r="DK100" s="110">
        <f t="shared" si="181"/>
        <v>0</v>
      </c>
      <c r="DL100" s="108">
        <f t="shared" si="181"/>
        <v>0</v>
      </c>
      <c r="DM100" s="111">
        <f t="shared" si="181"/>
        <v>0</v>
      </c>
      <c r="DN100" s="76">
        <f t="shared" si="182"/>
        <v>3</v>
      </c>
      <c r="DO100" s="76">
        <f t="shared" si="182"/>
        <v>0</v>
      </c>
      <c r="DP100" s="112"/>
      <c r="DQ100" s="112"/>
      <c r="DR100" s="113" t="s">
        <v>394</v>
      </c>
      <c r="DS100" s="112"/>
      <c r="DT100" s="112"/>
      <c r="DU100" s="111"/>
      <c r="DV100" s="114"/>
      <c r="DW100" s="80">
        <f t="shared" si="157"/>
        <v>0</v>
      </c>
      <c r="DX100" s="81">
        <f t="shared" si="130"/>
        <v>0</v>
      </c>
      <c r="DY100" s="80">
        <f t="shared" si="158"/>
        <v>0</v>
      </c>
      <c r="DZ100" s="82">
        <f t="shared" si="159"/>
        <v>0</v>
      </c>
      <c r="EA100" s="82">
        <f t="shared" si="160"/>
        <v>0</v>
      </c>
      <c r="EB100" s="82">
        <f t="shared" si="161"/>
        <v>0</v>
      </c>
      <c r="EC100" s="82">
        <f t="shared" si="178"/>
        <v>0</v>
      </c>
      <c r="EF100" s="83">
        <f t="shared" si="183"/>
        <v>0</v>
      </c>
    </row>
    <row r="101" spans="1:136" ht="15" customHeight="1">
      <c r="A101" s="84">
        <v>94</v>
      </c>
      <c r="B101" s="85" t="s">
        <v>395</v>
      </c>
      <c r="C101" s="86"/>
      <c r="D101" s="119">
        <v>3228</v>
      </c>
      <c r="E101" s="88">
        <v>174</v>
      </c>
      <c r="F101" s="89" t="s">
        <v>136</v>
      </c>
      <c r="G101" s="45" t="str">
        <f t="shared" si="131"/>
        <v>GWA6063-T5-12x3-H9A14</v>
      </c>
      <c r="H101" s="46" t="str">
        <f t="shared" si="132"/>
        <v>A6063-T5GW120DH9</v>
      </c>
      <c r="I101" s="46" t="str">
        <f t="shared" si="133"/>
        <v>A6063-T5GW120DH93A14</v>
      </c>
      <c r="J101" s="90" t="s">
        <v>129</v>
      </c>
      <c r="K101" s="90" t="s">
        <v>130</v>
      </c>
      <c r="L101" s="90">
        <v>12</v>
      </c>
      <c r="M101" s="90">
        <v>0</v>
      </c>
      <c r="N101" s="90" t="s">
        <v>128</v>
      </c>
      <c r="O101" s="90" t="s">
        <v>131</v>
      </c>
      <c r="P101" s="90">
        <v>3</v>
      </c>
      <c r="Q101" s="91">
        <v>0.92200000000000004</v>
      </c>
      <c r="R101" s="90" t="s">
        <v>139</v>
      </c>
      <c r="S101" s="89">
        <f t="shared" si="134"/>
        <v>4</v>
      </c>
      <c r="T101" s="51">
        <v>12</v>
      </c>
      <c r="U101" s="92"/>
      <c r="V101" s="100">
        <v>1.28</v>
      </c>
      <c r="W101" s="93">
        <f t="shared" si="113"/>
        <v>0</v>
      </c>
      <c r="X101" s="93">
        <f t="shared" si="114"/>
        <v>0</v>
      </c>
      <c r="Y101" s="93">
        <f t="shared" si="115"/>
        <v>0</v>
      </c>
      <c r="Z101" s="93">
        <f t="shared" si="116"/>
        <v>0</v>
      </c>
      <c r="AA101" s="93">
        <f t="shared" si="117"/>
        <v>0</v>
      </c>
      <c r="AB101" s="93">
        <f t="shared" si="118"/>
        <v>0</v>
      </c>
      <c r="AC101" s="93">
        <f t="shared" si="119"/>
        <v>0</v>
      </c>
      <c r="AD101" s="93">
        <f t="shared" si="120"/>
        <v>0</v>
      </c>
      <c r="AE101" s="93">
        <f t="shared" si="135"/>
        <v>0</v>
      </c>
      <c r="AF101" s="54">
        <f t="shared" si="136"/>
        <v>0</v>
      </c>
      <c r="AG101" s="94">
        <f t="shared" si="162"/>
        <v>12</v>
      </c>
      <c r="AH101" s="56">
        <f t="shared" si="137"/>
        <v>0</v>
      </c>
      <c r="AI101" s="93"/>
      <c r="AJ101" s="93">
        <f t="shared" si="163"/>
        <v>0</v>
      </c>
      <c r="AK101" s="95">
        <f t="shared" si="138"/>
        <v>1</v>
      </c>
      <c r="AL101" s="58">
        <f t="shared" si="174"/>
        <v>0</v>
      </c>
      <c r="AM101" s="55">
        <f t="shared" si="164"/>
        <v>12</v>
      </c>
      <c r="AN101" s="93"/>
      <c r="AO101" s="96"/>
      <c r="AP101" s="96"/>
      <c r="AQ101" s="96"/>
      <c r="AR101" s="96"/>
      <c r="AS101" s="96"/>
      <c r="AT101" s="96">
        <f>$CJ101</f>
        <v>0</v>
      </c>
      <c r="AU101" s="96">
        <f t="shared" si="139"/>
        <v>0</v>
      </c>
      <c r="AV101" s="96">
        <f t="shared" si="139"/>
        <v>0</v>
      </c>
      <c r="AW101" s="96">
        <f t="shared" si="140"/>
        <v>0</v>
      </c>
      <c r="AX101" s="96">
        <f t="shared" si="141"/>
        <v>0</v>
      </c>
      <c r="AY101" s="94">
        <f t="shared" si="165"/>
        <v>0</v>
      </c>
      <c r="AZ101" s="94">
        <f t="shared" si="142"/>
        <v>0</v>
      </c>
      <c r="BA101" s="94">
        <f t="shared" si="171"/>
        <v>12</v>
      </c>
      <c r="BB101" s="97">
        <f t="shared" si="172"/>
        <v>0</v>
      </c>
      <c r="BC101" s="93"/>
      <c r="BD101" s="93">
        <f t="shared" si="143"/>
        <v>0</v>
      </c>
      <c r="BE101" s="95">
        <f t="shared" si="144"/>
        <v>1</v>
      </c>
      <c r="BF101" s="58">
        <f t="shared" si="175"/>
        <v>0</v>
      </c>
      <c r="BG101" s="94">
        <f t="shared" si="145"/>
        <v>12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6"/>
        <v>0</v>
      </c>
      <c r="BP101" s="92">
        <f t="shared" si="166"/>
        <v>0</v>
      </c>
      <c r="BQ101" s="96">
        <f t="shared" si="146"/>
        <v>0</v>
      </c>
      <c r="BR101" s="96">
        <f t="shared" si="147"/>
        <v>0</v>
      </c>
      <c r="BS101" s="96">
        <f t="shared" si="167"/>
        <v>0</v>
      </c>
      <c r="BT101" s="96">
        <f t="shared" si="148"/>
        <v>0</v>
      </c>
      <c r="BU101" s="92">
        <f t="shared" si="121"/>
        <v>0</v>
      </c>
      <c r="BV101" s="98">
        <f t="shared" si="168"/>
        <v>0</v>
      </c>
      <c r="BW101" s="92">
        <f t="shared" si="122"/>
        <v>0</v>
      </c>
      <c r="BX101" s="98">
        <f t="shared" si="149"/>
        <v>0</v>
      </c>
      <c r="BY101" s="61">
        <f t="shared" si="173"/>
        <v>0</v>
      </c>
      <c r="BZ101" s="62">
        <f t="shared" si="150"/>
        <v>0</v>
      </c>
      <c r="CA101" s="98">
        <f t="shared" si="151"/>
        <v>0</v>
      </c>
      <c r="CB101" s="92">
        <f t="shared" si="123"/>
        <v>0</v>
      </c>
      <c r="CC101" s="92">
        <f t="shared" si="123"/>
        <v>0</v>
      </c>
      <c r="CD101" s="92">
        <f t="shared" si="123"/>
        <v>0</v>
      </c>
      <c r="CE101" s="99"/>
      <c r="CF101" s="99"/>
      <c r="CG101" s="51">
        <f t="shared" si="152"/>
        <v>0</v>
      </c>
      <c r="CH101" s="62">
        <f t="shared" si="153"/>
        <v>0</v>
      </c>
      <c r="CI101" s="89"/>
      <c r="CJ101" s="89"/>
      <c r="CK101" s="89"/>
      <c r="CL101" s="96"/>
      <c r="CM101" s="89"/>
      <c r="CN101" s="89"/>
      <c r="CO101" s="92"/>
      <c r="CP101" s="101"/>
      <c r="CQ101" s="102">
        <f t="shared" si="188"/>
        <v>0</v>
      </c>
      <c r="CR101" s="102">
        <f t="shared" si="188"/>
        <v>0</v>
      </c>
      <c r="CS101" s="102">
        <f t="shared" si="188"/>
        <v>0</v>
      </c>
      <c r="CT101" s="92">
        <f t="shared" si="154"/>
        <v>0</v>
      </c>
      <c r="CU101" s="92">
        <f t="shared" si="101"/>
        <v>0</v>
      </c>
      <c r="CV101" s="103">
        <f t="shared" si="101"/>
        <v>0</v>
      </c>
      <c r="CW101" s="104"/>
      <c r="CX101" s="105">
        <v>128</v>
      </c>
      <c r="CY101" s="106">
        <f t="shared" si="155"/>
        <v>332</v>
      </c>
      <c r="CZ101" s="106">
        <f t="shared" si="156"/>
        <v>1036.8000000000002</v>
      </c>
      <c r="DA101" s="106"/>
      <c r="DB101" s="106"/>
      <c r="DC101" s="105"/>
      <c r="DD101" s="107"/>
      <c r="DE101" s="92">
        <f t="shared" si="124"/>
        <v>0</v>
      </c>
      <c r="DF101" s="108">
        <f t="shared" si="125"/>
        <v>0</v>
      </c>
      <c r="DG101" s="115">
        <f t="shared" si="126"/>
        <v>0</v>
      </c>
      <c r="DH101" s="110">
        <f t="shared" si="127"/>
        <v>0</v>
      </c>
      <c r="DI101" s="108">
        <f t="shared" si="128"/>
        <v>0</v>
      </c>
      <c r="DJ101" s="112">
        <f t="shared" si="129"/>
        <v>0</v>
      </c>
      <c r="DK101" s="110">
        <f t="shared" si="181"/>
        <v>0</v>
      </c>
      <c r="DL101" s="108">
        <f t="shared" si="181"/>
        <v>0</v>
      </c>
      <c r="DM101" s="111">
        <f t="shared" si="181"/>
        <v>0</v>
      </c>
      <c r="DN101" s="76">
        <f t="shared" si="182"/>
        <v>12</v>
      </c>
      <c r="DO101" s="76">
        <f t="shared" si="182"/>
        <v>0</v>
      </c>
      <c r="DP101" s="112"/>
      <c r="DQ101" s="112"/>
      <c r="DR101" s="113" t="s">
        <v>396</v>
      </c>
      <c r="DS101" s="112"/>
      <c r="DT101" s="112"/>
      <c r="DU101" s="111"/>
      <c r="DV101" s="114"/>
      <c r="DW101" s="80">
        <f t="shared" si="157"/>
        <v>0</v>
      </c>
      <c r="DX101" s="81">
        <f t="shared" si="130"/>
        <v>0</v>
      </c>
      <c r="DY101" s="80">
        <f t="shared" si="158"/>
        <v>0</v>
      </c>
      <c r="DZ101" s="82">
        <f t="shared" si="159"/>
        <v>0</v>
      </c>
      <c r="EA101" s="82">
        <f t="shared" si="160"/>
        <v>0</v>
      </c>
      <c r="EB101" s="82">
        <f t="shared" si="161"/>
        <v>0</v>
      </c>
      <c r="EC101" s="82">
        <f t="shared" si="178"/>
        <v>0</v>
      </c>
      <c r="EF101" s="83">
        <f t="shared" si="183"/>
        <v>0</v>
      </c>
    </row>
    <row r="102" spans="1:136" ht="15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1"/>
        <v>-xx-</v>
      </c>
      <c r="H102" s="46" t="str">
        <f t="shared" si="132"/>
        <v/>
      </c>
      <c r="I102" s="46" t="str">
        <f t="shared" si="133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4"/>
        <v>#DIV/0!</v>
      </c>
      <c r="T102" s="51">
        <v>0</v>
      </c>
      <c r="U102" s="92"/>
      <c r="V102" s="100">
        <v>1</v>
      </c>
      <c r="W102" s="93">
        <f t="shared" si="113"/>
        <v>0</v>
      </c>
      <c r="X102" s="93">
        <f t="shared" si="114"/>
        <v>0</v>
      </c>
      <c r="Y102" s="93">
        <f t="shared" si="115"/>
        <v>0</v>
      </c>
      <c r="Z102" s="93">
        <f t="shared" si="116"/>
        <v>0</v>
      </c>
      <c r="AA102" s="93">
        <f t="shared" si="117"/>
        <v>0</v>
      </c>
      <c r="AB102" s="93">
        <f t="shared" si="118"/>
        <v>0</v>
      </c>
      <c r="AC102" s="93">
        <f t="shared" si="119"/>
        <v>0</v>
      </c>
      <c r="AD102" s="93">
        <f t="shared" si="120"/>
        <v>0</v>
      </c>
      <c r="AE102" s="93">
        <f t="shared" si="135"/>
        <v>0</v>
      </c>
      <c r="AF102" s="54">
        <f t="shared" si="136"/>
        <v>0</v>
      </c>
      <c r="AG102" s="94">
        <f t="shared" si="162"/>
        <v>0</v>
      </c>
      <c r="AH102" s="56">
        <f t="shared" si="137"/>
        <v>0</v>
      </c>
      <c r="AI102" s="93"/>
      <c r="AJ102" s="93">
        <f t="shared" si="163"/>
        <v>0</v>
      </c>
      <c r="AK102" s="95">
        <f>IF(V102="","",IF(AJ102=0,1,AJ102/$V102/$E102))</f>
        <v>1</v>
      </c>
      <c r="AL102" s="58">
        <f t="shared" si="174"/>
        <v>0</v>
      </c>
      <c r="AM102" s="55">
        <f t="shared" si="164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39"/>
        <v>0</v>
      </c>
      <c r="AV102" s="96">
        <f t="shared" si="139"/>
        <v>0</v>
      </c>
      <c r="AW102" s="96">
        <f t="shared" si="140"/>
        <v>0</v>
      </c>
      <c r="AX102" s="96">
        <f t="shared" si="141"/>
        <v>0</v>
      </c>
      <c r="AY102" s="94">
        <f t="shared" si="165"/>
        <v>0</v>
      </c>
      <c r="AZ102" s="94">
        <f t="shared" si="142"/>
        <v>0</v>
      </c>
      <c r="BA102" s="94">
        <f t="shared" si="171"/>
        <v>0</v>
      </c>
      <c r="BB102" s="97">
        <f t="shared" si="172"/>
        <v>0</v>
      </c>
      <c r="BC102" s="93"/>
      <c r="BD102" s="93">
        <f t="shared" si="143"/>
        <v>0</v>
      </c>
      <c r="BE102" s="95">
        <f t="shared" si="144"/>
        <v>1</v>
      </c>
      <c r="BF102" s="58">
        <f t="shared" si="175"/>
        <v>0</v>
      </c>
      <c r="BG102" s="94">
        <f t="shared" si="145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6"/>
        <v>0</v>
      </c>
      <c r="BP102" s="92">
        <f t="shared" si="166"/>
        <v>0</v>
      </c>
      <c r="BQ102" s="96">
        <f t="shared" si="146"/>
        <v>0</v>
      </c>
      <c r="BR102" s="96">
        <f t="shared" si="147"/>
        <v>0</v>
      </c>
      <c r="BS102" s="96">
        <f t="shared" si="167"/>
        <v>0</v>
      </c>
      <c r="BT102" s="96">
        <f t="shared" si="148"/>
        <v>0</v>
      </c>
      <c r="BU102" s="92">
        <f t="shared" si="121"/>
        <v>0</v>
      </c>
      <c r="BV102" s="98">
        <f t="shared" si="168"/>
        <v>0</v>
      </c>
      <c r="BW102" s="92">
        <f t="shared" si="122"/>
        <v>0</v>
      </c>
      <c r="BX102" s="98" t="str">
        <f t="shared" si="149"/>
        <v/>
      </c>
      <c r="BY102" s="61">
        <f t="shared" si="173"/>
        <v>0</v>
      </c>
      <c r="BZ102" s="62">
        <f t="shared" si="150"/>
        <v>0</v>
      </c>
      <c r="CA102" s="98">
        <f t="shared" si="151"/>
        <v>0</v>
      </c>
      <c r="CB102" s="92">
        <f t="shared" si="123"/>
        <v>0</v>
      </c>
      <c r="CC102" s="92">
        <f t="shared" si="123"/>
        <v>0</v>
      </c>
      <c r="CD102" s="92">
        <f t="shared" si="123"/>
        <v>0</v>
      </c>
      <c r="CE102" s="99"/>
      <c r="CF102" s="99"/>
      <c r="CG102" s="51">
        <f t="shared" si="152"/>
        <v>0</v>
      </c>
      <c r="CH102" s="62">
        <f t="shared" si="153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88"/>
        <v>0</v>
      </c>
      <c r="CR102" s="102">
        <f t="shared" si="188"/>
        <v>0</v>
      </c>
      <c r="CS102" s="102">
        <f t="shared" si="188"/>
        <v>0</v>
      </c>
      <c r="CT102" s="92">
        <f t="shared" si="154"/>
        <v>0</v>
      </c>
      <c r="CU102" s="92">
        <f t="shared" si="101"/>
        <v>0</v>
      </c>
      <c r="CV102" s="103">
        <f t="shared" si="101"/>
        <v>0</v>
      </c>
      <c r="CW102" s="104"/>
      <c r="CX102" s="105"/>
      <c r="CY102" s="106" t="e">
        <f t="shared" si="155"/>
        <v>#DIV/0!</v>
      </c>
      <c r="CZ102" s="106">
        <f t="shared" si="156"/>
        <v>0</v>
      </c>
      <c r="DA102" s="106"/>
      <c r="DB102" s="106"/>
      <c r="DC102" s="105"/>
      <c r="DD102" s="107"/>
      <c r="DE102" s="92">
        <f t="shared" si="124"/>
        <v>0</v>
      </c>
      <c r="DF102" s="108">
        <f t="shared" si="125"/>
        <v>0</v>
      </c>
      <c r="DG102" s="115">
        <f t="shared" si="126"/>
        <v>0</v>
      </c>
      <c r="DH102" s="110">
        <f t="shared" si="127"/>
        <v>0</v>
      </c>
      <c r="DI102" s="108">
        <f t="shared" si="128"/>
        <v>0</v>
      </c>
      <c r="DJ102" s="112">
        <f t="shared" si="129"/>
        <v>0</v>
      </c>
      <c r="DK102" s="110">
        <f t="shared" si="181"/>
        <v>0</v>
      </c>
      <c r="DL102" s="108">
        <f t="shared" si="181"/>
        <v>0</v>
      </c>
      <c r="DM102" s="111">
        <f t="shared" si="181"/>
        <v>0</v>
      </c>
      <c r="DN102" s="76">
        <f t="shared" si="182"/>
        <v>0</v>
      </c>
      <c r="DO102" s="76">
        <f t="shared" si="182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7"/>
        <v>0</v>
      </c>
      <c r="DX102" s="81">
        <f t="shared" si="130"/>
        <v>0</v>
      </c>
      <c r="DY102" s="80">
        <f t="shared" si="158"/>
        <v>0</v>
      </c>
      <c r="DZ102" s="82">
        <f t="shared" si="159"/>
        <v>0</v>
      </c>
      <c r="EA102" s="82">
        <f t="shared" si="160"/>
        <v>0</v>
      </c>
      <c r="EB102" s="82" t="e">
        <f t="shared" si="161"/>
        <v>#VALUE!</v>
      </c>
      <c r="EC102" s="82" t="e">
        <f t="shared" si="178"/>
        <v>#VALUE!</v>
      </c>
    </row>
    <row r="103" spans="1:136" ht="15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1"/>
        <v>TVSUS303-5x3-H7B13</v>
      </c>
      <c r="H103" s="46" t="str">
        <f t="shared" si="132"/>
        <v>SUS303TV50DH7</v>
      </c>
      <c r="I103" s="46" t="str">
        <f t="shared" si="133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4"/>
        <v>2</v>
      </c>
      <c r="T103" s="51">
        <v>0</v>
      </c>
      <c r="U103" s="92"/>
      <c r="V103" s="100">
        <v>0.1</v>
      </c>
      <c r="W103" s="93">
        <f t="shared" si="113"/>
        <v>0</v>
      </c>
      <c r="X103" s="93">
        <f t="shared" si="114"/>
        <v>0</v>
      </c>
      <c r="Y103" s="93">
        <f t="shared" si="115"/>
        <v>0</v>
      </c>
      <c r="Z103" s="93">
        <f t="shared" si="116"/>
        <v>0</v>
      </c>
      <c r="AA103" s="93">
        <f t="shared" si="117"/>
        <v>0</v>
      </c>
      <c r="AB103" s="93">
        <f t="shared" si="118"/>
        <v>0</v>
      </c>
      <c r="AC103" s="93">
        <f t="shared" si="119"/>
        <v>0</v>
      </c>
      <c r="AD103" s="93">
        <f t="shared" si="120"/>
        <v>0</v>
      </c>
      <c r="AE103" s="93">
        <f t="shared" si="135"/>
        <v>0</v>
      </c>
      <c r="AF103" s="54">
        <f t="shared" si="136"/>
        <v>0</v>
      </c>
      <c r="AG103" s="94">
        <f t="shared" si="162"/>
        <v>0</v>
      </c>
      <c r="AH103" s="56">
        <f t="shared" si="137"/>
        <v>0</v>
      </c>
      <c r="AI103" s="93"/>
      <c r="AJ103" s="93">
        <f t="shared" si="163"/>
        <v>0</v>
      </c>
      <c r="AK103" s="95">
        <f t="shared" ref="AK103:AK106" si="189">IF(V103="","",IF(AJ103=0,1,AJ103/$V103/$E103))</f>
        <v>1</v>
      </c>
      <c r="AL103" s="58">
        <f t="shared" si="174"/>
        <v>0</v>
      </c>
      <c r="AM103" s="55">
        <f t="shared" si="164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39"/>
        <v>0</v>
      </c>
      <c r="AV103" s="96">
        <f t="shared" si="139"/>
        <v>0</v>
      </c>
      <c r="AW103" s="96">
        <f t="shared" si="140"/>
        <v>0</v>
      </c>
      <c r="AX103" s="96">
        <f t="shared" si="141"/>
        <v>0</v>
      </c>
      <c r="AY103" s="94">
        <f t="shared" si="165"/>
        <v>0</v>
      </c>
      <c r="AZ103" s="94">
        <f t="shared" si="142"/>
        <v>0</v>
      </c>
      <c r="BA103" s="94">
        <f t="shared" si="171"/>
        <v>0</v>
      </c>
      <c r="BB103" s="97">
        <f t="shared" si="172"/>
        <v>0</v>
      </c>
      <c r="BC103" s="93"/>
      <c r="BD103" s="93">
        <f t="shared" si="143"/>
        <v>0</v>
      </c>
      <c r="BE103" s="95">
        <f t="shared" si="144"/>
        <v>1</v>
      </c>
      <c r="BF103" s="58">
        <f t="shared" si="175"/>
        <v>0</v>
      </c>
      <c r="BG103" s="94">
        <f t="shared" si="145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6"/>
        <v>0</v>
      </c>
      <c r="BP103" s="92">
        <f t="shared" si="166"/>
        <v>0</v>
      </c>
      <c r="BQ103" s="96">
        <f t="shared" si="146"/>
        <v>0</v>
      </c>
      <c r="BR103" s="96">
        <f t="shared" si="147"/>
        <v>0</v>
      </c>
      <c r="BS103" s="96">
        <f t="shared" si="167"/>
        <v>0</v>
      </c>
      <c r="BT103" s="96">
        <f t="shared" si="148"/>
        <v>0</v>
      </c>
      <c r="BU103" s="92">
        <f t="shared" si="121"/>
        <v>0</v>
      </c>
      <c r="BV103" s="98">
        <f t="shared" si="168"/>
        <v>0</v>
      </c>
      <c r="BW103" s="92">
        <f t="shared" si="122"/>
        <v>0</v>
      </c>
      <c r="BX103" s="98">
        <f t="shared" si="149"/>
        <v>0</v>
      </c>
      <c r="BY103" s="61">
        <f t="shared" si="173"/>
        <v>0</v>
      </c>
      <c r="BZ103" s="62">
        <f t="shared" si="150"/>
        <v>0</v>
      </c>
      <c r="CA103" s="98">
        <f t="shared" si="151"/>
        <v>0</v>
      </c>
      <c r="CB103" s="92">
        <f t="shared" si="123"/>
        <v>0</v>
      </c>
      <c r="CC103" s="92">
        <f t="shared" si="123"/>
        <v>0</v>
      </c>
      <c r="CD103" s="92">
        <f t="shared" si="123"/>
        <v>0</v>
      </c>
      <c r="CE103" s="99"/>
      <c r="CF103" s="99"/>
      <c r="CG103" s="51">
        <f t="shared" si="152"/>
        <v>0</v>
      </c>
      <c r="CH103" s="62">
        <f t="shared" si="153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88"/>
        <v>0</v>
      </c>
      <c r="CR103" s="102">
        <f t="shared" si="188"/>
        <v>0</v>
      </c>
      <c r="CS103" s="102">
        <f t="shared" si="188"/>
        <v>0</v>
      </c>
      <c r="CT103" s="92">
        <f t="shared" si="154"/>
        <v>0</v>
      </c>
      <c r="CU103" s="92">
        <f t="shared" si="101"/>
        <v>0</v>
      </c>
      <c r="CV103" s="103">
        <f t="shared" si="101"/>
        <v>0</v>
      </c>
      <c r="CW103" s="104"/>
      <c r="CX103" s="105">
        <v>90</v>
      </c>
      <c r="CY103" s="106">
        <f t="shared" si="155"/>
        <v>476</v>
      </c>
      <c r="CZ103" s="106">
        <f t="shared" si="156"/>
        <v>729</v>
      </c>
      <c r="DA103" s="106"/>
      <c r="DB103" s="106"/>
      <c r="DC103" s="105"/>
      <c r="DD103" s="107"/>
      <c r="DE103" s="92">
        <f t="shared" si="124"/>
        <v>0</v>
      </c>
      <c r="DF103" s="108">
        <f t="shared" si="125"/>
        <v>0</v>
      </c>
      <c r="DG103" s="115">
        <f t="shared" si="126"/>
        <v>0</v>
      </c>
      <c r="DH103" s="110">
        <f t="shared" si="127"/>
        <v>0</v>
      </c>
      <c r="DI103" s="108">
        <f t="shared" si="128"/>
        <v>0</v>
      </c>
      <c r="DJ103" s="112">
        <f t="shared" si="129"/>
        <v>0</v>
      </c>
      <c r="DK103" s="110">
        <f t="shared" si="181"/>
        <v>0</v>
      </c>
      <c r="DL103" s="108">
        <f t="shared" si="181"/>
        <v>0</v>
      </c>
      <c r="DM103" s="111">
        <f t="shared" si="181"/>
        <v>0</v>
      </c>
      <c r="DN103" s="76">
        <f t="shared" si="182"/>
        <v>0</v>
      </c>
      <c r="DO103" s="76">
        <f t="shared" si="182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7"/>
        <v>0</v>
      </c>
      <c r="DX103" s="81">
        <f t="shared" si="130"/>
        <v>0</v>
      </c>
      <c r="DY103" s="80">
        <f t="shared" si="158"/>
        <v>0</v>
      </c>
      <c r="DZ103" s="82">
        <f t="shared" si="159"/>
        <v>0</v>
      </c>
      <c r="EA103" s="82">
        <f t="shared" si="160"/>
        <v>0</v>
      </c>
      <c r="EB103" s="82">
        <f t="shared" si="161"/>
        <v>0</v>
      </c>
      <c r="EC103" s="82">
        <f t="shared" si="178"/>
        <v>0</v>
      </c>
      <c r="EF103" s="83">
        <f t="shared" ref="EF103:EF106" si="190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1"/>
        <v>TVSUS303-6x2.5-H9A14</v>
      </c>
      <c r="H104" s="46" t="str">
        <f t="shared" si="132"/>
        <v>SUS303TV60DH9</v>
      </c>
      <c r="I104" s="46" t="str">
        <f t="shared" si="133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4"/>
        <v>20</v>
      </c>
      <c r="T104" s="51"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4"/>
        <v>0</v>
      </c>
      <c r="Y104" s="93">
        <f t="shared" si="115"/>
        <v>0</v>
      </c>
      <c r="Z104" s="93">
        <f t="shared" si="116"/>
        <v>0</v>
      </c>
      <c r="AA104" s="93">
        <f t="shared" si="117"/>
        <v>0</v>
      </c>
      <c r="AB104" s="93">
        <f t="shared" si="118"/>
        <v>0</v>
      </c>
      <c r="AC104" s="93">
        <f t="shared" si="119"/>
        <v>0</v>
      </c>
      <c r="AD104" s="93">
        <f t="shared" si="120"/>
        <v>0</v>
      </c>
      <c r="AE104" s="93">
        <f t="shared" si="135"/>
        <v>0</v>
      </c>
      <c r="AF104" s="54">
        <f t="shared" si="136"/>
        <v>0</v>
      </c>
      <c r="AG104" s="94">
        <f t="shared" si="162"/>
        <v>18</v>
      </c>
      <c r="AH104" s="56">
        <f t="shared" si="137"/>
        <v>0</v>
      </c>
      <c r="AI104" s="93"/>
      <c r="AJ104" s="93">
        <f t="shared" si="163"/>
        <v>0</v>
      </c>
      <c r="AK104" s="95">
        <f t="shared" si="189"/>
        <v>1</v>
      </c>
      <c r="AL104" s="58">
        <f t="shared" si="174"/>
        <v>0</v>
      </c>
      <c r="AM104" s="55">
        <f t="shared" si="164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39"/>
        <v>0</v>
      </c>
      <c r="AV104" s="96">
        <f t="shared" si="139"/>
        <v>0</v>
      </c>
      <c r="AW104" s="96">
        <f t="shared" si="140"/>
        <v>0</v>
      </c>
      <c r="AX104" s="96">
        <f t="shared" si="141"/>
        <v>0</v>
      </c>
      <c r="AY104" s="94">
        <f t="shared" si="165"/>
        <v>0</v>
      </c>
      <c r="AZ104" s="94">
        <f t="shared" si="142"/>
        <v>0</v>
      </c>
      <c r="BA104" s="94">
        <f t="shared" si="171"/>
        <v>18</v>
      </c>
      <c r="BB104" s="97">
        <f t="shared" si="172"/>
        <v>0</v>
      </c>
      <c r="BC104" s="93"/>
      <c r="BD104" s="93">
        <f t="shared" si="143"/>
        <v>0</v>
      </c>
      <c r="BE104" s="95">
        <f t="shared" si="144"/>
        <v>1</v>
      </c>
      <c r="BF104" s="58">
        <f t="shared" si="175"/>
        <v>0</v>
      </c>
      <c r="BG104" s="94">
        <f t="shared" si="145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91">CO104</f>
        <v>0</v>
      </c>
      <c r="BP104" s="92">
        <f t="shared" si="191"/>
        <v>0</v>
      </c>
      <c r="BQ104" s="96">
        <f t="shared" si="146"/>
        <v>0</v>
      </c>
      <c r="BR104" s="96">
        <f t="shared" si="147"/>
        <v>0</v>
      </c>
      <c r="BS104" s="96">
        <f t="shared" si="167"/>
        <v>0</v>
      </c>
      <c r="BT104" s="96">
        <f t="shared" si="148"/>
        <v>0</v>
      </c>
      <c r="BU104" s="92">
        <f t="shared" si="121"/>
        <v>0</v>
      </c>
      <c r="BV104" s="98">
        <f t="shared" si="168"/>
        <v>0</v>
      </c>
      <c r="BW104" s="92">
        <f t="shared" si="122"/>
        <v>0</v>
      </c>
      <c r="BX104" s="98">
        <f t="shared" si="149"/>
        <v>0</v>
      </c>
      <c r="BY104" s="61">
        <f t="shared" si="173"/>
        <v>0</v>
      </c>
      <c r="BZ104" s="62">
        <f t="shared" si="150"/>
        <v>0</v>
      </c>
      <c r="CA104" s="98">
        <f t="shared" si="151"/>
        <v>0</v>
      </c>
      <c r="CB104" s="92">
        <f t="shared" si="123"/>
        <v>0</v>
      </c>
      <c r="CC104" s="92">
        <f t="shared" si="123"/>
        <v>0</v>
      </c>
      <c r="CD104" s="92">
        <f t="shared" si="123"/>
        <v>0</v>
      </c>
      <c r="CE104" s="99"/>
      <c r="CF104" s="99"/>
      <c r="CG104" s="51">
        <f t="shared" si="152"/>
        <v>0</v>
      </c>
      <c r="CH104" s="62">
        <f t="shared" si="153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88"/>
        <v>0</v>
      </c>
      <c r="CR104" s="102">
        <f t="shared" si="188"/>
        <v>0</v>
      </c>
      <c r="CS104" s="102">
        <f t="shared" si="188"/>
        <v>0</v>
      </c>
      <c r="CT104" s="92">
        <f t="shared" si="154"/>
        <v>0</v>
      </c>
      <c r="CU104" s="92">
        <f t="shared" ref="CU104:CV106" si="192">INT(IFERROR( AC104-CR104,0))</f>
        <v>0</v>
      </c>
      <c r="CV104" s="103">
        <f t="shared" si="192"/>
        <v>0</v>
      </c>
      <c r="CW104" s="178"/>
      <c r="CX104" s="179">
        <v>70</v>
      </c>
      <c r="CY104" s="180">
        <f t="shared" si="155"/>
        <v>570</v>
      </c>
      <c r="CZ104" s="180">
        <f t="shared" si="156"/>
        <v>567</v>
      </c>
      <c r="DA104" s="181"/>
      <c r="DB104" s="181"/>
      <c r="DC104" s="179"/>
      <c r="DD104" s="182"/>
      <c r="DE104" s="92">
        <f t="shared" si="124"/>
        <v>0</v>
      </c>
      <c r="DF104" s="108">
        <f t="shared" si="125"/>
        <v>0</v>
      </c>
      <c r="DG104" s="115">
        <f t="shared" si="126"/>
        <v>0</v>
      </c>
      <c r="DH104" s="110">
        <f t="shared" si="127"/>
        <v>0</v>
      </c>
      <c r="DI104" s="108">
        <f t="shared" si="128"/>
        <v>0</v>
      </c>
      <c r="DJ104" s="112">
        <f t="shared" si="129"/>
        <v>0</v>
      </c>
      <c r="DK104" s="110">
        <f t="shared" si="181"/>
        <v>0</v>
      </c>
      <c r="DL104" s="108">
        <f t="shared" si="181"/>
        <v>0</v>
      </c>
      <c r="DM104" s="111">
        <f t="shared" si="181"/>
        <v>0</v>
      </c>
      <c r="DN104" s="76">
        <f t="shared" si="182"/>
        <v>18</v>
      </c>
      <c r="DO104" s="76">
        <f t="shared" si="182"/>
        <v>0</v>
      </c>
      <c r="DP104" s="183"/>
      <c r="DQ104" s="183"/>
      <c r="DR104" s="184" t="s">
        <v>401</v>
      </c>
      <c r="DS104" s="183"/>
      <c r="DT104" s="183"/>
      <c r="DU104" s="185"/>
      <c r="DV104" s="186"/>
      <c r="DW104" s="80">
        <f t="shared" si="157"/>
        <v>0</v>
      </c>
      <c r="DX104" s="81">
        <f t="shared" si="130"/>
        <v>0</v>
      </c>
      <c r="DY104" s="80">
        <f t="shared" si="158"/>
        <v>0</v>
      </c>
      <c r="DZ104" s="82">
        <f t="shared" si="159"/>
        <v>0</v>
      </c>
      <c r="EA104" s="82">
        <f t="shared" si="160"/>
        <v>0</v>
      </c>
      <c r="EB104" s="82">
        <f t="shared" si="161"/>
        <v>0</v>
      </c>
      <c r="EC104" s="82">
        <f t="shared" si="178"/>
        <v>0</v>
      </c>
      <c r="EF104" s="83">
        <f t="shared" si="190"/>
        <v>0</v>
      </c>
    </row>
    <row r="105" spans="1:136" ht="14.1" customHeight="1">
      <c r="A105" s="84">
        <v>98</v>
      </c>
      <c r="B105" s="187" t="s">
        <v>402</v>
      </c>
      <c r="C105" s="86"/>
      <c r="D105" s="188" t="s">
        <v>403</v>
      </c>
      <c r="E105" s="189">
        <v>66</v>
      </c>
      <c r="F105" s="190" t="s">
        <v>147</v>
      </c>
      <c r="G105" s="191" t="str">
        <f t="shared" si="131"/>
        <v>TV12L14-H17x3-H11A14</v>
      </c>
      <c r="H105" s="191" t="str">
        <f t="shared" si="132"/>
        <v>12L14TV170HH11</v>
      </c>
      <c r="I105" s="191" t="str">
        <f t="shared" si="133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4"/>
        <v>16</v>
      </c>
      <c r="T105" s="51">
        <v>0</v>
      </c>
      <c r="U105" s="194"/>
      <c r="V105" s="195">
        <v>60.8</v>
      </c>
      <c r="W105" s="196">
        <f>IF(V105="","",INT((AO105+BI105)/$V105))</f>
        <v>0</v>
      </c>
      <c r="X105" s="196">
        <f t="shared" si="114"/>
        <v>0</v>
      </c>
      <c r="Y105" s="196">
        <f t="shared" si="115"/>
        <v>0</v>
      </c>
      <c r="Z105" s="196">
        <f t="shared" si="116"/>
        <v>0</v>
      </c>
      <c r="AA105" s="196">
        <f t="shared" si="117"/>
        <v>0</v>
      </c>
      <c r="AB105" s="196">
        <f t="shared" si="118"/>
        <v>0</v>
      </c>
      <c r="AC105" s="196">
        <f t="shared" si="119"/>
        <v>0</v>
      </c>
      <c r="AD105" s="196">
        <f t="shared" si="120"/>
        <v>0</v>
      </c>
      <c r="AE105" s="196">
        <f t="shared" si="135"/>
        <v>0</v>
      </c>
      <c r="AF105" s="54">
        <f t="shared" si="136"/>
        <v>0</v>
      </c>
      <c r="AG105" s="94">
        <f t="shared" si="162"/>
        <v>0</v>
      </c>
      <c r="AH105" s="56">
        <f t="shared" si="137"/>
        <v>0</v>
      </c>
      <c r="AI105" s="196"/>
      <c r="AJ105" s="93">
        <f t="shared" si="163"/>
        <v>0</v>
      </c>
      <c r="AK105" s="197">
        <f t="shared" si="189"/>
        <v>1</v>
      </c>
      <c r="AL105" s="58">
        <f t="shared" si="174"/>
        <v>0</v>
      </c>
      <c r="AM105" s="55">
        <f t="shared" si="164"/>
        <v>0</v>
      </c>
      <c r="AN105" s="196"/>
      <c r="AO105" s="198"/>
      <c r="AP105" s="198"/>
      <c r="AQ105" s="198"/>
      <c r="AR105" s="198"/>
      <c r="AS105" s="198">
        <f>$CJ105</f>
        <v>0</v>
      </c>
      <c r="AT105" s="198"/>
      <c r="AU105" s="198">
        <f t="shared" si="139"/>
        <v>0</v>
      </c>
      <c r="AV105" s="198">
        <f t="shared" si="139"/>
        <v>0</v>
      </c>
      <c r="AW105" s="198">
        <f t="shared" si="140"/>
        <v>0</v>
      </c>
      <c r="AX105" s="198">
        <f t="shared" si="141"/>
        <v>0</v>
      </c>
      <c r="AY105" s="199">
        <f t="shared" si="165"/>
        <v>0</v>
      </c>
      <c r="AZ105" s="199">
        <f t="shared" si="142"/>
        <v>0</v>
      </c>
      <c r="BA105" s="94">
        <f t="shared" si="171"/>
        <v>0</v>
      </c>
      <c r="BB105" s="200">
        <f t="shared" si="172"/>
        <v>0</v>
      </c>
      <c r="BC105" s="196"/>
      <c r="BD105" s="93">
        <f t="shared" si="143"/>
        <v>0</v>
      </c>
      <c r="BE105" s="197">
        <f t="shared" si="144"/>
        <v>1</v>
      </c>
      <c r="BF105" s="58">
        <f t="shared" si="175"/>
        <v>0</v>
      </c>
      <c r="BG105" s="94">
        <f t="shared" si="145"/>
        <v>0</v>
      </c>
      <c r="BH105" s="190"/>
      <c r="BI105" s="194"/>
      <c r="BJ105" s="194">
        <f>$CN105</f>
        <v>0</v>
      </c>
      <c r="BK105" s="190"/>
      <c r="BL105" s="190"/>
      <c r="BM105" s="190"/>
      <c r="BN105" s="194"/>
      <c r="BO105" s="194">
        <f t="shared" si="191"/>
        <v>0</v>
      </c>
      <c r="BP105" s="194">
        <f t="shared" si="191"/>
        <v>0</v>
      </c>
      <c r="BQ105" s="198">
        <f t="shared" si="146"/>
        <v>0</v>
      </c>
      <c r="BR105" s="198">
        <f t="shared" si="147"/>
        <v>0</v>
      </c>
      <c r="BS105" s="198">
        <f t="shared" si="167"/>
        <v>0</v>
      </c>
      <c r="BT105" s="198">
        <f t="shared" si="148"/>
        <v>0</v>
      </c>
      <c r="BU105" s="194">
        <f t="shared" si="121"/>
        <v>0</v>
      </c>
      <c r="BV105" s="201">
        <f t="shared" si="168"/>
        <v>0</v>
      </c>
      <c r="BW105" s="194">
        <f t="shared" si="122"/>
        <v>0</v>
      </c>
      <c r="BX105" s="201">
        <f t="shared" si="149"/>
        <v>0</v>
      </c>
      <c r="BY105" s="51">
        <f t="shared" si="173"/>
        <v>0</v>
      </c>
      <c r="BZ105" s="62">
        <f t="shared" si="150"/>
        <v>0</v>
      </c>
      <c r="CA105" s="201">
        <f t="shared" si="151"/>
        <v>0</v>
      </c>
      <c r="CB105" s="194">
        <f t="shared" si="123"/>
        <v>0</v>
      </c>
      <c r="CC105" s="194">
        <f t="shared" si="123"/>
        <v>0</v>
      </c>
      <c r="CD105" s="194">
        <f t="shared" si="123"/>
        <v>0</v>
      </c>
      <c r="CE105" s="202"/>
      <c r="CF105" s="202"/>
      <c r="CG105" s="51">
        <f t="shared" si="152"/>
        <v>0</v>
      </c>
      <c r="CH105" s="62">
        <f t="shared" si="153"/>
        <v>0</v>
      </c>
      <c r="CI105" s="190"/>
      <c r="CJ105" s="190"/>
      <c r="CK105" s="190"/>
      <c r="CL105" s="198"/>
      <c r="CM105" s="190"/>
      <c r="CN105" s="190"/>
      <c r="CO105" s="190"/>
      <c r="CP105" s="190"/>
      <c r="CQ105" s="203">
        <f t="shared" si="188"/>
        <v>0</v>
      </c>
      <c r="CR105" s="203">
        <f t="shared" si="188"/>
        <v>0</v>
      </c>
      <c r="CS105" s="203">
        <f t="shared" si="188"/>
        <v>0</v>
      </c>
      <c r="CT105" s="194">
        <f t="shared" si="154"/>
        <v>0</v>
      </c>
      <c r="CU105" s="194">
        <f t="shared" si="192"/>
        <v>0</v>
      </c>
      <c r="CV105" s="204">
        <f t="shared" si="192"/>
        <v>0</v>
      </c>
      <c r="CW105" s="205"/>
      <c r="CX105" s="206">
        <v>81</v>
      </c>
      <c r="CY105" s="207">
        <f t="shared" si="155"/>
        <v>500</v>
      </c>
      <c r="CZ105" s="207">
        <f t="shared" si="156"/>
        <v>656.1</v>
      </c>
      <c r="DA105" s="207"/>
      <c r="DB105" s="207"/>
      <c r="DC105" s="206"/>
      <c r="DD105" s="208"/>
      <c r="DE105" s="194">
        <f t="shared" si="124"/>
        <v>0</v>
      </c>
      <c r="DF105" s="209">
        <f t="shared" si="125"/>
        <v>0</v>
      </c>
      <c r="DG105" s="115">
        <f t="shared" si="126"/>
        <v>0</v>
      </c>
      <c r="DH105" s="210">
        <f t="shared" si="127"/>
        <v>0</v>
      </c>
      <c r="DI105" s="209">
        <f t="shared" si="128"/>
        <v>0</v>
      </c>
      <c r="DJ105" s="76">
        <f t="shared" si="129"/>
        <v>0</v>
      </c>
      <c r="DK105" s="210">
        <f t="shared" si="181"/>
        <v>0</v>
      </c>
      <c r="DL105" s="209">
        <f t="shared" si="181"/>
        <v>0</v>
      </c>
      <c r="DM105" s="211">
        <f t="shared" si="181"/>
        <v>0</v>
      </c>
      <c r="DN105" s="212">
        <f t="shared" si="182"/>
        <v>0</v>
      </c>
      <c r="DO105" s="212">
        <f t="shared" si="182"/>
        <v>0</v>
      </c>
      <c r="DP105" s="212"/>
      <c r="DQ105" s="212"/>
      <c r="DR105" s="213"/>
      <c r="DS105" s="212"/>
      <c r="DT105" s="212"/>
      <c r="DU105" s="214"/>
      <c r="DV105" s="215"/>
      <c r="DW105" s="80">
        <f t="shared" si="157"/>
        <v>0</v>
      </c>
      <c r="DX105" s="81">
        <f t="shared" si="130"/>
        <v>0</v>
      </c>
      <c r="DY105" s="80">
        <f t="shared" si="158"/>
        <v>0</v>
      </c>
      <c r="DZ105" s="82">
        <f t="shared" si="159"/>
        <v>0</v>
      </c>
      <c r="EA105" s="82">
        <f t="shared" si="160"/>
        <v>0</v>
      </c>
      <c r="EB105" s="82">
        <f t="shared" si="161"/>
        <v>0</v>
      </c>
      <c r="EC105" s="82">
        <f t="shared" si="178"/>
        <v>0</v>
      </c>
      <c r="EF105" s="83">
        <f t="shared" si="190"/>
        <v>0</v>
      </c>
    </row>
    <row r="106" spans="1:136" ht="14.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1"/>
        <v>SSSUS316L-T2.2x0.78x2.5-H9A08</v>
      </c>
      <c r="H106" s="219" t="str">
        <f t="shared" si="132"/>
        <v>SUS316LSS2.20.78TH9</v>
      </c>
      <c r="I106" s="219" t="str">
        <f t="shared" si="133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4"/>
        <v>10</v>
      </c>
      <c r="T106" s="51">
        <v>0</v>
      </c>
      <c r="U106" s="222"/>
      <c r="V106" s="223">
        <v>7.2999999999999995E-2</v>
      </c>
      <c r="W106" s="224">
        <f>IF(V106="","",INT((AO106+BI106)/$V106))</f>
        <v>0</v>
      </c>
      <c r="X106" s="224">
        <f t="shared" si="114"/>
        <v>0</v>
      </c>
      <c r="Y106" s="224">
        <f t="shared" si="115"/>
        <v>0</v>
      </c>
      <c r="Z106" s="224">
        <f t="shared" si="116"/>
        <v>0</v>
      </c>
      <c r="AA106" s="224">
        <f t="shared" si="117"/>
        <v>0</v>
      </c>
      <c r="AB106" s="224">
        <f t="shared" si="118"/>
        <v>0</v>
      </c>
      <c r="AC106" s="224">
        <f t="shared" si="119"/>
        <v>0</v>
      </c>
      <c r="AD106" s="224">
        <f t="shared" si="120"/>
        <v>0</v>
      </c>
      <c r="AE106" s="224">
        <f t="shared" si="135"/>
        <v>0</v>
      </c>
      <c r="AF106" s="54">
        <f t="shared" si="136"/>
        <v>0</v>
      </c>
      <c r="AG106" s="94">
        <f t="shared" si="162"/>
        <v>0</v>
      </c>
      <c r="AH106" s="56">
        <f t="shared" si="137"/>
        <v>0</v>
      </c>
      <c r="AI106" s="224"/>
      <c r="AJ106" s="93">
        <f t="shared" si="163"/>
        <v>0</v>
      </c>
      <c r="AK106" s="225">
        <f t="shared" si="189"/>
        <v>1</v>
      </c>
      <c r="AL106" s="58">
        <f t="shared" si="174"/>
        <v>0</v>
      </c>
      <c r="AM106" s="55">
        <f t="shared" si="164"/>
        <v>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39"/>
        <v>0</v>
      </c>
      <c r="AV106" s="226">
        <f t="shared" si="139"/>
        <v>0</v>
      </c>
      <c r="AW106" s="226">
        <f t="shared" si="140"/>
        <v>0</v>
      </c>
      <c r="AX106" s="226">
        <f t="shared" si="141"/>
        <v>0</v>
      </c>
      <c r="AY106" s="227">
        <f t="shared" si="165"/>
        <v>0</v>
      </c>
      <c r="AZ106" s="227">
        <f t="shared" si="142"/>
        <v>0</v>
      </c>
      <c r="BA106" s="94">
        <f t="shared" si="171"/>
        <v>0</v>
      </c>
      <c r="BB106" s="228">
        <f t="shared" si="172"/>
        <v>0</v>
      </c>
      <c r="BC106" s="224"/>
      <c r="BD106" s="93">
        <f t="shared" si="143"/>
        <v>0</v>
      </c>
      <c r="BE106" s="225">
        <f t="shared" si="144"/>
        <v>1</v>
      </c>
      <c r="BF106" s="58">
        <f t="shared" si="175"/>
        <v>0</v>
      </c>
      <c r="BG106" s="94">
        <f t="shared" si="145"/>
        <v>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91"/>
        <v>0</v>
      </c>
      <c r="BP106" s="222">
        <f t="shared" si="191"/>
        <v>0</v>
      </c>
      <c r="BQ106" s="226">
        <f t="shared" si="146"/>
        <v>0</v>
      </c>
      <c r="BR106" s="226">
        <f t="shared" si="147"/>
        <v>0</v>
      </c>
      <c r="BS106" s="226">
        <f t="shared" si="167"/>
        <v>0</v>
      </c>
      <c r="BT106" s="226">
        <f t="shared" si="148"/>
        <v>0</v>
      </c>
      <c r="BU106" s="222">
        <f t="shared" si="121"/>
        <v>0</v>
      </c>
      <c r="BV106" s="229">
        <f t="shared" si="168"/>
        <v>0</v>
      </c>
      <c r="BW106" s="222">
        <f t="shared" si="122"/>
        <v>0</v>
      </c>
      <c r="BX106" s="229" t="str">
        <f t="shared" si="149"/>
        <v/>
      </c>
      <c r="BY106" s="229">
        <f t="shared" si="173"/>
        <v>0</v>
      </c>
      <c r="BZ106" s="62">
        <f t="shared" si="150"/>
        <v>0</v>
      </c>
      <c r="CA106" s="229">
        <f t="shared" si="151"/>
        <v>0</v>
      </c>
      <c r="CB106" s="222">
        <f t="shared" si="123"/>
        <v>0</v>
      </c>
      <c r="CC106" s="222">
        <f t="shared" si="123"/>
        <v>0</v>
      </c>
      <c r="CD106" s="222">
        <f t="shared" si="123"/>
        <v>0</v>
      </c>
      <c r="CE106" s="230"/>
      <c r="CF106" s="230"/>
      <c r="CG106" s="229">
        <f t="shared" si="152"/>
        <v>0</v>
      </c>
      <c r="CH106" s="62">
        <f t="shared" si="153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88"/>
        <v>0</v>
      </c>
      <c r="CR106" s="222">
        <f t="shared" si="188"/>
        <v>0</v>
      </c>
      <c r="CS106" s="222">
        <f t="shared" si="188"/>
        <v>0</v>
      </c>
      <c r="CT106" s="222">
        <f t="shared" si="154"/>
        <v>0</v>
      </c>
      <c r="CU106" s="222">
        <f t="shared" si="192"/>
        <v>0</v>
      </c>
      <c r="CV106" s="222">
        <f t="shared" si="192"/>
        <v>0</v>
      </c>
      <c r="CW106" s="218"/>
      <c r="CX106" s="218">
        <v>43</v>
      </c>
      <c r="CY106" s="222">
        <f t="shared" si="155"/>
        <v>962</v>
      </c>
      <c r="CZ106" s="222">
        <f t="shared" si="156"/>
        <v>348.3</v>
      </c>
      <c r="DA106" s="222"/>
      <c r="DB106" s="222"/>
      <c r="DC106" s="218"/>
      <c r="DD106" s="218"/>
      <c r="DE106" s="222">
        <f t="shared" si="124"/>
        <v>0</v>
      </c>
      <c r="DF106" s="231">
        <f t="shared" si="125"/>
        <v>0</v>
      </c>
      <c r="DG106" s="115">
        <f t="shared" si="126"/>
        <v>0</v>
      </c>
      <c r="DH106" s="232">
        <f t="shared" si="127"/>
        <v>0</v>
      </c>
      <c r="DI106" s="231">
        <f t="shared" si="128"/>
        <v>0</v>
      </c>
      <c r="DJ106" s="183">
        <f t="shared" si="129"/>
        <v>0</v>
      </c>
      <c r="DK106" s="232">
        <f t="shared" si="181"/>
        <v>0</v>
      </c>
      <c r="DL106" s="231">
        <f t="shared" si="181"/>
        <v>0</v>
      </c>
      <c r="DM106" s="183">
        <f t="shared" si="181"/>
        <v>0</v>
      </c>
      <c r="DN106" s="76">
        <f t="shared" si="182"/>
        <v>0</v>
      </c>
      <c r="DO106" s="76">
        <f t="shared" si="182"/>
        <v>0</v>
      </c>
      <c r="DP106" s="183"/>
      <c r="DQ106" s="183"/>
      <c r="DR106" s="184"/>
      <c r="DS106" s="183"/>
      <c r="DT106" s="183"/>
      <c r="DU106" s="183"/>
      <c r="DV106" s="186"/>
      <c r="DW106" s="80">
        <f t="shared" si="157"/>
        <v>0</v>
      </c>
      <c r="DX106" s="81">
        <f t="shared" si="130"/>
        <v>0</v>
      </c>
      <c r="DY106" s="80">
        <f t="shared" si="158"/>
        <v>0</v>
      </c>
      <c r="DZ106" s="82">
        <f t="shared" si="159"/>
        <v>0</v>
      </c>
      <c r="EA106" s="82">
        <f t="shared" si="160"/>
        <v>0</v>
      </c>
      <c r="EB106" s="82" t="e">
        <f t="shared" si="161"/>
        <v>#VALUE!</v>
      </c>
      <c r="EC106" s="82" t="e">
        <f t="shared" si="178"/>
        <v>#VALUE!</v>
      </c>
      <c r="EF106" s="83">
        <f t="shared" si="190"/>
        <v>0</v>
      </c>
    </row>
    <row r="107" spans="1:136" ht="15" customHeight="1">
      <c r="A107" s="301" t="s">
        <v>407</v>
      </c>
      <c r="B107" s="301"/>
      <c r="C107" s="301"/>
      <c r="D107" s="302"/>
      <c r="AF107" s="54">
        <f t="shared" si="136"/>
        <v>0</v>
      </c>
      <c r="AK107" s="233" t="str">
        <f t="shared" si="138"/>
        <v/>
      </c>
      <c r="AL107" s="58" t="str">
        <f t="shared" si="174"/>
        <v/>
      </c>
      <c r="BZ107" s="62">
        <f t="shared" si="150"/>
        <v>0</v>
      </c>
      <c r="CH107" s="62">
        <f t="shared" si="153"/>
        <v>0</v>
      </c>
    </row>
    <row r="108" spans="1:136" ht="0.75" customHeight="1">
      <c r="X108" s="234"/>
      <c r="AF108" s="54">
        <f t="shared" si="136"/>
        <v>0</v>
      </c>
      <c r="AL108" s="58" t="str">
        <f t="shared" si="174"/>
        <v/>
      </c>
      <c r="BZ108" s="62">
        <f t="shared" si="150"/>
        <v>0</v>
      </c>
      <c r="CH108" s="62">
        <f t="shared" si="153"/>
        <v>0</v>
      </c>
    </row>
    <row r="109" spans="1:136">
      <c r="AF109" s="235"/>
      <c r="BZ109" s="62"/>
      <c r="CH109" s="62"/>
    </row>
    <row r="110" spans="1:136">
      <c r="AF110" s="54"/>
    </row>
    <row r="111" spans="1:136">
      <c r="AF111" s="54"/>
    </row>
    <row r="112" spans="1:136">
      <c r="F112" s="218"/>
      <c r="G112" s="219"/>
      <c r="H112" s="219"/>
      <c r="I112" s="219"/>
      <c r="J112" s="220"/>
      <c r="K112" s="220"/>
      <c r="L112" s="220"/>
      <c r="M112" s="220"/>
      <c r="N112" s="220"/>
      <c r="O112" s="220"/>
      <c r="P112" s="220"/>
      <c r="Q112" s="221"/>
      <c r="R112" s="220"/>
    </row>
    <row r="113" spans="6:18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1204.4299999999998</v>
      </c>
      <c r="DO160" s="83">
        <f>SUM(DO8:DO106)</f>
        <v>948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8"/>
    <filterColumn colId="123"/>
    <filterColumn colId="132"/>
  </autoFilter>
  <mergeCells count="162">
    <mergeCell ref="A1:D1"/>
    <mergeCell ref="J1:DT1"/>
    <mergeCell ref="DU1:DV1"/>
    <mergeCell ref="A2:D2"/>
    <mergeCell ref="E2:U2"/>
    <mergeCell ref="CW2:DD2"/>
    <mergeCell ref="DE2:DG2"/>
    <mergeCell ref="DH2:DJ2"/>
    <mergeCell ref="DK2:DM2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</mergeCells>
  <conditionalFormatting sqref="AL8:AL985">
    <cfRule type="cellIs" dxfId="31" priority="3" operator="greaterThan">
      <formula>0</formula>
    </cfRule>
  </conditionalFormatting>
  <conditionalFormatting sqref="BF8:BF985">
    <cfRule type="cellIs" dxfId="30" priority="2" operator="greaterThan">
      <formula>0</formula>
    </cfRule>
  </conditionalFormatting>
  <conditionalFormatting sqref="CI8:CP985">
    <cfRule type="cellIs" dxfId="29" priority="1" operator="greaterThan">
      <formula>0</formula>
    </cfRule>
  </conditionalFormatting>
  <pageMargins left="0.33" right="0.22" top="0.38" bottom="0.4" header="0.31496062992126" footer="0.31496062992126"/>
  <pageSetup paperSize="9" orientation="portrait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EF163"/>
  <sheetViews>
    <sheetView workbookViewId="0">
      <pane xSplit="4" ySplit="7" topLeftCell="E59" activePane="bottomRight" state="frozen"/>
      <selection pane="topRight" activeCell="E1" sqref="E1"/>
      <selection pane="bottomLeft" activeCell="A8" sqref="A8"/>
      <selection pane="bottomRight" activeCell="A93" sqref="A93:XFD93"/>
    </sheetView>
  </sheetViews>
  <sheetFormatPr defaultRowHeight="15"/>
  <cols>
    <col min="1" max="1" width="4.140625" customWidth="1"/>
    <col min="2" max="2" width="6.5703125" customWidth="1"/>
    <col min="3" max="3" width="9.140625" hidden="1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108" width="9.140625" customWidth="1"/>
    <col min="109" max="117" width="9" customWidth="1"/>
    <col min="118" max="118" width="7" customWidth="1"/>
    <col min="119" max="120" width="6.7109375" customWidth="1"/>
    <col min="121" max="121" width="7.42578125" customWidth="1"/>
    <col min="122" max="122" width="12.28515625" customWidth="1"/>
    <col min="123" max="123" width="6.7109375" customWidth="1"/>
    <col min="124" max="124" width="9.140625" customWidth="1"/>
    <col min="125" max="125" width="13.7109375" customWidth="1"/>
    <col min="126" max="126" width="10.7109375" customWidth="1"/>
    <col min="127" max="152" width="9.140625" customWidth="1"/>
  </cols>
  <sheetData>
    <row r="1" spans="1:136" s="3" customFormat="1" ht="27" customHeight="1" thickBot="1">
      <c r="A1" s="402" t="s">
        <v>416</v>
      </c>
      <c r="B1" s="402"/>
      <c r="C1" s="402"/>
      <c r="D1" s="402"/>
      <c r="E1" s="2"/>
      <c r="F1" s="2"/>
      <c r="G1" s="2"/>
      <c r="H1" s="2"/>
      <c r="I1" s="2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1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5" t="s">
        <v>124</v>
      </c>
      <c r="AK6" s="25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5" t="s">
        <v>124</v>
      </c>
      <c r="BE6" s="25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129782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customHeight="1" thickBot="1">
      <c r="A7" s="30"/>
      <c r="D7" s="32"/>
      <c r="Q7" s="33"/>
      <c r="S7" s="31">
        <f>SUMIF(S8:S106,"&gt;0")</f>
        <v>2714</v>
      </c>
      <c r="T7" s="31">
        <f>SUM(T8:T106)</f>
        <v>1499.48</v>
      </c>
      <c r="U7" s="31">
        <f>SUM(U8:U106)</f>
        <v>647</v>
      </c>
      <c r="W7" s="31">
        <f t="shared" ref="W7:AD7" si="0">SUM(W8:W777)</f>
        <v>441</v>
      </c>
      <c r="X7" s="31">
        <f t="shared" si="0"/>
        <v>39919</v>
      </c>
      <c r="Y7" s="31">
        <f t="shared" si="0"/>
        <v>5969</v>
      </c>
      <c r="Z7" s="31">
        <f t="shared" si="0"/>
        <v>10264</v>
      </c>
      <c r="AA7" s="31">
        <f t="shared" si="0"/>
        <v>3510</v>
      </c>
      <c r="AB7" s="31">
        <f t="shared" si="0"/>
        <v>69679</v>
      </c>
      <c r="AC7" s="31">
        <f t="shared" si="0"/>
        <v>0</v>
      </c>
      <c r="AD7" s="31">
        <f t="shared" si="0"/>
        <v>2415</v>
      </c>
      <c r="AE7" s="31">
        <f>SUM(AE8:AE777)</f>
        <v>129782</v>
      </c>
      <c r="AF7" s="31">
        <f>SUM(AF8:AF249)</f>
        <v>248448</v>
      </c>
      <c r="AG7" s="31">
        <f t="shared" ref="AG7:CP7" si="1">SUM(AG8:AG285)</f>
        <v>1499.48</v>
      </c>
      <c r="AH7" s="31">
        <f t="shared" si="1"/>
        <v>2.48</v>
      </c>
      <c r="AI7" s="31">
        <f t="shared" si="1"/>
        <v>345</v>
      </c>
      <c r="AJ7" s="31">
        <f t="shared" si="1"/>
        <v>2826.5</v>
      </c>
      <c r="AK7" s="31">
        <f t="shared" si="1"/>
        <v>93.981997709666942</v>
      </c>
      <c r="AL7" s="34">
        <f>SUM(AL8:AL285)</f>
        <v>342.52000000000004</v>
      </c>
      <c r="AM7" s="31">
        <f t="shared" si="1"/>
        <v>1803.96</v>
      </c>
      <c r="AN7" s="31">
        <f t="shared" si="1"/>
        <v>0</v>
      </c>
      <c r="AO7" s="31">
        <f t="shared" si="1"/>
        <v>7929</v>
      </c>
      <c r="AP7" s="31">
        <f t="shared" si="1"/>
        <v>66565.100000000006</v>
      </c>
      <c r="AQ7" s="31">
        <f t="shared" si="1"/>
        <v>3452</v>
      </c>
      <c r="AR7" s="31">
        <f t="shared" si="1"/>
        <v>308</v>
      </c>
      <c r="AS7" s="31">
        <f t="shared" si="1"/>
        <v>3610</v>
      </c>
      <c r="AT7" s="31">
        <f t="shared" si="1"/>
        <v>12472.513000000001</v>
      </c>
      <c r="AU7" s="31">
        <f t="shared" si="1"/>
        <v>0</v>
      </c>
      <c r="AV7" s="31">
        <f t="shared" si="1"/>
        <v>3126</v>
      </c>
      <c r="AW7" s="31">
        <f t="shared" si="1"/>
        <v>97462.613000000012</v>
      </c>
      <c r="AX7" s="31">
        <f t="shared" si="1"/>
        <v>64196</v>
      </c>
      <c r="AY7" s="31">
        <f t="shared" si="1"/>
        <v>-964.5675999999994</v>
      </c>
      <c r="AZ7" s="31">
        <f t="shared" si="1"/>
        <v>-1005.4959853742282</v>
      </c>
      <c r="BA7" s="31">
        <f t="shared" si="1"/>
        <v>1803.96</v>
      </c>
      <c r="BB7" s="31">
        <f t="shared" si="1"/>
        <v>4.96</v>
      </c>
      <c r="BC7" s="31">
        <f t="shared" si="1"/>
        <v>353</v>
      </c>
      <c r="BD7" s="31">
        <f t="shared" si="1"/>
        <v>1134.549</v>
      </c>
      <c r="BE7" s="31">
        <f t="shared" si="1"/>
        <v>96.310962219249888</v>
      </c>
      <c r="BF7" s="34">
        <f t="shared" si="1"/>
        <v>356.29999999999995</v>
      </c>
      <c r="BG7" s="31">
        <f t="shared" si="1"/>
        <v>1447.6599999999999</v>
      </c>
      <c r="BH7" s="31">
        <f t="shared" si="1"/>
        <v>0</v>
      </c>
      <c r="BI7" s="31">
        <f t="shared" si="1"/>
        <v>7321.25</v>
      </c>
      <c r="BJ7" s="31">
        <f t="shared" si="1"/>
        <v>61407.6</v>
      </c>
      <c r="BK7" s="31">
        <f t="shared" si="1"/>
        <v>3891</v>
      </c>
      <c r="BL7" s="31">
        <f t="shared" si="1"/>
        <v>524</v>
      </c>
      <c r="BM7" s="31">
        <f t="shared" si="1"/>
        <v>4288</v>
      </c>
      <c r="BN7" s="31">
        <f t="shared" si="1"/>
        <v>14061.549000000001</v>
      </c>
      <c r="BO7" s="31">
        <f t="shared" si="1"/>
        <v>0</v>
      </c>
      <c r="BP7" s="31">
        <f t="shared" si="1"/>
        <v>4320</v>
      </c>
      <c r="BQ7" s="31">
        <f t="shared" si="1"/>
        <v>95813.399000000005</v>
      </c>
      <c r="BR7" s="31">
        <f t="shared" si="1"/>
        <v>67988</v>
      </c>
      <c r="BS7" s="31">
        <f t="shared" si="1"/>
        <v>-1625.4303199999995</v>
      </c>
      <c r="BT7" s="31">
        <f t="shared" si="1"/>
        <v>-1406.3936898446295</v>
      </c>
      <c r="BU7" s="31">
        <f t="shared" si="1"/>
        <v>129782</v>
      </c>
      <c r="BV7" s="34">
        <f t="shared" si="1"/>
        <v>698.82</v>
      </c>
      <c r="BW7" s="31">
        <f t="shared" si="1"/>
        <v>-2411.889675218858</v>
      </c>
      <c r="BX7" s="31">
        <f t="shared" si="1"/>
        <v>474.43232999999992</v>
      </c>
      <c r="BY7" s="34">
        <f t="shared" si="1"/>
        <v>698.82</v>
      </c>
      <c r="BZ7" s="35">
        <f t="shared" si="1"/>
        <v>698.82</v>
      </c>
      <c r="CA7" s="31">
        <f t="shared" si="1"/>
        <v>193.27601199999998</v>
      </c>
      <c r="CB7" s="31">
        <f t="shared" si="1"/>
        <v>132184</v>
      </c>
      <c r="CC7" s="31">
        <f t="shared" si="1"/>
        <v>-2589.9979199999989</v>
      </c>
      <c r="CD7" s="31">
        <f t="shared" si="1"/>
        <v>-2411.889675218858</v>
      </c>
      <c r="CE7" s="36">
        <f t="shared" si="1"/>
        <v>0</v>
      </c>
      <c r="CF7" s="36">
        <f t="shared" si="1"/>
        <v>0</v>
      </c>
      <c r="CG7" s="34">
        <f t="shared" si="1"/>
        <v>308.06131800000003</v>
      </c>
      <c r="CH7" s="35">
        <f t="shared" si="1"/>
        <v>308.06131800000003</v>
      </c>
      <c r="CI7" s="31">
        <f t="shared" si="1"/>
        <v>2826.5</v>
      </c>
      <c r="CJ7" s="31">
        <f t="shared" si="1"/>
        <v>94336.613000000012</v>
      </c>
      <c r="CK7" s="31">
        <f t="shared" si="1"/>
        <v>0</v>
      </c>
      <c r="CL7" s="31">
        <f t="shared" si="1"/>
        <v>3126</v>
      </c>
      <c r="CM7" s="31">
        <f t="shared" si="1"/>
        <v>1134.549</v>
      </c>
      <c r="CN7" s="31">
        <f t="shared" si="1"/>
        <v>91493.399000000005</v>
      </c>
      <c r="CO7" s="31">
        <f t="shared" si="1"/>
        <v>0</v>
      </c>
      <c r="CP7" s="31">
        <f t="shared" si="1"/>
        <v>4320</v>
      </c>
      <c r="CQ7" s="31">
        <f t="shared" ref="CQ7:CV7" si="2">SUM(CQ8:CQ777)</f>
        <v>62745</v>
      </c>
      <c r="CR7" s="31">
        <f t="shared" si="2"/>
        <v>0</v>
      </c>
      <c r="CS7" s="31">
        <f t="shared" si="2"/>
        <v>1445</v>
      </c>
      <c r="CT7" s="31">
        <f t="shared" si="2"/>
        <v>67037</v>
      </c>
      <c r="CU7" s="31">
        <f t="shared" si="2"/>
        <v>0</v>
      </c>
      <c r="CV7" s="31">
        <f t="shared" si="2"/>
        <v>970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62745</v>
      </c>
      <c r="DF7" s="38">
        <f t="shared" si="4"/>
        <v>342.52000000000004</v>
      </c>
      <c r="DG7" s="37">
        <f t="shared" si="4"/>
        <v>-1005.4959853742282</v>
      </c>
      <c r="DH7" s="37">
        <f t="shared" si="4"/>
        <v>67037</v>
      </c>
      <c r="DI7" s="38">
        <f t="shared" si="4"/>
        <v>356.29999999999995</v>
      </c>
      <c r="DJ7" s="37">
        <f t="shared" si="4"/>
        <v>-1406.3936898446295</v>
      </c>
      <c r="DK7" s="37">
        <f t="shared" si="4"/>
        <v>129782</v>
      </c>
      <c r="DL7" s="38">
        <f t="shared" si="4"/>
        <v>698.82</v>
      </c>
      <c r="DM7" s="37">
        <f t="shared" si="4"/>
        <v>-2411.889675218858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f>'31.01'!BG8</f>
        <v>25</v>
      </c>
      <c r="U8" s="52"/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0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0</v>
      </c>
      <c r="AE8" s="53">
        <f>IF(V8="","",SUM(W8:AC8))</f>
        <v>0</v>
      </c>
      <c r="AF8" s="54">
        <f>AE8+'31.01'!AF8</f>
        <v>148</v>
      </c>
      <c r="AG8" s="55">
        <f>T8</f>
        <v>25</v>
      </c>
      <c r="AH8" s="56">
        <f t="shared" ref="AH8:AH72" si="13">IFERROR(VALUE("0"&amp;RIGHT(AG8,(LEN(AG8)-LEN(TRUNC(AG8))))),"")</f>
        <v>0</v>
      </c>
      <c r="AI8" s="53"/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0</v>
      </c>
      <c r="AM8" s="55">
        <f>IF(V8="","",AG8+U8-AL8)</f>
        <v>25</v>
      </c>
      <c r="AN8" s="53"/>
      <c r="AO8" s="59"/>
      <c r="AP8" s="59">
        <f t="shared" ref="AP8:AP13" si="14">$CJ8</f>
        <v>0</v>
      </c>
      <c r="AQ8" s="59"/>
      <c r="AR8" s="59"/>
      <c r="AS8" s="59"/>
      <c r="AT8" s="59"/>
      <c r="AU8" s="59">
        <f>CK8</f>
        <v>0</v>
      </c>
      <c r="AV8" s="59">
        <f>CL8</f>
        <v>0</v>
      </c>
      <c r="AW8" s="59">
        <f>SUM(AO8:AV8)</f>
        <v>0</v>
      </c>
      <c r="AX8" s="59">
        <f>IF(V8="","",INT(AW8/$V8))</f>
        <v>0</v>
      </c>
      <c r="AY8" s="55">
        <f>IF(V8="","",AW8-AL8*$E8*$V8)</f>
        <v>0</v>
      </c>
      <c r="AZ8" s="59">
        <f>IF($V8="","",AY8/$V8)</f>
        <v>0</v>
      </c>
      <c r="BA8" s="55">
        <f>AM8</f>
        <v>25</v>
      </c>
      <c r="BB8" s="60">
        <f>VALUE("0"&amp;RIGHT(BA8,(LEN(BA8)-LEN(TRUNC(BA8)))))</f>
        <v>0</v>
      </c>
      <c r="BC8" s="53"/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0</v>
      </c>
      <c r="BG8" s="55">
        <f>IF(AA8="","",BA8-BF8)</f>
        <v>25</v>
      </c>
      <c r="BH8" s="44"/>
      <c r="BI8" s="44"/>
      <c r="BJ8" s="52">
        <f t="shared" ref="BJ8:BJ13" si="15">$CN8</f>
        <v>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0</v>
      </c>
      <c r="BR8" s="59">
        <f>IF(AA8="","",INT(BQ8/$V8))</f>
        <v>0</v>
      </c>
      <c r="BS8" s="59">
        <f>IF(AA8="","",-BF8*$E8*$V8+BQ8)</f>
        <v>0</v>
      </c>
      <c r="BT8" s="59">
        <f>IF($V8="","",BS8/$V8)</f>
        <v>0</v>
      </c>
      <c r="BU8" s="52">
        <f t="shared" ref="BU8:BU71" si="16">IFERROR(AE8,"")</f>
        <v>0</v>
      </c>
      <c r="BV8" s="61">
        <f t="shared" ref="BV8:BV73" si="17">IFERROR(BF8+AL8,"")</f>
        <v>0</v>
      </c>
      <c r="BW8" s="52">
        <f t="shared" ref="BW8:BW71" si="18">IFERROR(BT8+AZ8,"")</f>
        <v>0</v>
      </c>
      <c r="BX8" s="61">
        <f>IF($Q8="","",(BF8+AL8)*$Q8)</f>
        <v>0</v>
      </c>
      <c r="BY8" s="61">
        <f>IFERROR(BF8+AL8,0)</f>
        <v>0</v>
      </c>
      <c r="BZ8" s="62">
        <f>BY8</f>
        <v>0</v>
      </c>
      <c r="CA8" s="51">
        <f>IFERROR((BQ8+AW8)/1000,"")</f>
        <v>0</v>
      </c>
      <c r="CB8" s="63">
        <f t="shared" ref="CB8:CD39" si="19">IFERROR(BR8+AX8,"")</f>
        <v>0</v>
      </c>
      <c r="CC8" s="63">
        <f t="shared" si="19"/>
        <v>0</v>
      </c>
      <c r="CD8" s="63">
        <f t="shared" si="19"/>
        <v>0</v>
      </c>
      <c r="CE8" s="64"/>
      <c r="CF8" s="64"/>
      <c r="CG8" s="51">
        <f>IF(BX8="",0,(BX8-CA8)+((AV8+BP8)/1000))</f>
        <v>0</v>
      </c>
      <c r="CH8" s="62">
        <f>CG8</f>
        <v>0</v>
      </c>
      <c r="CI8" s="44"/>
      <c r="CJ8" s="44"/>
      <c r="CK8" s="44"/>
      <c r="CL8" s="59"/>
      <c r="CM8" s="44"/>
      <c r="CN8" s="44"/>
      <c r="CO8" s="52"/>
      <c r="CP8" s="65"/>
      <c r="CQ8" s="66">
        <f>INT(IFERROR( CJ8/$V8,0))</f>
        <v>0</v>
      </c>
      <c r="CR8" s="66">
        <f t="shared" ref="CR8:CS23" si="20">INT(IFERROR( CK8/$V8,0))</f>
        <v>0</v>
      </c>
      <c r="CS8" s="66">
        <f t="shared" si="20"/>
        <v>0</v>
      </c>
      <c r="CT8" s="63">
        <f>INT(IFERROR( AE8-CQ8-CU8-CR8,0))</f>
        <v>0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0</v>
      </c>
      <c r="DF8" s="72">
        <f t="shared" ref="DF8:DF71" si="22">IFERROR(AL8,"")</f>
        <v>0</v>
      </c>
      <c r="DG8" s="73">
        <f t="shared" ref="DG8:DG71" si="23">IFERROR(AZ8,"")</f>
        <v>0</v>
      </c>
      <c r="DH8" s="74">
        <f t="shared" ref="DH8:DH71" si="24">IFERROR(CT8+CU8,"")</f>
        <v>0</v>
      </c>
      <c r="DI8" s="72">
        <f t="shared" ref="DI8:DI71" si="25">IFERROR(BF8,"")</f>
        <v>0</v>
      </c>
      <c r="DJ8" s="73">
        <f t="shared" ref="DJ8:DJ71" si="26">IFERROR(BT8,"")</f>
        <v>0</v>
      </c>
      <c r="DK8" s="74">
        <f t="shared" ref="DK8:DM23" si="27">IFERROR(DE8+DH8,"")</f>
        <v>0</v>
      </c>
      <c r="DL8" s="72">
        <f t="shared" si="27"/>
        <v>0</v>
      </c>
      <c r="DM8" s="75">
        <f t="shared" si="27"/>
        <v>0</v>
      </c>
      <c r="DN8" s="76">
        <f t="shared" ref="DN8:DO25" si="28">T8</f>
        <v>25</v>
      </c>
      <c r="DO8" s="73">
        <f>U8</f>
        <v>0</v>
      </c>
      <c r="DP8" s="77"/>
      <c r="DQ8" s="77"/>
      <c r="DR8" s="78" t="s">
        <v>417</v>
      </c>
      <c r="DS8" s="77"/>
      <c r="DT8" s="77"/>
      <c r="DU8" s="75"/>
      <c r="DV8" s="79"/>
      <c r="DW8" s="80">
        <f>IFERROR(AL8+BC8,"")</f>
        <v>0</v>
      </c>
      <c r="DX8" s="81">
        <f t="shared" ref="DX8:DX71" si="29">IFERROR(DK8+DL8+DM8,"")</f>
        <v>0</v>
      </c>
      <c r="DY8" s="80">
        <f>CQ8+CR8+CS8+CT8+CU8+CV8</f>
        <v>0</v>
      </c>
      <c r="DZ8">
        <f>IFERROR((AD8*V8/1000),0)</f>
        <v>0</v>
      </c>
      <c r="EA8" s="82">
        <f>IFERROR((AE8*V8/1000),0)</f>
        <v>0</v>
      </c>
      <c r="EB8" s="82">
        <f>BX8-EA8</f>
        <v>0</v>
      </c>
      <c r="EC8" s="82">
        <f t="shared" ref="EC8:EC13" si="30">(BX8-CA8)+((AV8+BP8)/1000)</f>
        <v>0</v>
      </c>
      <c r="EF8" s="83">
        <f>DG8+DJ8</f>
        <v>0</v>
      </c>
    </row>
    <row r="9" spans="1:136" ht="15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1">CONCATENATE(K9,J9,"-",IF(N9="D",L9,IF(N9="H",CONCATENATE(N9,L9),CONCATENATE(N9,L9,"x",M9))),"x",P9,"-",O9,R9)</f>
        <v>TV12L14-10x2.5-H9A14</v>
      </c>
      <c r="H9" s="46" t="str">
        <f t="shared" ref="H9:H72" si="32">CONCATENATE(J9,,K9,L9,M9,N9,O9)</f>
        <v>12L14TV100DH9</v>
      </c>
      <c r="I9" s="46" t="str">
        <f t="shared" ref="I9:I72" si="33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4">ROUND(CY9/E9,0)*2</f>
        <v>70</v>
      </c>
      <c r="T9" s="51">
        <f>'31.01'!BG9</f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5">IF(V9="","",SUM(W9:AC9))</f>
        <v>0</v>
      </c>
      <c r="AF9" s="54">
        <f>AE9+'31.01'!AF9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6">IF(V9="","",IF(AJ9=0,1,AJ9/$V9/$E9))</f>
        <v>1</v>
      </c>
      <c r="AL9" s="58">
        <f t="shared" ref="AL9:AL75" si="37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8">CL9</f>
        <v>0</v>
      </c>
      <c r="AW9" s="96">
        <f t="shared" ref="AW9:AW72" si="39">SUM(AO9:AV9)</f>
        <v>0</v>
      </c>
      <c r="AX9" s="96">
        <f t="shared" ref="AX9:AX72" si="40">IF(V9="","",INT(AW9/$V9))</f>
        <v>0</v>
      </c>
      <c r="AY9" s="94">
        <f>IF(V9="","",AW9-AL9*$E9*$V9)</f>
        <v>0</v>
      </c>
      <c r="AZ9" s="94">
        <f t="shared" ref="AZ9:AZ72" si="41">IF($V9="","",AY9/$V9)</f>
        <v>0</v>
      </c>
      <c r="BA9" s="94">
        <f t="shared" ref="BA9:BA74" si="42">AM9</f>
        <v>0</v>
      </c>
      <c r="BB9" s="97">
        <f t="shared" ref="BB9:BB74" si="43">VALUE("0"&amp;RIGHT(BA9,(LEN(BA9)-LEN(TRUNC(BA9)))))</f>
        <v>0</v>
      </c>
      <c r="BC9" s="93"/>
      <c r="BD9" s="93">
        <f t="shared" ref="BD9:BD72" si="44">$CM9</f>
        <v>0</v>
      </c>
      <c r="BE9" s="95">
        <f t="shared" ref="BE9:BE72" si="45">IF(AA9="","",IF(BD9=0,1,BD9/$V9/$E9))</f>
        <v>1</v>
      </c>
      <c r="BF9" s="58">
        <f t="shared" ref="BF9:BF76" si="46">IF(V9="","",MAX(ROUNDUP((IF(BC9+BD9=0,0,BB9)+BC9+BE9-1),2),0))</f>
        <v>0</v>
      </c>
      <c r="BG9" s="94">
        <f t="shared" ref="BG9:BG72" si="47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8">SUM(BI9:BP9)</f>
        <v>0</v>
      </c>
      <c r="BR9" s="96">
        <f t="shared" ref="BR9:BR72" si="49">IF(AA9="","",INT(BQ9/$V9))</f>
        <v>0</v>
      </c>
      <c r="BS9" s="96">
        <f>IF(AA9="","",-BF9*$E9*$V9+BQ9)</f>
        <v>0</v>
      </c>
      <c r="BT9" s="96">
        <f t="shared" ref="BT9:BT72" si="50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1">IF($Q9="","",(BF9+AL9)*$Q9)</f>
        <v>0</v>
      </c>
      <c r="BY9" s="61">
        <f>IFERROR(BF9+AL9,0)</f>
        <v>0</v>
      </c>
      <c r="BZ9" s="62">
        <f t="shared" ref="BZ9:BZ72" si="52">BY9</f>
        <v>0</v>
      </c>
      <c r="CA9" s="98">
        <f t="shared" ref="CA9:CA72" si="53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4">IF(BX9="",0,(BX9-CA9)+((AV9+BP9)/1000))</f>
        <v>0</v>
      </c>
      <c r="CH9" s="62">
        <f t="shared" ref="CH9:CH72" si="55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6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7">INT(IFERROR( AE9-CQ9-CU9-CR9,0))</f>
        <v>0</v>
      </c>
      <c r="CU9" s="92">
        <f t="shared" ref="CU9:CV24" si="58">INT(IFERROR( AC9-CR9,0))</f>
        <v>0</v>
      </c>
      <c r="CV9" s="103">
        <f t="shared" si="58"/>
        <v>0</v>
      </c>
      <c r="CW9" s="104"/>
      <c r="CX9" s="105">
        <v>67</v>
      </c>
      <c r="CY9" s="106">
        <f t="shared" ref="CY9:CY72" si="59">INT(60/CX9*60*(12-(CEILING((60/CX9*60*12)/E9,1)*IF(CW9="T",0.45,IF(CW9="",5,3))/60)))</f>
        <v>282</v>
      </c>
      <c r="CZ9" s="106">
        <f t="shared" ref="CZ9:CZ72" si="60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si="28"/>
        <v>0</v>
      </c>
      <c r="DO9" s="76">
        <f t="shared" si="28"/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1">IFERROR(BU9+BV9,"")</f>
        <v>0</v>
      </c>
      <c r="DX9" s="81">
        <f t="shared" si="29"/>
        <v>0</v>
      </c>
      <c r="DY9" s="80">
        <f t="shared" ref="DY9:DY72" si="62">CQ9+CR9+CS9+CT9+CU9+CV9</f>
        <v>0</v>
      </c>
      <c r="DZ9">
        <f t="shared" ref="DZ9:DZ72" si="63">IFERROR((AD9*V9/1000),0)</f>
        <v>0</v>
      </c>
      <c r="EA9" s="82">
        <f t="shared" ref="EA9:EA72" si="64">IFERROR((AE9*V9/1000),0)</f>
        <v>0</v>
      </c>
      <c r="EB9" s="82">
        <f t="shared" ref="EB9:EB72" si="65">BX9-EA9</f>
        <v>0</v>
      </c>
      <c r="EC9" s="82">
        <f t="shared" si="30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1"/>
        <v>GWA6063-T5-17x3-H9B15</v>
      </c>
      <c r="H10" s="46" t="str">
        <f t="shared" si="32"/>
        <v>A6063-T5GW170DH9</v>
      </c>
      <c r="I10" s="46" t="str">
        <f t="shared" si="33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4"/>
        <v>22</v>
      </c>
      <c r="T10" s="51">
        <f>'31.01'!BG10</f>
        <v>4</v>
      </c>
      <c r="U10" s="92">
        <v>20</v>
      </c>
      <c r="V10" s="89">
        <v>10.1</v>
      </c>
      <c r="W10" s="93">
        <f t="shared" si="5"/>
        <v>0</v>
      </c>
      <c r="X10" s="93">
        <f t="shared" si="6"/>
        <v>1198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27</v>
      </c>
      <c r="AE10" s="93">
        <f t="shared" si="35"/>
        <v>1198</v>
      </c>
      <c r="AF10" s="54">
        <f>AE10+'31.01'!AF10</f>
        <v>2643</v>
      </c>
      <c r="AG10" s="94">
        <f t="shared" ref="AG10:AG73" si="66">T10</f>
        <v>4</v>
      </c>
      <c r="AH10" s="56">
        <f t="shared" si="13"/>
        <v>0</v>
      </c>
      <c r="AI10" s="89">
        <v>9</v>
      </c>
      <c r="AJ10" s="93">
        <f t="shared" ref="AJ10:AJ73" si="67">$CI10</f>
        <v>0</v>
      </c>
      <c r="AK10" s="95">
        <f t="shared" si="36"/>
        <v>1</v>
      </c>
      <c r="AL10" s="58">
        <f t="shared" si="37"/>
        <v>9</v>
      </c>
      <c r="AM10" s="55">
        <f t="shared" ref="AM10:AM73" si="68">IF(V10="","",AG10+U10-AL10)</f>
        <v>15</v>
      </c>
      <c r="AN10" s="93"/>
      <c r="AO10" s="96"/>
      <c r="AP10" s="96">
        <f t="shared" si="14"/>
        <v>6300</v>
      </c>
      <c r="AQ10" s="96"/>
      <c r="AR10" s="96"/>
      <c r="AS10" s="96"/>
      <c r="AT10" s="96"/>
      <c r="AU10" s="96">
        <f t="shared" si="38"/>
        <v>0</v>
      </c>
      <c r="AV10" s="96">
        <f t="shared" si="38"/>
        <v>130</v>
      </c>
      <c r="AW10" s="96">
        <f t="shared" si="39"/>
        <v>6430</v>
      </c>
      <c r="AX10" s="96">
        <f t="shared" si="40"/>
        <v>636</v>
      </c>
      <c r="AY10" s="94">
        <f t="shared" ref="AY10:AY73" si="69">IF(V10="","",AW10-AL10*$E10*$V10)</f>
        <v>67</v>
      </c>
      <c r="AZ10" s="94">
        <f t="shared" si="41"/>
        <v>6.6336633663366342</v>
      </c>
      <c r="BA10" s="94">
        <f t="shared" si="42"/>
        <v>15</v>
      </c>
      <c r="BB10" s="97">
        <f t="shared" si="43"/>
        <v>0</v>
      </c>
      <c r="BC10" s="93">
        <v>8</v>
      </c>
      <c r="BD10" s="93">
        <f t="shared" si="44"/>
        <v>0</v>
      </c>
      <c r="BE10" s="95">
        <f t="shared" si="45"/>
        <v>1</v>
      </c>
      <c r="BF10" s="58">
        <f t="shared" si="46"/>
        <v>8</v>
      </c>
      <c r="BG10" s="94">
        <f t="shared" si="47"/>
        <v>7</v>
      </c>
      <c r="BH10" s="89"/>
      <c r="BI10" s="89"/>
      <c r="BJ10" s="92">
        <f t="shared" si="15"/>
        <v>5800</v>
      </c>
      <c r="BK10" s="89"/>
      <c r="BL10" s="89"/>
      <c r="BM10" s="89"/>
      <c r="BN10" s="89"/>
      <c r="BO10" s="92">
        <f t="shared" ref="BO10:BP73" si="70">CO10</f>
        <v>0</v>
      </c>
      <c r="BP10" s="92">
        <f t="shared" si="70"/>
        <v>146</v>
      </c>
      <c r="BQ10" s="96">
        <f t="shared" si="48"/>
        <v>5946</v>
      </c>
      <c r="BR10" s="96">
        <f t="shared" si="49"/>
        <v>588</v>
      </c>
      <c r="BS10" s="96">
        <f t="shared" ref="BS10:BS73" si="71">IF(AA10="","",-BF10*$E10*$V10+BQ10)</f>
        <v>290</v>
      </c>
      <c r="BT10" s="96">
        <f t="shared" si="50"/>
        <v>28.712871287128714</v>
      </c>
      <c r="BU10" s="92">
        <f t="shared" si="16"/>
        <v>1198</v>
      </c>
      <c r="BV10" s="98">
        <f t="shared" si="17"/>
        <v>17</v>
      </c>
      <c r="BW10" s="92">
        <f t="shared" si="18"/>
        <v>35.346534653465348</v>
      </c>
      <c r="BX10" s="61">
        <f t="shared" si="51"/>
        <v>31.144000000000002</v>
      </c>
      <c r="BY10" s="61">
        <f>IFERROR(BF10+AL10,0)</f>
        <v>17</v>
      </c>
      <c r="BZ10" s="62">
        <f t="shared" si="52"/>
        <v>17</v>
      </c>
      <c r="CA10" s="98">
        <f t="shared" si="53"/>
        <v>12.375999999999999</v>
      </c>
      <c r="CB10" s="92">
        <f t="shared" si="19"/>
        <v>1224</v>
      </c>
      <c r="CC10" s="92">
        <f t="shared" si="19"/>
        <v>357</v>
      </c>
      <c r="CD10" s="92">
        <f t="shared" si="19"/>
        <v>35.346534653465348</v>
      </c>
      <c r="CE10" s="99"/>
      <c r="CF10" s="99"/>
      <c r="CG10" s="51">
        <f t="shared" si="54"/>
        <v>19.044</v>
      </c>
      <c r="CH10" s="62">
        <f t="shared" si="55"/>
        <v>19.044</v>
      </c>
      <c r="CI10" s="89"/>
      <c r="CJ10" s="89">
        <v>6300</v>
      </c>
      <c r="CK10" s="89"/>
      <c r="CL10" s="96">
        <v>130</v>
      </c>
      <c r="CM10" s="89"/>
      <c r="CN10" s="89">
        <v>5800</v>
      </c>
      <c r="CO10" s="92"/>
      <c r="CP10" s="101">
        <v>146</v>
      </c>
      <c r="CQ10" s="102">
        <f t="shared" si="56"/>
        <v>623</v>
      </c>
      <c r="CR10" s="102">
        <f t="shared" si="20"/>
        <v>0</v>
      </c>
      <c r="CS10" s="102">
        <f t="shared" si="20"/>
        <v>12</v>
      </c>
      <c r="CT10" s="92">
        <f t="shared" si="57"/>
        <v>575</v>
      </c>
      <c r="CU10" s="92">
        <f t="shared" si="58"/>
        <v>0</v>
      </c>
      <c r="CV10" s="103">
        <f t="shared" si="58"/>
        <v>15</v>
      </c>
      <c r="CW10" s="104"/>
      <c r="CX10" s="105">
        <v>51</v>
      </c>
      <c r="CY10" s="106">
        <f t="shared" si="59"/>
        <v>770</v>
      </c>
      <c r="CZ10" s="106">
        <f t="shared" si="60"/>
        <v>413.1</v>
      </c>
      <c r="DA10" s="106"/>
      <c r="DB10" s="106"/>
      <c r="DC10" s="105"/>
      <c r="DD10" s="107"/>
      <c r="DE10" s="92">
        <f t="shared" si="21"/>
        <v>623</v>
      </c>
      <c r="DF10" s="108">
        <f t="shared" si="22"/>
        <v>9</v>
      </c>
      <c r="DG10" s="112">
        <f t="shared" si="23"/>
        <v>6.6336633663366342</v>
      </c>
      <c r="DH10" s="110">
        <f t="shared" si="24"/>
        <v>575</v>
      </c>
      <c r="DI10" s="108">
        <f t="shared" si="25"/>
        <v>8</v>
      </c>
      <c r="DJ10" s="115">
        <f t="shared" si="26"/>
        <v>28.712871287128714</v>
      </c>
      <c r="DK10" s="110">
        <f t="shared" si="27"/>
        <v>1198</v>
      </c>
      <c r="DL10" s="108">
        <f t="shared" si="27"/>
        <v>17</v>
      </c>
      <c r="DM10" s="111">
        <f t="shared" si="27"/>
        <v>35.346534653465348</v>
      </c>
      <c r="DN10" s="76">
        <f t="shared" si="28"/>
        <v>4</v>
      </c>
      <c r="DO10" s="76">
        <f t="shared" si="28"/>
        <v>20</v>
      </c>
      <c r="DP10" s="112"/>
      <c r="DQ10" s="112"/>
      <c r="DR10" s="113" t="s">
        <v>418</v>
      </c>
      <c r="DS10" s="112"/>
      <c r="DT10" s="112"/>
      <c r="DU10" s="111"/>
      <c r="DV10" s="114"/>
      <c r="DW10" s="80">
        <f>IFERROR(AL10+BF10,"")</f>
        <v>17</v>
      </c>
      <c r="DX10" s="81">
        <f t="shared" si="29"/>
        <v>1250.3465346534654</v>
      </c>
      <c r="DY10" s="80">
        <f t="shared" si="62"/>
        <v>1225</v>
      </c>
      <c r="DZ10">
        <f t="shared" si="63"/>
        <v>0.2727</v>
      </c>
      <c r="EA10" s="82">
        <f t="shared" si="64"/>
        <v>12.0998</v>
      </c>
      <c r="EB10" s="82">
        <f t="shared" si="65"/>
        <v>19.044200000000004</v>
      </c>
      <c r="EC10" s="82">
        <f t="shared" si="30"/>
        <v>19.044</v>
      </c>
      <c r="EF10" s="83">
        <f t="shared" ref="EF10:EF11" si="72">DG10+DJ10</f>
        <v>35.346534653465348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1"/>
        <v>TV12L14-11x2.5-H9C14</v>
      </c>
      <c r="H11" s="46" t="str">
        <f t="shared" si="32"/>
        <v>12L14TV110DH9</v>
      </c>
      <c r="I11" s="46" t="str">
        <f t="shared" si="33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4"/>
        <v>12</v>
      </c>
      <c r="T11" s="51">
        <f>'31.01'!BG11</f>
        <v>14</v>
      </c>
      <c r="U11" s="92">
        <v>6</v>
      </c>
      <c r="V11" s="89">
        <v>2</v>
      </c>
      <c r="W11" s="93">
        <f t="shared" si="5"/>
        <v>0</v>
      </c>
      <c r="X11" s="93">
        <f t="shared" si="6"/>
        <v>3600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63</v>
      </c>
      <c r="AE11" s="93">
        <f t="shared" si="35"/>
        <v>3600</v>
      </c>
      <c r="AF11" s="54">
        <f>AE11+'31.01'!AF11</f>
        <v>5273</v>
      </c>
      <c r="AG11" s="94">
        <f t="shared" si="66"/>
        <v>14</v>
      </c>
      <c r="AH11" s="56">
        <f t="shared" si="13"/>
        <v>0</v>
      </c>
      <c r="AI11" s="89">
        <v>6</v>
      </c>
      <c r="AJ11" s="93">
        <f t="shared" si="67"/>
        <v>0</v>
      </c>
      <c r="AK11" s="95">
        <f t="shared" si="36"/>
        <v>1</v>
      </c>
      <c r="AL11" s="58">
        <f t="shared" si="37"/>
        <v>6</v>
      </c>
      <c r="AM11" s="55">
        <f t="shared" si="68"/>
        <v>14</v>
      </c>
      <c r="AN11" s="93"/>
      <c r="AO11" s="96"/>
      <c r="AP11" s="96">
        <f t="shared" si="14"/>
        <v>3200</v>
      </c>
      <c r="AQ11" s="96"/>
      <c r="AR11" s="96"/>
      <c r="AS11" s="96"/>
      <c r="AT11" s="96"/>
      <c r="AU11" s="96">
        <f t="shared" si="38"/>
        <v>0</v>
      </c>
      <c r="AV11" s="96">
        <f t="shared" si="38"/>
        <v>56</v>
      </c>
      <c r="AW11" s="96">
        <f t="shared" si="39"/>
        <v>3256</v>
      </c>
      <c r="AX11" s="96">
        <f t="shared" si="40"/>
        <v>1628</v>
      </c>
      <c r="AY11" s="94">
        <f t="shared" si="69"/>
        <v>-140</v>
      </c>
      <c r="AZ11" s="94">
        <f t="shared" si="41"/>
        <v>-70</v>
      </c>
      <c r="BA11" s="94">
        <f t="shared" si="42"/>
        <v>14</v>
      </c>
      <c r="BB11" s="97">
        <f t="shared" si="43"/>
        <v>0</v>
      </c>
      <c r="BC11" s="93">
        <v>8</v>
      </c>
      <c r="BD11" s="93">
        <f t="shared" si="44"/>
        <v>340</v>
      </c>
      <c r="BE11" s="95">
        <f t="shared" si="45"/>
        <v>0.60070671378091878</v>
      </c>
      <c r="BF11" s="58">
        <f t="shared" si="46"/>
        <v>7.6099999999999994</v>
      </c>
      <c r="BG11" s="94">
        <f t="shared" si="47"/>
        <v>6.3900000000000006</v>
      </c>
      <c r="BH11" s="89"/>
      <c r="BI11" s="89"/>
      <c r="BJ11" s="92">
        <f t="shared" si="15"/>
        <v>4000</v>
      </c>
      <c r="BK11" s="89"/>
      <c r="BL11" s="89"/>
      <c r="BM11" s="89"/>
      <c r="BN11" s="89"/>
      <c r="BO11" s="92">
        <f t="shared" si="70"/>
        <v>0</v>
      </c>
      <c r="BP11" s="92">
        <f t="shared" si="70"/>
        <v>71</v>
      </c>
      <c r="BQ11" s="96">
        <f t="shared" si="48"/>
        <v>4071</v>
      </c>
      <c r="BR11" s="96">
        <f t="shared" si="49"/>
        <v>2035</v>
      </c>
      <c r="BS11" s="96">
        <f t="shared" si="71"/>
        <v>-236.25999999999931</v>
      </c>
      <c r="BT11" s="96">
        <f t="shared" si="50"/>
        <v>-118.12999999999965</v>
      </c>
      <c r="BU11" s="92">
        <f t="shared" si="16"/>
        <v>3600</v>
      </c>
      <c r="BV11" s="98">
        <f t="shared" si="17"/>
        <v>13.61</v>
      </c>
      <c r="BW11" s="92">
        <f t="shared" si="18"/>
        <v>-188.12999999999965</v>
      </c>
      <c r="BX11" s="98" t="str">
        <f t="shared" si="51"/>
        <v/>
      </c>
      <c r="BY11" s="61">
        <f t="shared" ref="BY11:BY73" si="73">IFERROR(BF11+AL11,0)</f>
        <v>13.61</v>
      </c>
      <c r="BZ11" s="62">
        <f t="shared" si="52"/>
        <v>13.61</v>
      </c>
      <c r="CA11" s="98">
        <f t="shared" si="53"/>
        <v>7.327</v>
      </c>
      <c r="CB11" s="92">
        <f t="shared" si="19"/>
        <v>3663</v>
      </c>
      <c r="CC11" s="92">
        <f t="shared" si="19"/>
        <v>-376.25999999999931</v>
      </c>
      <c r="CD11" s="92">
        <f t="shared" si="19"/>
        <v>-188.12999999999965</v>
      </c>
      <c r="CE11" s="99"/>
      <c r="CF11" s="99"/>
      <c r="CG11" s="51">
        <f t="shared" si="54"/>
        <v>0</v>
      </c>
      <c r="CH11" s="62">
        <f t="shared" si="55"/>
        <v>0</v>
      </c>
      <c r="CI11" s="89"/>
      <c r="CJ11" s="89">
        <v>3200</v>
      </c>
      <c r="CK11" s="89"/>
      <c r="CL11" s="96">
        <v>56</v>
      </c>
      <c r="CM11" s="89">
        <v>340</v>
      </c>
      <c r="CN11" s="89">
        <v>4000</v>
      </c>
      <c r="CO11" s="92"/>
      <c r="CP11" s="101">
        <v>71</v>
      </c>
      <c r="CQ11" s="102">
        <f t="shared" si="56"/>
        <v>1600</v>
      </c>
      <c r="CR11" s="102">
        <f t="shared" si="20"/>
        <v>0</v>
      </c>
      <c r="CS11" s="102">
        <f t="shared" si="20"/>
        <v>28</v>
      </c>
      <c r="CT11" s="92">
        <f t="shared" si="57"/>
        <v>2000</v>
      </c>
      <c r="CU11" s="92">
        <f t="shared" si="58"/>
        <v>0</v>
      </c>
      <c r="CV11" s="103">
        <f t="shared" si="58"/>
        <v>35</v>
      </c>
      <c r="CW11" s="104"/>
      <c r="CX11" s="105">
        <v>25</v>
      </c>
      <c r="CY11" s="106">
        <f t="shared" si="59"/>
        <v>1644</v>
      </c>
      <c r="CZ11" s="106">
        <f t="shared" si="60"/>
        <v>202.5</v>
      </c>
      <c r="DA11" s="106"/>
      <c r="DB11" s="106"/>
      <c r="DC11" s="105"/>
      <c r="DD11" s="107"/>
      <c r="DE11" s="92">
        <f t="shared" si="21"/>
        <v>1600</v>
      </c>
      <c r="DF11" s="108">
        <f t="shared" si="22"/>
        <v>6</v>
      </c>
      <c r="DG11" s="112">
        <f t="shared" si="23"/>
        <v>-70</v>
      </c>
      <c r="DH11" s="110">
        <f t="shared" si="24"/>
        <v>2000</v>
      </c>
      <c r="DI11" s="108">
        <f t="shared" si="25"/>
        <v>7.6099999999999994</v>
      </c>
      <c r="DJ11" s="112">
        <f t="shared" si="26"/>
        <v>-118.12999999999965</v>
      </c>
      <c r="DK11" s="110">
        <f t="shared" si="27"/>
        <v>3600</v>
      </c>
      <c r="DL11" s="108">
        <f t="shared" si="27"/>
        <v>13.61</v>
      </c>
      <c r="DM11" s="111">
        <f t="shared" si="27"/>
        <v>-188.12999999999965</v>
      </c>
      <c r="DN11" s="76">
        <f t="shared" si="28"/>
        <v>14</v>
      </c>
      <c r="DO11" s="76">
        <f t="shared" si="28"/>
        <v>6</v>
      </c>
      <c r="DP11" s="112"/>
      <c r="DQ11" s="112"/>
      <c r="DR11" s="113" t="s">
        <v>419</v>
      </c>
      <c r="DS11" s="112"/>
      <c r="DT11" s="112"/>
      <c r="DU11" s="111"/>
      <c r="DV11" s="114"/>
      <c r="DW11" s="80">
        <f t="shared" si="61"/>
        <v>3613.61</v>
      </c>
      <c r="DX11" s="81">
        <f t="shared" si="29"/>
        <v>3425.4800000000005</v>
      </c>
      <c r="DY11" s="80">
        <f t="shared" si="62"/>
        <v>3663</v>
      </c>
      <c r="DZ11" s="82">
        <f t="shared" si="63"/>
        <v>0.126</v>
      </c>
      <c r="EA11" s="82">
        <f t="shared" si="64"/>
        <v>7.2</v>
      </c>
      <c r="EB11" s="82" t="e">
        <f t="shared" si="65"/>
        <v>#VALUE!</v>
      </c>
      <c r="EC11" s="82" t="e">
        <f t="shared" si="30"/>
        <v>#VALUE!</v>
      </c>
      <c r="EF11" s="83">
        <f t="shared" si="72"/>
        <v>-188.12999999999965</v>
      </c>
    </row>
    <row r="12" spans="1:136" ht="15" customHeight="1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1"/>
        <v>DCC3604-10x3-H9B12</v>
      </c>
      <c r="H12" s="46" t="str">
        <f t="shared" si="32"/>
        <v>C3604DC100DH9</v>
      </c>
      <c r="I12" s="46" t="str">
        <f t="shared" si="33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4"/>
        <v>26</v>
      </c>
      <c r="T12" s="51">
        <f>'31.01'!BG12</f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5"/>
        <v>0</v>
      </c>
      <c r="AF12" s="54">
        <f>AE12+'31.01'!AF12</f>
        <v>0</v>
      </c>
      <c r="AG12" s="94">
        <f t="shared" si="66"/>
        <v>0</v>
      </c>
      <c r="AH12" s="56">
        <f t="shared" si="13"/>
        <v>0</v>
      </c>
      <c r="AI12" s="89"/>
      <c r="AJ12" s="93">
        <f t="shared" si="67"/>
        <v>0</v>
      </c>
      <c r="AK12" s="95">
        <f t="shared" si="36"/>
        <v>1</v>
      </c>
      <c r="AL12" s="58">
        <f t="shared" si="37"/>
        <v>0</v>
      </c>
      <c r="AM12" s="55">
        <f t="shared" si="68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8"/>
        <v>0</v>
      </c>
      <c r="AV12" s="96">
        <f t="shared" si="38"/>
        <v>0</v>
      </c>
      <c r="AW12" s="96">
        <f t="shared" si="39"/>
        <v>0</v>
      </c>
      <c r="AX12" s="96">
        <f t="shared" si="40"/>
        <v>0</v>
      </c>
      <c r="AY12" s="94">
        <f t="shared" si="69"/>
        <v>0</v>
      </c>
      <c r="AZ12" s="94">
        <f t="shared" si="41"/>
        <v>0</v>
      </c>
      <c r="BA12" s="94">
        <f t="shared" si="42"/>
        <v>0</v>
      </c>
      <c r="BB12" s="97">
        <f t="shared" si="43"/>
        <v>0</v>
      </c>
      <c r="BC12" s="93"/>
      <c r="BD12" s="93">
        <f t="shared" si="44"/>
        <v>0</v>
      </c>
      <c r="BE12" s="95">
        <f t="shared" si="45"/>
        <v>1</v>
      </c>
      <c r="BF12" s="58">
        <f t="shared" si="46"/>
        <v>0</v>
      </c>
      <c r="BG12" s="94">
        <f t="shared" si="47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0"/>
        <v>0</v>
      </c>
      <c r="BP12" s="92">
        <f t="shared" si="70"/>
        <v>0</v>
      </c>
      <c r="BQ12" s="96">
        <f t="shared" si="48"/>
        <v>0</v>
      </c>
      <c r="BR12" s="96">
        <f t="shared" si="49"/>
        <v>0</v>
      </c>
      <c r="BS12" s="96">
        <f t="shared" si="71"/>
        <v>0</v>
      </c>
      <c r="BT12" s="96">
        <f t="shared" si="50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1"/>
        <v>0</v>
      </c>
      <c r="BY12" s="61">
        <f>IFERROR(BF12+AL12,0)</f>
        <v>0</v>
      </c>
      <c r="BZ12" s="62">
        <f t="shared" si="52"/>
        <v>0</v>
      </c>
      <c r="CA12" s="98">
        <f t="shared" si="53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4"/>
        <v>0</v>
      </c>
      <c r="CH12" s="62">
        <f t="shared" si="55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6"/>
        <v>0</v>
      </c>
      <c r="CR12" s="102">
        <f t="shared" si="20"/>
        <v>0</v>
      </c>
      <c r="CS12" s="102">
        <f t="shared" si="20"/>
        <v>0</v>
      </c>
      <c r="CT12" s="92">
        <f t="shared" si="57"/>
        <v>0</v>
      </c>
      <c r="CU12" s="92">
        <f t="shared" si="58"/>
        <v>0</v>
      </c>
      <c r="CV12" s="103">
        <f t="shared" si="58"/>
        <v>0</v>
      </c>
      <c r="CW12" s="104"/>
      <c r="CX12" s="105">
        <v>24</v>
      </c>
      <c r="CY12" s="106">
        <f t="shared" si="59"/>
        <v>1612</v>
      </c>
      <c r="CZ12" s="106">
        <f t="shared" si="60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28"/>
        <v>0</v>
      </c>
      <c r="DO12" s="76">
        <f t="shared" si="28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1"/>
        <v>0</v>
      </c>
      <c r="DX12" s="81">
        <f t="shared" si="29"/>
        <v>0</v>
      </c>
      <c r="DY12" s="80">
        <f t="shared" si="62"/>
        <v>0</v>
      </c>
      <c r="DZ12" s="82">
        <f t="shared" si="63"/>
        <v>0</v>
      </c>
      <c r="EA12" s="82">
        <f t="shared" si="64"/>
        <v>0</v>
      </c>
      <c r="EB12" s="82">
        <f t="shared" si="65"/>
        <v>0</v>
      </c>
      <c r="EC12" s="82">
        <f t="shared" si="30"/>
        <v>0</v>
      </c>
    </row>
    <row r="13" spans="1:136" ht="15" customHeight="1">
      <c r="A13" s="84">
        <v>6</v>
      </c>
      <c r="B13" s="85" t="s">
        <v>151</v>
      </c>
      <c r="C13" s="86"/>
      <c r="D13" s="117">
        <v>10620</v>
      </c>
      <c r="E13" s="88">
        <v>127</v>
      </c>
      <c r="F13" s="89" t="s">
        <v>128</v>
      </c>
      <c r="G13" s="45" t="str">
        <f t="shared" si="31"/>
        <v>DCC3604-10x3-H9B12</v>
      </c>
      <c r="H13" s="46" t="str">
        <f t="shared" si="32"/>
        <v>C3604DC100DH9</v>
      </c>
      <c r="I13" s="46" t="str">
        <f t="shared" si="33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4"/>
        <v>40</v>
      </c>
      <c r="T13" s="51">
        <f>'31.01'!BG13</f>
        <v>6</v>
      </c>
      <c r="U13" s="92">
        <v>24</v>
      </c>
      <c r="V13" s="89">
        <v>7.64</v>
      </c>
      <c r="W13" s="93">
        <f t="shared" si="5"/>
        <v>0</v>
      </c>
      <c r="X13" s="93">
        <f t="shared" si="6"/>
        <v>1452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68</v>
      </c>
      <c r="AE13" s="93">
        <f t="shared" si="35"/>
        <v>1452</v>
      </c>
      <c r="AF13" s="54">
        <f>AE13+'31.01'!AF13</f>
        <v>2545</v>
      </c>
      <c r="AG13" s="94">
        <f t="shared" si="66"/>
        <v>6</v>
      </c>
      <c r="AH13" s="56">
        <f t="shared" si="13"/>
        <v>0</v>
      </c>
      <c r="AI13" s="89">
        <v>9</v>
      </c>
      <c r="AJ13" s="93">
        <f t="shared" si="67"/>
        <v>510</v>
      </c>
      <c r="AK13" s="95">
        <f t="shared" si="36"/>
        <v>0.52562147009110771</v>
      </c>
      <c r="AL13" s="58">
        <f t="shared" si="37"/>
        <v>8.5299999999999994</v>
      </c>
      <c r="AM13" s="55">
        <f t="shared" si="68"/>
        <v>21.47</v>
      </c>
      <c r="AN13" s="93"/>
      <c r="AO13" s="96"/>
      <c r="AP13" s="96">
        <f t="shared" si="14"/>
        <v>8173</v>
      </c>
      <c r="AQ13" s="96"/>
      <c r="AR13" s="96"/>
      <c r="AS13" s="96"/>
      <c r="AT13" s="96"/>
      <c r="AU13" s="96">
        <f t="shared" si="38"/>
        <v>0</v>
      </c>
      <c r="AV13" s="96">
        <f t="shared" si="38"/>
        <v>200</v>
      </c>
      <c r="AW13" s="96">
        <f t="shared" si="39"/>
        <v>8373</v>
      </c>
      <c r="AX13" s="96">
        <f t="shared" si="40"/>
        <v>1095</v>
      </c>
      <c r="AY13" s="94">
        <f t="shared" si="69"/>
        <v>96.511600000001636</v>
      </c>
      <c r="AZ13" s="94">
        <f t="shared" si="41"/>
        <v>12.632408376963566</v>
      </c>
      <c r="BA13" s="94">
        <f t="shared" si="42"/>
        <v>21.47</v>
      </c>
      <c r="BB13" s="97">
        <f t="shared" si="43"/>
        <v>0.47</v>
      </c>
      <c r="BC13" s="93">
        <v>3</v>
      </c>
      <c r="BD13" s="93">
        <f t="shared" si="44"/>
        <v>0</v>
      </c>
      <c r="BE13" s="95">
        <f t="shared" si="45"/>
        <v>1</v>
      </c>
      <c r="BF13" s="58">
        <f t="shared" si="46"/>
        <v>3.47</v>
      </c>
      <c r="BG13" s="94">
        <f t="shared" si="47"/>
        <v>18</v>
      </c>
      <c r="BH13" s="89"/>
      <c r="BI13" s="89"/>
      <c r="BJ13" s="92">
        <f t="shared" si="15"/>
        <v>2921</v>
      </c>
      <c r="BK13" s="89"/>
      <c r="BL13" s="89"/>
      <c r="BM13" s="89"/>
      <c r="BN13" s="89"/>
      <c r="BO13" s="92">
        <f t="shared" si="70"/>
        <v>0</v>
      </c>
      <c r="BP13" s="92">
        <f t="shared" si="70"/>
        <v>321</v>
      </c>
      <c r="BQ13" s="96">
        <f t="shared" si="48"/>
        <v>3242</v>
      </c>
      <c r="BR13" s="96">
        <f t="shared" si="49"/>
        <v>424</v>
      </c>
      <c r="BS13" s="96">
        <f t="shared" si="71"/>
        <v>-124.87159999999994</v>
      </c>
      <c r="BT13" s="96">
        <f t="shared" si="50"/>
        <v>-16.344450261780096</v>
      </c>
      <c r="BU13" s="92">
        <f t="shared" si="16"/>
        <v>1452</v>
      </c>
      <c r="BV13" s="98">
        <f t="shared" si="17"/>
        <v>12</v>
      </c>
      <c r="BW13" s="92">
        <f t="shared" si="18"/>
        <v>-3.7120418848165304</v>
      </c>
      <c r="BX13" s="98">
        <f t="shared" si="51"/>
        <v>24</v>
      </c>
      <c r="BY13" s="61">
        <f t="shared" si="73"/>
        <v>12</v>
      </c>
      <c r="BZ13" s="62">
        <f t="shared" si="52"/>
        <v>12</v>
      </c>
      <c r="CA13" s="98">
        <f t="shared" si="53"/>
        <v>11.615</v>
      </c>
      <c r="CB13" s="92">
        <f t="shared" si="19"/>
        <v>1519</v>
      </c>
      <c r="CC13" s="92">
        <f t="shared" si="19"/>
        <v>-28.359999999998308</v>
      </c>
      <c r="CD13" s="92">
        <f t="shared" si="19"/>
        <v>-3.7120418848165304</v>
      </c>
      <c r="CE13" s="99"/>
      <c r="CF13" s="99"/>
      <c r="CG13" s="51">
        <f t="shared" si="54"/>
        <v>12.906000000000001</v>
      </c>
      <c r="CH13" s="62">
        <f t="shared" si="55"/>
        <v>12.906000000000001</v>
      </c>
      <c r="CI13" s="89">
        <v>510</v>
      </c>
      <c r="CJ13" s="89">
        <v>8173</v>
      </c>
      <c r="CK13" s="89"/>
      <c r="CL13" s="96">
        <v>200</v>
      </c>
      <c r="CM13" s="89"/>
      <c r="CN13" s="89">
        <v>2921</v>
      </c>
      <c r="CO13" s="92"/>
      <c r="CP13" s="101">
        <v>321</v>
      </c>
      <c r="CQ13" s="102">
        <f t="shared" si="56"/>
        <v>1069</v>
      </c>
      <c r="CR13" s="102">
        <f t="shared" si="20"/>
        <v>0</v>
      </c>
      <c r="CS13" s="102">
        <f t="shared" si="20"/>
        <v>26</v>
      </c>
      <c r="CT13" s="92">
        <f t="shared" si="57"/>
        <v>383</v>
      </c>
      <c r="CU13" s="92">
        <f t="shared" si="58"/>
        <v>0</v>
      </c>
      <c r="CV13" s="103">
        <f t="shared" si="58"/>
        <v>42</v>
      </c>
      <c r="CW13" s="104"/>
      <c r="CX13" s="105">
        <v>14</v>
      </c>
      <c r="CY13" s="106">
        <f t="shared" si="59"/>
        <v>2550</v>
      </c>
      <c r="CZ13" s="106">
        <f t="shared" si="60"/>
        <v>113.4</v>
      </c>
      <c r="DA13" s="106"/>
      <c r="DB13" s="106"/>
      <c r="DC13" s="105"/>
      <c r="DD13" s="107"/>
      <c r="DE13" s="92">
        <f t="shared" si="21"/>
        <v>1069</v>
      </c>
      <c r="DF13" s="108">
        <f t="shared" si="22"/>
        <v>8.5299999999999994</v>
      </c>
      <c r="DG13" s="112">
        <f t="shared" si="23"/>
        <v>12.632408376963566</v>
      </c>
      <c r="DH13" s="110">
        <f t="shared" si="24"/>
        <v>383</v>
      </c>
      <c r="DI13" s="108">
        <f t="shared" si="25"/>
        <v>3.47</v>
      </c>
      <c r="DJ13" s="112">
        <f t="shared" si="26"/>
        <v>-16.344450261780096</v>
      </c>
      <c r="DK13" s="110">
        <f t="shared" si="27"/>
        <v>1452</v>
      </c>
      <c r="DL13" s="108">
        <f t="shared" si="27"/>
        <v>12</v>
      </c>
      <c r="DM13" s="111">
        <f t="shared" si="27"/>
        <v>-3.7120418848165304</v>
      </c>
      <c r="DN13" s="76">
        <f t="shared" si="28"/>
        <v>6</v>
      </c>
      <c r="DO13" s="76">
        <f t="shared" si="28"/>
        <v>24</v>
      </c>
      <c r="DP13" s="112"/>
      <c r="DQ13" s="112"/>
      <c r="DR13" s="113" t="s">
        <v>420</v>
      </c>
      <c r="DS13" s="112"/>
      <c r="DT13" s="112"/>
      <c r="DU13" s="111"/>
      <c r="DV13" s="114"/>
      <c r="DW13" s="80">
        <f t="shared" si="61"/>
        <v>1464</v>
      </c>
      <c r="DX13" s="81">
        <f t="shared" si="29"/>
        <v>1460.2879581151835</v>
      </c>
      <c r="DY13" s="80">
        <f t="shared" si="62"/>
        <v>1520</v>
      </c>
      <c r="DZ13" s="82">
        <f t="shared" si="63"/>
        <v>0.51951999999999998</v>
      </c>
      <c r="EA13" s="82">
        <f t="shared" si="64"/>
        <v>11.093279999999998</v>
      </c>
      <c r="EB13" s="82">
        <f t="shared" si="65"/>
        <v>12.906720000000002</v>
      </c>
      <c r="EC13" s="82">
        <f t="shared" si="30"/>
        <v>12.906000000000001</v>
      </c>
    </row>
    <row r="14" spans="1:136" ht="15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1"/>
        <v>IBC3602-7.5x3-H9A14</v>
      </c>
      <c r="H14" s="46" t="str">
        <f t="shared" si="32"/>
        <v>C3602IB7.50DH9</v>
      </c>
      <c r="I14" s="46" t="str">
        <f t="shared" si="33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4"/>
        <v>100</v>
      </c>
      <c r="T14" s="51">
        <f>'31.01'!BG14</f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5"/>
        <v>0</v>
      </c>
      <c r="AF14" s="54">
        <f>AE14+'31.01'!AF14</f>
        <v>0</v>
      </c>
      <c r="AG14" s="94">
        <f t="shared" si="66"/>
        <v>0</v>
      </c>
      <c r="AH14" s="56">
        <f t="shared" si="13"/>
        <v>0</v>
      </c>
      <c r="AI14" s="89"/>
      <c r="AJ14" s="93">
        <f t="shared" si="67"/>
        <v>0</v>
      </c>
      <c r="AK14" s="95">
        <f t="shared" si="36"/>
        <v>1</v>
      </c>
      <c r="AL14" s="58">
        <f t="shared" si="37"/>
        <v>0</v>
      </c>
      <c r="AM14" s="55">
        <f t="shared" si="68"/>
        <v>0</v>
      </c>
      <c r="AN14" s="93"/>
      <c r="AO14" s="96"/>
      <c r="AP14" s="96"/>
      <c r="AQ14" s="96"/>
      <c r="AR14" s="96"/>
      <c r="AS14" s="96"/>
      <c r="AT14" s="96">
        <f t="shared" ref="AT14" si="74">$CJ14</f>
        <v>0</v>
      </c>
      <c r="AU14" s="96">
        <f t="shared" si="38"/>
        <v>0</v>
      </c>
      <c r="AV14" s="96">
        <f t="shared" si="38"/>
        <v>0</v>
      </c>
      <c r="AW14" s="96">
        <f t="shared" si="39"/>
        <v>0</v>
      </c>
      <c r="AX14" s="96">
        <f t="shared" si="40"/>
        <v>0</v>
      </c>
      <c r="AY14" s="94">
        <f t="shared" si="69"/>
        <v>0</v>
      </c>
      <c r="AZ14" s="94">
        <f t="shared" si="41"/>
        <v>0</v>
      </c>
      <c r="BA14" s="94">
        <f t="shared" si="42"/>
        <v>0</v>
      </c>
      <c r="BB14" s="97">
        <f t="shared" si="43"/>
        <v>0</v>
      </c>
      <c r="BC14" s="93"/>
      <c r="BD14" s="93">
        <f t="shared" si="44"/>
        <v>0</v>
      </c>
      <c r="BE14" s="95">
        <f t="shared" si="45"/>
        <v>1</v>
      </c>
      <c r="BF14" s="58">
        <f t="shared" si="46"/>
        <v>0</v>
      </c>
      <c r="BG14" s="94">
        <f t="shared" si="47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0"/>
        <v>0</v>
      </c>
      <c r="BP14" s="92">
        <f t="shared" si="70"/>
        <v>0</v>
      </c>
      <c r="BQ14" s="96">
        <f t="shared" si="48"/>
        <v>0</v>
      </c>
      <c r="BR14" s="96">
        <f t="shared" si="49"/>
        <v>0</v>
      </c>
      <c r="BS14" s="96">
        <f t="shared" si="71"/>
        <v>0</v>
      </c>
      <c r="BT14" s="96">
        <f t="shared" si="50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1"/>
        <v>0</v>
      </c>
      <c r="BY14" s="61">
        <f t="shared" si="73"/>
        <v>0</v>
      </c>
      <c r="BZ14" s="62">
        <f t="shared" si="52"/>
        <v>0</v>
      </c>
      <c r="CA14" s="98">
        <f t="shared" si="53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4"/>
        <v>0</v>
      </c>
      <c r="CH14" s="62">
        <f t="shared" si="55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6"/>
        <v>0</v>
      </c>
      <c r="CR14" s="102">
        <f t="shared" si="20"/>
        <v>0</v>
      </c>
      <c r="CS14" s="102">
        <f t="shared" si="20"/>
        <v>0</v>
      </c>
      <c r="CT14" s="92">
        <f t="shared" si="57"/>
        <v>0</v>
      </c>
      <c r="CU14" s="92">
        <f t="shared" si="58"/>
        <v>0</v>
      </c>
      <c r="CV14" s="103">
        <f t="shared" si="58"/>
        <v>0</v>
      </c>
      <c r="CW14" s="104" t="s">
        <v>157</v>
      </c>
      <c r="CX14" s="105">
        <v>14</v>
      </c>
      <c r="CY14" s="106">
        <f t="shared" si="59"/>
        <v>2985</v>
      </c>
      <c r="CZ14" s="106">
        <f t="shared" si="60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28"/>
        <v>0</v>
      </c>
      <c r="DO14" s="76">
        <f t="shared" si="28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1"/>
        <v>0</v>
      </c>
      <c r="DX14" s="81">
        <f t="shared" si="29"/>
        <v>0</v>
      </c>
      <c r="DY14" s="80">
        <f t="shared" si="62"/>
        <v>0</v>
      </c>
      <c r="DZ14" s="82">
        <f t="shared" si="63"/>
        <v>0</v>
      </c>
      <c r="EA14" s="82">
        <f t="shared" si="64"/>
        <v>0</v>
      </c>
      <c r="EB14" s="82">
        <f t="shared" si="65"/>
        <v>0</v>
      </c>
      <c r="EC14" s="82">
        <f>(BX14-CA14)+((AV14+BP14)/1000)</f>
        <v>0</v>
      </c>
    </row>
    <row r="15" spans="1:136" ht="14.1" customHeight="1">
      <c r="A15" s="84">
        <v>8</v>
      </c>
      <c r="B15" s="85" t="s">
        <v>158</v>
      </c>
      <c r="C15" s="86"/>
      <c r="D15" s="87" t="s">
        <v>159</v>
      </c>
      <c r="E15" s="88">
        <v>30</v>
      </c>
      <c r="F15" s="89" t="s">
        <v>136</v>
      </c>
      <c r="G15" s="45" t="str">
        <f t="shared" si="31"/>
        <v>TV12L14-H6x2.5-H11A14</v>
      </c>
      <c r="H15" s="46" t="str">
        <f t="shared" si="32"/>
        <v>12L14TV60HH11</v>
      </c>
      <c r="I15" s="46" t="str">
        <f t="shared" si="33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4"/>
        <v>50</v>
      </c>
      <c r="T15" s="51">
        <f>'31.01'!BG15</f>
        <v>0</v>
      </c>
      <c r="U15" s="92"/>
      <c r="V15" s="89">
        <v>16.149999999999999</v>
      </c>
      <c r="W15" s="93">
        <f t="shared" si="5"/>
        <v>0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0</v>
      </c>
      <c r="AE15" s="93">
        <f t="shared" si="35"/>
        <v>0</v>
      </c>
      <c r="AF15" s="54">
        <f>AE15+'31.01'!AF15</f>
        <v>0</v>
      </c>
      <c r="AG15" s="94">
        <f t="shared" si="66"/>
        <v>0</v>
      </c>
      <c r="AH15" s="56">
        <f t="shared" si="13"/>
        <v>0</v>
      </c>
      <c r="AI15" s="89"/>
      <c r="AJ15" s="93">
        <f t="shared" si="67"/>
        <v>0</v>
      </c>
      <c r="AK15" s="95">
        <f t="shared" si="36"/>
        <v>1</v>
      </c>
      <c r="AL15" s="58">
        <f t="shared" si="37"/>
        <v>0</v>
      </c>
      <c r="AM15" s="55">
        <f t="shared" si="68"/>
        <v>0</v>
      </c>
      <c r="AN15" s="93"/>
      <c r="AO15" s="96">
        <f>$CJ15</f>
        <v>0</v>
      </c>
      <c r="AP15" s="96"/>
      <c r="AQ15" s="96"/>
      <c r="AR15" s="96"/>
      <c r="AS15" s="96"/>
      <c r="AT15" s="96"/>
      <c r="AU15" s="96">
        <f t="shared" si="38"/>
        <v>0</v>
      </c>
      <c r="AV15" s="96">
        <f t="shared" si="38"/>
        <v>0</v>
      </c>
      <c r="AW15" s="96">
        <f t="shared" si="39"/>
        <v>0</v>
      </c>
      <c r="AX15" s="96">
        <f t="shared" si="40"/>
        <v>0</v>
      </c>
      <c r="AY15" s="94">
        <f t="shared" si="69"/>
        <v>0</v>
      </c>
      <c r="AZ15" s="94">
        <f t="shared" si="41"/>
        <v>0</v>
      </c>
      <c r="BA15" s="94">
        <f t="shared" si="42"/>
        <v>0</v>
      </c>
      <c r="BB15" s="97">
        <f t="shared" si="43"/>
        <v>0</v>
      </c>
      <c r="BC15" s="93"/>
      <c r="BD15" s="93">
        <f t="shared" si="44"/>
        <v>0</v>
      </c>
      <c r="BE15" s="95">
        <f t="shared" si="45"/>
        <v>1</v>
      </c>
      <c r="BF15" s="58">
        <f t="shared" si="46"/>
        <v>0</v>
      </c>
      <c r="BG15" s="94">
        <f t="shared" si="47"/>
        <v>0</v>
      </c>
      <c r="BH15" s="89"/>
      <c r="BI15" s="92">
        <f>$CN15</f>
        <v>0</v>
      </c>
      <c r="BJ15" s="89"/>
      <c r="BK15" s="89"/>
      <c r="BL15" s="89"/>
      <c r="BM15" s="89"/>
      <c r="BN15" s="89"/>
      <c r="BO15" s="92">
        <f t="shared" si="70"/>
        <v>0</v>
      </c>
      <c r="BP15" s="92">
        <f t="shared" si="70"/>
        <v>0</v>
      </c>
      <c r="BQ15" s="96">
        <f t="shared" si="48"/>
        <v>0</v>
      </c>
      <c r="BR15" s="96">
        <f t="shared" si="49"/>
        <v>0</v>
      </c>
      <c r="BS15" s="96">
        <f t="shared" si="71"/>
        <v>0</v>
      </c>
      <c r="BT15" s="96">
        <f t="shared" si="50"/>
        <v>0</v>
      </c>
      <c r="BU15" s="92">
        <f t="shared" si="16"/>
        <v>0</v>
      </c>
      <c r="BV15" s="98">
        <f t="shared" si="17"/>
        <v>0</v>
      </c>
      <c r="BW15" s="92">
        <f t="shared" si="18"/>
        <v>0</v>
      </c>
      <c r="BX15" s="98">
        <f t="shared" si="51"/>
        <v>0</v>
      </c>
      <c r="BY15" s="61">
        <f t="shared" si="73"/>
        <v>0</v>
      </c>
      <c r="BZ15" s="62">
        <f t="shared" si="52"/>
        <v>0</v>
      </c>
      <c r="CA15" s="98">
        <f t="shared" si="53"/>
        <v>0</v>
      </c>
      <c r="CB15" s="92">
        <f t="shared" si="19"/>
        <v>0</v>
      </c>
      <c r="CC15" s="92">
        <f t="shared" si="19"/>
        <v>0</v>
      </c>
      <c r="CD15" s="92">
        <f t="shared" si="19"/>
        <v>0</v>
      </c>
      <c r="CE15" s="99"/>
      <c r="CF15" s="99"/>
      <c r="CG15" s="51">
        <f t="shared" si="54"/>
        <v>0</v>
      </c>
      <c r="CH15" s="62">
        <f t="shared" si="55"/>
        <v>0</v>
      </c>
      <c r="CI15" s="89"/>
      <c r="CJ15" s="89"/>
      <c r="CK15" s="89"/>
      <c r="CL15" s="96"/>
      <c r="CM15" s="89"/>
      <c r="CN15" s="89"/>
      <c r="CO15" s="92"/>
      <c r="CP15" s="101"/>
      <c r="CQ15" s="102">
        <f t="shared" si="56"/>
        <v>0</v>
      </c>
      <c r="CR15" s="102">
        <f t="shared" si="20"/>
        <v>0</v>
      </c>
      <c r="CS15" s="102">
        <f t="shared" si="20"/>
        <v>0</v>
      </c>
      <c r="CT15" s="92">
        <f t="shared" si="57"/>
        <v>0</v>
      </c>
      <c r="CU15" s="92">
        <f t="shared" si="58"/>
        <v>0</v>
      </c>
      <c r="CV15" s="103">
        <f t="shared" si="58"/>
        <v>0</v>
      </c>
      <c r="CW15" s="104"/>
      <c r="CX15" s="105">
        <v>45</v>
      </c>
      <c r="CY15" s="106">
        <f t="shared" si="59"/>
        <v>746</v>
      </c>
      <c r="CZ15" s="106">
        <f t="shared" si="60"/>
        <v>364.5</v>
      </c>
      <c r="DA15" s="106"/>
      <c r="DB15" s="106"/>
      <c r="DC15" s="105"/>
      <c r="DD15" s="107"/>
      <c r="DE15" s="92">
        <f t="shared" si="21"/>
        <v>0</v>
      </c>
      <c r="DF15" s="108">
        <f t="shared" si="22"/>
        <v>0</v>
      </c>
      <c r="DG15" s="112">
        <f t="shared" si="23"/>
        <v>0</v>
      </c>
      <c r="DH15" s="110">
        <f t="shared" si="24"/>
        <v>0</v>
      </c>
      <c r="DI15" s="108">
        <f t="shared" si="25"/>
        <v>0</v>
      </c>
      <c r="DJ15" s="115">
        <f t="shared" si="26"/>
        <v>0</v>
      </c>
      <c r="DK15" s="110">
        <f t="shared" si="27"/>
        <v>0</v>
      </c>
      <c r="DL15" s="108">
        <f t="shared" si="27"/>
        <v>0</v>
      </c>
      <c r="DM15" s="111">
        <f t="shared" si="27"/>
        <v>0</v>
      </c>
      <c r="DN15" s="76">
        <f t="shared" si="28"/>
        <v>0</v>
      </c>
      <c r="DO15" s="76">
        <f t="shared" si="28"/>
        <v>0</v>
      </c>
      <c r="DP15" s="112"/>
      <c r="DQ15" s="112"/>
      <c r="DR15" s="113"/>
      <c r="DS15" s="112"/>
      <c r="DT15" s="112"/>
      <c r="DU15" s="111"/>
      <c r="DV15" s="114"/>
      <c r="DW15" s="80">
        <f t="shared" si="61"/>
        <v>0</v>
      </c>
      <c r="DX15" s="81">
        <f t="shared" si="29"/>
        <v>0</v>
      </c>
      <c r="DY15" s="80">
        <f t="shared" si="62"/>
        <v>0</v>
      </c>
      <c r="DZ15" s="82">
        <f t="shared" si="63"/>
        <v>0</v>
      </c>
      <c r="EA15" s="82">
        <f t="shared" si="64"/>
        <v>0</v>
      </c>
      <c r="EB15" s="82">
        <f t="shared" si="65"/>
        <v>0</v>
      </c>
      <c r="EC15" s="82">
        <f t="shared" ref="EC15:EC78" si="75">EB15+DZ15</f>
        <v>0</v>
      </c>
      <c r="EF15" s="83">
        <f t="shared" ref="EF15:EF18" si="76">DG15+DJ15</f>
        <v>0</v>
      </c>
    </row>
    <row r="16" spans="1:136" ht="14.1" customHeight="1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1"/>
        <v>GWA6063-T5-T18.15x8.6x3-H9A15</v>
      </c>
      <c r="H16" s="46" t="str">
        <f t="shared" si="32"/>
        <v>A6063-T5GW18.158.6TH9</v>
      </c>
      <c r="I16" s="46" t="str">
        <f t="shared" si="33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4"/>
        <v>14</v>
      </c>
      <c r="T16" s="51">
        <f>'31.01'!BG16</f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5"/>
        <v>0</v>
      </c>
      <c r="AF16" s="54">
        <f>AE16+'31.01'!AF16</f>
        <v>0</v>
      </c>
      <c r="AG16" s="94">
        <f t="shared" si="66"/>
        <v>0</v>
      </c>
      <c r="AH16" s="56">
        <f t="shared" si="13"/>
        <v>0</v>
      </c>
      <c r="AI16" s="89"/>
      <c r="AJ16" s="93">
        <f t="shared" si="67"/>
        <v>0</v>
      </c>
      <c r="AK16" s="95">
        <f t="shared" si="36"/>
        <v>1</v>
      </c>
      <c r="AL16" s="58">
        <f t="shared" si="37"/>
        <v>0</v>
      </c>
      <c r="AM16" s="55">
        <f t="shared" si="68"/>
        <v>0</v>
      </c>
      <c r="AN16" s="93"/>
      <c r="AO16" s="96"/>
      <c r="AP16" s="96">
        <f t="shared" ref="AP16:AP19" si="77">$CJ16</f>
        <v>0</v>
      </c>
      <c r="AQ16" s="96"/>
      <c r="AR16" s="96"/>
      <c r="AS16" s="96"/>
      <c r="AT16" s="96"/>
      <c r="AU16" s="96">
        <f t="shared" si="38"/>
        <v>0</v>
      </c>
      <c r="AV16" s="96">
        <f t="shared" si="38"/>
        <v>0</v>
      </c>
      <c r="AW16" s="96">
        <f t="shared" si="39"/>
        <v>0</v>
      </c>
      <c r="AX16" s="96">
        <f t="shared" si="40"/>
        <v>0</v>
      </c>
      <c r="AY16" s="94">
        <f t="shared" si="69"/>
        <v>0</v>
      </c>
      <c r="AZ16" s="94">
        <f t="shared" si="41"/>
        <v>0</v>
      </c>
      <c r="BA16" s="94">
        <f t="shared" si="42"/>
        <v>0</v>
      </c>
      <c r="BB16" s="97">
        <f t="shared" si="43"/>
        <v>0</v>
      </c>
      <c r="BC16" s="93"/>
      <c r="BD16" s="93">
        <f t="shared" si="44"/>
        <v>0</v>
      </c>
      <c r="BE16" s="95">
        <f t="shared" si="45"/>
        <v>1</v>
      </c>
      <c r="BF16" s="58">
        <f t="shared" si="46"/>
        <v>0</v>
      </c>
      <c r="BG16" s="94">
        <f t="shared" si="47"/>
        <v>0</v>
      </c>
      <c r="BH16" s="89"/>
      <c r="BI16" s="89"/>
      <c r="BJ16" s="92">
        <f t="shared" ref="BJ16:BJ19" si="78">$CN16</f>
        <v>0</v>
      </c>
      <c r="BK16" s="89"/>
      <c r="BL16" s="89"/>
      <c r="BM16" s="89"/>
      <c r="BN16" s="89"/>
      <c r="BO16" s="92">
        <f t="shared" si="70"/>
        <v>0</v>
      </c>
      <c r="BP16" s="92">
        <f t="shared" si="70"/>
        <v>0</v>
      </c>
      <c r="BQ16" s="96">
        <f t="shared" si="48"/>
        <v>0</v>
      </c>
      <c r="BR16" s="96">
        <f t="shared" si="49"/>
        <v>0</v>
      </c>
      <c r="BS16" s="96">
        <f t="shared" si="71"/>
        <v>0</v>
      </c>
      <c r="BT16" s="96">
        <f t="shared" si="50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1"/>
        <v>0</v>
      </c>
      <c r="BY16" s="61">
        <f t="shared" si="73"/>
        <v>0</v>
      </c>
      <c r="BZ16" s="62">
        <f t="shared" si="52"/>
        <v>0</v>
      </c>
      <c r="CA16" s="98">
        <f t="shared" si="53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4"/>
        <v>0</v>
      </c>
      <c r="CH16" s="62">
        <f t="shared" si="55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6"/>
        <v>0</v>
      </c>
      <c r="CR16" s="102">
        <f t="shared" si="20"/>
        <v>0</v>
      </c>
      <c r="CS16" s="102">
        <f t="shared" si="20"/>
        <v>0</v>
      </c>
      <c r="CT16" s="92">
        <f t="shared" si="57"/>
        <v>0</v>
      </c>
      <c r="CU16" s="92">
        <f t="shared" si="58"/>
        <v>0</v>
      </c>
      <c r="CV16" s="103">
        <f t="shared" si="58"/>
        <v>0</v>
      </c>
      <c r="CW16" s="104"/>
      <c r="CX16" s="105">
        <v>83.56</v>
      </c>
      <c r="CY16" s="106">
        <f t="shared" si="59"/>
        <v>488</v>
      </c>
      <c r="CZ16" s="106">
        <f t="shared" si="60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28"/>
        <v>0</v>
      </c>
      <c r="DO16" s="76">
        <f t="shared" si="28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79">IFERROR(AL16+BF16,"")</f>
        <v>0</v>
      </c>
      <c r="DX16" s="81">
        <f t="shared" si="29"/>
        <v>0</v>
      </c>
      <c r="DY16" s="80">
        <f t="shared" si="62"/>
        <v>0</v>
      </c>
      <c r="DZ16" s="82">
        <f t="shared" si="63"/>
        <v>0</v>
      </c>
      <c r="EA16" s="82">
        <f t="shared" si="64"/>
        <v>0</v>
      </c>
      <c r="EB16" s="82">
        <f t="shared" si="65"/>
        <v>0</v>
      </c>
      <c r="EC16" s="82">
        <f t="shared" si="75"/>
        <v>0</v>
      </c>
      <c r="EF16" s="83">
        <f t="shared" si="76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1"/>
        <v>GWA6063-T5-T18.15x8.6x3-H9A15</v>
      </c>
      <c r="H17" s="46" t="str">
        <f t="shared" si="32"/>
        <v>A6063-T5GW18.158.6TH9</v>
      </c>
      <c r="I17" s="46" t="str">
        <f t="shared" si="33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4"/>
        <v>14</v>
      </c>
      <c r="T17" s="51">
        <f>'31.01'!BG17</f>
        <v>6</v>
      </c>
      <c r="U17" s="92">
        <v>10</v>
      </c>
      <c r="V17" s="89">
        <v>7.7</v>
      </c>
      <c r="W17" s="93">
        <f t="shared" si="5"/>
        <v>0</v>
      </c>
      <c r="X17" s="93">
        <f t="shared" si="6"/>
        <v>1001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57</v>
      </c>
      <c r="AE17" s="93">
        <f t="shared" si="35"/>
        <v>1001</v>
      </c>
      <c r="AF17" s="54">
        <f>AE17+'31.01'!AF17</f>
        <v>2102</v>
      </c>
      <c r="AG17" s="94">
        <f t="shared" si="66"/>
        <v>6</v>
      </c>
      <c r="AH17" s="56">
        <f t="shared" si="13"/>
        <v>0</v>
      </c>
      <c r="AI17" s="89">
        <v>6</v>
      </c>
      <c r="AJ17" s="93">
        <f t="shared" si="67"/>
        <v>0</v>
      </c>
      <c r="AK17" s="95">
        <f t="shared" si="36"/>
        <v>1</v>
      </c>
      <c r="AL17" s="58">
        <f t="shared" si="37"/>
        <v>6</v>
      </c>
      <c r="AM17" s="55">
        <f t="shared" si="68"/>
        <v>10</v>
      </c>
      <c r="AN17" s="93"/>
      <c r="AO17" s="96"/>
      <c r="AP17" s="96">
        <f t="shared" si="77"/>
        <v>3850</v>
      </c>
      <c r="AQ17" s="96"/>
      <c r="AR17" s="96"/>
      <c r="AS17" s="96"/>
      <c r="AT17" s="96"/>
      <c r="AU17" s="96">
        <f t="shared" si="38"/>
        <v>0</v>
      </c>
      <c r="AV17" s="96">
        <f t="shared" si="38"/>
        <v>340</v>
      </c>
      <c r="AW17" s="96">
        <f t="shared" si="39"/>
        <v>4190</v>
      </c>
      <c r="AX17" s="96">
        <f t="shared" si="40"/>
        <v>544</v>
      </c>
      <c r="AY17" s="94">
        <f t="shared" si="69"/>
        <v>-14.199999999999818</v>
      </c>
      <c r="AZ17" s="94">
        <f t="shared" si="41"/>
        <v>-1.8441558441558206</v>
      </c>
      <c r="BA17" s="94">
        <f t="shared" si="42"/>
        <v>10</v>
      </c>
      <c r="BB17" s="97">
        <f t="shared" si="43"/>
        <v>0</v>
      </c>
      <c r="BC17" s="93">
        <v>6</v>
      </c>
      <c r="BD17" s="93">
        <f t="shared" si="44"/>
        <v>0</v>
      </c>
      <c r="BE17" s="95">
        <f t="shared" si="45"/>
        <v>1</v>
      </c>
      <c r="BF17" s="58">
        <f t="shared" si="46"/>
        <v>6</v>
      </c>
      <c r="BG17" s="94">
        <f t="shared" si="47"/>
        <v>4</v>
      </c>
      <c r="BH17" s="89"/>
      <c r="BI17" s="89"/>
      <c r="BJ17" s="92">
        <f t="shared" si="78"/>
        <v>3857.7000000000003</v>
      </c>
      <c r="BK17" s="89"/>
      <c r="BL17" s="89"/>
      <c r="BM17" s="89"/>
      <c r="BN17" s="89"/>
      <c r="BO17" s="92">
        <f t="shared" si="70"/>
        <v>0</v>
      </c>
      <c r="BP17" s="92">
        <f t="shared" si="70"/>
        <v>100</v>
      </c>
      <c r="BQ17" s="96">
        <f t="shared" si="48"/>
        <v>3957.7000000000003</v>
      </c>
      <c r="BR17" s="96">
        <f t="shared" si="49"/>
        <v>513</v>
      </c>
      <c r="BS17" s="96">
        <f t="shared" si="71"/>
        <v>-246.49999999999955</v>
      </c>
      <c r="BT17" s="96">
        <f t="shared" si="50"/>
        <v>-32.012987012986954</v>
      </c>
      <c r="BU17" s="92">
        <f t="shared" si="16"/>
        <v>1001</v>
      </c>
      <c r="BV17" s="98">
        <f t="shared" si="17"/>
        <v>12</v>
      </c>
      <c r="BW17" s="92">
        <f t="shared" si="18"/>
        <v>-33.857142857142776</v>
      </c>
      <c r="BX17" s="98">
        <f t="shared" si="51"/>
        <v>19.692</v>
      </c>
      <c r="BY17" s="61">
        <f t="shared" si="73"/>
        <v>12</v>
      </c>
      <c r="BZ17" s="62">
        <f t="shared" si="52"/>
        <v>12</v>
      </c>
      <c r="CA17" s="98">
        <f t="shared" si="53"/>
        <v>8.1477000000000004</v>
      </c>
      <c r="CB17" s="92">
        <f t="shared" si="19"/>
        <v>1057</v>
      </c>
      <c r="CC17" s="92">
        <f t="shared" si="19"/>
        <v>-260.69999999999936</v>
      </c>
      <c r="CD17" s="92">
        <f t="shared" si="19"/>
        <v>-33.857142857142776</v>
      </c>
      <c r="CE17" s="99"/>
      <c r="CF17" s="99"/>
      <c r="CG17" s="51">
        <f t="shared" si="54"/>
        <v>11.984299999999999</v>
      </c>
      <c r="CH17" s="62">
        <f t="shared" si="55"/>
        <v>11.984299999999999</v>
      </c>
      <c r="CI17" s="89"/>
      <c r="CJ17" s="89">
        <f>500*7.7</f>
        <v>3850</v>
      </c>
      <c r="CK17" s="89"/>
      <c r="CL17" s="96">
        <v>340</v>
      </c>
      <c r="CM17" s="89"/>
      <c r="CN17" s="89">
        <f>501*7.7</f>
        <v>3857.7000000000003</v>
      </c>
      <c r="CO17" s="92"/>
      <c r="CP17" s="101">
        <v>100</v>
      </c>
      <c r="CQ17" s="102">
        <f t="shared" si="56"/>
        <v>500</v>
      </c>
      <c r="CR17" s="102">
        <f t="shared" si="20"/>
        <v>0</v>
      </c>
      <c r="CS17" s="102">
        <f t="shared" si="20"/>
        <v>44</v>
      </c>
      <c r="CT17" s="92">
        <f t="shared" si="57"/>
        <v>501</v>
      </c>
      <c r="CU17" s="92">
        <f t="shared" si="58"/>
        <v>0</v>
      </c>
      <c r="CV17" s="103">
        <f t="shared" si="58"/>
        <v>13</v>
      </c>
      <c r="CW17" s="104"/>
      <c r="CX17" s="105">
        <v>60</v>
      </c>
      <c r="CY17" s="106">
        <f t="shared" si="59"/>
        <v>680</v>
      </c>
      <c r="CZ17" s="106">
        <f t="shared" si="60"/>
        <v>486.00000000000006</v>
      </c>
      <c r="DA17" s="106"/>
      <c r="DB17" s="106"/>
      <c r="DC17" s="105"/>
      <c r="DD17" s="107"/>
      <c r="DE17" s="92">
        <f t="shared" si="21"/>
        <v>500</v>
      </c>
      <c r="DF17" s="108">
        <f t="shared" si="22"/>
        <v>6</v>
      </c>
      <c r="DG17" s="112">
        <f t="shared" si="23"/>
        <v>-1.8441558441558206</v>
      </c>
      <c r="DH17" s="110">
        <f t="shared" si="24"/>
        <v>501</v>
      </c>
      <c r="DI17" s="108">
        <f t="shared" si="25"/>
        <v>6</v>
      </c>
      <c r="DJ17" s="112">
        <f t="shared" si="26"/>
        <v>-32.012987012986954</v>
      </c>
      <c r="DK17" s="110">
        <f t="shared" si="27"/>
        <v>1001</v>
      </c>
      <c r="DL17" s="108">
        <f t="shared" si="27"/>
        <v>12</v>
      </c>
      <c r="DM17" s="111">
        <f t="shared" si="27"/>
        <v>-33.857142857142776</v>
      </c>
      <c r="DN17" s="76">
        <f t="shared" si="28"/>
        <v>6</v>
      </c>
      <c r="DO17" s="76">
        <f t="shared" si="28"/>
        <v>10</v>
      </c>
      <c r="DP17" s="112"/>
      <c r="DQ17" s="112"/>
      <c r="DR17" s="113" t="s">
        <v>421</v>
      </c>
      <c r="DS17" s="112"/>
      <c r="DT17" s="112"/>
      <c r="DU17" s="111"/>
      <c r="DV17" s="114"/>
      <c r="DW17" s="80">
        <f t="shared" si="79"/>
        <v>12</v>
      </c>
      <c r="DX17" s="81">
        <f t="shared" si="29"/>
        <v>979.14285714285722</v>
      </c>
      <c r="DY17" s="80">
        <f t="shared" si="62"/>
        <v>1058</v>
      </c>
      <c r="DZ17" s="82">
        <f t="shared" si="63"/>
        <v>0.43890000000000001</v>
      </c>
      <c r="EA17" s="82">
        <f t="shared" si="64"/>
        <v>7.7077</v>
      </c>
      <c r="EB17" s="82">
        <f t="shared" si="65"/>
        <v>11.984300000000001</v>
      </c>
      <c r="EC17" s="82">
        <f t="shared" si="75"/>
        <v>12.423200000000001</v>
      </c>
      <c r="EF17" s="83">
        <f t="shared" si="76"/>
        <v>-33.857142857142776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1"/>
        <v>GWA6063-T5-T18.15x8.6x3-H9A15</v>
      </c>
      <c r="H18" s="46" t="str">
        <f t="shared" si="32"/>
        <v>A6063-T5GW18.158.6TH9</v>
      </c>
      <c r="I18" s="46" t="str">
        <f t="shared" si="33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4"/>
        <v>16</v>
      </c>
      <c r="T18" s="51">
        <f>'31.01'!BG18</f>
        <v>9</v>
      </c>
      <c r="U18" s="92">
        <v>10</v>
      </c>
      <c r="V18" s="89">
        <v>9.9</v>
      </c>
      <c r="W18" s="93">
        <f t="shared" si="5"/>
        <v>0</v>
      </c>
      <c r="X18" s="93">
        <f t="shared" si="6"/>
        <v>906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54</v>
      </c>
      <c r="AE18" s="93">
        <f t="shared" si="35"/>
        <v>906</v>
      </c>
      <c r="AF18" s="54">
        <f>AE18+'31.01'!AF18</f>
        <v>1346</v>
      </c>
      <c r="AG18" s="94">
        <f t="shared" si="66"/>
        <v>9</v>
      </c>
      <c r="AH18" s="56">
        <f t="shared" si="13"/>
        <v>0</v>
      </c>
      <c r="AI18" s="89">
        <v>8</v>
      </c>
      <c r="AJ18" s="93">
        <f t="shared" si="67"/>
        <v>0</v>
      </c>
      <c r="AK18" s="95">
        <f t="shared" si="36"/>
        <v>1</v>
      </c>
      <c r="AL18" s="58">
        <f t="shared" si="37"/>
        <v>8</v>
      </c>
      <c r="AM18" s="55">
        <f t="shared" si="68"/>
        <v>11</v>
      </c>
      <c r="AN18" s="93"/>
      <c r="AO18" s="96"/>
      <c r="AP18" s="96">
        <f t="shared" si="77"/>
        <v>5256.9000000000005</v>
      </c>
      <c r="AQ18" s="96"/>
      <c r="AR18" s="96"/>
      <c r="AS18" s="96"/>
      <c r="AT18" s="96"/>
      <c r="AU18" s="96">
        <f t="shared" si="38"/>
        <v>0</v>
      </c>
      <c r="AV18" s="96">
        <f t="shared" si="38"/>
        <v>135</v>
      </c>
      <c r="AW18" s="96">
        <f t="shared" si="39"/>
        <v>5391.9000000000005</v>
      </c>
      <c r="AX18" s="96">
        <f t="shared" si="40"/>
        <v>544</v>
      </c>
      <c r="AY18" s="94">
        <f t="shared" si="69"/>
        <v>6.3000000000001819</v>
      </c>
      <c r="AZ18" s="94">
        <f t="shared" si="41"/>
        <v>0.63636363636365467</v>
      </c>
      <c r="BA18" s="94">
        <f t="shared" si="42"/>
        <v>11</v>
      </c>
      <c r="BB18" s="97">
        <f t="shared" si="43"/>
        <v>0</v>
      </c>
      <c r="BC18" s="93">
        <v>6</v>
      </c>
      <c r="BD18" s="93">
        <f t="shared" si="44"/>
        <v>0</v>
      </c>
      <c r="BE18" s="95">
        <f t="shared" si="45"/>
        <v>1</v>
      </c>
      <c r="BF18" s="58">
        <f t="shared" si="46"/>
        <v>6</v>
      </c>
      <c r="BG18" s="94">
        <f t="shared" si="47"/>
        <v>5</v>
      </c>
      <c r="BH18" s="89"/>
      <c r="BI18" s="89"/>
      <c r="BJ18" s="92">
        <f t="shared" si="78"/>
        <v>3712.5</v>
      </c>
      <c r="BK18" s="89"/>
      <c r="BL18" s="89"/>
      <c r="BM18" s="89"/>
      <c r="BN18" s="89"/>
      <c r="BO18" s="92">
        <f t="shared" si="70"/>
        <v>0</v>
      </c>
      <c r="BP18" s="92">
        <f t="shared" si="70"/>
        <v>400</v>
      </c>
      <c r="BQ18" s="96">
        <f t="shared" si="48"/>
        <v>4112.5</v>
      </c>
      <c r="BR18" s="96">
        <f t="shared" si="49"/>
        <v>415</v>
      </c>
      <c r="BS18" s="96">
        <f t="shared" si="71"/>
        <v>73.299999999999727</v>
      </c>
      <c r="BT18" s="96">
        <f t="shared" si="50"/>
        <v>7.4040404040403764</v>
      </c>
      <c r="BU18" s="92">
        <f t="shared" si="16"/>
        <v>906</v>
      </c>
      <c r="BV18" s="98">
        <f t="shared" si="17"/>
        <v>14</v>
      </c>
      <c r="BW18" s="92">
        <f t="shared" si="18"/>
        <v>8.0404040404040309</v>
      </c>
      <c r="BX18" s="98">
        <f t="shared" si="51"/>
        <v>22.974</v>
      </c>
      <c r="BY18" s="61">
        <f t="shared" si="73"/>
        <v>14</v>
      </c>
      <c r="BZ18" s="62">
        <f t="shared" si="52"/>
        <v>14</v>
      </c>
      <c r="CA18" s="98">
        <f t="shared" si="53"/>
        <v>9.5044000000000022</v>
      </c>
      <c r="CB18" s="92">
        <f t="shared" si="19"/>
        <v>959</v>
      </c>
      <c r="CC18" s="92">
        <f t="shared" si="19"/>
        <v>79.599999999999909</v>
      </c>
      <c r="CD18" s="92">
        <f t="shared" si="19"/>
        <v>8.0404040404040309</v>
      </c>
      <c r="CE18" s="99"/>
      <c r="CF18" s="99"/>
      <c r="CG18" s="51">
        <f t="shared" si="54"/>
        <v>14.004599999999998</v>
      </c>
      <c r="CH18" s="62">
        <f t="shared" si="55"/>
        <v>14.004599999999998</v>
      </c>
      <c r="CI18" s="89"/>
      <c r="CJ18" s="89">
        <f>531*9.9</f>
        <v>5256.9000000000005</v>
      </c>
      <c r="CK18" s="89"/>
      <c r="CL18" s="96">
        <v>135</v>
      </c>
      <c r="CM18" s="89"/>
      <c r="CN18" s="89">
        <f>375*9.9</f>
        <v>3712.5</v>
      </c>
      <c r="CO18" s="92"/>
      <c r="CP18" s="101">
        <v>400</v>
      </c>
      <c r="CQ18" s="102">
        <f t="shared" si="56"/>
        <v>531</v>
      </c>
      <c r="CR18" s="102">
        <f t="shared" si="20"/>
        <v>0</v>
      </c>
      <c r="CS18" s="102">
        <f t="shared" si="20"/>
        <v>13</v>
      </c>
      <c r="CT18" s="92">
        <f t="shared" si="57"/>
        <v>375</v>
      </c>
      <c r="CU18" s="92">
        <f t="shared" si="58"/>
        <v>0</v>
      </c>
      <c r="CV18" s="103">
        <f t="shared" si="58"/>
        <v>41</v>
      </c>
      <c r="CW18" s="104"/>
      <c r="CX18" s="105">
        <v>79.33</v>
      </c>
      <c r="CY18" s="106">
        <f t="shared" si="59"/>
        <v>510</v>
      </c>
      <c r="CZ18" s="106">
        <f t="shared" si="60"/>
        <v>642.57299999999998</v>
      </c>
      <c r="DA18" s="106"/>
      <c r="DB18" s="106"/>
      <c r="DC18" s="105"/>
      <c r="DD18" s="107"/>
      <c r="DE18" s="92">
        <f t="shared" si="21"/>
        <v>531</v>
      </c>
      <c r="DF18" s="108">
        <f t="shared" si="22"/>
        <v>8</v>
      </c>
      <c r="DG18" s="112">
        <f t="shared" si="23"/>
        <v>0.63636363636365467</v>
      </c>
      <c r="DH18" s="110">
        <f t="shared" si="24"/>
        <v>375</v>
      </c>
      <c r="DI18" s="108">
        <f t="shared" si="25"/>
        <v>6</v>
      </c>
      <c r="DJ18" s="112">
        <f t="shared" si="26"/>
        <v>7.4040404040403764</v>
      </c>
      <c r="DK18" s="110">
        <f t="shared" si="27"/>
        <v>906</v>
      </c>
      <c r="DL18" s="108">
        <f t="shared" si="27"/>
        <v>14</v>
      </c>
      <c r="DM18" s="111">
        <f t="shared" si="27"/>
        <v>8.0404040404040309</v>
      </c>
      <c r="DN18" s="76">
        <f t="shared" si="28"/>
        <v>9</v>
      </c>
      <c r="DO18" s="76">
        <f t="shared" si="28"/>
        <v>10</v>
      </c>
      <c r="DP18" s="112"/>
      <c r="DQ18" s="112"/>
      <c r="DR18" s="113" t="s">
        <v>422</v>
      </c>
      <c r="DS18" s="112"/>
      <c r="DT18" s="112"/>
      <c r="DU18" s="111"/>
      <c r="DV18" s="114"/>
      <c r="DW18" s="80">
        <f t="shared" si="79"/>
        <v>14</v>
      </c>
      <c r="DX18" s="81">
        <f t="shared" si="29"/>
        <v>928.04040404040404</v>
      </c>
      <c r="DY18" s="80">
        <f t="shared" si="62"/>
        <v>960</v>
      </c>
      <c r="DZ18" s="82">
        <f t="shared" si="63"/>
        <v>0.53460000000000008</v>
      </c>
      <c r="EA18" s="82">
        <f t="shared" si="64"/>
        <v>8.9694000000000003</v>
      </c>
      <c r="EB18" s="82">
        <f t="shared" si="65"/>
        <v>14.0046</v>
      </c>
      <c r="EC18" s="82">
        <f t="shared" si="75"/>
        <v>14.539199999999999</v>
      </c>
      <c r="EF18" s="83">
        <f t="shared" si="76"/>
        <v>8.0404040404040309</v>
      </c>
    </row>
    <row r="19" spans="1:136">
      <c r="A19" s="84">
        <v>12</v>
      </c>
      <c r="B19" s="85" t="s">
        <v>169</v>
      </c>
      <c r="C19" s="86"/>
      <c r="D19" s="116" t="s">
        <v>170</v>
      </c>
      <c r="E19" s="88">
        <v>104</v>
      </c>
      <c r="F19" s="89" t="s">
        <v>136</v>
      </c>
      <c r="G19" s="45" t="str">
        <f t="shared" si="31"/>
        <v>TV12L14-12x3-H9B14</v>
      </c>
      <c r="H19" s="46" t="str">
        <f t="shared" si="32"/>
        <v>12L14TV120DH9</v>
      </c>
      <c r="I19" s="46" t="str">
        <f t="shared" si="33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4"/>
        <v>20</v>
      </c>
      <c r="T19" s="51">
        <f>'31.01'!BG19</f>
        <v>0</v>
      </c>
      <c r="U19" s="92"/>
      <c r="V19" s="89">
        <v>10.6</v>
      </c>
      <c r="W19" s="93">
        <f t="shared" si="5"/>
        <v>0</v>
      </c>
      <c r="X19" s="93">
        <f t="shared" si="6"/>
        <v>0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0</v>
      </c>
      <c r="AE19" s="93">
        <f t="shared" si="35"/>
        <v>0</v>
      </c>
      <c r="AF19" s="54">
        <f>AE19+'31.01'!AF19</f>
        <v>0</v>
      </c>
      <c r="AG19" s="94">
        <f t="shared" si="66"/>
        <v>0</v>
      </c>
      <c r="AH19" s="56">
        <f t="shared" si="13"/>
        <v>0</v>
      </c>
      <c r="AI19" s="89"/>
      <c r="AJ19" s="93">
        <f t="shared" si="67"/>
        <v>0</v>
      </c>
      <c r="AK19" s="95">
        <f t="shared" si="36"/>
        <v>1</v>
      </c>
      <c r="AL19" s="58">
        <f t="shared" si="37"/>
        <v>0</v>
      </c>
      <c r="AM19" s="55">
        <f t="shared" si="68"/>
        <v>0</v>
      </c>
      <c r="AN19" s="93"/>
      <c r="AO19" s="96"/>
      <c r="AP19" s="96">
        <f t="shared" si="77"/>
        <v>0</v>
      </c>
      <c r="AQ19" s="96"/>
      <c r="AR19" s="96"/>
      <c r="AS19" s="96"/>
      <c r="AT19" s="96"/>
      <c r="AU19" s="96">
        <f t="shared" si="38"/>
        <v>0</v>
      </c>
      <c r="AV19" s="96">
        <f t="shared" si="38"/>
        <v>0</v>
      </c>
      <c r="AW19" s="96">
        <f>SUM(AO19:AV19)</f>
        <v>0</v>
      </c>
      <c r="AX19" s="96">
        <f t="shared" si="40"/>
        <v>0</v>
      </c>
      <c r="AY19" s="94">
        <f t="shared" si="69"/>
        <v>0</v>
      </c>
      <c r="AZ19" s="94">
        <f t="shared" si="41"/>
        <v>0</v>
      </c>
      <c r="BA19" s="94">
        <f t="shared" si="42"/>
        <v>0</v>
      </c>
      <c r="BB19" s="97">
        <f t="shared" si="43"/>
        <v>0</v>
      </c>
      <c r="BC19" s="93"/>
      <c r="BD19" s="93">
        <f t="shared" si="44"/>
        <v>0</v>
      </c>
      <c r="BE19" s="95">
        <f t="shared" si="45"/>
        <v>1</v>
      </c>
      <c r="BF19" s="58">
        <f t="shared" si="46"/>
        <v>0</v>
      </c>
      <c r="BG19" s="94">
        <f t="shared" si="47"/>
        <v>0</v>
      </c>
      <c r="BH19" s="89"/>
      <c r="BI19" s="89"/>
      <c r="BJ19" s="92">
        <f t="shared" si="78"/>
        <v>0</v>
      </c>
      <c r="BK19" s="89"/>
      <c r="BL19" s="89"/>
      <c r="BM19" s="89"/>
      <c r="BN19" s="89"/>
      <c r="BO19" s="92">
        <f t="shared" si="70"/>
        <v>0</v>
      </c>
      <c r="BP19" s="92">
        <f t="shared" si="70"/>
        <v>0</v>
      </c>
      <c r="BQ19" s="96">
        <f t="shared" si="48"/>
        <v>0</v>
      </c>
      <c r="BR19" s="96">
        <f t="shared" si="49"/>
        <v>0</v>
      </c>
      <c r="BS19" s="96">
        <f t="shared" si="71"/>
        <v>0</v>
      </c>
      <c r="BT19" s="96">
        <f t="shared" si="50"/>
        <v>0</v>
      </c>
      <c r="BU19" s="92">
        <f t="shared" si="16"/>
        <v>0</v>
      </c>
      <c r="BV19" s="98">
        <f t="shared" si="17"/>
        <v>0</v>
      </c>
      <c r="BW19" s="92">
        <f t="shared" si="18"/>
        <v>0</v>
      </c>
      <c r="BX19" s="98">
        <f t="shared" si="51"/>
        <v>0</v>
      </c>
      <c r="BY19" s="61">
        <f t="shared" si="73"/>
        <v>0</v>
      </c>
      <c r="BZ19" s="62">
        <f t="shared" si="52"/>
        <v>0</v>
      </c>
      <c r="CA19" s="98">
        <f t="shared" si="53"/>
        <v>0</v>
      </c>
      <c r="CB19" s="92">
        <f t="shared" si="19"/>
        <v>0</v>
      </c>
      <c r="CC19" s="92">
        <f t="shared" si="19"/>
        <v>0</v>
      </c>
      <c r="CD19" s="92">
        <f t="shared" si="19"/>
        <v>0</v>
      </c>
      <c r="CE19" s="99"/>
      <c r="CF19" s="99"/>
      <c r="CG19" s="51">
        <f t="shared" si="54"/>
        <v>0</v>
      </c>
      <c r="CH19" s="62">
        <f t="shared" si="55"/>
        <v>0</v>
      </c>
      <c r="CI19" s="89"/>
      <c r="CJ19" s="89"/>
      <c r="CK19" s="89"/>
      <c r="CL19" s="96"/>
      <c r="CM19" s="89"/>
      <c r="CN19" s="89"/>
      <c r="CO19" s="92"/>
      <c r="CP19" s="101"/>
      <c r="CQ19" s="102">
        <f t="shared" si="56"/>
        <v>0</v>
      </c>
      <c r="CR19" s="102">
        <f t="shared" si="20"/>
        <v>0</v>
      </c>
      <c r="CS19" s="102">
        <f t="shared" si="20"/>
        <v>0</v>
      </c>
      <c r="CT19" s="92">
        <f t="shared" si="57"/>
        <v>0</v>
      </c>
      <c r="CU19" s="92">
        <f t="shared" si="58"/>
        <v>0</v>
      </c>
      <c r="CV19" s="103">
        <f t="shared" si="58"/>
        <v>0</v>
      </c>
      <c r="CW19" s="104"/>
      <c r="CX19" s="105">
        <v>37.89</v>
      </c>
      <c r="CY19" s="106">
        <f t="shared" si="59"/>
        <v>1053</v>
      </c>
      <c r="CZ19" s="106">
        <f t="shared" si="60"/>
        <v>306.90900000000005</v>
      </c>
      <c r="DA19" s="106"/>
      <c r="DB19" s="106"/>
      <c r="DC19" s="105"/>
      <c r="DD19" s="107"/>
      <c r="DE19" s="92">
        <f t="shared" si="21"/>
        <v>0</v>
      </c>
      <c r="DF19" s="108">
        <f t="shared" si="22"/>
        <v>0</v>
      </c>
      <c r="DG19" s="112">
        <f t="shared" si="23"/>
        <v>0</v>
      </c>
      <c r="DH19" s="110">
        <f t="shared" si="24"/>
        <v>0</v>
      </c>
      <c r="DI19" s="108">
        <f t="shared" si="25"/>
        <v>0</v>
      </c>
      <c r="DJ19" s="112">
        <f t="shared" si="26"/>
        <v>0</v>
      </c>
      <c r="DK19" s="110">
        <f t="shared" si="27"/>
        <v>0</v>
      </c>
      <c r="DL19" s="108">
        <f t="shared" si="27"/>
        <v>0</v>
      </c>
      <c r="DM19" s="111">
        <f t="shared" si="27"/>
        <v>0</v>
      </c>
      <c r="DN19" s="76">
        <f t="shared" si="28"/>
        <v>0</v>
      </c>
      <c r="DO19" s="76">
        <f t="shared" si="28"/>
        <v>0</v>
      </c>
      <c r="DP19" s="112"/>
      <c r="DQ19" s="112"/>
      <c r="DR19" s="113"/>
      <c r="DS19" s="112"/>
      <c r="DT19" s="112"/>
      <c r="DU19" s="111"/>
      <c r="DV19" s="114"/>
      <c r="DW19" s="80">
        <f t="shared" si="79"/>
        <v>0</v>
      </c>
      <c r="DX19" s="81">
        <f t="shared" si="29"/>
        <v>0</v>
      </c>
      <c r="DY19" s="80">
        <f t="shared" si="62"/>
        <v>0</v>
      </c>
      <c r="DZ19" s="82">
        <f t="shared" si="63"/>
        <v>0</v>
      </c>
      <c r="EA19" s="82">
        <f t="shared" si="64"/>
        <v>0</v>
      </c>
      <c r="EB19" s="82">
        <f t="shared" si="65"/>
        <v>0</v>
      </c>
      <c r="EC19" s="82">
        <f t="shared" si="75"/>
        <v>0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1"/>
        <v>GWA6063-T5-8.3x3-H9B14</v>
      </c>
      <c r="H20" s="46" t="str">
        <f t="shared" si="32"/>
        <v>A6063-T5GW8.30DH9</v>
      </c>
      <c r="I20" s="46" t="str">
        <f t="shared" si="33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4"/>
        <v>18</v>
      </c>
      <c r="T20" s="51">
        <f>'31.01'!BG20</f>
        <v>41</v>
      </c>
      <c r="U20" s="92"/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35"/>
        <v>0</v>
      </c>
      <c r="AF20" s="54">
        <f>AE20+'31.01'!AF20</f>
        <v>848</v>
      </c>
      <c r="AG20" s="94">
        <f t="shared" si="66"/>
        <v>41</v>
      </c>
      <c r="AH20" s="56">
        <f t="shared" si="13"/>
        <v>0</v>
      </c>
      <c r="AI20" s="100"/>
      <c r="AJ20" s="93">
        <f t="shared" si="67"/>
        <v>0</v>
      </c>
      <c r="AK20" s="95">
        <f t="shared" si="36"/>
        <v>1</v>
      </c>
      <c r="AL20" s="58">
        <f t="shared" si="37"/>
        <v>0</v>
      </c>
      <c r="AM20" s="55">
        <f t="shared" si="68"/>
        <v>41</v>
      </c>
      <c r="AN20" s="93"/>
      <c r="AO20" s="96"/>
      <c r="AP20" s="96"/>
      <c r="AQ20" s="96"/>
      <c r="AR20" s="96"/>
      <c r="AS20" s="96"/>
      <c r="AT20" s="96">
        <f t="shared" ref="AT20" si="80">$CJ20</f>
        <v>0</v>
      </c>
      <c r="AU20" s="96">
        <f t="shared" si="38"/>
        <v>0</v>
      </c>
      <c r="AV20" s="96">
        <f t="shared" si="38"/>
        <v>0</v>
      </c>
      <c r="AW20" s="96">
        <f t="shared" si="39"/>
        <v>0</v>
      </c>
      <c r="AX20" s="96">
        <f t="shared" si="40"/>
        <v>0</v>
      </c>
      <c r="AY20" s="94">
        <f t="shared" si="69"/>
        <v>0</v>
      </c>
      <c r="AZ20" s="94">
        <f t="shared" si="41"/>
        <v>0</v>
      </c>
      <c r="BA20" s="94">
        <f t="shared" si="42"/>
        <v>41</v>
      </c>
      <c r="BB20" s="97">
        <f t="shared" si="43"/>
        <v>0</v>
      </c>
      <c r="BC20" s="93"/>
      <c r="BD20" s="93">
        <f t="shared" si="44"/>
        <v>0</v>
      </c>
      <c r="BE20" s="95">
        <f t="shared" si="45"/>
        <v>1</v>
      </c>
      <c r="BF20" s="58">
        <f t="shared" si="46"/>
        <v>0</v>
      </c>
      <c r="BG20" s="94">
        <f t="shared" si="47"/>
        <v>41</v>
      </c>
      <c r="BH20" s="89"/>
      <c r="BI20" s="89"/>
      <c r="BJ20" s="92"/>
      <c r="BK20" s="89"/>
      <c r="BL20" s="89"/>
      <c r="BM20" s="89"/>
      <c r="BN20" s="92">
        <f t="shared" ref="BN20" si="81">$CN20</f>
        <v>0</v>
      </c>
      <c r="BO20" s="92">
        <f t="shared" si="70"/>
        <v>0</v>
      </c>
      <c r="BP20" s="92">
        <f t="shared" si="70"/>
        <v>0</v>
      </c>
      <c r="BQ20" s="96">
        <f t="shared" si="48"/>
        <v>0</v>
      </c>
      <c r="BR20" s="96">
        <f t="shared" si="49"/>
        <v>0</v>
      </c>
      <c r="BS20" s="96">
        <f t="shared" si="71"/>
        <v>0</v>
      </c>
      <c r="BT20" s="96">
        <f t="shared" si="50"/>
        <v>0</v>
      </c>
      <c r="BU20" s="92">
        <f t="shared" si="16"/>
        <v>0</v>
      </c>
      <c r="BV20" s="98">
        <f t="shared" si="17"/>
        <v>0</v>
      </c>
      <c r="BW20" s="92">
        <f t="shared" si="18"/>
        <v>0</v>
      </c>
      <c r="BX20" s="98">
        <f t="shared" si="51"/>
        <v>0</v>
      </c>
      <c r="BY20" s="61">
        <f t="shared" si="73"/>
        <v>0</v>
      </c>
      <c r="BZ20" s="62">
        <f t="shared" si="52"/>
        <v>0</v>
      </c>
      <c r="CA20" s="98">
        <f t="shared" si="53"/>
        <v>0</v>
      </c>
      <c r="CB20" s="92">
        <f t="shared" si="19"/>
        <v>0</v>
      </c>
      <c r="CC20" s="92">
        <f t="shared" si="19"/>
        <v>0</v>
      </c>
      <c r="CD20" s="92">
        <f t="shared" si="19"/>
        <v>0</v>
      </c>
      <c r="CE20" s="99"/>
      <c r="CF20" s="99"/>
      <c r="CG20" s="51">
        <f t="shared" si="54"/>
        <v>0</v>
      </c>
      <c r="CH20" s="62">
        <f t="shared" si="55"/>
        <v>0</v>
      </c>
      <c r="CI20" s="89"/>
      <c r="CJ20" s="89"/>
      <c r="CK20" s="89"/>
      <c r="CL20" s="96"/>
      <c r="CM20" s="89"/>
      <c r="CN20" s="89"/>
      <c r="CO20" s="92"/>
      <c r="CP20" s="101"/>
      <c r="CQ20" s="102">
        <f t="shared" si="56"/>
        <v>0</v>
      </c>
      <c r="CR20" s="102">
        <f t="shared" si="20"/>
        <v>0</v>
      </c>
      <c r="CS20" s="102">
        <f t="shared" si="20"/>
        <v>0</v>
      </c>
      <c r="CT20" s="92">
        <f t="shared" si="57"/>
        <v>0</v>
      </c>
      <c r="CU20" s="92">
        <f t="shared" si="58"/>
        <v>0</v>
      </c>
      <c r="CV20" s="103">
        <f t="shared" si="58"/>
        <v>0</v>
      </c>
      <c r="CW20" s="104"/>
      <c r="CX20" s="105">
        <v>15</v>
      </c>
      <c r="CY20" s="106">
        <f t="shared" si="59"/>
        <v>2680</v>
      </c>
      <c r="CZ20" s="106">
        <f t="shared" si="60"/>
        <v>121.50000000000001</v>
      </c>
      <c r="DA20" s="106"/>
      <c r="DB20" s="106"/>
      <c r="DC20" s="105"/>
      <c r="DD20" s="107"/>
      <c r="DE20" s="92">
        <f t="shared" si="21"/>
        <v>0</v>
      </c>
      <c r="DF20" s="108">
        <f t="shared" si="22"/>
        <v>0</v>
      </c>
      <c r="DG20" s="112">
        <f t="shared" si="23"/>
        <v>0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0</v>
      </c>
      <c r="DL20" s="108">
        <f t="shared" si="27"/>
        <v>0</v>
      </c>
      <c r="DM20" s="111">
        <f t="shared" si="27"/>
        <v>0</v>
      </c>
      <c r="DN20" s="76">
        <f t="shared" si="28"/>
        <v>41</v>
      </c>
      <c r="DO20" s="76">
        <f t="shared" si="28"/>
        <v>0</v>
      </c>
      <c r="DP20" s="112"/>
      <c r="DQ20" s="112"/>
      <c r="DR20" s="113" t="s">
        <v>424</v>
      </c>
      <c r="DS20" s="112"/>
      <c r="DT20" s="112"/>
      <c r="DU20" s="111"/>
      <c r="DV20" s="114"/>
      <c r="DW20" s="80">
        <f t="shared" si="61"/>
        <v>0</v>
      </c>
      <c r="DX20" s="81">
        <f t="shared" si="29"/>
        <v>0</v>
      </c>
      <c r="DY20" s="80">
        <f t="shared" si="62"/>
        <v>0</v>
      </c>
      <c r="DZ20" s="82">
        <f t="shared" si="63"/>
        <v>0</v>
      </c>
      <c r="EA20" s="82">
        <f t="shared" si="64"/>
        <v>0</v>
      </c>
      <c r="EB20" s="82">
        <f t="shared" si="65"/>
        <v>0</v>
      </c>
      <c r="EC20" s="82">
        <f t="shared" si="75"/>
        <v>0</v>
      </c>
      <c r="EF20" s="83">
        <f t="shared" ref="EF20:EF25" si="82">DG20+DJ20</f>
        <v>0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1"/>
        <v>TV12L14-11x2.5-H9C14</v>
      </c>
      <c r="H21" s="123" t="str">
        <f t="shared" si="32"/>
        <v>12L14TV110DH9</v>
      </c>
      <c r="I21" s="123" t="str">
        <f t="shared" si="33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4"/>
        <v>10</v>
      </c>
      <c r="T21" s="51">
        <f>'31.01'!BG21</f>
        <v>3.7800000000000002</v>
      </c>
      <c r="U21" s="124">
        <v>17</v>
      </c>
      <c r="V21" s="100">
        <v>2</v>
      </c>
      <c r="W21" s="125">
        <f t="shared" si="5"/>
        <v>0</v>
      </c>
      <c r="X21" s="125">
        <f t="shared" si="6"/>
        <v>2264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217</v>
      </c>
      <c r="AE21" s="125">
        <f t="shared" si="35"/>
        <v>2264</v>
      </c>
      <c r="AF21" s="54">
        <f>AE21+'31.01'!AF21</f>
        <v>5511</v>
      </c>
      <c r="AG21" s="94">
        <f t="shared" si="66"/>
        <v>3.7800000000000002</v>
      </c>
      <c r="AH21" s="56">
        <f t="shared" si="13"/>
        <v>0.78</v>
      </c>
      <c r="AI21" s="89">
        <v>4</v>
      </c>
      <c r="AJ21" s="93">
        <f t="shared" si="67"/>
        <v>0</v>
      </c>
      <c r="AK21" s="95">
        <f t="shared" si="36"/>
        <v>1</v>
      </c>
      <c r="AL21" s="58">
        <f t="shared" si="37"/>
        <v>4.78</v>
      </c>
      <c r="AM21" s="55">
        <f t="shared" si="68"/>
        <v>16</v>
      </c>
      <c r="AN21" s="125"/>
      <c r="AO21" s="126"/>
      <c r="AP21" s="126">
        <f t="shared" ref="AP21" si="83">$CJ21</f>
        <v>2100</v>
      </c>
      <c r="AQ21" s="126"/>
      <c r="AR21" s="126"/>
      <c r="AS21" s="126"/>
      <c r="AT21" s="126"/>
      <c r="AU21" s="126">
        <f t="shared" si="38"/>
        <v>0</v>
      </c>
      <c r="AV21" s="126">
        <f t="shared" si="38"/>
        <v>267</v>
      </c>
      <c r="AW21" s="126">
        <f t="shared" si="39"/>
        <v>2367</v>
      </c>
      <c r="AX21" s="126">
        <f t="shared" si="40"/>
        <v>1183</v>
      </c>
      <c r="AY21" s="94">
        <f t="shared" si="69"/>
        <v>-338.48</v>
      </c>
      <c r="AZ21" s="94">
        <f t="shared" si="41"/>
        <v>-169.24</v>
      </c>
      <c r="BA21" s="94">
        <f t="shared" si="42"/>
        <v>16</v>
      </c>
      <c r="BB21" s="97">
        <f t="shared" si="43"/>
        <v>0</v>
      </c>
      <c r="BC21" s="125">
        <v>5</v>
      </c>
      <c r="BD21" s="93">
        <f t="shared" si="44"/>
        <v>0</v>
      </c>
      <c r="BE21" s="127">
        <f t="shared" si="45"/>
        <v>1</v>
      </c>
      <c r="BF21" s="58">
        <f t="shared" si="46"/>
        <v>5</v>
      </c>
      <c r="BG21" s="94">
        <f t="shared" si="47"/>
        <v>11</v>
      </c>
      <c r="BH21" s="100"/>
      <c r="BI21" s="100"/>
      <c r="BJ21" s="92">
        <f t="shared" ref="BJ21" si="84">$CN21</f>
        <v>2429</v>
      </c>
      <c r="BK21" s="100"/>
      <c r="BL21" s="100"/>
      <c r="BM21" s="100"/>
      <c r="BN21" s="92"/>
      <c r="BO21" s="124">
        <f t="shared" si="70"/>
        <v>0</v>
      </c>
      <c r="BP21" s="124">
        <f t="shared" si="70"/>
        <v>168</v>
      </c>
      <c r="BQ21" s="126">
        <f t="shared" si="48"/>
        <v>2597</v>
      </c>
      <c r="BR21" s="126">
        <f t="shared" si="49"/>
        <v>1298</v>
      </c>
      <c r="BS21" s="126">
        <f t="shared" si="71"/>
        <v>-233</v>
      </c>
      <c r="BT21" s="126">
        <f t="shared" si="50"/>
        <v>-116.5</v>
      </c>
      <c r="BU21" s="124">
        <f t="shared" si="16"/>
        <v>2264</v>
      </c>
      <c r="BV21" s="128">
        <f t="shared" si="17"/>
        <v>9.7800000000000011</v>
      </c>
      <c r="BW21" s="124">
        <f t="shared" si="18"/>
        <v>-285.74</v>
      </c>
      <c r="BX21" s="128" t="str">
        <f t="shared" si="51"/>
        <v/>
      </c>
      <c r="BY21" s="129">
        <f t="shared" si="73"/>
        <v>9.7800000000000011</v>
      </c>
      <c r="BZ21" s="62">
        <f t="shared" si="52"/>
        <v>9.7800000000000011</v>
      </c>
      <c r="CA21" s="128">
        <f t="shared" si="53"/>
        <v>4.9640000000000004</v>
      </c>
      <c r="CB21" s="124">
        <f t="shared" si="19"/>
        <v>2481</v>
      </c>
      <c r="CC21" s="124">
        <f t="shared" si="19"/>
        <v>-571.48</v>
      </c>
      <c r="CD21" s="124">
        <f t="shared" si="19"/>
        <v>-285.74</v>
      </c>
      <c r="CE21" s="100"/>
      <c r="CF21" s="100"/>
      <c r="CG21" s="51">
        <f t="shared" si="54"/>
        <v>0</v>
      </c>
      <c r="CH21" s="62">
        <f t="shared" si="55"/>
        <v>0</v>
      </c>
      <c r="CI21" s="100"/>
      <c r="CJ21" s="100">
        <v>2100</v>
      </c>
      <c r="CK21" s="100"/>
      <c r="CL21" s="126">
        <v>267</v>
      </c>
      <c r="CM21" s="100"/>
      <c r="CN21" s="100">
        <v>2429</v>
      </c>
      <c r="CO21" s="124"/>
      <c r="CP21" s="130">
        <v>168</v>
      </c>
      <c r="CQ21" s="102">
        <f t="shared" si="56"/>
        <v>1050</v>
      </c>
      <c r="CR21" s="102">
        <f t="shared" si="20"/>
        <v>0</v>
      </c>
      <c r="CS21" s="102">
        <f t="shared" si="20"/>
        <v>133</v>
      </c>
      <c r="CT21" s="92">
        <f t="shared" si="57"/>
        <v>1214</v>
      </c>
      <c r="CU21" s="92">
        <f t="shared" si="58"/>
        <v>0</v>
      </c>
      <c r="CV21" s="103">
        <f t="shared" si="58"/>
        <v>84</v>
      </c>
      <c r="CW21" s="131"/>
      <c r="CX21" s="132">
        <v>30</v>
      </c>
      <c r="CY21" s="133">
        <f t="shared" si="59"/>
        <v>1380</v>
      </c>
      <c r="CZ21" s="133">
        <f t="shared" si="60"/>
        <v>243.00000000000003</v>
      </c>
      <c r="DA21" s="133"/>
      <c r="DB21" s="133"/>
      <c r="DC21" s="132"/>
      <c r="DD21" s="134"/>
      <c r="DE21" s="124">
        <f t="shared" si="21"/>
        <v>1050</v>
      </c>
      <c r="DF21" s="135">
        <f t="shared" si="22"/>
        <v>4.78</v>
      </c>
      <c r="DG21" s="112">
        <f t="shared" si="23"/>
        <v>-169.24</v>
      </c>
      <c r="DH21" s="136">
        <f t="shared" si="24"/>
        <v>1214</v>
      </c>
      <c r="DI21" s="135">
        <f t="shared" si="25"/>
        <v>5</v>
      </c>
      <c r="DJ21" s="115">
        <f t="shared" si="26"/>
        <v>-116.5</v>
      </c>
      <c r="DK21" s="136">
        <f t="shared" si="27"/>
        <v>2264</v>
      </c>
      <c r="DL21" s="135">
        <f t="shared" si="27"/>
        <v>9.7800000000000011</v>
      </c>
      <c r="DM21" s="137">
        <f t="shared" si="27"/>
        <v>-285.74</v>
      </c>
      <c r="DN21" s="76">
        <f t="shared" si="28"/>
        <v>3.7800000000000002</v>
      </c>
      <c r="DO21" s="76">
        <f t="shared" si="28"/>
        <v>17</v>
      </c>
      <c r="DP21" s="115"/>
      <c r="DQ21" s="115"/>
      <c r="DR21" s="138" t="s">
        <v>423</v>
      </c>
      <c r="DS21" s="115"/>
      <c r="DT21" s="115"/>
      <c r="DU21" s="137"/>
      <c r="DV21" s="139"/>
      <c r="DW21" s="140">
        <f t="shared" si="61"/>
        <v>2273.7800000000002</v>
      </c>
      <c r="DX21" s="141">
        <f t="shared" si="29"/>
        <v>1988.0400000000002</v>
      </c>
      <c r="DY21" s="140">
        <f t="shared" si="62"/>
        <v>2481</v>
      </c>
      <c r="DZ21" s="142">
        <f t="shared" si="63"/>
        <v>0.434</v>
      </c>
      <c r="EA21" s="142">
        <f t="shared" si="64"/>
        <v>4.5279999999999996</v>
      </c>
      <c r="EB21" s="142" t="e">
        <f t="shared" si="65"/>
        <v>#VALUE!</v>
      </c>
      <c r="EC21" s="142" t="e">
        <f t="shared" si="75"/>
        <v>#VALUE!</v>
      </c>
      <c r="EF21" s="83">
        <f t="shared" si="82"/>
        <v>-285.74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1"/>
        <v>TV12L14-5.97x2.5-H9B14</v>
      </c>
      <c r="H22" s="46" t="str">
        <f t="shared" si="32"/>
        <v>12L14TV5.970DH9</v>
      </c>
      <c r="I22" s="46" t="str">
        <f t="shared" si="33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4"/>
        <v>48</v>
      </c>
      <c r="T22" s="51">
        <f>'31.01'!BG22</f>
        <v>67</v>
      </c>
      <c r="U22" s="92">
        <v>33</v>
      </c>
      <c r="V22" s="89">
        <v>4.45</v>
      </c>
      <c r="W22" s="93">
        <f t="shared" si="5"/>
        <v>0</v>
      </c>
      <c r="X22" s="93">
        <f t="shared" si="6"/>
        <v>505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0</v>
      </c>
      <c r="AE22" s="93">
        <f t="shared" si="35"/>
        <v>505</v>
      </c>
      <c r="AF22" s="54">
        <f>AE22+'31.01'!AF22</f>
        <v>1830</v>
      </c>
      <c r="AG22" s="94">
        <f t="shared" si="66"/>
        <v>67</v>
      </c>
      <c r="AH22" s="56">
        <f t="shared" si="13"/>
        <v>0</v>
      </c>
      <c r="AI22" s="93">
        <v>13</v>
      </c>
      <c r="AJ22" s="93">
        <f t="shared" si="67"/>
        <v>0</v>
      </c>
      <c r="AK22" s="95">
        <f t="shared" si="36"/>
        <v>1</v>
      </c>
      <c r="AL22" s="58">
        <f t="shared" si="37"/>
        <v>13</v>
      </c>
      <c r="AM22" s="55">
        <f t="shared" si="68"/>
        <v>87</v>
      </c>
      <c r="AN22" s="93"/>
      <c r="AO22" s="96"/>
      <c r="AP22" s="96">
        <f>$CJ22</f>
        <v>2248</v>
      </c>
      <c r="AQ22" s="96"/>
      <c r="AR22" s="96"/>
      <c r="AS22" s="96"/>
      <c r="AT22" s="96"/>
      <c r="AU22" s="96">
        <f t="shared" si="38"/>
        <v>0</v>
      </c>
      <c r="AV22" s="96">
        <f t="shared" si="38"/>
        <v>0</v>
      </c>
      <c r="AW22" s="96">
        <f t="shared" si="39"/>
        <v>2248</v>
      </c>
      <c r="AX22" s="96">
        <f t="shared" si="40"/>
        <v>505</v>
      </c>
      <c r="AY22" s="94">
        <f t="shared" si="69"/>
        <v>-66</v>
      </c>
      <c r="AZ22" s="94">
        <f t="shared" si="41"/>
        <v>-14.831460674157302</v>
      </c>
      <c r="BA22" s="94">
        <f t="shared" si="42"/>
        <v>87</v>
      </c>
      <c r="BB22" s="97">
        <f t="shared" si="43"/>
        <v>0</v>
      </c>
      <c r="BC22" s="93"/>
      <c r="BD22" s="93">
        <f t="shared" si="44"/>
        <v>0</v>
      </c>
      <c r="BE22" s="95">
        <f t="shared" si="45"/>
        <v>1</v>
      </c>
      <c r="BF22" s="58">
        <f t="shared" si="46"/>
        <v>0</v>
      </c>
      <c r="BG22" s="94">
        <f t="shared" si="47"/>
        <v>87</v>
      </c>
      <c r="BH22" s="89"/>
      <c r="BI22" s="89"/>
      <c r="BJ22" s="92">
        <f>$CN22</f>
        <v>0</v>
      </c>
      <c r="BK22" s="89"/>
      <c r="BL22" s="89"/>
      <c r="BM22" s="89"/>
      <c r="BN22" s="89"/>
      <c r="BO22" s="92">
        <f t="shared" si="70"/>
        <v>0</v>
      </c>
      <c r="BP22" s="92">
        <f t="shared" si="70"/>
        <v>0</v>
      </c>
      <c r="BQ22" s="96">
        <f t="shared" si="48"/>
        <v>0</v>
      </c>
      <c r="BR22" s="96">
        <f t="shared" si="49"/>
        <v>0</v>
      </c>
      <c r="BS22" s="96">
        <f t="shared" si="71"/>
        <v>0</v>
      </c>
      <c r="BT22" s="96">
        <f t="shared" si="50"/>
        <v>0</v>
      </c>
      <c r="BU22" s="92">
        <f t="shared" si="16"/>
        <v>505</v>
      </c>
      <c r="BV22" s="98">
        <f t="shared" si="17"/>
        <v>13</v>
      </c>
      <c r="BW22" s="92">
        <f t="shared" si="18"/>
        <v>-14.831460674157302</v>
      </c>
      <c r="BX22" s="98">
        <f t="shared" si="51"/>
        <v>7.1110000000000007</v>
      </c>
      <c r="BY22" s="61">
        <f t="shared" si="73"/>
        <v>13</v>
      </c>
      <c r="BZ22" s="62">
        <f t="shared" si="52"/>
        <v>13</v>
      </c>
      <c r="CA22" s="98">
        <f t="shared" si="53"/>
        <v>2.2480000000000002</v>
      </c>
      <c r="CB22" s="92">
        <f t="shared" si="19"/>
        <v>505</v>
      </c>
      <c r="CC22" s="92">
        <f t="shared" si="19"/>
        <v>-66</v>
      </c>
      <c r="CD22" s="92">
        <f t="shared" si="19"/>
        <v>-14.831460674157302</v>
      </c>
      <c r="CE22" s="99"/>
      <c r="CF22" s="99"/>
      <c r="CG22" s="51">
        <f t="shared" si="54"/>
        <v>4.8630000000000004</v>
      </c>
      <c r="CH22" s="62">
        <f t="shared" si="55"/>
        <v>4.8630000000000004</v>
      </c>
      <c r="CI22" s="89"/>
      <c r="CJ22" s="89">
        <v>2248</v>
      </c>
      <c r="CK22" s="89"/>
      <c r="CL22" s="96"/>
      <c r="CM22" s="89"/>
      <c r="CN22" s="89"/>
      <c r="CO22" s="92"/>
      <c r="CP22" s="101"/>
      <c r="CQ22" s="102">
        <f t="shared" si="56"/>
        <v>505</v>
      </c>
      <c r="CR22" s="102">
        <f t="shared" si="20"/>
        <v>0</v>
      </c>
      <c r="CS22" s="102">
        <f t="shared" si="20"/>
        <v>0</v>
      </c>
      <c r="CT22" s="92">
        <f t="shared" si="57"/>
        <v>0</v>
      </c>
      <c r="CU22" s="92">
        <f t="shared" si="58"/>
        <v>0</v>
      </c>
      <c r="CV22" s="103">
        <f t="shared" si="58"/>
        <v>0</v>
      </c>
      <c r="CW22" s="104"/>
      <c r="CX22" s="105">
        <v>36.090000000000003</v>
      </c>
      <c r="CY22" s="106">
        <f t="shared" si="59"/>
        <v>947</v>
      </c>
      <c r="CZ22" s="106">
        <f t="shared" si="60"/>
        <v>292.32900000000006</v>
      </c>
      <c r="DA22" s="106"/>
      <c r="DB22" s="106"/>
      <c r="DC22" s="105"/>
      <c r="DD22" s="107"/>
      <c r="DE22" s="92">
        <f t="shared" si="21"/>
        <v>505</v>
      </c>
      <c r="DF22" s="108">
        <f t="shared" si="22"/>
        <v>13</v>
      </c>
      <c r="DG22" s="112">
        <f t="shared" si="23"/>
        <v>-14.831460674157302</v>
      </c>
      <c r="DH22" s="110">
        <f t="shared" si="24"/>
        <v>0</v>
      </c>
      <c r="DI22" s="108">
        <f t="shared" si="25"/>
        <v>0</v>
      </c>
      <c r="DJ22" s="112">
        <f t="shared" si="26"/>
        <v>0</v>
      </c>
      <c r="DK22" s="110">
        <f t="shared" si="27"/>
        <v>505</v>
      </c>
      <c r="DL22" s="108">
        <f t="shared" si="27"/>
        <v>13</v>
      </c>
      <c r="DM22" s="111">
        <f t="shared" si="27"/>
        <v>-14.831460674157302</v>
      </c>
      <c r="DN22" s="76">
        <f t="shared" si="28"/>
        <v>67</v>
      </c>
      <c r="DO22" s="76">
        <f t="shared" si="28"/>
        <v>33</v>
      </c>
      <c r="DP22" s="112"/>
      <c r="DQ22" s="112"/>
      <c r="DR22" s="113" t="s">
        <v>425</v>
      </c>
      <c r="DS22" s="112"/>
      <c r="DT22" s="112"/>
      <c r="DU22" s="111"/>
      <c r="DV22" s="114"/>
      <c r="DW22" s="80">
        <f t="shared" si="61"/>
        <v>518</v>
      </c>
      <c r="DX22" s="81">
        <f t="shared" si="29"/>
        <v>503.16853932584269</v>
      </c>
      <c r="DY22" s="80">
        <f t="shared" si="62"/>
        <v>505</v>
      </c>
      <c r="DZ22" s="82">
        <f t="shared" si="63"/>
        <v>0</v>
      </c>
      <c r="EA22" s="82">
        <f t="shared" si="64"/>
        <v>2.2472500000000002</v>
      </c>
      <c r="EB22" s="82">
        <f t="shared" si="65"/>
        <v>4.8637500000000005</v>
      </c>
      <c r="EC22" s="82">
        <f t="shared" si="75"/>
        <v>4.8637500000000005</v>
      </c>
      <c r="EF22" s="83">
        <f t="shared" si="82"/>
        <v>-14.831460674157302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1"/>
        <v>YHC3604-10.03x3-H9B12</v>
      </c>
      <c r="H23" s="46" t="str">
        <f t="shared" si="32"/>
        <v>C3604YH10.030DH9</v>
      </c>
      <c r="I23" s="46" t="str">
        <f t="shared" si="33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4"/>
        <v>34</v>
      </c>
      <c r="T23" s="51">
        <f>'31.01'!BG23</f>
        <v>45</v>
      </c>
      <c r="U23" s="92"/>
      <c r="V23" s="89">
        <v>4.05</v>
      </c>
      <c r="W23" s="93">
        <f t="shared" si="5"/>
        <v>0</v>
      </c>
      <c r="X23" s="93">
        <f t="shared" si="6"/>
        <v>0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0</v>
      </c>
      <c r="AE23" s="93">
        <f t="shared" si="35"/>
        <v>0</v>
      </c>
      <c r="AF23" s="54">
        <f>AE23+'31.01'!AF23</f>
        <v>0</v>
      </c>
      <c r="AG23" s="94">
        <f t="shared" si="66"/>
        <v>45</v>
      </c>
      <c r="AH23" s="56">
        <f t="shared" si="13"/>
        <v>0</v>
      </c>
      <c r="AI23" s="93"/>
      <c r="AJ23" s="93">
        <f t="shared" si="67"/>
        <v>0</v>
      </c>
      <c r="AK23" s="95">
        <f t="shared" si="36"/>
        <v>1</v>
      </c>
      <c r="AL23" s="58">
        <f t="shared" si="37"/>
        <v>0</v>
      </c>
      <c r="AM23" s="55">
        <f t="shared" si="68"/>
        <v>45</v>
      </c>
      <c r="AN23" s="93"/>
      <c r="AO23" s="96"/>
      <c r="AP23" s="96">
        <f>$CJ23</f>
        <v>0</v>
      </c>
      <c r="AQ23" s="96"/>
      <c r="AR23" s="96"/>
      <c r="AS23" s="96"/>
      <c r="AT23" s="96"/>
      <c r="AU23" s="96">
        <f t="shared" si="38"/>
        <v>0</v>
      </c>
      <c r="AV23" s="96">
        <f t="shared" si="38"/>
        <v>0</v>
      </c>
      <c r="AW23" s="96">
        <f t="shared" si="39"/>
        <v>0</v>
      </c>
      <c r="AX23" s="96">
        <f t="shared" si="40"/>
        <v>0</v>
      </c>
      <c r="AY23" s="94">
        <f t="shared" si="69"/>
        <v>0</v>
      </c>
      <c r="AZ23" s="94">
        <f t="shared" si="41"/>
        <v>0</v>
      </c>
      <c r="BA23" s="94">
        <f t="shared" si="42"/>
        <v>45</v>
      </c>
      <c r="BB23" s="97">
        <f t="shared" si="43"/>
        <v>0</v>
      </c>
      <c r="BC23" s="93"/>
      <c r="BD23" s="93">
        <f t="shared" si="44"/>
        <v>0</v>
      </c>
      <c r="BE23" s="95">
        <f>IF(AA23="","",IF(BD23=0,1,BD23/$V23/$E23))</f>
        <v>1</v>
      </c>
      <c r="BF23" s="58">
        <f t="shared" si="46"/>
        <v>0</v>
      </c>
      <c r="BG23" s="94">
        <f t="shared" si="47"/>
        <v>45</v>
      </c>
      <c r="BH23" s="89"/>
      <c r="BI23" s="89"/>
      <c r="BJ23" s="92">
        <f>$CN23</f>
        <v>0</v>
      </c>
      <c r="BK23" s="89"/>
      <c r="BL23" s="89"/>
      <c r="BM23" s="89"/>
      <c r="BN23" s="89"/>
      <c r="BO23" s="92">
        <f t="shared" si="70"/>
        <v>0</v>
      </c>
      <c r="BP23" s="92">
        <f t="shared" si="70"/>
        <v>0</v>
      </c>
      <c r="BQ23" s="96">
        <f t="shared" si="48"/>
        <v>0</v>
      </c>
      <c r="BR23" s="96">
        <f t="shared" si="49"/>
        <v>0</v>
      </c>
      <c r="BS23" s="96">
        <f t="shared" si="71"/>
        <v>0</v>
      </c>
      <c r="BT23" s="96">
        <f t="shared" si="50"/>
        <v>0</v>
      </c>
      <c r="BU23" s="92">
        <f t="shared" si="16"/>
        <v>0</v>
      </c>
      <c r="BV23" s="98">
        <f t="shared" si="17"/>
        <v>0</v>
      </c>
      <c r="BW23" s="92">
        <f t="shared" si="18"/>
        <v>0</v>
      </c>
      <c r="BX23" s="98">
        <f t="shared" si="51"/>
        <v>0</v>
      </c>
      <c r="BY23" s="61">
        <f t="shared" si="73"/>
        <v>0</v>
      </c>
      <c r="BZ23" s="62">
        <f t="shared" si="52"/>
        <v>0</v>
      </c>
      <c r="CA23" s="98">
        <f t="shared" si="53"/>
        <v>0</v>
      </c>
      <c r="CB23" s="92">
        <f t="shared" si="19"/>
        <v>0</v>
      </c>
      <c r="CC23" s="92">
        <f t="shared" si="19"/>
        <v>0</v>
      </c>
      <c r="CD23" s="92">
        <f t="shared" si="19"/>
        <v>0</v>
      </c>
      <c r="CE23" s="99"/>
      <c r="CF23" s="99"/>
      <c r="CG23" s="51">
        <f t="shared" si="54"/>
        <v>0</v>
      </c>
      <c r="CH23" s="62">
        <f t="shared" si="55"/>
        <v>0</v>
      </c>
      <c r="CI23" s="89"/>
      <c r="CJ23" s="89"/>
      <c r="CK23" s="89"/>
      <c r="CL23" s="96"/>
      <c r="CM23" s="89"/>
      <c r="CN23" s="89"/>
      <c r="CO23" s="92"/>
      <c r="CP23" s="101"/>
      <c r="CQ23" s="102">
        <f t="shared" si="56"/>
        <v>0</v>
      </c>
      <c r="CR23" s="102">
        <f t="shared" si="20"/>
        <v>0</v>
      </c>
      <c r="CS23" s="102">
        <f t="shared" si="20"/>
        <v>0</v>
      </c>
      <c r="CT23" s="92">
        <f t="shared" si="57"/>
        <v>0</v>
      </c>
      <c r="CU23" s="92">
        <f t="shared" si="58"/>
        <v>0</v>
      </c>
      <c r="CV23" s="103">
        <f t="shared" si="58"/>
        <v>0</v>
      </c>
      <c r="CW23" s="104"/>
      <c r="CX23" s="105">
        <v>17</v>
      </c>
      <c r="CY23" s="106">
        <f t="shared" si="59"/>
        <v>2188</v>
      </c>
      <c r="CZ23" s="106">
        <f t="shared" si="60"/>
        <v>137.70000000000002</v>
      </c>
      <c r="DA23" s="106"/>
      <c r="DB23" s="106"/>
      <c r="DC23" s="105"/>
      <c r="DD23" s="107"/>
      <c r="DE23" s="92">
        <f t="shared" si="21"/>
        <v>0</v>
      </c>
      <c r="DF23" s="108">
        <f t="shared" si="22"/>
        <v>0</v>
      </c>
      <c r="DG23" s="112">
        <f t="shared" si="23"/>
        <v>0</v>
      </c>
      <c r="DH23" s="110">
        <f t="shared" si="24"/>
        <v>0</v>
      </c>
      <c r="DI23" s="108">
        <f t="shared" si="25"/>
        <v>0</v>
      </c>
      <c r="DJ23" s="112">
        <f t="shared" si="26"/>
        <v>0</v>
      </c>
      <c r="DK23" s="110">
        <f t="shared" si="27"/>
        <v>0</v>
      </c>
      <c r="DL23" s="108">
        <f t="shared" si="27"/>
        <v>0</v>
      </c>
      <c r="DM23" s="111">
        <f t="shared" si="27"/>
        <v>0</v>
      </c>
      <c r="DN23" s="76">
        <f t="shared" si="28"/>
        <v>45</v>
      </c>
      <c r="DO23" s="76">
        <f t="shared" si="28"/>
        <v>0</v>
      </c>
      <c r="DP23" s="112"/>
      <c r="DQ23" s="112"/>
      <c r="DR23" s="113" t="s">
        <v>426</v>
      </c>
      <c r="DS23" s="112"/>
      <c r="DT23" s="112"/>
      <c r="DU23" s="111"/>
      <c r="DV23" s="114"/>
      <c r="DW23" s="80">
        <f t="shared" ref="DW23:DW25" si="85">IFERROR(AL23+BF23,"")</f>
        <v>0</v>
      </c>
      <c r="DX23" s="81">
        <f t="shared" si="29"/>
        <v>0</v>
      </c>
      <c r="DY23" s="80">
        <f t="shared" si="62"/>
        <v>0</v>
      </c>
      <c r="DZ23" s="82">
        <f t="shared" si="63"/>
        <v>0</v>
      </c>
      <c r="EA23" s="82">
        <f t="shared" si="64"/>
        <v>0</v>
      </c>
      <c r="EB23" s="82">
        <f t="shared" si="65"/>
        <v>0</v>
      </c>
      <c r="EC23" s="82">
        <f>(BX23-CA23)+((AV23+BP23)/1000)</f>
        <v>0</v>
      </c>
      <c r="EF23" s="83">
        <f t="shared" si="82"/>
        <v>0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1"/>
        <v>GWA6063-T5-T18.15x8.6x3-H9A15</v>
      </c>
      <c r="H24" s="46" t="str">
        <f t="shared" si="32"/>
        <v>A6063-T5GW18.158.6TH9</v>
      </c>
      <c r="I24" s="46" t="str">
        <f t="shared" si="33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4"/>
        <v>14</v>
      </c>
      <c r="T24" s="51">
        <f>'31.01'!BG24</f>
        <v>17</v>
      </c>
      <c r="U24" s="92"/>
      <c r="V24" s="89">
        <v>9.9</v>
      </c>
      <c r="W24" s="93">
        <f t="shared" si="5"/>
        <v>0</v>
      </c>
      <c r="X24" s="93">
        <f t="shared" si="6"/>
        <v>510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111</v>
      </c>
      <c r="AE24" s="93">
        <f t="shared" si="35"/>
        <v>510</v>
      </c>
      <c r="AF24" s="54">
        <f>AE24+'31.01'!AF24</f>
        <v>965</v>
      </c>
      <c r="AG24" s="94">
        <f t="shared" si="66"/>
        <v>17</v>
      </c>
      <c r="AH24" s="56">
        <f t="shared" si="13"/>
        <v>0</v>
      </c>
      <c r="AI24" s="93">
        <v>3</v>
      </c>
      <c r="AJ24" s="93">
        <f t="shared" si="67"/>
        <v>0</v>
      </c>
      <c r="AK24" s="95">
        <f t="shared" si="36"/>
        <v>1</v>
      </c>
      <c r="AL24" s="58">
        <f t="shared" si="37"/>
        <v>3</v>
      </c>
      <c r="AM24" s="55">
        <f t="shared" si="68"/>
        <v>14</v>
      </c>
      <c r="AN24" s="93"/>
      <c r="AO24" s="96"/>
      <c r="AP24" s="96">
        <f>$CJ24</f>
        <v>1217.7</v>
      </c>
      <c r="AQ24" s="96"/>
      <c r="AR24" s="96"/>
      <c r="AS24" s="96"/>
      <c r="AT24" s="96"/>
      <c r="AU24" s="96">
        <f t="shared" si="38"/>
        <v>0</v>
      </c>
      <c r="AV24" s="96">
        <f t="shared" si="38"/>
        <v>800</v>
      </c>
      <c r="AW24" s="96">
        <f t="shared" si="39"/>
        <v>2017.7</v>
      </c>
      <c r="AX24" s="96">
        <f t="shared" si="40"/>
        <v>203</v>
      </c>
      <c r="AY24" s="94">
        <f t="shared" si="69"/>
        <v>-1.9000000000000909</v>
      </c>
      <c r="AZ24" s="94">
        <f t="shared" si="41"/>
        <v>-0.19191919191920109</v>
      </c>
      <c r="BA24" s="94">
        <f t="shared" si="42"/>
        <v>14</v>
      </c>
      <c r="BB24" s="97">
        <f t="shared" si="43"/>
        <v>0</v>
      </c>
      <c r="BC24" s="93">
        <v>6</v>
      </c>
      <c r="BD24" s="93">
        <f t="shared" si="44"/>
        <v>0</v>
      </c>
      <c r="BE24" s="95">
        <f t="shared" si="45"/>
        <v>1</v>
      </c>
      <c r="BF24" s="58">
        <f t="shared" si="46"/>
        <v>6</v>
      </c>
      <c r="BG24" s="94">
        <f t="shared" si="47"/>
        <v>8</v>
      </c>
      <c r="BH24" s="89"/>
      <c r="BI24" s="89"/>
      <c r="BJ24" s="92">
        <f>$CN24</f>
        <v>3831.3</v>
      </c>
      <c r="BK24" s="89"/>
      <c r="BL24" s="89"/>
      <c r="BM24" s="89"/>
      <c r="BN24" s="89"/>
      <c r="BO24" s="92">
        <f t="shared" si="70"/>
        <v>0</v>
      </c>
      <c r="BP24" s="92">
        <f t="shared" si="70"/>
        <v>300</v>
      </c>
      <c r="BQ24" s="96">
        <f t="shared" si="48"/>
        <v>4131.3</v>
      </c>
      <c r="BR24" s="96">
        <f t="shared" si="49"/>
        <v>417</v>
      </c>
      <c r="BS24" s="96">
        <f t="shared" si="71"/>
        <v>92.099999999999909</v>
      </c>
      <c r="BT24" s="96">
        <f t="shared" si="50"/>
        <v>9.3030303030302939</v>
      </c>
      <c r="BU24" s="92">
        <f t="shared" si="16"/>
        <v>510</v>
      </c>
      <c r="BV24" s="98">
        <f t="shared" si="17"/>
        <v>9</v>
      </c>
      <c r="BW24" s="92">
        <f t="shared" si="18"/>
        <v>9.111111111111093</v>
      </c>
      <c r="BX24" s="98">
        <f t="shared" si="51"/>
        <v>14.769</v>
      </c>
      <c r="BY24" s="61">
        <f t="shared" si="73"/>
        <v>9</v>
      </c>
      <c r="BZ24" s="62">
        <f t="shared" si="52"/>
        <v>9</v>
      </c>
      <c r="CA24" s="98">
        <f t="shared" si="53"/>
        <v>6.149</v>
      </c>
      <c r="CB24" s="92">
        <f t="shared" si="19"/>
        <v>620</v>
      </c>
      <c r="CC24" s="92">
        <f t="shared" si="19"/>
        <v>90.199999999999818</v>
      </c>
      <c r="CD24" s="92">
        <f t="shared" si="19"/>
        <v>9.111111111111093</v>
      </c>
      <c r="CE24" s="99"/>
      <c r="CF24" s="99"/>
      <c r="CG24" s="51">
        <f t="shared" si="54"/>
        <v>9.7200000000000006</v>
      </c>
      <c r="CH24" s="62">
        <f t="shared" si="55"/>
        <v>9.7200000000000006</v>
      </c>
      <c r="CI24" s="89"/>
      <c r="CJ24" s="89">
        <f>123*9.9</f>
        <v>1217.7</v>
      </c>
      <c r="CK24" s="89"/>
      <c r="CL24" s="96">
        <v>800</v>
      </c>
      <c r="CM24" s="89"/>
      <c r="CN24" s="89">
        <f>387*9.9</f>
        <v>3831.3</v>
      </c>
      <c r="CO24" s="92"/>
      <c r="CP24" s="101">
        <v>300</v>
      </c>
      <c r="CQ24" s="102">
        <f t="shared" si="56"/>
        <v>123</v>
      </c>
      <c r="CR24" s="102">
        <f t="shared" si="56"/>
        <v>0</v>
      </c>
      <c r="CS24" s="102">
        <f t="shared" si="56"/>
        <v>80</v>
      </c>
      <c r="CT24" s="92">
        <f t="shared" si="57"/>
        <v>387</v>
      </c>
      <c r="CU24" s="92">
        <f t="shared" si="58"/>
        <v>0</v>
      </c>
      <c r="CV24" s="103">
        <f t="shared" si="58"/>
        <v>31</v>
      </c>
      <c r="CW24" s="104"/>
      <c r="CX24" s="105">
        <v>80.33</v>
      </c>
      <c r="CY24" s="106">
        <f t="shared" si="59"/>
        <v>507</v>
      </c>
      <c r="CZ24" s="106">
        <f t="shared" si="60"/>
        <v>650.673</v>
      </c>
      <c r="DA24" s="106"/>
      <c r="DB24" s="106"/>
      <c r="DC24" s="105"/>
      <c r="DD24" s="107"/>
      <c r="DE24" s="92">
        <f t="shared" si="21"/>
        <v>123</v>
      </c>
      <c r="DF24" s="108">
        <f t="shared" si="22"/>
        <v>3</v>
      </c>
      <c r="DG24" s="112">
        <f t="shared" si="23"/>
        <v>-0.19191919191920109</v>
      </c>
      <c r="DH24" s="110">
        <f t="shared" si="24"/>
        <v>387</v>
      </c>
      <c r="DI24" s="108">
        <f t="shared" si="25"/>
        <v>6</v>
      </c>
      <c r="DJ24" s="112">
        <f t="shared" si="26"/>
        <v>9.3030303030302939</v>
      </c>
      <c r="DK24" s="110">
        <f t="shared" ref="DK24:DM87" si="86">IFERROR(DE24+DH24,"")</f>
        <v>510</v>
      </c>
      <c r="DL24" s="108">
        <f t="shared" si="86"/>
        <v>9</v>
      </c>
      <c r="DM24" s="111">
        <f t="shared" si="86"/>
        <v>9.111111111111093</v>
      </c>
      <c r="DN24" s="76">
        <f t="shared" si="28"/>
        <v>17</v>
      </c>
      <c r="DO24" s="76">
        <f t="shared" si="28"/>
        <v>0</v>
      </c>
      <c r="DP24" s="112"/>
      <c r="DQ24" s="112"/>
      <c r="DR24" s="113" t="s">
        <v>427</v>
      </c>
      <c r="DS24" s="112"/>
      <c r="DT24" s="112"/>
      <c r="DU24" s="111"/>
      <c r="DV24" s="114"/>
      <c r="DW24" s="80">
        <f t="shared" si="85"/>
        <v>9</v>
      </c>
      <c r="DX24" s="81">
        <f t="shared" si="29"/>
        <v>528.11111111111109</v>
      </c>
      <c r="DY24" s="80">
        <f t="shared" si="62"/>
        <v>621</v>
      </c>
      <c r="DZ24" s="82">
        <f t="shared" si="63"/>
        <v>1.0989</v>
      </c>
      <c r="EA24" s="82">
        <f t="shared" si="64"/>
        <v>5.0490000000000004</v>
      </c>
      <c r="EB24" s="82">
        <f t="shared" si="65"/>
        <v>9.7199999999999989</v>
      </c>
      <c r="EC24" s="82">
        <f t="shared" si="75"/>
        <v>10.818899999999999</v>
      </c>
      <c r="EF24" s="83">
        <f t="shared" si="82"/>
        <v>9.111111111111093</v>
      </c>
    </row>
    <row r="25" spans="1:136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1"/>
        <v>GWA6063-T5-17x3-H9B15</v>
      </c>
      <c r="H25" s="46" t="str">
        <f t="shared" si="32"/>
        <v>A6063-T5GW170DH9</v>
      </c>
      <c r="I25" s="46" t="str">
        <f t="shared" si="33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4"/>
        <v>16</v>
      </c>
      <c r="T25" s="51">
        <f>'31.01'!BG25</f>
        <v>20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5"/>
        <v>0</v>
      </c>
      <c r="AF25" s="54">
        <f>AE25+'31.01'!AF25</f>
        <v>0</v>
      </c>
      <c r="AG25" s="94">
        <f t="shared" si="66"/>
        <v>20</v>
      </c>
      <c r="AH25" s="56">
        <f t="shared" si="13"/>
        <v>0</v>
      </c>
      <c r="AI25" s="93"/>
      <c r="AJ25" s="93">
        <f t="shared" si="67"/>
        <v>0</v>
      </c>
      <c r="AK25" s="95">
        <f t="shared" si="36"/>
        <v>1</v>
      </c>
      <c r="AL25" s="58">
        <f t="shared" si="37"/>
        <v>0</v>
      </c>
      <c r="AM25" s="55">
        <f t="shared" si="68"/>
        <v>20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8"/>
        <v>0</v>
      </c>
      <c r="AV25" s="96">
        <f t="shared" si="38"/>
        <v>0</v>
      </c>
      <c r="AW25" s="96">
        <f t="shared" si="39"/>
        <v>0</v>
      </c>
      <c r="AX25" s="96">
        <f t="shared" si="40"/>
        <v>0</v>
      </c>
      <c r="AY25" s="94">
        <f t="shared" si="69"/>
        <v>0</v>
      </c>
      <c r="AZ25" s="94">
        <f t="shared" si="41"/>
        <v>0</v>
      </c>
      <c r="BA25" s="94">
        <f t="shared" si="42"/>
        <v>20</v>
      </c>
      <c r="BB25" s="97">
        <f t="shared" si="43"/>
        <v>0</v>
      </c>
      <c r="BC25" s="93"/>
      <c r="BD25" s="93">
        <f t="shared" si="44"/>
        <v>0</v>
      </c>
      <c r="BE25" s="95">
        <f t="shared" si="45"/>
        <v>1</v>
      </c>
      <c r="BF25" s="58">
        <f t="shared" si="46"/>
        <v>0</v>
      </c>
      <c r="BG25" s="94">
        <f t="shared" si="47"/>
        <v>20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0"/>
        <v>0</v>
      </c>
      <c r="BP25" s="92">
        <f t="shared" si="70"/>
        <v>0</v>
      </c>
      <c r="BQ25" s="96">
        <f t="shared" si="48"/>
        <v>0</v>
      </c>
      <c r="BR25" s="96">
        <f t="shared" si="49"/>
        <v>0</v>
      </c>
      <c r="BS25" s="96">
        <f t="shared" si="71"/>
        <v>0</v>
      </c>
      <c r="BT25" s="96">
        <f t="shared" si="50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1"/>
        <v>0</v>
      </c>
      <c r="BY25" s="61">
        <f t="shared" si="73"/>
        <v>0</v>
      </c>
      <c r="BZ25" s="62">
        <f t="shared" si="52"/>
        <v>0</v>
      </c>
      <c r="CA25" s="98">
        <f t="shared" si="53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4"/>
        <v>0</v>
      </c>
      <c r="CH25" s="62">
        <f t="shared" si="55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7">INT(IFERROR( CJ25/$V25,0))</f>
        <v>0</v>
      </c>
      <c r="CR25" s="102">
        <f t="shared" si="87"/>
        <v>0</v>
      </c>
      <c r="CS25" s="102">
        <f t="shared" si="87"/>
        <v>0</v>
      </c>
      <c r="CT25" s="92">
        <f t="shared" si="57"/>
        <v>0</v>
      </c>
      <c r="CU25" s="92">
        <f t="shared" ref="CU25:CV40" si="88">INT(IFERROR( AC25-CR25,0))</f>
        <v>0</v>
      </c>
      <c r="CV25" s="103">
        <f t="shared" si="88"/>
        <v>0</v>
      </c>
      <c r="CW25" s="104"/>
      <c r="CX25" s="105">
        <v>69.16</v>
      </c>
      <c r="CY25" s="106">
        <f t="shared" si="59"/>
        <v>585</v>
      </c>
      <c r="CZ25" s="106">
        <f t="shared" si="60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6"/>
        <v>0</v>
      </c>
      <c r="DL25" s="108">
        <f t="shared" si="86"/>
        <v>0</v>
      </c>
      <c r="DM25" s="111">
        <f t="shared" si="86"/>
        <v>0</v>
      </c>
      <c r="DN25" s="76">
        <f t="shared" si="28"/>
        <v>20</v>
      </c>
      <c r="DO25" s="76">
        <f t="shared" si="28"/>
        <v>0</v>
      </c>
      <c r="DP25" s="112"/>
      <c r="DQ25" s="112"/>
      <c r="DR25" s="113" t="s">
        <v>428</v>
      </c>
      <c r="DS25" s="112"/>
      <c r="DT25" s="112"/>
      <c r="DU25" s="111"/>
      <c r="DV25" s="114"/>
      <c r="DW25" s="80">
        <f t="shared" si="85"/>
        <v>0</v>
      </c>
      <c r="DX25" s="81">
        <f t="shared" si="29"/>
        <v>0</v>
      </c>
      <c r="DY25" s="80">
        <f t="shared" si="62"/>
        <v>0</v>
      </c>
      <c r="DZ25" s="82">
        <f t="shared" si="63"/>
        <v>0</v>
      </c>
      <c r="EA25" s="82">
        <f t="shared" si="64"/>
        <v>0</v>
      </c>
      <c r="EB25" s="82">
        <f t="shared" si="65"/>
        <v>0</v>
      </c>
      <c r="EC25" s="82">
        <f>(BX25-CA25)+((AV25+BP25)/1000)</f>
        <v>0</v>
      </c>
      <c r="EF25" s="83">
        <f t="shared" si="82"/>
        <v>0</v>
      </c>
    </row>
    <row r="26" spans="1:136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1"/>
        <v>-xx-</v>
      </c>
      <c r="H26" s="46" t="str">
        <f t="shared" si="32"/>
        <v/>
      </c>
      <c r="I26" s="46" t="str">
        <f t="shared" si="33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4"/>
        <v>#DIV/0!</v>
      </c>
      <c r="T26" s="51">
        <f>'31.01'!BG26</f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5"/>
        <v>0</v>
      </c>
      <c r="AF26" s="54">
        <f>AE26+'31.01'!AF26</f>
        <v>0</v>
      </c>
      <c r="AG26" s="94">
        <f t="shared" si="66"/>
        <v>0</v>
      </c>
      <c r="AH26" s="56">
        <f t="shared" si="13"/>
        <v>0</v>
      </c>
      <c r="AI26" s="93"/>
      <c r="AJ26" s="93">
        <f t="shared" si="67"/>
        <v>0</v>
      </c>
      <c r="AK26" s="95">
        <f t="shared" si="36"/>
        <v>1</v>
      </c>
      <c r="AL26" s="58">
        <f t="shared" si="37"/>
        <v>0</v>
      </c>
      <c r="AM26" s="55">
        <f t="shared" si="68"/>
        <v>0</v>
      </c>
      <c r="AN26" s="93"/>
      <c r="AO26" s="96"/>
      <c r="AP26" s="96"/>
      <c r="AQ26" s="96"/>
      <c r="AR26" s="96"/>
      <c r="AS26" s="96"/>
      <c r="AT26" s="96"/>
      <c r="AU26" s="96">
        <f t="shared" si="38"/>
        <v>0</v>
      </c>
      <c r="AV26" s="96">
        <f t="shared" si="38"/>
        <v>0</v>
      </c>
      <c r="AW26" s="96">
        <f t="shared" si="39"/>
        <v>0</v>
      </c>
      <c r="AX26" s="96">
        <f t="shared" si="40"/>
        <v>0</v>
      </c>
      <c r="AY26" s="94">
        <f t="shared" si="69"/>
        <v>0</v>
      </c>
      <c r="AZ26" s="94">
        <f t="shared" si="41"/>
        <v>0</v>
      </c>
      <c r="BA26" s="94">
        <f t="shared" si="42"/>
        <v>0</v>
      </c>
      <c r="BB26" s="97">
        <f t="shared" si="43"/>
        <v>0</v>
      </c>
      <c r="BC26" s="93"/>
      <c r="BD26" s="93">
        <f t="shared" si="44"/>
        <v>0</v>
      </c>
      <c r="BE26" s="95">
        <f t="shared" si="45"/>
        <v>1</v>
      </c>
      <c r="BF26" s="58">
        <f t="shared" si="46"/>
        <v>0</v>
      </c>
      <c r="BG26" s="94">
        <f t="shared" si="47"/>
        <v>0</v>
      </c>
      <c r="BH26" s="89"/>
      <c r="BI26" s="89"/>
      <c r="BJ26" s="89"/>
      <c r="BK26" s="89"/>
      <c r="BL26" s="89"/>
      <c r="BM26" s="89"/>
      <c r="BN26" s="89"/>
      <c r="BO26" s="92">
        <f t="shared" si="70"/>
        <v>0</v>
      </c>
      <c r="BP26" s="92">
        <f t="shared" si="70"/>
        <v>0</v>
      </c>
      <c r="BQ26" s="96">
        <f t="shared" si="48"/>
        <v>0</v>
      </c>
      <c r="BR26" s="96">
        <f t="shared" si="49"/>
        <v>0</v>
      </c>
      <c r="BS26" s="96">
        <f t="shared" si="71"/>
        <v>0</v>
      </c>
      <c r="BT26" s="96">
        <f t="shared" si="50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1"/>
        <v/>
      </c>
      <c r="BY26" s="61">
        <f t="shared" si="73"/>
        <v>0</v>
      </c>
      <c r="BZ26" s="62">
        <f t="shared" si="52"/>
        <v>0</v>
      </c>
      <c r="CA26" s="98">
        <f t="shared" si="53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4"/>
        <v>0</v>
      </c>
      <c r="CH26" s="62">
        <f t="shared" si="55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7"/>
        <v>0</v>
      </c>
      <c r="CR26" s="102">
        <f t="shared" si="87"/>
        <v>0</v>
      </c>
      <c r="CS26" s="102">
        <f t="shared" si="87"/>
        <v>0</v>
      </c>
      <c r="CT26" s="92">
        <f t="shared" si="57"/>
        <v>0</v>
      </c>
      <c r="CU26" s="92">
        <f t="shared" si="88"/>
        <v>0</v>
      </c>
      <c r="CV26" s="103">
        <f t="shared" si="88"/>
        <v>0</v>
      </c>
      <c r="CW26" s="104"/>
      <c r="CX26" s="105"/>
      <c r="CY26" s="106" t="e">
        <f t="shared" si="59"/>
        <v>#DIV/0!</v>
      </c>
      <c r="CZ26" s="106">
        <f t="shared" si="60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6"/>
        <v>0</v>
      </c>
      <c r="DL26" s="108">
        <f t="shared" si="86"/>
        <v>0</v>
      </c>
      <c r="DM26" s="111">
        <f t="shared" si="86"/>
        <v>0</v>
      </c>
      <c r="DN26" s="76">
        <f t="shared" ref="DN26:DO89" si="89">T26</f>
        <v>0</v>
      </c>
      <c r="DO26" s="76">
        <f t="shared" si="89"/>
        <v>0</v>
      </c>
      <c r="DP26" s="112"/>
      <c r="DQ26" s="112"/>
      <c r="DR26" s="113"/>
      <c r="DS26" s="112"/>
      <c r="DT26" s="112"/>
      <c r="DU26" s="111"/>
      <c r="DV26" s="114"/>
      <c r="DW26" s="80">
        <f t="shared" si="61"/>
        <v>0</v>
      </c>
      <c r="DX26" s="81">
        <f t="shared" si="29"/>
        <v>0</v>
      </c>
      <c r="DY26" s="80">
        <f t="shared" si="62"/>
        <v>0</v>
      </c>
      <c r="DZ26" s="82">
        <f t="shared" si="63"/>
        <v>0</v>
      </c>
      <c r="EA26" s="82">
        <f t="shared" si="64"/>
        <v>0</v>
      </c>
      <c r="EB26" s="82" t="e">
        <f t="shared" si="65"/>
        <v>#VALUE!</v>
      </c>
      <c r="EC26" s="82" t="e">
        <f t="shared" si="75"/>
        <v>#VALUE!</v>
      </c>
    </row>
    <row r="27" spans="1:136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1"/>
        <v>TVSUJ2-8.1x3-H9C13</v>
      </c>
      <c r="H27" s="46" t="str">
        <f t="shared" si="32"/>
        <v>SUJ2TV8.10DH9</v>
      </c>
      <c r="I27" s="46" t="str">
        <f t="shared" si="33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4"/>
        <v>52</v>
      </c>
      <c r="T27" s="51">
        <f>'31.01'!BG27</f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5"/>
        <v>0</v>
      </c>
      <c r="AF27" s="54">
        <f>AE27+'31.01'!AF27</f>
        <v>0</v>
      </c>
      <c r="AG27" s="94">
        <f t="shared" si="66"/>
        <v>0</v>
      </c>
      <c r="AH27" s="56">
        <f t="shared" si="13"/>
        <v>0</v>
      </c>
      <c r="AI27" s="93"/>
      <c r="AJ27" s="93">
        <f t="shared" si="67"/>
        <v>0</v>
      </c>
      <c r="AK27" s="95">
        <f t="shared" si="36"/>
        <v>1</v>
      </c>
      <c r="AL27" s="58">
        <f t="shared" si="37"/>
        <v>0</v>
      </c>
      <c r="AM27" s="55">
        <f t="shared" si="68"/>
        <v>0</v>
      </c>
      <c r="AN27" s="93"/>
      <c r="AO27" s="96"/>
      <c r="AP27" s="96">
        <f t="shared" ref="AP27:AP33" si="90">$CJ27</f>
        <v>0</v>
      </c>
      <c r="AQ27" s="96"/>
      <c r="AR27" s="96"/>
      <c r="AS27" s="96"/>
      <c r="AT27" s="96"/>
      <c r="AU27" s="96">
        <f t="shared" si="38"/>
        <v>0</v>
      </c>
      <c r="AV27" s="96">
        <f t="shared" si="38"/>
        <v>0</v>
      </c>
      <c r="AW27" s="96">
        <f t="shared" si="39"/>
        <v>0</v>
      </c>
      <c r="AX27" s="96">
        <f t="shared" si="40"/>
        <v>0</v>
      </c>
      <c r="AY27" s="94">
        <f t="shared" si="69"/>
        <v>0</v>
      </c>
      <c r="AZ27" s="94">
        <f t="shared" si="41"/>
        <v>0</v>
      </c>
      <c r="BA27" s="94">
        <f t="shared" si="42"/>
        <v>0</v>
      </c>
      <c r="BB27" s="97">
        <f t="shared" si="43"/>
        <v>0</v>
      </c>
      <c r="BC27" s="93"/>
      <c r="BD27" s="93">
        <f t="shared" si="44"/>
        <v>0</v>
      </c>
      <c r="BE27" s="95">
        <f t="shared" si="45"/>
        <v>1</v>
      </c>
      <c r="BF27" s="58">
        <f t="shared" si="46"/>
        <v>0</v>
      </c>
      <c r="BG27" s="94">
        <f t="shared" si="47"/>
        <v>0</v>
      </c>
      <c r="BH27" s="89"/>
      <c r="BI27" s="89"/>
      <c r="BJ27" s="92">
        <f t="shared" ref="BJ27:BJ33" si="91">$CN27</f>
        <v>0</v>
      </c>
      <c r="BK27" s="89"/>
      <c r="BL27" s="89"/>
      <c r="BM27" s="89"/>
      <c r="BN27" s="89"/>
      <c r="BO27" s="92">
        <f t="shared" si="70"/>
        <v>0</v>
      </c>
      <c r="BP27" s="92">
        <f t="shared" si="70"/>
        <v>0</v>
      </c>
      <c r="BQ27" s="96">
        <f t="shared" si="48"/>
        <v>0</v>
      </c>
      <c r="BR27" s="96">
        <f t="shared" si="49"/>
        <v>0</v>
      </c>
      <c r="BS27" s="96">
        <f t="shared" si="71"/>
        <v>0</v>
      </c>
      <c r="BT27" s="96">
        <f t="shared" si="50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1"/>
        <v>0</v>
      </c>
      <c r="BY27" s="61">
        <f t="shared" si="73"/>
        <v>0</v>
      </c>
      <c r="BZ27" s="62">
        <f t="shared" si="52"/>
        <v>0</v>
      </c>
      <c r="CA27" s="98">
        <f t="shared" si="53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4"/>
        <v>0</v>
      </c>
      <c r="CH27" s="62">
        <f t="shared" si="55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7"/>
        <v>0</v>
      </c>
      <c r="CR27" s="102">
        <f t="shared" si="87"/>
        <v>0</v>
      </c>
      <c r="CS27" s="102">
        <f t="shared" si="87"/>
        <v>0</v>
      </c>
      <c r="CT27" s="92">
        <f t="shared" si="57"/>
        <v>0</v>
      </c>
      <c r="CU27" s="92">
        <f t="shared" si="88"/>
        <v>0</v>
      </c>
      <c r="CV27" s="103">
        <f t="shared" si="88"/>
        <v>0</v>
      </c>
      <c r="CW27" s="104"/>
      <c r="CX27" s="105">
        <v>17</v>
      </c>
      <c r="CY27" s="106">
        <f t="shared" si="59"/>
        <v>1941</v>
      </c>
      <c r="CZ27" s="106">
        <f t="shared" si="60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6"/>
        <v>0</v>
      </c>
      <c r="DL27" s="108">
        <f t="shared" si="86"/>
        <v>0</v>
      </c>
      <c r="DM27" s="111">
        <f t="shared" si="86"/>
        <v>0</v>
      </c>
      <c r="DN27" s="76">
        <f t="shared" si="89"/>
        <v>0</v>
      </c>
      <c r="DO27" s="76">
        <f t="shared" si="89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1"/>
        <v>0</v>
      </c>
      <c r="DX27" s="81">
        <f t="shared" si="29"/>
        <v>0</v>
      </c>
      <c r="DY27" s="80">
        <f t="shared" si="62"/>
        <v>0</v>
      </c>
      <c r="DZ27" s="82">
        <f t="shared" si="63"/>
        <v>0</v>
      </c>
      <c r="EA27" s="82">
        <f t="shared" si="64"/>
        <v>0</v>
      </c>
      <c r="EB27" s="82">
        <f t="shared" si="65"/>
        <v>0</v>
      </c>
      <c r="EC27" s="82">
        <f t="shared" si="75"/>
        <v>0</v>
      </c>
      <c r="EF27" s="83">
        <f t="shared" ref="EF27:EF58" si="92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1"/>
        <v>GWA6063-T5-T18.15x8.6x3-H9A15</v>
      </c>
      <c r="H28" s="46" t="str">
        <f t="shared" si="32"/>
        <v>A6063-T5GW18.158.6TH9</v>
      </c>
      <c r="I28" s="46" t="str">
        <f t="shared" si="33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4"/>
        <v>18</v>
      </c>
      <c r="T28" s="51">
        <f>'31.01'!BG28</f>
        <v>8</v>
      </c>
      <c r="U28" s="92">
        <v>10</v>
      </c>
      <c r="V28" s="89">
        <v>7.7</v>
      </c>
      <c r="W28" s="93">
        <f t="shared" si="5"/>
        <v>0</v>
      </c>
      <c r="X28" s="93">
        <f t="shared" si="6"/>
        <v>1038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36</v>
      </c>
      <c r="AE28" s="93">
        <f t="shared" si="35"/>
        <v>1038</v>
      </c>
      <c r="AF28" s="54">
        <f>AE28+'31.01'!AF28</f>
        <v>2030</v>
      </c>
      <c r="AG28" s="94">
        <f t="shared" si="66"/>
        <v>8</v>
      </c>
      <c r="AH28" s="56">
        <f t="shared" si="13"/>
        <v>0</v>
      </c>
      <c r="AI28" s="93">
        <v>7</v>
      </c>
      <c r="AJ28" s="93">
        <f t="shared" si="67"/>
        <v>0</v>
      </c>
      <c r="AK28" s="95">
        <f t="shared" si="36"/>
        <v>1</v>
      </c>
      <c r="AL28" s="58">
        <f t="shared" si="37"/>
        <v>7</v>
      </c>
      <c r="AM28" s="55">
        <f t="shared" si="68"/>
        <v>11</v>
      </c>
      <c r="AN28" s="93"/>
      <c r="AO28" s="96"/>
      <c r="AP28" s="96">
        <f t="shared" si="90"/>
        <v>4658.5</v>
      </c>
      <c r="AQ28" s="96"/>
      <c r="AR28" s="96"/>
      <c r="AS28" s="96"/>
      <c r="AT28" s="96"/>
      <c r="AU28" s="96">
        <f t="shared" si="38"/>
        <v>0</v>
      </c>
      <c r="AV28" s="96">
        <f t="shared" si="38"/>
        <v>173</v>
      </c>
      <c r="AW28" s="96">
        <f t="shared" si="39"/>
        <v>4831.5</v>
      </c>
      <c r="AX28" s="96">
        <f t="shared" si="40"/>
        <v>627</v>
      </c>
      <c r="AY28" s="94">
        <f t="shared" si="69"/>
        <v>-73.400000000000546</v>
      </c>
      <c r="AZ28" s="94">
        <f t="shared" si="41"/>
        <v>-9.5324675324676029</v>
      </c>
      <c r="BA28" s="94">
        <f t="shared" si="42"/>
        <v>11</v>
      </c>
      <c r="BB28" s="97">
        <f t="shared" si="43"/>
        <v>0</v>
      </c>
      <c r="BC28" s="93">
        <v>5</v>
      </c>
      <c r="BD28" s="93">
        <f t="shared" si="44"/>
        <v>0</v>
      </c>
      <c r="BE28" s="95">
        <f t="shared" si="45"/>
        <v>1</v>
      </c>
      <c r="BF28" s="58">
        <f t="shared" si="46"/>
        <v>5</v>
      </c>
      <c r="BG28" s="94">
        <f t="shared" si="47"/>
        <v>6</v>
      </c>
      <c r="BH28" s="89"/>
      <c r="BI28" s="89"/>
      <c r="BJ28" s="92">
        <f t="shared" si="91"/>
        <v>3334.1</v>
      </c>
      <c r="BK28" s="89"/>
      <c r="BL28" s="89"/>
      <c r="BM28" s="89"/>
      <c r="BN28" s="89"/>
      <c r="BO28" s="92">
        <f t="shared" si="70"/>
        <v>0</v>
      </c>
      <c r="BP28" s="92">
        <f t="shared" si="70"/>
        <v>107</v>
      </c>
      <c r="BQ28" s="96">
        <f t="shared" si="48"/>
        <v>3441.1</v>
      </c>
      <c r="BR28" s="96">
        <f t="shared" si="49"/>
        <v>446</v>
      </c>
      <c r="BS28" s="96">
        <f t="shared" si="71"/>
        <v>-62.400000000000091</v>
      </c>
      <c r="BT28" s="96">
        <f t="shared" si="50"/>
        <v>-8.1038961038961155</v>
      </c>
      <c r="BU28" s="92">
        <f t="shared" si="16"/>
        <v>1038</v>
      </c>
      <c r="BV28" s="98">
        <f t="shared" si="17"/>
        <v>12</v>
      </c>
      <c r="BW28" s="92">
        <f t="shared" si="18"/>
        <v>-17.636363636363718</v>
      </c>
      <c r="BX28" s="98">
        <f t="shared" si="51"/>
        <v>19.692</v>
      </c>
      <c r="BY28" s="61">
        <f t="shared" si="73"/>
        <v>12</v>
      </c>
      <c r="BZ28" s="62">
        <f t="shared" si="52"/>
        <v>12</v>
      </c>
      <c r="CA28" s="98">
        <f t="shared" si="53"/>
        <v>8.2726000000000006</v>
      </c>
      <c r="CB28" s="92">
        <f t="shared" si="19"/>
        <v>1073</v>
      </c>
      <c r="CC28" s="92">
        <f t="shared" si="19"/>
        <v>-135.80000000000064</v>
      </c>
      <c r="CD28" s="92">
        <f t="shared" si="19"/>
        <v>-17.636363636363718</v>
      </c>
      <c r="CE28" s="99"/>
      <c r="CF28" s="99"/>
      <c r="CG28" s="51">
        <f t="shared" si="54"/>
        <v>11.699399999999999</v>
      </c>
      <c r="CH28" s="62">
        <f t="shared" si="55"/>
        <v>11.699399999999999</v>
      </c>
      <c r="CI28" s="89"/>
      <c r="CJ28" s="89">
        <f>605*7.7</f>
        <v>4658.5</v>
      </c>
      <c r="CK28" s="89"/>
      <c r="CL28" s="96">
        <v>173</v>
      </c>
      <c r="CM28" s="89"/>
      <c r="CN28" s="89">
        <f>433*7.7</f>
        <v>3334.1</v>
      </c>
      <c r="CO28" s="92"/>
      <c r="CP28" s="101">
        <v>107</v>
      </c>
      <c r="CQ28" s="102">
        <f t="shared" si="87"/>
        <v>605</v>
      </c>
      <c r="CR28" s="102">
        <f t="shared" si="87"/>
        <v>0</v>
      </c>
      <c r="CS28" s="102">
        <f t="shared" si="87"/>
        <v>22</v>
      </c>
      <c r="CT28" s="92">
        <f t="shared" si="57"/>
        <v>433</v>
      </c>
      <c r="CU28" s="92">
        <f t="shared" si="88"/>
        <v>0</v>
      </c>
      <c r="CV28" s="103">
        <f t="shared" si="88"/>
        <v>14</v>
      </c>
      <c r="CW28" s="104"/>
      <c r="CX28" s="105">
        <v>49.97</v>
      </c>
      <c r="CY28" s="106">
        <f t="shared" si="59"/>
        <v>804</v>
      </c>
      <c r="CZ28" s="106">
        <f t="shared" si="60"/>
        <v>404.75700000000001</v>
      </c>
      <c r="DA28" s="106"/>
      <c r="DB28" s="106"/>
      <c r="DC28" s="105"/>
      <c r="DD28" s="107"/>
      <c r="DE28" s="92">
        <f t="shared" si="21"/>
        <v>605</v>
      </c>
      <c r="DF28" s="108">
        <f t="shared" si="22"/>
        <v>7</v>
      </c>
      <c r="DG28" s="112">
        <f t="shared" si="23"/>
        <v>-9.5324675324676029</v>
      </c>
      <c r="DH28" s="110">
        <f t="shared" si="24"/>
        <v>433</v>
      </c>
      <c r="DI28" s="108">
        <f t="shared" si="25"/>
        <v>5</v>
      </c>
      <c r="DJ28" s="112">
        <f t="shared" si="26"/>
        <v>-8.1038961038961155</v>
      </c>
      <c r="DK28" s="110">
        <f t="shared" si="86"/>
        <v>1038</v>
      </c>
      <c r="DL28" s="108">
        <f t="shared" si="86"/>
        <v>12</v>
      </c>
      <c r="DM28" s="111">
        <f t="shared" si="86"/>
        <v>-17.636363636363718</v>
      </c>
      <c r="DN28" s="76">
        <f t="shared" si="89"/>
        <v>8</v>
      </c>
      <c r="DO28" s="76">
        <f t="shared" si="89"/>
        <v>10</v>
      </c>
      <c r="DP28" s="112"/>
      <c r="DQ28" s="112"/>
      <c r="DR28" s="113" t="s">
        <v>429</v>
      </c>
      <c r="DS28" s="112"/>
      <c r="DT28" s="112"/>
      <c r="DU28" s="111"/>
      <c r="DV28" s="114"/>
      <c r="DW28" s="80">
        <f t="shared" si="61"/>
        <v>1050</v>
      </c>
      <c r="DX28" s="81">
        <f t="shared" si="29"/>
        <v>1032.3636363636363</v>
      </c>
      <c r="DY28" s="80">
        <f t="shared" si="62"/>
        <v>1074</v>
      </c>
      <c r="DZ28" s="82">
        <f t="shared" si="63"/>
        <v>0.2772</v>
      </c>
      <c r="EA28" s="82">
        <f t="shared" si="64"/>
        <v>7.9926000000000004</v>
      </c>
      <c r="EB28" s="82">
        <f t="shared" si="65"/>
        <v>11.699400000000001</v>
      </c>
      <c r="EC28" s="82">
        <f t="shared" si="75"/>
        <v>11.976600000000001</v>
      </c>
      <c r="EF28" s="83">
        <f t="shared" si="92"/>
        <v>-17.636363636363718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1"/>
        <v>TV12L14-11x2.5-H9C14</v>
      </c>
      <c r="H29" s="46" t="str">
        <f t="shared" si="32"/>
        <v>12L14TV110DH9</v>
      </c>
      <c r="I29" s="46" t="str">
        <f t="shared" si="33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4"/>
        <v>6</v>
      </c>
      <c r="T29" s="51">
        <f>'31.01'!BG29</f>
        <v>7</v>
      </c>
      <c r="U29" s="92">
        <v>13</v>
      </c>
      <c r="V29" s="89">
        <v>2</v>
      </c>
      <c r="W29" s="93">
        <f t="shared" si="5"/>
        <v>0</v>
      </c>
      <c r="X29" s="93">
        <f t="shared" si="6"/>
        <v>3750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82</v>
      </c>
      <c r="AE29" s="93">
        <f t="shared" si="35"/>
        <v>3750</v>
      </c>
      <c r="AF29" s="54">
        <f>AE29+'31.01'!AF29</f>
        <v>7321</v>
      </c>
      <c r="AG29" s="94">
        <f t="shared" si="66"/>
        <v>7</v>
      </c>
      <c r="AH29" s="56">
        <f t="shared" si="13"/>
        <v>0</v>
      </c>
      <c r="AI29" s="93">
        <v>7</v>
      </c>
      <c r="AJ29" s="93">
        <f t="shared" si="67"/>
        <v>280</v>
      </c>
      <c r="AK29" s="95">
        <f t="shared" si="36"/>
        <v>0.49469964664310956</v>
      </c>
      <c r="AL29" s="58">
        <f t="shared" si="37"/>
        <v>6.5</v>
      </c>
      <c r="AM29" s="55">
        <f t="shared" si="68"/>
        <v>13.5</v>
      </c>
      <c r="AN29" s="93"/>
      <c r="AO29" s="96"/>
      <c r="AP29" s="96">
        <f t="shared" si="90"/>
        <v>3400</v>
      </c>
      <c r="AQ29" s="96"/>
      <c r="AR29" s="96"/>
      <c r="AS29" s="96"/>
      <c r="AT29" s="96"/>
      <c r="AU29" s="96">
        <f t="shared" si="38"/>
        <v>0</v>
      </c>
      <c r="AV29" s="96">
        <f t="shared" si="38"/>
        <v>50</v>
      </c>
      <c r="AW29" s="96">
        <f t="shared" si="39"/>
        <v>3450</v>
      </c>
      <c r="AX29" s="96">
        <f t="shared" si="40"/>
        <v>1725</v>
      </c>
      <c r="AY29" s="94">
        <f t="shared" si="69"/>
        <v>-229</v>
      </c>
      <c r="AZ29" s="94">
        <f t="shared" si="41"/>
        <v>-114.5</v>
      </c>
      <c r="BA29" s="94">
        <f t="shared" si="42"/>
        <v>13.5</v>
      </c>
      <c r="BB29" s="97">
        <f t="shared" si="43"/>
        <v>0.5</v>
      </c>
      <c r="BC29" s="93">
        <v>8</v>
      </c>
      <c r="BD29" s="93">
        <f t="shared" si="44"/>
        <v>350</v>
      </c>
      <c r="BE29" s="95">
        <f t="shared" si="45"/>
        <v>0.61837455830388688</v>
      </c>
      <c r="BF29" s="58">
        <f t="shared" si="46"/>
        <v>8.1199999999999992</v>
      </c>
      <c r="BG29" s="94">
        <f t="shared" si="47"/>
        <v>5.3800000000000008</v>
      </c>
      <c r="BH29" s="89"/>
      <c r="BI29" s="89"/>
      <c r="BJ29" s="92">
        <f t="shared" si="91"/>
        <v>4100</v>
      </c>
      <c r="BK29" s="89"/>
      <c r="BL29" s="89"/>
      <c r="BM29" s="89"/>
      <c r="BN29" s="92"/>
      <c r="BO29" s="92">
        <f t="shared" si="70"/>
        <v>0</v>
      </c>
      <c r="BP29" s="92">
        <f t="shared" si="70"/>
        <v>114</v>
      </c>
      <c r="BQ29" s="96">
        <f t="shared" si="48"/>
        <v>4214</v>
      </c>
      <c r="BR29" s="96">
        <f t="shared" si="49"/>
        <v>2107</v>
      </c>
      <c r="BS29" s="96">
        <f t="shared" si="71"/>
        <v>-381.91999999999916</v>
      </c>
      <c r="BT29" s="96">
        <f t="shared" si="50"/>
        <v>-190.95999999999958</v>
      </c>
      <c r="BU29" s="92">
        <f t="shared" si="16"/>
        <v>3750</v>
      </c>
      <c r="BV29" s="98">
        <f t="shared" si="17"/>
        <v>14.62</v>
      </c>
      <c r="BW29" s="92">
        <f t="shared" si="18"/>
        <v>-305.45999999999958</v>
      </c>
      <c r="BX29" s="98" t="str">
        <f t="shared" si="51"/>
        <v/>
      </c>
      <c r="BY29" s="61">
        <f>IFERROR(BF29+AL29,0)</f>
        <v>14.62</v>
      </c>
      <c r="BZ29" s="62">
        <f t="shared" si="52"/>
        <v>14.62</v>
      </c>
      <c r="CA29" s="98">
        <f t="shared" si="53"/>
        <v>7.6639999999999997</v>
      </c>
      <c r="CB29" s="92">
        <f t="shared" si="19"/>
        <v>3832</v>
      </c>
      <c r="CC29" s="92">
        <f t="shared" si="19"/>
        <v>-610.91999999999916</v>
      </c>
      <c r="CD29" s="92">
        <f t="shared" si="19"/>
        <v>-305.45999999999958</v>
      </c>
      <c r="CE29" s="99"/>
      <c r="CF29" s="99"/>
      <c r="CG29" s="51">
        <f t="shared" si="54"/>
        <v>0</v>
      </c>
      <c r="CH29" s="62">
        <f t="shared" si="55"/>
        <v>0</v>
      </c>
      <c r="CI29" s="89">
        <v>280</v>
      </c>
      <c r="CJ29" s="89">
        <v>3400</v>
      </c>
      <c r="CK29" s="89"/>
      <c r="CL29" s="96">
        <v>50</v>
      </c>
      <c r="CM29" s="89">
        <v>350</v>
      </c>
      <c r="CN29" s="89">
        <v>4100</v>
      </c>
      <c r="CO29" s="92"/>
      <c r="CP29" s="101">
        <v>114</v>
      </c>
      <c r="CQ29" s="102">
        <f t="shared" si="87"/>
        <v>1700</v>
      </c>
      <c r="CR29" s="102">
        <f t="shared" si="87"/>
        <v>0</v>
      </c>
      <c r="CS29" s="102">
        <f t="shared" si="87"/>
        <v>25</v>
      </c>
      <c r="CT29" s="92">
        <f t="shared" si="57"/>
        <v>2050</v>
      </c>
      <c r="CU29" s="92">
        <f t="shared" si="88"/>
        <v>0</v>
      </c>
      <c r="CV29" s="103">
        <f t="shared" si="88"/>
        <v>57</v>
      </c>
      <c r="CW29" s="104"/>
      <c r="CX29" s="105">
        <v>48</v>
      </c>
      <c r="CY29" s="106">
        <f t="shared" si="59"/>
        <v>875</v>
      </c>
      <c r="CZ29" s="106">
        <f t="shared" si="60"/>
        <v>388.8</v>
      </c>
      <c r="DA29" s="106"/>
      <c r="DB29" s="106"/>
      <c r="DC29" s="105"/>
      <c r="DD29" s="107"/>
      <c r="DE29" s="92">
        <f t="shared" si="21"/>
        <v>1700</v>
      </c>
      <c r="DF29" s="108">
        <f t="shared" si="22"/>
        <v>6.5</v>
      </c>
      <c r="DG29" s="112">
        <f t="shared" si="23"/>
        <v>-114.5</v>
      </c>
      <c r="DH29" s="110">
        <f t="shared" si="24"/>
        <v>2050</v>
      </c>
      <c r="DI29" s="108">
        <f t="shared" si="25"/>
        <v>8.1199999999999992</v>
      </c>
      <c r="DJ29" s="112">
        <f t="shared" si="26"/>
        <v>-190.95999999999958</v>
      </c>
      <c r="DK29" s="110">
        <f t="shared" si="86"/>
        <v>3750</v>
      </c>
      <c r="DL29" s="108">
        <f t="shared" si="86"/>
        <v>14.62</v>
      </c>
      <c r="DM29" s="111">
        <f t="shared" si="86"/>
        <v>-305.45999999999958</v>
      </c>
      <c r="DN29" s="76">
        <f t="shared" si="89"/>
        <v>7</v>
      </c>
      <c r="DO29" s="76">
        <f t="shared" si="89"/>
        <v>13</v>
      </c>
      <c r="DP29" s="112"/>
      <c r="DQ29" s="112"/>
      <c r="DR29" s="113" t="s">
        <v>430</v>
      </c>
      <c r="DS29" s="112"/>
      <c r="DT29" s="112"/>
      <c r="DU29" s="111"/>
      <c r="DV29" s="114"/>
      <c r="DW29" s="80">
        <f>IFERROR(AL29+BF29,"")</f>
        <v>14.62</v>
      </c>
      <c r="DX29" s="81">
        <f t="shared" si="29"/>
        <v>3459.1600000000003</v>
      </c>
      <c r="DY29" s="80">
        <f t="shared" si="62"/>
        <v>3832</v>
      </c>
      <c r="DZ29" s="82">
        <f t="shared" si="63"/>
        <v>0.16400000000000001</v>
      </c>
      <c r="EA29" s="82">
        <f t="shared" si="64"/>
        <v>7.5</v>
      </c>
      <c r="EB29" s="82" t="e">
        <f t="shared" si="65"/>
        <v>#VALUE!</v>
      </c>
      <c r="EC29" s="82" t="e">
        <f>(BX29-CA29)+((AV29+BP29)/1000)</f>
        <v>#VALUE!</v>
      </c>
      <c r="EF29" s="83">
        <f t="shared" si="92"/>
        <v>-305.45999999999958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1"/>
        <v>GWA6063-T5-T15x8.6x3-H9E14</v>
      </c>
      <c r="H30" s="46" t="str">
        <f t="shared" si="32"/>
        <v>A6063-T5GW158.6TH9</v>
      </c>
      <c r="I30" s="46" t="str">
        <f t="shared" si="33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4"/>
        <v>26</v>
      </c>
      <c r="T30" s="51">
        <f>'31.01'!BG30</f>
        <v>24</v>
      </c>
      <c r="U30" s="92">
        <v>20</v>
      </c>
      <c r="V30" s="108">
        <v>3</v>
      </c>
      <c r="W30" s="93">
        <f t="shared" si="5"/>
        <v>0</v>
      </c>
      <c r="X30" s="93">
        <f t="shared" si="6"/>
        <v>1600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0</v>
      </c>
      <c r="AE30" s="93">
        <f t="shared" si="35"/>
        <v>1600</v>
      </c>
      <c r="AF30" s="54">
        <f>AE30+'31.01'!AF30</f>
        <v>4233</v>
      </c>
      <c r="AG30" s="94">
        <f t="shared" si="66"/>
        <v>24</v>
      </c>
      <c r="AH30" s="56">
        <f t="shared" si="13"/>
        <v>0</v>
      </c>
      <c r="AI30" s="93">
        <v>10</v>
      </c>
      <c r="AJ30" s="93">
        <f t="shared" si="67"/>
        <v>0</v>
      </c>
      <c r="AK30" s="95">
        <f t="shared" si="36"/>
        <v>1</v>
      </c>
      <c r="AL30" s="58">
        <f t="shared" si="37"/>
        <v>10</v>
      </c>
      <c r="AM30" s="55">
        <f t="shared" si="68"/>
        <v>34</v>
      </c>
      <c r="AN30" s="93"/>
      <c r="AO30" s="96"/>
      <c r="AP30" s="96">
        <f t="shared" si="90"/>
        <v>4800</v>
      </c>
      <c r="AQ30" s="96"/>
      <c r="AR30" s="96"/>
      <c r="AS30" s="96"/>
      <c r="AT30" s="96"/>
      <c r="AU30" s="96">
        <f t="shared" si="38"/>
        <v>0</v>
      </c>
      <c r="AV30" s="96">
        <f t="shared" si="38"/>
        <v>0</v>
      </c>
      <c r="AW30" s="96">
        <f t="shared" si="39"/>
        <v>4800</v>
      </c>
      <c r="AX30" s="96">
        <f t="shared" si="40"/>
        <v>1600</v>
      </c>
      <c r="AY30" s="94">
        <f t="shared" si="69"/>
        <v>-240</v>
      </c>
      <c r="AZ30" s="94">
        <f t="shared" si="41"/>
        <v>-80</v>
      </c>
      <c r="BA30" s="94">
        <f t="shared" si="42"/>
        <v>34</v>
      </c>
      <c r="BB30" s="97">
        <f t="shared" si="43"/>
        <v>0</v>
      </c>
      <c r="BC30" s="93"/>
      <c r="BD30" s="93">
        <f t="shared" si="44"/>
        <v>0</v>
      </c>
      <c r="BE30" s="95">
        <f t="shared" si="45"/>
        <v>1</v>
      </c>
      <c r="BF30" s="58">
        <f t="shared" si="46"/>
        <v>0</v>
      </c>
      <c r="BG30" s="94">
        <f t="shared" si="47"/>
        <v>34</v>
      </c>
      <c r="BH30" s="89"/>
      <c r="BI30" s="89"/>
      <c r="BJ30" s="92">
        <f t="shared" si="91"/>
        <v>0</v>
      </c>
      <c r="BK30" s="89"/>
      <c r="BL30" s="89"/>
      <c r="BM30" s="89"/>
      <c r="BN30" s="89"/>
      <c r="BO30" s="92">
        <f t="shared" si="70"/>
        <v>0</v>
      </c>
      <c r="BP30" s="92">
        <f t="shared" si="70"/>
        <v>0</v>
      </c>
      <c r="BQ30" s="96">
        <f t="shared" si="48"/>
        <v>0</v>
      </c>
      <c r="BR30" s="96">
        <f t="shared" si="49"/>
        <v>0</v>
      </c>
      <c r="BS30" s="96">
        <f t="shared" si="71"/>
        <v>0</v>
      </c>
      <c r="BT30" s="96">
        <f t="shared" si="50"/>
        <v>0</v>
      </c>
      <c r="BU30" s="92">
        <f t="shared" si="16"/>
        <v>1600</v>
      </c>
      <c r="BV30" s="98">
        <f t="shared" si="17"/>
        <v>10</v>
      </c>
      <c r="BW30" s="92">
        <f t="shared" si="18"/>
        <v>-80</v>
      </c>
      <c r="BX30" s="98">
        <f t="shared" si="51"/>
        <v>7.55</v>
      </c>
      <c r="BY30" s="61">
        <f>IFERROR(BF30+AL30,0)</f>
        <v>10</v>
      </c>
      <c r="BZ30" s="62">
        <f t="shared" si="52"/>
        <v>10</v>
      </c>
      <c r="CA30" s="98">
        <f t="shared" si="53"/>
        <v>4.8</v>
      </c>
      <c r="CB30" s="92">
        <f t="shared" si="19"/>
        <v>1600</v>
      </c>
      <c r="CC30" s="92">
        <f t="shared" si="19"/>
        <v>-240</v>
      </c>
      <c r="CD30" s="92">
        <f t="shared" si="19"/>
        <v>-80</v>
      </c>
      <c r="CE30" s="99"/>
      <c r="CF30" s="99"/>
      <c r="CG30" s="51">
        <f t="shared" si="54"/>
        <v>2.75</v>
      </c>
      <c r="CH30" s="62">
        <f t="shared" si="55"/>
        <v>2.75</v>
      </c>
      <c r="CI30" s="89"/>
      <c r="CJ30" s="89">
        <v>4800</v>
      </c>
      <c r="CK30" s="89"/>
      <c r="CL30" s="96"/>
      <c r="CM30" s="89"/>
      <c r="CN30" s="89"/>
      <c r="CO30" s="92"/>
      <c r="CP30" s="101"/>
      <c r="CQ30" s="102">
        <f t="shared" si="87"/>
        <v>1600</v>
      </c>
      <c r="CR30" s="102">
        <f t="shared" si="87"/>
        <v>0</v>
      </c>
      <c r="CS30" s="102">
        <f t="shared" si="87"/>
        <v>0</v>
      </c>
      <c r="CT30" s="92">
        <f t="shared" si="57"/>
        <v>0</v>
      </c>
      <c r="CU30" s="92">
        <f t="shared" si="88"/>
        <v>0</v>
      </c>
      <c r="CV30" s="103">
        <f t="shared" si="88"/>
        <v>0</v>
      </c>
      <c r="CW30" s="104"/>
      <c r="CX30" s="105">
        <v>18</v>
      </c>
      <c r="CY30" s="106">
        <f t="shared" si="59"/>
        <v>2150</v>
      </c>
      <c r="CZ30" s="106">
        <f t="shared" si="60"/>
        <v>145.80000000000001</v>
      </c>
      <c r="DA30" s="106"/>
      <c r="DB30" s="106"/>
      <c r="DC30" s="105"/>
      <c r="DD30" s="107"/>
      <c r="DE30" s="92">
        <f t="shared" si="21"/>
        <v>1600</v>
      </c>
      <c r="DF30" s="108">
        <f t="shared" si="22"/>
        <v>10</v>
      </c>
      <c r="DG30" s="112">
        <f>IFERROR(AZ30,"")</f>
        <v>-80</v>
      </c>
      <c r="DH30" s="110">
        <f t="shared" si="24"/>
        <v>0</v>
      </c>
      <c r="DI30" s="108">
        <f t="shared" si="25"/>
        <v>0</v>
      </c>
      <c r="DJ30" s="112">
        <f t="shared" si="26"/>
        <v>0</v>
      </c>
      <c r="DK30" s="110">
        <f t="shared" si="86"/>
        <v>1600</v>
      </c>
      <c r="DL30" s="108">
        <f t="shared" si="86"/>
        <v>10</v>
      </c>
      <c r="DM30" s="111">
        <f t="shared" si="86"/>
        <v>-80</v>
      </c>
      <c r="DN30" s="76">
        <f t="shared" si="89"/>
        <v>24</v>
      </c>
      <c r="DO30" s="76">
        <f t="shared" si="89"/>
        <v>20</v>
      </c>
      <c r="DP30" s="112"/>
      <c r="DQ30" s="112"/>
      <c r="DR30" s="113" t="s">
        <v>431</v>
      </c>
      <c r="DS30" s="112"/>
      <c r="DT30" s="112"/>
      <c r="DU30" s="111"/>
      <c r="DV30" s="114"/>
      <c r="DW30" s="80">
        <f t="shared" si="61"/>
        <v>1610</v>
      </c>
      <c r="DX30" s="81">
        <f t="shared" si="29"/>
        <v>1530</v>
      </c>
      <c r="DY30" s="80">
        <f t="shared" si="62"/>
        <v>1600</v>
      </c>
      <c r="DZ30" s="82">
        <f t="shared" si="63"/>
        <v>0</v>
      </c>
      <c r="EA30" s="82">
        <f t="shared" si="64"/>
        <v>4.8</v>
      </c>
      <c r="EB30" s="82">
        <f t="shared" si="65"/>
        <v>2.75</v>
      </c>
      <c r="EC30" s="82">
        <f t="shared" si="75"/>
        <v>2.75</v>
      </c>
      <c r="EF30" s="83">
        <f t="shared" si="92"/>
        <v>-80</v>
      </c>
    </row>
    <row r="31" spans="1:136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1"/>
        <v>YHC3604-4x3-H9A14</v>
      </c>
      <c r="H31" s="46" t="str">
        <f t="shared" si="32"/>
        <v>C3604YH40DH9</v>
      </c>
      <c r="I31" s="46" t="str">
        <f t="shared" si="33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4"/>
        <v>36</v>
      </c>
      <c r="T31" s="51">
        <f>'31.01'!BG31</f>
        <v>61</v>
      </c>
      <c r="U31" s="92"/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3402</v>
      </c>
      <c r="AC31" s="93">
        <f t="shared" si="11"/>
        <v>0</v>
      </c>
      <c r="AD31" s="93">
        <f t="shared" si="12"/>
        <v>0</v>
      </c>
      <c r="AE31" s="93">
        <f t="shared" si="35"/>
        <v>3402</v>
      </c>
      <c r="AF31" s="54">
        <f>AE31+'31.01'!AF31</f>
        <v>6635</v>
      </c>
      <c r="AG31" s="94">
        <f t="shared" si="66"/>
        <v>61</v>
      </c>
      <c r="AH31" s="56">
        <f t="shared" si="13"/>
        <v>0</v>
      </c>
      <c r="AI31" s="93">
        <v>4</v>
      </c>
      <c r="AJ31" s="93">
        <f t="shared" si="67"/>
        <v>0</v>
      </c>
      <c r="AK31" s="95">
        <f t="shared" si="36"/>
        <v>1</v>
      </c>
      <c r="AL31" s="58">
        <f t="shared" si="37"/>
        <v>4</v>
      </c>
      <c r="AM31" s="55">
        <f t="shared" si="68"/>
        <v>57</v>
      </c>
      <c r="AN31" s="93"/>
      <c r="AO31" s="96"/>
      <c r="AP31" s="96"/>
      <c r="AQ31" s="96"/>
      <c r="AR31" s="96"/>
      <c r="AS31" s="96"/>
      <c r="AT31" s="96">
        <f t="shared" ref="AT31" si="93">$CJ31</f>
        <v>510</v>
      </c>
      <c r="AU31" s="96">
        <f t="shared" si="38"/>
        <v>0</v>
      </c>
      <c r="AV31" s="96">
        <f t="shared" si="38"/>
        <v>0</v>
      </c>
      <c r="AW31" s="96">
        <f t="shared" si="39"/>
        <v>510</v>
      </c>
      <c r="AX31" s="96">
        <f t="shared" si="40"/>
        <v>666</v>
      </c>
      <c r="AY31" s="94">
        <f t="shared" si="69"/>
        <v>-16.32000000000005</v>
      </c>
      <c r="AZ31" s="94">
        <f t="shared" si="41"/>
        <v>-21.3333333333334</v>
      </c>
      <c r="BA31" s="94">
        <f t="shared" si="42"/>
        <v>57</v>
      </c>
      <c r="BB31" s="97">
        <f t="shared" si="43"/>
        <v>0</v>
      </c>
      <c r="BC31" s="93">
        <v>16</v>
      </c>
      <c r="BD31" s="93">
        <f t="shared" si="44"/>
        <v>0</v>
      </c>
      <c r="BE31" s="95">
        <f t="shared" si="45"/>
        <v>1</v>
      </c>
      <c r="BF31" s="58">
        <f t="shared" si="46"/>
        <v>16</v>
      </c>
      <c r="BG31" s="94">
        <f t="shared" si="47"/>
        <v>41</v>
      </c>
      <c r="BH31" s="89"/>
      <c r="BI31" s="89"/>
      <c r="BJ31" s="92"/>
      <c r="BK31" s="89"/>
      <c r="BL31" s="89"/>
      <c r="BM31" s="92"/>
      <c r="BN31" s="92">
        <f t="shared" ref="BN31" si="94">$CN31</f>
        <v>2093</v>
      </c>
      <c r="BO31" s="92">
        <f t="shared" si="70"/>
        <v>0</v>
      </c>
      <c r="BP31" s="92">
        <f t="shared" si="70"/>
        <v>0</v>
      </c>
      <c r="BQ31" s="96">
        <f t="shared" si="48"/>
        <v>2093</v>
      </c>
      <c r="BR31" s="96">
        <f t="shared" si="49"/>
        <v>2735</v>
      </c>
      <c r="BS31" s="96">
        <f t="shared" si="71"/>
        <v>-12.2800000000002</v>
      </c>
      <c r="BT31" s="96">
        <f t="shared" si="50"/>
        <v>-16.052287581699609</v>
      </c>
      <c r="BU31" s="92">
        <f t="shared" si="16"/>
        <v>3402</v>
      </c>
      <c r="BV31" s="98">
        <f t="shared" si="17"/>
        <v>20</v>
      </c>
      <c r="BW31" s="92">
        <f t="shared" si="18"/>
        <v>-37.385620915033009</v>
      </c>
      <c r="BX31" s="98">
        <f t="shared" si="51"/>
        <v>3.3400000000000003</v>
      </c>
      <c r="BY31" s="61">
        <f t="shared" si="73"/>
        <v>20</v>
      </c>
      <c r="BZ31" s="62">
        <f t="shared" si="52"/>
        <v>20</v>
      </c>
      <c r="CA31" s="98">
        <f t="shared" si="53"/>
        <v>2.6030000000000002</v>
      </c>
      <c r="CB31" s="92">
        <f t="shared" si="19"/>
        <v>3401</v>
      </c>
      <c r="CC31" s="92">
        <f t="shared" si="19"/>
        <v>-28.60000000000025</v>
      </c>
      <c r="CD31" s="92">
        <f t="shared" si="19"/>
        <v>-37.385620915033009</v>
      </c>
      <c r="CE31" s="99"/>
      <c r="CF31" s="99"/>
      <c r="CG31" s="51">
        <f t="shared" si="54"/>
        <v>0.7370000000000001</v>
      </c>
      <c r="CH31" s="62">
        <f t="shared" si="55"/>
        <v>0.7370000000000001</v>
      </c>
      <c r="CI31" s="89"/>
      <c r="CJ31" s="89">
        <v>510</v>
      </c>
      <c r="CK31" s="89"/>
      <c r="CL31" s="96"/>
      <c r="CM31" s="89"/>
      <c r="CN31" s="89">
        <v>2093</v>
      </c>
      <c r="CO31" s="92"/>
      <c r="CP31" s="101"/>
      <c r="CQ31" s="102">
        <f t="shared" si="87"/>
        <v>666</v>
      </c>
      <c r="CR31" s="102">
        <f t="shared" si="87"/>
        <v>0</v>
      </c>
      <c r="CS31" s="102">
        <f t="shared" si="87"/>
        <v>0</v>
      </c>
      <c r="CT31" s="92">
        <f t="shared" si="57"/>
        <v>2736</v>
      </c>
      <c r="CU31" s="92">
        <f t="shared" si="88"/>
        <v>0</v>
      </c>
      <c r="CV31" s="103">
        <f t="shared" si="88"/>
        <v>0</v>
      </c>
      <c r="CW31" s="104" t="s">
        <v>157</v>
      </c>
      <c r="CX31" s="105">
        <v>14</v>
      </c>
      <c r="CY31" s="106">
        <f t="shared" si="59"/>
        <v>3051</v>
      </c>
      <c r="CZ31" s="106">
        <f t="shared" si="60"/>
        <v>56.7</v>
      </c>
      <c r="DA31" s="106"/>
      <c r="DB31" s="106"/>
      <c r="DC31" s="105"/>
      <c r="DD31" s="107"/>
      <c r="DE31" s="92">
        <f t="shared" si="21"/>
        <v>666</v>
      </c>
      <c r="DF31" s="108">
        <f t="shared" si="22"/>
        <v>4</v>
      </c>
      <c r="DG31" s="112">
        <f t="shared" si="23"/>
        <v>-21.3333333333334</v>
      </c>
      <c r="DH31" s="110">
        <f t="shared" si="24"/>
        <v>2736</v>
      </c>
      <c r="DI31" s="108">
        <f t="shared" si="25"/>
        <v>16</v>
      </c>
      <c r="DJ31" s="112">
        <f t="shared" si="26"/>
        <v>-16.052287581699609</v>
      </c>
      <c r="DK31" s="110">
        <f t="shared" si="86"/>
        <v>3402</v>
      </c>
      <c r="DL31" s="108">
        <f t="shared" si="86"/>
        <v>20</v>
      </c>
      <c r="DM31" s="111">
        <f t="shared" si="86"/>
        <v>-37.385620915033009</v>
      </c>
      <c r="DN31" s="76">
        <f t="shared" si="89"/>
        <v>61</v>
      </c>
      <c r="DO31" s="76">
        <f t="shared" si="89"/>
        <v>0</v>
      </c>
      <c r="DP31" s="112"/>
      <c r="DQ31" s="112"/>
      <c r="DR31" s="113" t="s">
        <v>432</v>
      </c>
      <c r="DS31" s="112"/>
      <c r="DT31" s="112"/>
      <c r="DU31" s="111"/>
      <c r="DV31" s="114"/>
      <c r="DW31" s="80">
        <f t="shared" si="61"/>
        <v>3422</v>
      </c>
      <c r="DX31" s="81">
        <f t="shared" si="29"/>
        <v>3384.6143790849669</v>
      </c>
      <c r="DY31" s="80">
        <f t="shared" si="62"/>
        <v>3402</v>
      </c>
      <c r="DZ31" s="82">
        <f t="shared" si="63"/>
        <v>0</v>
      </c>
      <c r="EA31" s="82">
        <f t="shared" si="64"/>
        <v>2.6025300000000002</v>
      </c>
      <c r="EB31" s="82">
        <f t="shared" si="65"/>
        <v>0.73747000000000007</v>
      </c>
      <c r="EC31" s="82">
        <f t="shared" si="75"/>
        <v>0.73747000000000007</v>
      </c>
      <c r="EF31" s="83">
        <f t="shared" si="92"/>
        <v>-37.385620915033009</v>
      </c>
    </row>
    <row r="32" spans="1:136" ht="14.1" customHeight="1">
      <c r="A32" s="84">
        <v>25</v>
      </c>
      <c r="B32" s="85" t="s">
        <v>205</v>
      </c>
      <c r="C32" s="86"/>
      <c r="D32" s="119" t="s">
        <v>206</v>
      </c>
      <c r="E32" s="88">
        <v>328</v>
      </c>
      <c r="F32" s="89" t="s">
        <v>136</v>
      </c>
      <c r="G32" s="45" t="str">
        <f t="shared" si="31"/>
        <v>WZ12L14-H13x3-H11A08</v>
      </c>
      <c r="H32" s="46" t="str">
        <f t="shared" si="32"/>
        <v>12L14WZ130HH11</v>
      </c>
      <c r="I32" s="46" t="str">
        <f t="shared" si="33"/>
        <v>12L14WZ130HH113A08</v>
      </c>
      <c r="J32" s="90" t="s">
        <v>137</v>
      </c>
      <c r="K32" s="90" t="s">
        <v>207</v>
      </c>
      <c r="L32" s="90">
        <v>13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3.4129999999999998</v>
      </c>
      <c r="R32" s="90" t="s">
        <v>208</v>
      </c>
      <c r="S32" s="89">
        <f t="shared" si="34"/>
        <v>10</v>
      </c>
      <c r="T32" s="51">
        <f>'31.01'!BG32</f>
        <v>14</v>
      </c>
      <c r="U32" s="92"/>
      <c r="V32" s="89">
        <v>2.14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5"/>
        <v>0</v>
      </c>
      <c r="AF32" s="54">
        <f>AE32+'31.01'!AF32</f>
        <v>0</v>
      </c>
      <c r="AG32" s="94">
        <f t="shared" si="66"/>
        <v>14</v>
      </c>
      <c r="AH32" s="56">
        <f t="shared" si="13"/>
        <v>0</v>
      </c>
      <c r="AI32" s="93"/>
      <c r="AJ32" s="93">
        <f t="shared" si="67"/>
        <v>0</v>
      </c>
      <c r="AK32" s="95">
        <f t="shared" si="36"/>
        <v>1</v>
      </c>
      <c r="AL32" s="58">
        <f t="shared" si="37"/>
        <v>0</v>
      </c>
      <c r="AM32" s="55">
        <f t="shared" si="68"/>
        <v>14</v>
      </c>
      <c r="AN32" s="93"/>
      <c r="AO32" s="96"/>
      <c r="AP32" s="96">
        <f t="shared" si="90"/>
        <v>0</v>
      </c>
      <c r="AQ32" s="96"/>
      <c r="AR32" s="96"/>
      <c r="AS32" s="96"/>
      <c r="AT32" s="96"/>
      <c r="AU32" s="96">
        <f t="shared" si="38"/>
        <v>0</v>
      </c>
      <c r="AV32" s="96">
        <f t="shared" si="38"/>
        <v>0</v>
      </c>
      <c r="AW32" s="96">
        <f t="shared" si="39"/>
        <v>0</v>
      </c>
      <c r="AX32" s="96">
        <f t="shared" si="40"/>
        <v>0</v>
      </c>
      <c r="AY32" s="94">
        <f t="shared" si="69"/>
        <v>0</v>
      </c>
      <c r="AZ32" s="94">
        <f t="shared" si="41"/>
        <v>0</v>
      </c>
      <c r="BA32" s="94">
        <f t="shared" si="42"/>
        <v>14</v>
      </c>
      <c r="BB32" s="97">
        <f t="shared" si="43"/>
        <v>0</v>
      </c>
      <c r="BC32" s="93"/>
      <c r="BD32" s="93">
        <f t="shared" si="44"/>
        <v>0</v>
      </c>
      <c r="BE32" s="95">
        <f t="shared" si="45"/>
        <v>1</v>
      </c>
      <c r="BF32" s="58">
        <f t="shared" si="46"/>
        <v>0</v>
      </c>
      <c r="BG32" s="94">
        <f t="shared" si="47"/>
        <v>14</v>
      </c>
      <c r="BH32" s="89"/>
      <c r="BI32" s="89"/>
      <c r="BJ32" s="92">
        <f t="shared" si="91"/>
        <v>0</v>
      </c>
      <c r="BK32" s="89"/>
      <c r="BL32" s="89"/>
      <c r="BM32" s="89"/>
      <c r="BN32" s="89"/>
      <c r="BO32" s="92">
        <f t="shared" si="70"/>
        <v>0</v>
      </c>
      <c r="BP32" s="92">
        <f t="shared" si="70"/>
        <v>0</v>
      </c>
      <c r="BQ32" s="96">
        <f t="shared" si="48"/>
        <v>0</v>
      </c>
      <c r="BR32" s="96">
        <f t="shared" si="49"/>
        <v>0</v>
      </c>
      <c r="BS32" s="96">
        <f t="shared" si="71"/>
        <v>0</v>
      </c>
      <c r="BT32" s="96">
        <f t="shared" si="50"/>
        <v>0</v>
      </c>
      <c r="BU32" s="92">
        <f t="shared" si="16"/>
        <v>0</v>
      </c>
      <c r="BV32" s="98">
        <f t="shared" si="17"/>
        <v>0</v>
      </c>
      <c r="BW32" s="92">
        <f t="shared" si="18"/>
        <v>0</v>
      </c>
      <c r="BX32" s="98">
        <f t="shared" si="51"/>
        <v>0</v>
      </c>
      <c r="BY32" s="61">
        <f t="shared" si="73"/>
        <v>0</v>
      </c>
      <c r="BZ32" s="62">
        <f t="shared" si="52"/>
        <v>0</v>
      </c>
      <c r="CA32" s="98">
        <f t="shared" si="53"/>
        <v>0</v>
      </c>
      <c r="CB32" s="92">
        <f t="shared" si="19"/>
        <v>0</v>
      </c>
      <c r="CC32" s="92">
        <f t="shared" si="19"/>
        <v>0</v>
      </c>
      <c r="CD32" s="92">
        <f t="shared" si="19"/>
        <v>0</v>
      </c>
      <c r="CE32" s="99"/>
      <c r="CF32" s="99"/>
      <c r="CG32" s="51">
        <f t="shared" si="54"/>
        <v>0</v>
      </c>
      <c r="CH32" s="62">
        <f t="shared" si="55"/>
        <v>0</v>
      </c>
      <c r="CI32" s="89"/>
      <c r="CJ32" s="89"/>
      <c r="CK32" s="89"/>
      <c r="CL32" s="96"/>
      <c r="CM32" s="89"/>
      <c r="CN32" s="89"/>
      <c r="CO32" s="92"/>
      <c r="CP32" s="101"/>
      <c r="CQ32" s="102">
        <f t="shared" si="87"/>
        <v>0</v>
      </c>
      <c r="CR32" s="102">
        <f t="shared" si="87"/>
        <v>0</v>
      </c>
      <c r="CS32" s="102">
        <f t="shared" si="87"/>
        <v>0</v>
      </c>
      <c r="CT32" s="92">
        <f t="shared" si="57"/>
        <v>0</v>
      </c>
      <c r="CU32" s="92">
        <f t="shared" si="88"/>
        <v>0</v>
      </c>
      <c r="CV32" s="103">
        <f t="shared" si="88"/>
        <v>0</v>
      </c>
      <c r="CW32" s="104"/>
      <c r="CX32" s="105">
        <v>24</v>
      </c>
      <c r="CY32" s="106">
        <f t="shared" si="59"/>
        <v>1725</v>
      </c>
      <c r="CZ32" s="106">
        <f t="shared" si="60"/>
        <v>194.4</v>
      </c>
      <c r="DA32" s="106"/>
      <c r="DB32" s="106"/>
      <c r="DC32" s="105"/>
      <c r="DD32" s="107"/>
      <c r="DE32" s="92">
        <f t="shared" si="21"/>
        <v>0</v>
      </c>
      <c r="DF32" s="108">
        <f t="shared" si="22"/>
        <v>0</v>
      </c>
      <c r="DG32" s="112">
        <f t="shared" si="23"/>
        <v>0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6"/>
        <v>0</v>
      </c>
      <c r="DL32" s="108">
        <f t="shared" si="86"/>
        <v>0</v>
      </c>
      <c r="DM32" s="111">
        <f t="shared" si="86"/>
        <v>0</v>
      </c>
      <c r="DN32" s="76">
        <f t="shared" si="89"/>
        <v>14</v>
      </c>
      <c r="DO32" s="76">
        <f t="shared" si="89"/>
        <v>0</v>
      </c>
      <c r="DP32" s="112"/>
      <c r="DQ32" s="112"/>
      <c r="DR32" s="113" t="s">
        <v>433</v>
      </c>
      <c r="DS32" s="112"/>
      <c r="DT32" s="112"/>
      <c r="DU32" s="111"/>
      <c r="DV32" s="114"/>
      <c r="DW32" s="80">
        <f t="shared" si="61"/>
        <v>0</v>
      </c>
      <c r="DX32" s="81">
        <f t="shared" si="29"/>
        <v>0</v>
      </c>
      <c r="DY32" s="80">
        <f t="shared" si="62"/>
        <v>0</v>
      </c>
      <c r="DZ32" s="82">
        <f t="shared" si="63"/>
        <v>0</v>
      </c>
      <c r="EA32" s="82">
        <f t="shared" si="64"/>
        <v>0</v>
      </c>
      <c r="EB32" s="82">
        <f t="shared" si="65"/>
        <v>0</v>
      </c>
      <c r="EC32" s="82">
        <f t="shared" si="75"/>
        <v>0</v>
      </c>
      <c r="EF32" s="83">
        <f t="shared" si="92"/>
        <v>0</v>
      </c>
    </row>
    <row r="33" spans="1:136" ht="15" customHeight="1">
      <c r="A33" s="84">
        <v>26</v>
      </c>
      <c r="B33" s="85" t="s">
        <v>210</v>
      </c>
      <c r="C33" s="86"/>
      <c r="D33" s="116" t="s">
        <v>211</v>
      </c>
      <c r="E33" s="88">
        <v>24</v>
      </c>
      <c r="F33" s="89" t="s">
        <v>147</v>
      </c>
      <c r="G33" s="45" t="str">
        <f t="shared" si="31"/>
        <v>YHC3604-4x3-H9A14</v>
      </c>
      <c r="H33" s="46" t="str">
        <f t="shared" si="32"/>
        <v>C3604YH40DH9</v>
      </c>
      <c r="I33" s="46" t="str">
        <f t="shared" si="33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4"/>
        <v>272</v>
      </c>
      <c r="T33" s="51">
        <f>'31.01'!BG33</f>
        <v>0</v>
      </c>
      <c r="U33" s="92"/>
      <c r="V33" s="89">
        <v>11.6</v>
      </c>
      <c r="W33" s="93">
        <f t="shared" si="5"/>
        <v>0</v>
      </c>
      <c r="X33" s="93">
        <f t="shared" si="6"/>
        <v>0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0</v>
      </c>
      <c r="AE33" s="93">
        <f t="shared" si="35"/>
        <v>0</v>
      </c>
      <c r="AF33" s="54">
        <f>AE33+'31.01'!AF33</f>
        <v>0</v>
      </c>
      <c r="AG33" s="94">
        <f t="shared" si="66"/>
        <v>0</v>
      </c>
      <c r="AH33" s="56">
        <f t="shared" si="13"/>
        <v>0</v>
      </c>
      <c r="AI33" s="93"/>
      <c r="AJ33" s="93">
        <f t="shared" si="67"/>
        <v>0</v>
      </c>
      <c r="AK33" s="95">
        <f t="shared" si="36"/>
        <v>1</v>
      </c>
      <c r="AL33" s="58">
        <f t="shared" si="37"/>
        <v>0</v>
      </c>
      <c r="AM33" s="55">
        <f t="shared" si="68"/>
        <v>0</v>
      </c>
      <c r="AN33" s="93"/>
      <c r="AO33" s="96"/>
      <c r="AP33" s="96">
        <f t="shared" si="90"/>
        <v>0</v>
      </c>
      <c r="AQ33" s="96"/>
      <c r="AR33" s="96"/>
      <c r="AS33" s="96"/>
      <c r="AT33" s="96"/>
      <c r="AU33" s="96">
        <f t="shared" si="38"/>
        <v>0</v>
      </c>
      <c r="AV33" s="96">
        <f t="shared" si="38"/>
        <v>0</v>
      </c>
      <c r="AW33" s="96">
        <f t="shared" si="39"/>
        <v>0</v>
      </c>
      <c r="AX33" s="96">
        <f t="shared" si="40"/>
        <v>0</v>
      </c>
      <c r="AY33" s="94">
        <f t="shared" si="69"/>
        <v>0</v>
      </c>
      <c r="AZ33" s="94">
        <f t="shared" si="41"/>
        <v>0</v>
      </c>
      <c r="BA33" s="94">
        <f t="shared" si="42"/>
        <v>0</v>
      </c>
      <c r="BB33" s="97">
        <f t="shared" si="43"/>
        <v>0</v>
      </c>
      <c r="BC33" s="93"/>
      <c r="BD33" s="93">
        <f t="shared" si="44"/>
        <v>0</v>
      </c>
      <c r="BE33" s="95">
        <f t="shared" si="45"/>
        <v>1</v>
      </c>
      <c r="BF33" s="58">
        <f t="shared" si="46"/>
        <v>0</v>
      </c>
      <c r="BG33" s="94">
        <f t="shared" si="47"/>
        <v>0</v>
      </c>
      <c r="BH33" s="89"/>
      <c r="BI33" s="89"/>
      <c r="BJ33" s="92">
        <f t="shared" si="91"/>
        <v>0</v>
      </c>
      <c r="BK33" s="89"/>
      <c r="BL33" s="89"/>
      <c r="BM33" s="89"/>
      <c r="BN33" s="89"/>
      <c r="BO33" s="92">
        <f t="shared" si="70"/>
        <v>0</v>
      </c>
      <c r="BP33" s="92">
        <f t="shared" si="70"/>
        <v>0</v>
      </c>
      <c r="BQ33" s="96">
        <f t="shared" si="48"/>
        <v>0</v>
      </c>
      <c r="BR33" s="96">
        <f t="shared" si="49"/>
        <v>0</v>
      </c>
      <c r="BS33" s="96">
        <f t="shared" si="71"/>
        <v>0</v>
      </c>
      <c r="BT33" s="96">
        <f t="shared" si="50"/>
        <v>0</v>
      </c>
      <c r="BU33" s="92">
        <f t="shared" si="16"/>
        <v>0</v>
      </c>
      <c r="BV33" s="98">
        <f t="shared" si="17"/>
        <v>0</v>
      </c>
      <c r="BW33" s="92">
        <f t="shared" si="18"/>
        <v>0</v>
      </c>
      <c r="BX33" s="98">
        <f t="shared" si="51"/>
        <v>0</v>
      </c>
      <c r="BY33" s="61">
        <f t="shared" si="73"/>
        <v>0</v>
      </c>
      <c r="BZ33" s="62">
        <f t="shared" si="52"/>
        <v>0</v>
      </c>
      <c r="CA33" s="98">
        <f t="shared" si="53"/>
        <v>0</v>
      </c>
      <c r="CB33" s="92">
        <f t="shared" si="19"/>
        <v>0</v>
      </c>
      <c r="CC33" s="92">
        <f t="shared" si="19"/>
        <v>0</v>
      </c>
      <c r="CD33" s="92">
        <f t="shared" si="19"/>
        <v>0</v>
      </c>
      <c r="CE33" s="99"/>
      <c r="CF33" s="99"/>
      <c r="CG33" s="51">
        <f t="shared" si="54"/>
        <v>0</v>
      </c>
      <c r="CH33" s="62">
        <f t="shared" si="55"/>
        <v>0</v>
      </c>
      <c r="CI33" s="89"/>
      <c r="CJ33" s="89"/>
      <c r="CK33" s="89"/>
      <c r="CL33" s="96"/>
      <c r="CM33" s="89"/>
      <c r="CN33" s="89"/>
      <c r="CO33" s="92"/>
      <c r="CP33" s="101"/>
      <c r="CQ33" s="102">
        <f t="shared" si="87"/>
        <v>0</v>
      </c>
      <c r="CR33" s="102">
        <f t="shared" si="87"/>
        <v>0</v>
      </c>
      <c r="CS33" s="102">
        <f t="shared" si="87"/>
        <v>0</v>
      </c>
      <c r="CT33" s="92">
        <f t="shared" si="57"/>
        <v>0</v>
      </c>
      <c r="CU33" s="92">
        <f t="shared" si="88"/>
        <v>0</v>
      </c>
      <c r="CV33" s="103">
        <f t="shared" si="88"/>
        <v>0</v>
      </c>
      <c r="CW33" s="104" t="s">
        <v>157</v>
      </c>
      <c r="CX33" s="105">
        <v>12</v>
      </c>
      <c r="CY33" s="106">
        <f t="shared" si="59"/>
        <v>3262</v>
      </c>
      <c r="CZ33" s="106">
        <f t="shared" si="60"/>
        <v>48.6</v>
      </c>
      <c r="DA33" s="106"/>
      <c r="DB33" s="106"/>
      <c r="DC33" s="105"/>
      <c r="DD33" s="107"/>
      <c r="DE33" s="92">
        <f t="shared" si="21"/>
        <v>0</v>
      </c>
      <c r="DF33" s="108">
        <f t="shared" si="22"/>
        <v>0</v>
      </c>
      <c r="DG33" s="112">
        <f t="shared" si="23"/>
        <v>0</v>
      </c>
      <c r="DH33" s="110">
        <f t="shared" si="24"/>
        <v>0</v>
      </c>
      <c r="DI33" s="108">
        <f t="shared" si="25"/>
        <v>0</v>
      </c>
      <c r="DJ33" s="112">
        <f t="shared" si="26"/>
        <v>0</v>
      </c>
      <c r="DK33" s="110">
        <f t="shared" si="86"/>
        <v>0</v>
      </c>
      <c r="DL33" s="108">
        <f t="shared" si="86"/>
        <v>0</v>
      </c>
      <c r="DM33" s="111">
        <f t="shared" si="86"/>
        <v>0</v>
      </c>
      <c r="DN33" s="76">
        <f t="shared" si="89"/>
        <v>0</v>
      </c>
      <c r="DO33" s="76">
        <f t="shared" si="89"/>
        <v>0</v>
      </c>
      <c r="DP33" s="112"/>
      <c r="DQ33" s="112"/>
      <c r="DR33" s="113"/>
      <c r="DS33" s="112"/>
      <c r="DT33" s="112"/>
      <c r="DU33" s="111"/>
      <c r="DV33" s="114"/>
      <c r="DW33" s="80">
        <f t="shared" si="61"/>
        <v>0</v>
      </c>
      <c r="DX33" s="81">
        <f t="shared" si="29"/>
        <v>0</v>
      </c>
      <c r="DY33" s="80">
        <f t="shared" si="62"/>
        <v>0</v>
      </c>
      <c r="DZ33" s="82">
        <f t="shared" si="63"/>
        <v>0</v>
      </c>
      <c r="EA33" s="82">
        <f t="shared" si="64"/>
        <v>0</v>
      </c>
      <c r="EB33" s="82">
        <f t="shared" si="65"/>
        <v>0</v>
      </c>
      <c r="EC33" s="82">
        <f t="shared" si="75"/>
        <v>0</v>
      </c>
      <c r="EF33" s="83">
        <f t="shared" si="92"/>
        <v>0</v>
      </c>
    </row>
    <row r="34" spans="1:136" ht="14.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1"/>
        <v>SSSUS304K-4x3-H9A08</v>
      </c>
      <c r="H34" s="46" t="str">
        <f t="shared" si="32"/>
        <v>SUS304KSS40DH9</v>
      </c>
      <c r="I34" s="46" t="str">
        <f t="shared" si="33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4"/>
        <v>46</v>
      </c>
      <c r="T34" s="51">
        <f>'31.01'!BG34</f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5"/>
        <v>0</v>
      </c>
      <c r="AF34" s="54">
        <f>AE34+'31.01'!AF34</f>
        <v>0</v>
      </c>
      <c r="AG34" s="94">
        <f t="shared" si="66"/>
        <v>0</v>
      </c>
      <c r="AH34" s="56">
        <f t="shared" si="13"/>
        <v>0</v>
      </c>
      <c r="AI34" s="93"/>
      <c r="AJ34" s="93">
        <f t="shared" si="67"/>
        <v>0</v>
      </c>
      <c r="AK34" s="95">
        <f t="shared" si="36"/>
        <v>1</v>
      </c>
      <c r="AL34" s="58">
        <f t="shared" si="37"/>
        <v>0</v>
      </c>
      <c r="AM34" s="55">
        <f t="shared" si="68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8"/>
        <v>0</v>
      </c>
      <c r="AV34" s="96">
        <f t="shared" si="38"/>
        <v>0</v>
      </c>
      <c r="AW34" s="96">
        <f t="shared" si="39"/>
        <v>0</v>
      </c>
      <c r="AX34" s="96">
        <f t="shared" si="40"/>
        <v>0</v>
      </c>
      <c r="AY34" s="94">
        <f t="shared" si="69"/>
        <v>0</v>
      </c>
      <c r="AZ34" s="94">
        <f t="shared" si="41"/>
        <v>0</v>
      </c>
      <c r="BA34" s="94">
        <f t="shared" si="42"/>
        <v>0</v>
      </c>
      <c r="BB34" s="97">
        <f t="shared" si="43"/>
        <v>0</v>
      </c>
      <c r="BC34" s="93"/>
      <c r="BD34" s="93">
        <f t="shared" si="44"/>
        <v>0</v>
      </c>
      <c r="BE34" s="95">
        <f t="shared" si="45"/>
        <v>1</v>
      </c>
      <c r="BF34" s="58">
        <f t="shared" si="46"/>
        <v>0</v>
      </c>
      <c r="BG34" s="94">
        <f t="shared" si="47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0"/>
        <v>0</v>
      </c>
      <c r="BP34" s="92">
        <f t="shared" si="70"/>
        <v>0</v>
      </c>
      <c r="BQ34" s="96">
        <f t="shared" si="48"/>
        <v>0</v>
      </c>
      <c r="BR34" s="96">
        <f t="shared" si="49"/>
        <v>0</v>
      </c>
      <c r="BS34" s="96">
        <f t="shared" si="71"/>
        <v>0</v>
      </c>
      <c r="BT34" s="96">
        <f t="shared" si="50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1"/>
        <v>0</v>
      </c>
      <c r="BY34" s="61">
        <f>IFERROR(BF34+AL34,0)</f>
        <v>0</v>
      </c>
      <c r="BZ34" s="62">
        <f t="shared" si="52"/>
        <v>0</v>
      </c>
      <c r="CA34" s="98">
        <f t="shared" si="53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4"/>
        <v>0</v>
      </c>
      <c r="CH34" s="62">
        <f t="shared" si="55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7"/>
        <v>0</v>
      </c>
      <c r="CR34" s="102">
        <f t="shared" si="87"/>
        <v>0</v>
      </c>
      <c r="CS34" s="102">
        <f t="shared" si="87"/>
        <v>0</v>
      </c>
      <c r="CT34" s="92">
        <f t="shared" si="57"/>
        <v>0</v>
      </c>
      <c r="CU34" s="92">
        <f t="shared" si="88"/>
        <v>0</v>
      </c>
      <c r="CV34" s="103">
        <f t="shared" si="88"/>
        <v>0</v>
      </c>
      <c r="CW34" s="104"/>
      <c r="CX34" s="105">
        <v>8</v>
      </c>
      <c r="CY34" s="106">
        <f t="shared" si="59"/>
        <v>4312</v>
      </c>
      <c r="CZ34" s="106">
        <f t="shared" si="60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6"/>
        <v>0</v>
      </c>
      <c r="DL34" s="108">
        <f t="shared" si="86"/>
        <v>0</v>
      </c>
      <c r="DM34" s="111">
        <f t="shared" si="86"/>
        <v>0</v>
      </c>
      <c r="DN34" s="76">
        <f t="shared" si="89"/>
        <v>0</v>
      </c>
      <c r="DO34" s="76">
        <f t="shared" si="89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1"/>
        <v>0</v>
      </c>
      <c r="DX34" s="81">
        <f t="shared" si="29"/>
        <v>0</v>
      </c>
      <c r="DY34" s="80">
        <f t="shared" si="62"/>
        <v>0</v>
      </c>
      <c r="DZ34" s="82">
        <f t="shared" si="63"/>
        <v>0</v>
      </c>
      <c r="EA34" s="82">
        <f t="shared" si="64"/>
        <v>0</v>
      </c>
      <c r="EB34" s="82">
        <f t="shared" si="65"/>
        <v>0</v>
      </c>
      <c r="EC34" s="82">
        <f t="shared" ref="EC34:EC35" si="95">(BX34-CA34)+((AV34+BP34)/1000)</f>
        <v>0</v>
      </c>
      <c r="EF34" s="83">
        <f t="shared" si="92"/>
        <v>0</v>
      </c>
    </row>
    <row r="35" spans="1:136" ht="14.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1"/>
        <v>IBC3604-6.5x3-H9A14</v>
      </c>
      <c r="H35" s="46" t="str">
        <f t="shared" si="32"/>
        <v>C3604IB6.50DH9</v>
      </c>
      <c r="I35" s="46" t="str">
        <f t="shared" si="33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4"/>
        <v>34</v>
      </c>
      <c r="T35" s="51">
        <f>'31.01'!BG35</f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5"/>
        <v>0</v>
      </c>
      <c r="AF35" s="54">
        <f>AE35+'31.01'!AF35</f>
        <v>0</v>
      </c>
      <c r="AG35" s="94">
        <f t="shared" si="66"/>
        <v>0</v>
      </c>
      <c r="AH35" s="56">
        <f t="shared" si="13"/>
        <v>0</v>
      </c>
      <c r="AI35" s="93"/>
      <c r="AJ35" s="93">
        <f t="shared" si="67"/>
        <v>0</v>
      </c>
      <c r="AK35" s="95">
        <f t="shared" si="36"/>
        <v>1</v>
      </c>
      <c r="AL35" s="58">
        <f t="shared" si="37"/>
        <v>0</v>
      </c>
      <c r="AM35" s="55">
        <f t="shared" si="68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8"/>
        <v>0</v>
      </c>
      <c r="AV35" s="96">
        <f t="shared" si="38"/>
        <v>0</v>
      </c>
      <c r="AW35" s="96">
        <f t="shared" si="39"/>
        <v>0</v>
      </c>
      <c r="AX35" s="96">
        <f t="shared" si="40"/>
        <v>0</v>
      </c>
      <c r="AY35" s="94">
        <f t="shared" si="69"/>
        <v>0</v>
      </c>
      <c r="AZ35" s="94">
        <f t="shared" si="41"/>
        <v>0</v>
      </c>
      <c r="BA35" s="94">
        <f t="shared" si="42"/>
        <v>0</v>
      </c>
      <c r="BB35" s="97">
        <f t="shared" si="43"/>
        <v>0</v>
      </c>
      <c r="BC35" s="93"/>
      <c r="BD35" s="93">
        <f t="shared" si="44"/>
        <v>0</v>
      </c>
      <c r="BE35" s="95">
        <f t="shared" si="45"/>
        <v>1</v>
      </c>
      <c r="BF35" s="58">
        <f t="shared" si="46"/>
        <v>0</v>
      </c>
      <c r="BG35" s="94">
        <f t="shared" si="47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0"/>
        <v>0</v>
      </c>
      <c r="BP35" s="92">
        <f t="shared" si="70"/>
        <v>0</v>
      </c>
      <c r="BQ35" s="96">
        <f t="shared" si="48"/>
        <v>0</v>
      </c>
      <c r="BR35" s="96">
        <f t="shared" si="49"/>
        <v>0</v>
      </c>
      <c r="BS35" s="96">
        <f t="shared" si="71"/>
        <v>0</v>
      </c>
      <c r="BT35" s="96">
        <f t="shared" si="50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1"/>
        <v>0</v>
      </c>
      <c r="BY35" s="61">
        <f t="shared" si="73"/>
        <v>0</v>
      </c>
      <c r="BZ35" s="62">
        <f t="shared" si="52"/>
        <v>0</v>
      </c>
      <c r="CA35" s="98">
        <f t="shared" si="53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4"/>
        <v>0</v>
      </c>
      <c r="CH35" s="62">
        <f t="shared" si="55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7"/>
        <v>0</v>
      </c>
      <c r="CR35" s="102">
        <f t="shared" si="87"/>
        <v>0</v>
      </c>
      <c r="CS35" s="102">
        <f t="shared" si="87"/>
        <v>0</v>
      </c>
      <c r="CT35" s="92">
        <f t="shared" si="57"/>
        <v>0</v>
      </c>
      <c r="CU35" s="92">
        <f t="shared" si="88"/>
        <v>0</v>
      </c>
      <c r="CV35" s="103">
        <f t="shared" si="88"/>
        <v>0</v>
      </c>
      <c r="CW35" s="104" t="s">
        <v>147</v>
      </c>
      <c r="CX35" s="105">
        <v>13</v>
      </c>
      <c r="CY35" s="106">
        <f t="shared" si="59"/>
        <v>3073</v>
      </c>
      <c r="CZ35" s="106">
        <f t="shared" si="60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6"/>
        <v>0</v>
      </c>
      <c r="DL35" s="108">
        <f t="shared" si="86"/>
        <v>0</v>
      </c>
      <c r="DM35" s="111">
        <f t="shared" si="86"/>
        <v>0</v>
      </c>
      <c r="DN35" s="76">
        <f t="shared" si="89"/>
        <v>0</v>
      </c>
      <c r="DO35" s="76">
        <f t="shared" si="89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1"/>
        <v>0</v>
      </c>
      <c r="DX35" s="81">
        <f t="shared" si="29"/>
        <v>0</v>
      </c>
      <c r="DY35" s="80">
        <f t="shared" si="62"/>
        <v>0</v>
      </c>
      <c r="DZ35" s="82">
        <f t="shared" si="63"/>
        <v>0</v>
      </c>
      <c r="EA35" s="82">
        <f t="shared" si="64"/>
        <v>0</v>
      </c>
      <c r="EB35" s="82">
        <f t="shared" si="65"/>
        <v>0</v>
      </c>
      <c r="EC35" s="82">
        <f t="shared" si="95"/>
        <v>0</v>
      </c>
      <c r="EF35" s="83">
        <f t="shared" si="92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1"/>
        <v>TV12L14-5.97x2.5-H9B14</v>
      </c>
      <c r="H36" s="46" t="str">
        <f t="shared" si="32"/>
        <v>12L14TV5.970DH9</v>
      </c>
      <c r="I36" s="46" t="str">
        <f t="shared" si="33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4"/>
        <v>76</v>
      </c>
      <c r="T36" s="51">
        <f>'31.01'!BG36</f>
        <v>23</v>
      </c>
      <c r="U36" s="146">
        <v>77</v>
      </c>
      <c r="V36" s="135">
        <v>4.45</v>
      </c>
      <c r="W36" s="151">
        <f t="shared" si="5"/>
        <v>0</v>
      </c>
      <c r="X36" s="151">
        <f t="shared" si="6"/>
        <v>3031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0</v>
      </c>
      <c r="AE36" s="151">
        <f t="shared" si="35"/>
        <v>3031</v>
      </c>
      <c r="AF36" s="54">
        <f>AE36+'31.01'!AF36</f>
        <v>6109</v>
      </c>
      <c r="AG36" s="94">
        <f t="shared" si="66"/>
        <v>23</v>
      </c>
      <c r="AH36" s="56">
        <f t="shared" si="13"/>
        <v>0</v>
      </c>
      <c r="AI36" s="151">
        <v>38</v>
      </c>
      <c r="AJ36" s="93">
        <f t="shared" si="67"/>
        <v>0</v>
      </c>
      <c r="AK36" s="95">
        <f t="shared" si="36"/>
        <v>1</v>
      </c>
      <c r="AL36" s="58">
        <f t="shared" si="37"/>
        <v>38</v>
      </c>
      <c r="AM36" s="55">
        <f t="shared" si="68"/>
        <v>62</v>
      </c>
      <c r="AN36" s="151"/>
      <c r="AO36" s="145"/>
      <c r="AP36" s="145">
        <f>$CJ36</f>
        <v>6862</v>
      </c>
      <c r="AQ36" s="145"/>
      <c r="AR36" s="145"/>
      <c r="AS36" s="145"/>
      <c r="AT36" s="145"/>
      <c r="AU36" s="145">
        <f t="shared" si="38"/>
        <v>0</v>
      </c>
      <c r="AV36" s="145">
        <f t="shared" si="38"/>
        <v>0</v>
      </c>
      <c r="AW36" s="145">
        <f t="shared" si="39"/>
        <v>6862</v>
      </c>
      <c r="AX36" s="145">
        <f t="shared" si="40"/>
        <v>1542</v>
      </c>
      <c r="AY36" s="94">
        <f t="shared" si="69"/>
        <v>98</v>
      </c>
      <c r="AZ36" s="94">
        <f t="shared" si="41"/>
        <v>22.022471910112358</v>
      </c>
      <c r="BA36" s="94">
        <f t="shared" si="42"/>
        <v>62</v>
      </c>
      <c r="BB36" s="97">
        <f t="shared" si="43"/>
        <v>0</v>
      </c>
      <c r="BC36" s="151">
        <v>37</v>
      </c>
      <c r="BD36" s="93">
        <f t="shared" si="44"/>
        <v>0</v>
      </c>
      <c r="BE36" s="152">
        <f t="shared" si="45"/>
        <v>1</v>
      </c>
      <c r="BF36" s="58">
        <f t="shared" si="46"/>
        <v>37</v>
      </c>
      <c r="BG36" s="94">
        <f t="shared" si="47"/>
        <v>25</v>
      </c>
      <c r="BH36" s="150"/>
      <c r="BI36" s="150"/>
      <c r="BJ36" s="146">
        <f>$CN36</f>
        <v>6628</v>
      </c>
      <c r="BK36" s="150"/>
      <c r="BL36" s="150"/>
      <c r="BM36" s="150"/>
      <c r="BN36" s="146"/>
      <c r="BO36" s="146">
        <f t="shared" si="70"/>
        <v>0</v>
      </c>
      <c r="BP36" s="146">
        <f t="shared" si="70"/>
        <v>0</v>
      </c>
      <c r="BQ36" s="145">
        <f t="shared" si="48"/>
        <v>6628</v>
      </c>
      <c r="BR36" s="145">
        <f t="shared" si="49"/>
        <v>1489</v>
      </c>
      <c r="BS36" s="96">
        <f t="shared" si="71"/>
        <v>42</v>
      </c>
      <c r="BT36" s="145">
        <f t="shared" si="50"/>
        <v>9.4382022471910112</v>
      </c>
      <c r="BU36" s="146">
        <f t="shared" si="16"/>
        <v>3031</v>
      </c>
      <c r="BV36" s="98">
        <f t="shared" si="17"/>
        <v>75</v>
      </c>
      <c r="BW36" s="146">
        <f t="shared" si="18"/>
        <v>31.460674157303369</v>
      </c>
      <c r="BX36" s="153">
        <f t="shared" si="51"/>
        <v>41.025000000000006</v>
      </c>
      <c r="BY36" s="61">
        <f t="shared" si="73"/>
        <v>75</v>
      </c>
      <c r="BZ36" s="62">
        <f t="shared" si="52"/>
        <v>75</v>
      </c>
      <c r="CA36" s="98">
        <f t="shared" si="53"/>
        <v>13.49</v>
      </c>
      <c r="CB36" s="146">
        <f t="shared" si="19"/>
        <v>3031</v>
      </c>
      <c r="CC36" s="146">
        <f t="shared" si="19"/>
        <v>140</v>
      </c>
      <c r="CD36" s="146">
        <f t="shared" si="19"/>
        <v>31.460674157303369</v>
      </c>
      <c r="CE36" s="99"/>
      <c r="CF36" s="99"/>
      <c r="CG36" s="51">
        <f t="shared" si="54"/>
        <v>27.535000000000004</v>
      </c>
      <c r="CH36" s="62">
        <f t="shared" si="55"/>
        <v>27.535000000000004</v>
      </c>
      <c r="CI36" s="150"/>
      <c r="CJ36" s="150">
        <v>6862</v>
      </c>
      <c r="CK36" s="150"/>
      <c r="CL36" s="145"/>
      <c r="CM36" s="150"/>
      <c r="CN36" s="150">
        <v>6628</v>
      </c>
      <c r="CO36" s="146"/>
      <c r="CP36" s="154"/>
      <c r="CQ36" s="102">
        <f t="shared" si="87"/>
        <v>1542</v>
      </c>
      <c r="CR36" s="102">
        <f t="shared" si="87"/>
        <v>0</v>
      </c>
      <c r="CS36" s="102">
        <f t="shared" si="87"/>
        <v>0</v>
      </c>
      <c r="CT36" s="92">
        <f t="shared" si="57"/>
        <v>1489</v>
      </c>
      <c r="CU36" s="92">
        <f t="shared" si="88"/>
        <v>0</v>
      </c>
      <c r="CV36" s="103">
        <f t="shared" si="88"/>
        <v>0</v>
      </c>
      <c r="CW36" s="155" t="s">
        <v>147</v>
      </c>
      <c r="CX36" s="156">
        <v>23</v>
      </c>
      <c r="CY36" s="157">
        <f t="shared" si="59"/>
        <v>1510</v>
      </c>
      <c r="CZ36" s="157">
        <f t="shared" si="60"/>
        <v>93.15</v>
      </c>
      <c r="DA36" s="157"/>
      <c r="DB36" s="157"/>
      <c r="DC36" s="156"/>
      <c r="DD36" s="158"/>
      <c r="DE36" s="92">
        <f t="shared" si="21"/>
        <v>1542</v>
      </c>
      <c r="DF36" s="108">
        <f t="shared" si="22"/>
        <v>38</v>
      </c>
      <c r="DG36" s="112">
        <f t="shared" si="23"/>
        <v>22.022471910112358</v>
      </c>
      <c r="DH36" s="110">
        <f t="shared" si="24"/>
        <v>1489</v>
      </c>
      <c r="DI36" s="108">
        <f t="shared" si="25"/>
        <v>37</v>
      </c>
      <c r="DJ36" s="112">
        <f t="shared" si="26"/>
        <v>9.4382022471910112</v>
      </c>
      <c r="DK36" s="110">
        <f t="shared" si="86"/>
        <v>3031</v>
      </c>
      <c r="DL36" s="108">
        <f t="shared" si="86"/>
        <v>75</v>
      </c>
      <c r="DM36" s="111">
        <f t="shared" si="86"/>
        <v>31.460674157303369</v>
      </c>
      <c r="DN36" s="76">
        <f t="shared" si="89"/>
        <v>23</v>
      </c>
      <c r="DO36" s="76">
        <f t="shared" si="89"/>
        <v>77</v>
      </c>
      <c r="DP36" s="112"/>
      <c r="DQ36" s="112"/>
      <c r="DR36" s="113" t="s">
        <v>434</v>
      </c>
      <c r="DS36" s="112"/>
      <c r="DT36" s="112"/>
      <c r="DU36" s="111"/>
      <c r="DV36" s="114"/>
      <c r="DW36" s="80">
        <f>IFERROR(AL36+BF36,"")</f>
        <v>75</v>
      </c>
      <c r="DX36" s="159">
        <f t="shared" si="29"/>
        <v>3137.4606741573034</v>
      </c>
      <c r="DY36" s="80">
        <f t="shared" si="62"/>
        <v>3031</v>
      </c>
      <c r="DZ36" s="82">
        <f t="shared" si="63"/>
        <v>0</v>
      </c>
      <c r="EA36" s="82">
        <f t="shared" si="64"/>
        <v>13.487950000000001</v>
      </c>
      <c r="EB36" s="82">
        <f t="shared" si="65"/>
        <v>27.537050000000004</v>
      </c>
      <c r="EC36" s="82">
        <f t="shared" si="75"/>
        <v>27.537050000000004</v>
      </c>
      <c r="EF36" s="83">
        <f t="shared" si="92"/>
        <v>31.460674157303369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1"/>
        <v>GAA5052-5.7x3-H9A14</v>
      </c>
      <c r="H37" s="46" t="str">
        <f t="shared" si="32"/>
        <v>A5052GA5.70DH9</v>
      </c>
      <c r="I37" s="46" t="str">
        <f t="shared" si="33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4"/>
        <v>18</v>
      </c>
      <c r="T37" s="51">
        <f>'31.01'!BG37</f>
        <v>20</v>
      </c>
      <c r="U37" s="92"/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35"/>
        <v>0</v>
      </c>
      <c r="AF37" s="54">
        <f>AE37+'31.01'!AF37</f>
        <v>0</v>
      </c>
      <c r="AG37" s="94">
        <f t="shared" si="66"/>
        <v>20</v>
      </c>
      <c r="AH37" s="56">
        <f t="shared" si="13"/>
        <v>0</v>
      </c>
      <c r="AI37" s="93"/>
      <c r="AJ37" s="93">
        <f t="shared" si="67"/>
        <v>0</v>
      </c>
      <c r="AK37" s="95">
        <f t="shared" si="36"/>
        <v>1</v>
      </c>
      <c r="AL37" s="58">
        <f t="shared" si="37"/>
        <v>0</v>
      </c>
      <c r="AM37" s="55">
        <f t="shared" si="68"/>
        <v>20</v>
      </c>
      <c r="AN37" s="93"/>
      <c r="AO37" s="96"/>
      <c r="AP37" s="96"/>
      <c r="AQ37" s="96"/>
      <c r="AR37" s="96"/>
      <c r="AS37" s="96"/>
      <c r="AT37" s="96">
        <f>$CJ37</f>
        <v>0</v>
      </c>
      <c r="AU37" s="96">
        <f t="shared" si="38"/>
        <v>0</v>
      </c>
      <c r="AV37" s="96">
        <f t="shared" si="38"/>
        <v>0</v>
      </c>
      <c r="AW37" s="96">
        <f t="shared" si="39"/>
        <v>0</v>
      </c>
      <c r="AX37" s="96">
        <f t="shared" si="40"/>
        <v>0</v>
      </c>
      <c r="AY37" s="94">
        <f t="shared" si="69"/>
        <v>0</v>
      </c>
      <c r="AZ37" s="94">
        <f t="shared" si="41"/>
        <v>0</v>
      </c>
      <c r="BA37" s="94">
        <f t="shared" si="42"/>
        <v>20</v>
      </c>
      <c r="BB37" s="97">
        <f t="shared" si="43"/>
        <v>0</v>
      </c>
      <c r="BC37" s="93"/>
      <c r="BD37" s="93">
        <f t="shared" si="44"/>
        <v>0</v>
      </c>
      <c r="BE37" s="95">
        <f t="shared" si="45"/>
        <v>1</v>
      </c>
      <c r="BF37" s="58">
        <f t="shared" si="46"/>
        <v>0</v>
      </c>
      <c r="BG37" s="94">
        <f t="shared" si="47"/>
        <v>20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0"/>
        <v>0</v>
      </c>
      <c r="BP37" s="92">
        <f t="shared" si="70"/>
        <v>0</v>
      </c>
      <c r="BQ37" s="96">
        <f t="shared" si="48"/>
        <v>0</v>
      </c>
      <c r="BR37" s="96">
        <f t="shared" si="49"/>
        <v>0</v>
      </c>
      <c r="BS37" s="96">
        <f t="shared" si="71"/>
        <v>0</v>
      </c>
      <c r="BT37" s="96">
        <f t="shared" si="50"/>
        <v>0</v>
      </c>
      <c r="BU37" s="92">
        <f t="shared" si="16"/>
        <v>0</v>
      </c>
      <c r="BV37" s="98">
        <f t="shared" si="17"/>
        <v>0</v>
      </c>
      <c r="BW37" s="92">
        <f t="shared" si="18"/>
        <v>0</v>
      </c>
      <c r="BX37" s="98">
        <f t="shared" si="51"/>
        <v>0</v>
      </c>
      <c r="BY37" s="61">
        <f t="shared" si="73"/>
        <v>0</v>
      </c>
      <c r="BZ37" s="62">
        <f t="shared" si="52"/>
        <v>0</v>
      </c>
      <c r="CA37" s="98">
        <f t="shared" si="53"/>
        <v>0</v>
      </c>
      <c r="CB37" s="92">
        <f t="shared" si="19"/>
        <v>0</v>
      </c>
      <c r="CC37" s="92">
        <f t="shared" si="19"/>
        <v>0</v>
      </c>
      <c r="CD37" s="92">
        <f t="shared" si="19"/>
        <v>0</v>
      </c>
      <c r="CE37" s="99"/>
      <c r="CF37" s="99"/>
      <c r="CG37" s="51">
        <f t="shared" si="54"/>
        <v>0</v>
      </c>
      <c r="CH37" s="62">
        <f t="shared" si="55"/>
        <v>0</v>
      </c>
      <c r="CI37" s="89"/>
      <c r="CJ37" s="89"/>
      <c r="CK37" s="89"/>
      <c r="CL37" s="96"/>
      <c r="CM37" s="89"/>
      <c r="CN37" s="89"/>
      <c r="CO37" s="92"/>
      <c r="CP37" s="101"/>
      <c r="CQ37" s="102">
        <f t="shared" si="87"/>
        <v>0</v>
      </c>
      <c r="CR37" s="102">
        <f t="shared" si="87"/>
        <v>0</v>
      </c>
      <c r="CS37" s="102">
        <f t="shared" si="87"/>
        <v>0</v>
      </c>
      <c r="CT37" s="92">
        <f t="shared" si="57"/>
        <v>0</v>
      </c>
      <c r="CU37" s="92">
        <f t="shared" si="88"/>
        <v>0</v>
      </c>
      <c r="CV37" s="103">
        <f t="shared" si="88"/>
        <v>0</v>
      </c>
      <c r="CW37" s="104" t="s">
        <v>147</v>
      </c>
      <c r="CX37" s="105">
        <v>18</v>
      </c>
      <c r="CY37" s="106">
        <f t="shared" si="59"/>
        <v>2300</v>
      </c>
      <c r="CZ37" s="106">
        <f t="shared" si="60"/>
        <v>72.900000000000006</v>
      </c>
      <c r="DA37" s="106"/>
      <c r="DB37" s="106"/>
      <c r="DC37" s="105"/>
      <c r="DD37" s="107"/>
      <c r="DE37" s="92">
        <f t="shared" si="21"/>
        <v>0</v>
      </c>
      <c r="DF37" s="108">
        <f t="shared" si="22"/>
        <v>0</v>
      </c>
      <c r="DG37" s="112">
        <f t="shared" si="23"/>
        <v>0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6"/>
        <v>0</v>
      </c>
      <c r="DL37" s="108">
        <f t="shared" si="86"/>
        <v>0</v>
      </c>
      <c r="DM37" s="111">
        <f t="shared" si="86"/>
        <v>0</v>
      </c>
      <c r="DN37" s="76">
        <f t="shared" si="89"/>
        <v>20</v>
      </c>
      <c r="DO37" s="76">
        <f t="shared" si="89"/>
        <v>0</v>
      </c>
      <c r="DP37" s="112"/>
      <c r="DQ37" s="112"/>
      <c r="DR37" s="113" t="s">
        <v>435</v>
      </c>
      <c r="DS37" s="112"/>
      <c r="DT37" s="112"/>
      <c r="DU37" s="111"/>
      <c r="DV37" s="114"/>
      <c r="DW37" s="80">
        <f t="shared" si="61"/>
        <v>0</v>
      </c>
      <c r="DX37" s="81">
        <f t="shared" si="29"/>
        <v>0</v>
      </c>
      <c r="DY37" s="80">
        <f t="shared" si="62"/>
        <v>0</v>
      </c>
      <c r="DZ37" s="82">
        <f t="shared" si="63"/>
        <v>0</v>
      </c>
      <c r="EA37" s="82">
        <f t="shared" si="64"/>
        <v>0</v>
      </c>
      <c r="EB37" s="82">
        <f t="shared" si="65"/>
        <v>0</v>
      </c>
      <c r="EC37" s="82">
        <f t="shared" si="75"/>
        <v>0</v>
      </c>
      <c r="EF37" s="83">
        <f t="shared" si="92"/>
        <v>0</v>
      </c>
    </row>
    <row r="38" spans="1:136" s="143" customFormat="1" ht="14.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1"/>
        <v>MESUS303-5x3-H7B13</v>
      </c>
      <c r="H38" s="123" t="str">
        <f t="shared" si="32"/>
        <v>SUS303ME50DH7</v>
      </c>
      <c r="I38" s="123" t="str">
        <f t="shared" si="33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4"/>
        <v>4</v>
      </c>
      <c r="T38" s="51">
        <f>'31.01'!BG38</f>
        <v>19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5"/>
        <v>0</v>
      </c>
      <c r="AF38" s="54">
        <f>AE38+'31.01'!AF38</f>
        <v>0</v>
      </c>
      <c r="AG38" s="94">
        <f t="shared" si="66"/>
        <v>19</v>
      </c>
      <c r="AH38" s="56">
        <f t="shared" si="13"/>
        <v>0</v>
      </c>
      <c r="AI38" s="125"/>
      <c r="AJ38" s="93">
        <f t="shared" si="67"/>
        <v>0</v>
      </c>
      <c r="AK38" s="95">
        <f t="shared" si="36"/>
        <v>1</v>
      </c>
      <c r="AL38" s="58">
        <f t="shared" si="37"/>
        <v>0</v>
      </c>
      <c r="AM38" s="55">
        <f t="shared" si="68"/>
        <v>19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8"/>
        <v>0</v>
      </c>
      <c r="AV38" s="126">
        <f t="shared" si="38"/>
        <v>0</v>
      </c>
      <c r="AW38" s="126">
        <f t="shared" si="39"/>
        <v>0</v>
      </c>
      <c r="AX38" s="126">
        <f t="shared" si="40"/>
        <v>0</v>
      </c>
      <c r="AY38" s="162">
        <f t="shared" si="69"/>
        <v>0</v>
      </c>
      <c r="AZ38" s="94">
        <f t="shared" si="41"/>
        <v>0</v>
      </c>
      <c r="BA38" s="94">
        <f t="shared" si="42"/>
        <v>19</v>
      </c>
      <c r="BB38" s="97">
        <f t="shared" si="43"/>
        <v>0</v>
      </c>
      <c r="BC38" s="125"/>
      <c r="BD38" s="93">
        <f t="shared" si="44"/>
        <v>0</v>
      </c>
      <c r="BE38" s="127">
        <f t="shared" si="45"/>
        <v>1</v>
      </c>
      <c r="BF38" s="58">
        <f t="shared" si="46"/>
        <v>0</v>
      </c>
      <c r="BG38" s="94">
        <f t="shared" si="47"/>
        <v>19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0"/>
        <v>0</v>
      </c>
      <c r="BP38" s="124">
        <f t="shared" si="70"/>
        <v>0</v>
      </c>
      <c r="BQ38" s="126">
        <f t="shared" si="48"/>
        <v>0</v>
      </c>
      <c r="BR38" s="126">
        <f t="shared" si="49"/>
        <v>0</v>
      </c>
      <c r="BS38" s="126">
        <f t="shared" si="71"/>
        <v>0</v>
      </c>
      <c r="BT38" s="126">
        <f t="shared" si="50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1"/>
        <v>0</v>
      </c>
      <c r="BY38" s="129">
        <f t="shared" si="73"/>
        <v>0</v>
      </c>
      <c r="BZ38" s="62">
        <f t="shared" si="52"/>
        <v>0</v>
      </c>
      <c r="CA38" s="128">
        <f t="shared" si="53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4"/>
        <v>0</v>
      </c>
      <c r="CH38" s="62">
        <f t="shared" si="55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7"/>
        <v>0</v>
      </c>
      <c r="CR38" s="102">
        <f t="shared" si="87"/>
        <v>0</v>
      </c>
      <c r="CS38" s="102">
        <f t="shared" si="87"/>
        <v>0</v>
      </c>
      <c r="CT38" s="92">
        <f t="shared" si="57"/>
        <v>0</v>
      </c>
      <c r="CU38" s="92">
        <f t="shared" si="88"/>
        <v>0</v>
      </c>
      <c r="CV38" s="103">
        <f t="shared" si="88"/>
        <v>0</v>
      </c>
      <c r="CW38" s="131" t="s">
        <v>147</v>
      </c>
      <c r="CX38" s="132">
        <v>60</v>
      </c>
      <c r="CY38" s="133">
        <f t="shared" si="59"/>
        <v>714</v>
      </c>
      <c r="CZ38" s="133">
        <f t="shared" si="60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6"/>
        <v>0</v>
      </c>
      <c r="DL38" s="135">
        <f t="shared" si="86"/>
        <v>0</v>
      </c>
      <c r="DM38" s="137">
        <f t="shared" si="86"/>
        <v>0</v>
      </c>
      <c r="DN38" s="76">
        <f t="shared" si="89"/>
        <v>19</v>
      </c>
      <c r="DO38" s="76">
        <f t="shared" si="89"/>
        <v>0</v>
      </c>
      <c r="DP38" s="115"/>
      <c r="DQ38" s="115"/>
      <c r="DR38" s="138" t="s">
        <v>436</v>
      </c>
      <c r="DS38" s="115"/>
      <c r="DT38" s="115"/>
      <c r="DU38" s="137"/>
      <c r="DV38" s="139"/>
      <c r="DW38" s="140">
        <f t="shared" si="61"/>
        <v>0</v>
      </c>
      <c r="DX38" s="141">
        <f t="shared" si="29"/>
        <v>0</v>
      </c>
      <c r="DY38" s="140">
        <f t="shared" si="62"/>
        <v>0</v>
      </c>
      <c r="DZ38" s="142">
        <f t="shared" si="63"/>
        <v>0</v>
      </c>
      <c r="EA38" s="142">
        <f t="shared" si="64"/>
        <v>0</v>
      </c>
      <c r="EB38" s="142">
        <f t="shared" si="65"/>
        <v>0</v>
      </c>
      <c r="EC38" s="142">
        <f t="shared" si="75"/>
        <v>0</v>
      </c>
      <c r="EF38" s="83">
        <f t="shared" si="92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1"/>
        <v>GAA5052-5.7x3-H9A14</v>
      </c>
      <c r="H39" s="46" t="str">
        <f t="shared" si="32"/>
        <v>A5052GA5.70DH9</v>
      </c>
      <c r="I39" s="46" t="str">
        <f t="shared" si="33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4"/>
        <v>10</v>
      </c>
      <c r="T39" s="51">
        <f>'31.01'!BG39</f>
        <v>16</v>
      </c>
      <c r="U39" s="92"/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5"/>
        <v>0</v>
      </c>
      <c r="AF39" s="54">
        <f>AE39+'31.01'!AF39</f>
        <v>0</v>
      </c>
      <c r="AG39" s="94">
        <f t="shared" si="66"/>
        <v>16</v>
      </c>
      <c r="AH39" s="56">
        <f t="shared" si="13"/>
        <v>0</v>
      </c>
      <c r="AI39" s="93"/>
      <c r="AJ39" s="93">
        <f t="shared" si="67"/>
        <v>0</v>
      </c>
      <c r="AK39" s="95">
        <f t="shared" si="36"/>
        <v>1</v>
      </c>
      <c r="AL39" s="58">
        <f t="shared" si="37"/>
        <v>0</v>
      </c>
      <c r="AM39" s="55">
        <f t="shared" si="68"/>
        <v>16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8"/>
        <v>0</v>
      </c>
      <c r="AV39" s="96">
        <f t="shared" si="38"/>
        <v>0</v>
      </c>
      <c r="AW39" s="96">
        <f t="shared" si="39"/>
        <v>0</v>
      </c>
      <c r="AX39" s="96">
        <f t="shared" si="40"/>
        <v>0</v>
      </c>
      <c r="AY39" s="94">
        <f t="shared" si="69"/>
        <v>0</v>
      </c>
      <c r="AZ39" s="94">
        <f t="shared" si="41"/>
        <v>0</v>
      </c>
      <c r="BA39" s="94">
        <f t="shared" si="42"/>
        <v>16</v>
      </c>
      <c r="BB39" s="97">
        <f t="shared" si="43"/>
        <v>0</v>
      </c>
      <c r="BC39" s="93"/>
      <c r="BD39" s="93">
        <f t="shared" si="44"/>
        <v>0</v>
      </c>
      <c r="BE39" s="95">
        <f t="shared" si="45"/>
        <v>1</v>
      </c>
      <c r="BF39" s="58">
        <f t="shared" si="46"/>
        <v>0</v>
      </c>
      <c r="BG39" s="94">
        <f t="shared" si="47"/>
        <v>16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0"/>
        <v>0</v>
      </c>
      <c r="BP39" s="92">
        <f t="shared" si="70"/>
        <v>0</v>
      </c>
      <c r="BQ39" s="96">
        <f t="shared" si="48"/>
        <v>0</v>
      </c>
      <c r="BR39" s="96">
        <f t="shared" si="49"/>
        <v>0</v>
      </c>
      <c r="BS39" s="96">
        <f t="shared" si="71"/>
        <v>0</v>
      </c>
      <c r="BT39" s="96">
        <f t="shared" si="50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1"/>
        <v>0</v>
      </c>
      <c r="BY39" s="61">
        <f t="shared" si="73"/>
        <v>0</v>
      </c>
      <c r="BZ39" s="62">
        <f t="shared" si="52"/>
        <v>0</v>
      </c>
      <c r="CA39" s="98">
        <f t="shared" si="53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4"/>
        <v>0</v>
      </c>
      <c r="CH39" s="62">
        <f t="shared" si="55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7"/>
        <v>0</v>
      </c>
      <c r="CR39" s="102">
        <f t="shared" si="87"/>
        <v>0</v>
      </c>
      <c r="CS39" s="102">
        <f t="shared" si="87"/>
        <v>0</v>
      </c>
      <c r="CT39" s="92">
        <f t="shared" si="57"/>
        <v>0</v>
      </c>
      <c r="CU39" s="92">
        <f t="shared" si="88"/>
        <v>0</v>
      </c>
      <c r="CV39" s="103">
        <f t="shared" si="88"/>
        <v>0</v>
      </c>
      <c r="CW39" s="104" t="s">
        <v>147</v>
      </c>
      <c r="CX39" s="105">
        <v>35</v>
      </c>
      <c r="CY39" s="106">
        <f t="shared" si="59"/>
        <v>1203</v>
      </c>
      <c r="CZ39" s="106">
        <f t="shared" si="60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6"/>
        <v>0</v>
      </c>
      <c r="DL39" s="108">
        <f t="shared" si="86"/>
        <v>0</v>
      </c>
      <c r="DM39" s="111">
        <f t="shared" si="86"/>
        <v>0</v>
      </c>
      <c r="DN39" s="76">
        <f t="shared" si="89"/>
        <v>16</v>
      </c>
      <c r="DO39" s="76">
        <f t="shared" si="89"/>
        <v>0</v>
      </c>
      <c r="DP39" s="112"/>
      <c r="DQ39" s="112"/>
      <c r="DR39" s="113" t="s">
        <v>437</v>
      </c>
      <c r="DS39" s="112"/>
      <c r="DT39" s="112"/>
      <c r="DU39" s="111"/>
      <c r="DV39" s="114"/>
      <c r="DW39" s="80">
        <f t="shared" si="61"/>
        <v>0</v>
      </c>
      <c r="DX39" s="81">
        <f t="shared" si="29"/>
        <v>0</v>
      </c>
      <c r="DY39" s="80">
        <f t="shared" si="62"/>
        <v>0</v>
      </c>
      <c r="DZ39" s="82">
        <f t="shared" si="63"/>
        <v>0</v>
      </c>
      <c r="EA39" s="82">
        <f t="shared" si="64"/>
        <v>0</v>
      </c>
      <c r="EB39" s="82">
        <f t="shared" si="65"/>
        <v>0</v>
      </c>
      <c r="EC39" s="82">
        <f t="shared" si="75"/>
        <v>0</v>
      </c>
      <c r="EF39" s="83">
        <f t="shared" si="92"/>
        <v>0</v>
      </c>
    </row>
    <row r="40" spans="1:136" ht="14.1" customHeight="1">
      <c r="A40" s="84">
        <v>33</v>
      </c>
      <c r="B40" s="85" t="s">
        <v>232</v>
      </c>
      <c r="C40" s="86"/>
      <c r="D40" s="87" t="s">
        <v>233</v>
      </c>
      <c r="E40" s="88">
        <v>1166</v>
      </c>
      <c r="F40" s="89" t="s">
        <v>147</v>
      </c>
      <c r="G40" s="45" t="str">
        <f t="shared" si="31"/>
        <v>MIC3602-3x2.5-H9A14</v>
      </c>
      <c r="H40" s="46" t="str">
        <f t="shared" si="32"/>
        <v>C3602MI30DH9</v>
      </c>
      <c r="I40" s="46" t="str">
        <f t="shared" si="33"/>
        <v>C3602MI30DH92.5A14</v>
      </c>
      <c r="J40" s="90" t="s">
        <v>155</v>
      </c>
      <c r="K40" s="90" t="s">
        <v>234</v>
      </c>
      <c r="L40" s="90">
        <v>3</v>
      </c>
      <c r="M40" s="90">
        <v>0</v>
      </c>
      <c r="N40" s="90" t="s">
        <v>128</v>
      </c>
      <c r="O40" s="90" t="s">
        <v>131</v>
      </c>
      <c r="P40" s="90">
        <v>2.5</v>
      </c>
      <c r="Q40" s="164">
        <v>0.14799999999999999</v>
      </c>
      <c r="R40" s="90" t="s">
        <v>139</v>
      </c>
      <c r="S40" s="89">
        <f t="shared" si="34"/>
        <v>6</v>
      </c>
      <c r="T40" s="51">
        <f>'31.01'!BG40</f>
        <v>50</v>
      </c>
      <c r="U40" s="92"/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7120</v>
      </c>
      <c r="AC40" s="93">
        <f t="shared" si="11"/>
        <v>0</v>
      </c>
      <c r="AD40" s="93">
        <f t="shared" si="12"/>
        <v>0</v>
      </c>
      <c r="AE40" s="93">
        <f t="shared" si="35"/>
        <v>7120</v>
      </c>
      <c r="AF40" s="54">
        <f>AE40+'31.01'!AF40</f>
        <v>8488</v>
      </c>
      <c r="AG40" s="94">
        <f t="shared" si="66"/>
        <v>50</v>
      </c>
      <c r="AH40" s="56">
        <f t="shared" si="13"/>
        <v>0</v>
      </c>
      <c r="AI40" s="93">
        <v>3</v>
      </c>
      <c r="AJ40" s="93">
        <f t="shared" si="67"/>
        <v>0</v>
      </c>
      <c r="AK40" s="95">
        <f t="shared" si="36"/>
        <v>1</v>
      </c>
      <c r="AL40" s="58">
        <f t="shared" si="37"/>
        <v>3</v>
      </c>
      <c r="AM40" s="55">
        <f t="shared" si="68"/>
        <v>47</v>
      </c>
      <c r="AN40" s="93"/>
      <c r="AO40" s="96"/>
      <c r="AP40" s="96"/>
      <c r="AQ40" s="96"/>
      <c r="AR40" s="96"/>
      <c r="AS40" s="96"/>
      <c r="AT40" s="96">
        <f>$CJ40</f>
        <v>440</v>
      </c>
      <c r="AU40" s="96">
        <f t="shared" si="38"/>
        <v>0</v>
      </c>
      <c r="AV40" s="96">
        <f t="shared" si="38"/>
        <v>0</v>
      </c>
      <c r="AW40" s="96">
        <f>SUM(AO40:AV40)</f>
        <v>440</v>
      </c>
      <c r="AX40" s="96">
        <f>IF(V40="","",INT(AW40/$V40))</f>
        <v>3520</v>
      </c>
      <c r="AY40" s="94">
        <f t="shared" si="69"/>
        <v>2.75</v>
      </c>
      <c r="AZ40" s="94">
        <f t="shared" si="41"/>
        <v>22</v>
      </c>
      <c r="BA40" s="94">
        <f t="shared" si="42"/>
        <v>47</v>
      </c>
      <c r="BB40" s="97">
        <f t="shared" si="43"/>
        <v>0</v>
      </c>
      <c r="BC40" s="93">
        <v>3</v>
      </c>
      <c r="BD40" s="93">
        <f t="shared" si="44"/>
        <v>0</v>
      </c>
      <c r="BE40" s="95">
        <f t="shared" si="45"/>
        <v>1</v>
      </c>
      <c r="BF40" s="58">
        <f t="shared" si="46"/>
        <v>3</v>
      </c>
      <c r="BG40" s="94">
        <f t="shared" si="47"/>
        <v>44</v>
      </c>
      <c r="BH40" s="89"/>
      <c r="BI40" s="89"/>
      <c r="BJ40" s="89"/>
      <c r="BK40" s="89"/>
      <c r="BL40" s="92"/>
      <c r="BM40" s="92"/>
      <c r="BN40" s="92">
        <f>$CN40</f>
        <v>450</v>
      </c>
      <c r="BO40" s="92">
        <f t="shared" si="70"/>
        <v>0</v>
      </c>
      <c r="BP40" s="92">
        <f t="shared" si="70"/>
        <v>0</v>
      </c>
      <c r="BQ40" s="96">
        <f t="shared" si="48"/>
        <v>450</v>
      </c>
      <c r="BR40" s="96">
        <f t="shared" si="49"/>
        <v>3600</v>
      </c>
      <c r="BS40" s="96">
        <f t="shared" si="71"/>
        <v>12.75</v>
      </c>
      <c r="BT40" s="96">
        <f t="shared" si="50"/>
        <v>102</v>
      </c>
      <c r="BU40" s="92">
        <f t="shared" si="16"/>
        <v>7120</v>
      </c>
      <c r="BV40" s="98">
        <f t="shared" si="17"/>
        <v>6</v>
      </c>
      <c r="BW40" s="92">
        <f t="shared" si="18"/>
        <v>124</v>
      </c>
      <c r="BX40" s="98">
        <f t="shared" si="51"/>
        <v>0.8879999999999999</v>
      </c>
      <c r="BY40" s="61">
        <f t="shared" si="73"/>
        <v>6</v>
      </c>
      <c r="BZ40" s="62">
        <f t="shared" si="52"/>
        <v>6</v>
      </c>
      <c r="CA40" s="98">
        <f t="shared" si="53"/>
        <v>0.89</v>
      </c>
      <c r="CB40" s="92">
        <f t="shared" ref="CB40:CD71" si="96">IFERROR(BR40+AX40,"")</f>
        <v>7120</v>
      </c>
      <c r="CC40" s="92">
        <f t="shared" si="96"/>
        <v>15.5</v>
      </c>
      <c r="CD40" s="92">
        <f t="shared" si="96"/>
        <v>124</v>
      </c>
      <c r="CE40" s="99"/>
      <c r="CF40" s="99"/>
      <c r="CG40" s="51">
        <f t="shared" si="54"/>
        <v>-2.0000000000001128E-3</v>
      </c>
      <c r="CH40" s="62">
        <f t="shared" si="55"/>
        <v>-2.0000000000001128E-3</v>
      </c>
      <c r="CI40" s="89"/>
      <c r="CJ40" s="89">
        <v>440</v>
      </c>
      <c r="CK40" s="89"/>
      <c r="CL40" s="96"/>
      <c r="CM40" s="89"/>
      <c r="CN40" s="89">
        <v>450</v>
      </c>
      <c r="CO40" s="92"/>
      <c r="CP40" s="101"/>
      <c r="CQ40" s="102">
        <f t="shared" si="87"/>
        <v>3520</v>
      </c>
      <c r="CR40" s="102">
        <f t="shared" si="87"/>
        <v>0</v>
      </c>
      <c r="CS40" s="102">
        <f t="shared" si="87"/>
        <v>0</v>
      </c>
      <c r="CT40" s="92">
        <f t="shared" si="57"/>
        <v>3600</v>
      </c>
      <c r="CU40" s="92">
        <f t="shared" si="88"/>
        <v>0</v>
      </c>
      <c r="CV40" s="103">
        <f t="shared" si="88"/>
        <v>0</v>
      </c>
      <c r="CW40" s="104" t="s">
        <v>147</v>
      </c>
      <c r="CX40" s="105">
        <v>11</v>
      </c>
      <c r="CY40" s="106">
        <f t="shared" si="59"/>
        <v>3861</v>
      </c>
      <c r="CZ40" s="106">
        <f t="shared" si="60"/>
        <v>44.550000000000004</v>
      </c>
      <c r="DA40" s="106"/>
      <c r="DB40" s="106"/>
      <c r="DC40" s="105"/>
      <c r="DD40" s="107"/>
      <c r="DE40" s="92">
        <f t="shared" si="21"/>
        <v>3520</v>
      </c>
      <c r="DF40" s="108">
        <f t="shared" si="22"/>
        <v>3</v>
      </c>
      <c r="DG40" s="112">
        <f t="shared" si="23"/>
        <v>22</v>
      </c>
      <c r="DH40" s="110">
        <f t="shared" si="24"/>
        <v>3600</v>
      </c>
      <c r="DI40" s="108">
        <f t="shared" si="25"/>
        <v>3</v>
      </c>
      <c r="DJ40" s="112">
        <f t="shared" si="26"/>
        <v>102</v>
      </c>
      <c r="DK40" s="110">
        <f t="shared" si="86"/>
        <v>7120</v>
      </c>
      <c r="DL40" s="108">
        <f t="shared" si="86"/>
        <v>6</v>
      </c>
      <c r="DM40" s="111">
        <f t="shared" si="86"/>
        <v>124</v>
      </c>
      <c r="DN40" s="76">
        <f t="shared" si="89"/>
        <v>50</v>
      </c>
      <c r="DO40" s="76">
        <f t="shared" si="89"/>
        <v>0</v>
      </c>
      <c r="DP40" s="112"/>
      <c r="DQ40" s="112"/>
      <c r="DR40" s="113" t="s">
        <v>438</v>
      </c>
      <c r="DS40" s="112"/>
      <c r="DT40" s="112"/>
      <c r="DU40" s="111"/>
      <c r="DV40" s="114"/>
      <c r="DW40" s="80">
        <f t="shared" ref="DW40:DW42" si="97">IFERROR(AL40+BF40,"")</f>
        <v>6</v>
      </c>
      <c r="DX40" s="81">
        <f t="shared" si="29"/>
        <v>7250</v>
      </c>
      <c r="DY40" s="80">
        <f t="shared" si="62"/>
        <v>7120</v>
      </c>
      <c r="DZ40" s="82">
        <f t="shared" si="63"/>
        <v>0</v>
      </c>
      <c r="EA40" s="82">
        <f t="shared" si="64"/>
        <v>0.89</v>
      </c>
      <c r="EB40" s="82">
        <f t="shared" si="65"/>
        <v>-2.0000000000001128E-3</v>
      </c>
      <c r="EC40" s="82">
        <f t="shared" ref="EC40:EC42" si="98">(BX40-CA40)+((AV40+BP40)/1000)</f>
        <v>-2.0000000000001128E-3</v>
      </c>
      <c r="EF40" s="83">
        <f t="shared" si="92"/>
        <v>124</v>
      </c>
    </row>
    <row r="41" spans="1:136" ht="13.5" customHeight="1">
      <c r="A41" s="84">
        <v>34</v>
      </c>
      <c r="B41" s="85" t="s">
        <v>236</v>
      </c>
      <c r="C41" s="86"/>
      <c r="D41" s="165" t="s">
        <v>237</v>
      </c>
      <c r="E41" s="88">
        <v>394</v>
      </c>
      <c r="F41" s="89" t="s">
        <v>147</v>
      </c>
      <c r="G41" s="45" t="str">
        <f t="shared" si="31"/>
        <v>MESUS303Cu-3x3-H9A14</v>
      </c>
      <c r="H41" s="46" t="str">
        <f t="shared" si="32"/>
        <v>SUS303CuME30DH9</v>
      </c>
      <c r="I41" s="46" t="str">
        <f t="shared" si="33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4"/>
        <v>18</v>
      </c>
      <c r="T41" s="51">
        <f>'31.01'!BG41</f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5"/>
        <v>0</v>
      </c>
      <c r="AF41" s="54">
        <f>AE41+'31.01'!AF41</f>
        <v>0</v>
      </c>
      <c r="AG41" s="94">
        <f t="shared" si="66"/>
        <v>10</v>
      </c>
      <c r="AH41" s="56">
        <f t="shared" si="13"/>
        <v>0</v>
      </c>
      <c r="AI41" s="93"/>
      <c r="AJ41" s="93">
        <f t="shared" si="67"/>
        <v>0</v>
      </c>
      <c r="AK41" s="95">
        <f t="shared" si="36"/>
        <v>1</v>
      </c>
      <c r="AL41" s="58">
        <f t="shared" si="37"/>
        <v>0</v>
      </c>
      <c r="AM41" s="55">
        <f t="shared" si="68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8"/>
        <v>0</v>
      </c>
      <c r="AV41" s="96">
        <f t="shared" si="38"/>
        <v>0</v>
      </c>
      <c r="AW41" s="96">
        <f>SUM(AO41:AV41)</f>
        <v>0</v>
      </c>
      <c r="AX41" s="96">
        <f>IF(V41="","",INT(AW41/$V41))</f>
        <v>0</v>
      </c>
      <c r="AY41" s="94">
        <f t="shared" si="69"/>
        <v>0</v>
      </c>
      <c r="AZ41" s="94">
        <f t="shared" si="41"/>
        <v>0</v>
      </c>
      <c r="BA41" s="94">
        <f t="shared" si="42"/>
        <v>10</v>
      </c>
      <c r="BB41" s="97">
        <f t="shared" si="43"/>
        <v>0</v>
      </c>
      <c r="BC41" s="93"/>
      <c r="BD41" s="93">
        <f t="shared" si="44"/>
        <v>0</v>
      </c>
      <c r="BE41" s="95">
        <f t="shared" si="45"/>
        <v>1</v>
      </c>
      <c r="BF41" s="58">
        <f t="shared" si="46"/>
        <v>0</v>
      </c>
      <c r="BG41" s="94">
        <f t="shared" si="47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0"/>
        <v>0</v>
      </c>
      <c r="BP41" s="92">
        <f t="shared" si="70"/>
        <v>0</v>
      </c>
      <c r="BQ41" s="96">
        <f t="shared" si="48"/>
        <v>0</v>
      </c>
      <c r="BR41" s="96">
        <f>IF(AA41="","",INT(BQ41/$V41))</f>
        <v>0</v>
      </c>
      <c r="BS41" s="96">
        <f t="shared" si="71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1"/>
        <v>0</v>
      </c>
      <c r="BY41" s="61">
        <f t="shared" si="73"/>
        <v>0</v>
      </c>
      <c r="BZ41" s="62">
        <f t="shared" si="52"/>
        <v>0</v>
      </c>
      <c r="CA41" s="98">
        <f t="shared" si="53"/>
        <v>0</v>
      </c>
      <c r="CB41" s="92">
        <f t="shared" si="96"/>
        <v>0</v>
      </c>
      <c r="CC41" s="92">
        <f t="shared" si="96"/>
        <v>0</v>
      </c>
      <c r="CD41" s="92">
        <f t="shared" si="96"/>
        <v>0</v>
      </c>
      <c r="CE41" s="99"/>
      <c r="CF41" s="99"/>
      <c r="CG41" s="51">
        <f t="shared" si="54"/>
        <v>0</v>
      </c>
      <c r="CH41" s="62">
        <f t="shared" si="55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99">INT(IFERROR( CJ41/$V41,0))</f>
        <v>0</v>
      </c>
      <c r="CR41" s="102">
        <f t="shared" si="99"/>
        <v>0</v>
      </c>
      <c r="CS41" s="102">
        <f t="shared" si="99"/>
        <v>0</v>
      </c>
      <c r="CT41" s="92">
        <f t="shared" si="57"/>
        <v>0</v>
      </c>
      <c r="CU41" s="92">
        <f t="shared" ref="CU41:CV103" si="100">INT(IFERROR( AC41-CR41,0))</f>
        <v>0</v>
      </c>
      <c r="CV41" s="103">
        <f t="shared" si="100"/>
        <v>0</v>
      </c>
      <c r="CW41" s="104" t="s">
        <v>147</v>
      </c>
      <c r="CX41" s="105">
        <v>12</v>
      </c>
      <c r="CY41" s="106">
        <f t="shared" si="59"/>
        <v>3450</v>
      </c>
      <c r="CZ41" s="106">
        <f t="shared" si="60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6"/>
        <v>0</v>
      </c>
      <c r="DL41" s="108">
        <f t="shared" si="86"/>
        <v>0</v>
      </c>
      <c r="DM41" s="111">
        <f t="shared" si="86"/>
        <v>0</v>
      </c>
      <c r="DN41" s="76">
        <f t="shared" si="89"/>
        <v>10</v>
      </c>
      <c r="DO41" s="76">
        <f t="shared" si="89"/>
        <v>0</v>
      </c>
      <c r="DP41" s="112"/>
      <c r="DQ41" s="112"/>
      <c r="DR41" s="113" t="s">
        <v>439</v>
      </c>
      <c r="DS41" s="112"/>
      <c r="DT41" s="112"/>
      <c r="DU41" s="111"/>
      <c r="DV41" s="114"/>
      <c r="DW41" s="80">
        <f t="shared" si="97"/>
        <v>0</v>
      </c>
      <c r="DX41" s="81">
        <f t="shared" si="29"/>
        <v>0</v>
      </c>
      <c r="DY41" s="80">
        <f t="shared" si="62"/>
        <v>0</v>
      </c>
      <c r="DZ41" s="82">
        <f t="shared" si="63"/>
        <v>0</v>
      </c>
      <c r="EA41" s="82">
        <f t="shared" si="64"/>
        <v>0</v>
      </c>
      <c r="EB41" s="82">
        <f t="shared" si="65"/>
        <v>0</v>
      </c>
      <c r="EC41" s="82">
        <f t="shared" si="98"/>
        <v>0</v>
      </c>
      <c r="EF41" s="83">
        <f t="shared" si="92"/>
        <v>0</v>
      </c>
    </row>
    <row r="42" spans="1:136" ht="15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1"/>
        <v>IBC3604-6x3-H9C13</v>
      </c>
      <c r="H42" s="46" t="str">
        <f t="shared" si="32"/>
        <v>C3604IB60DH9</v>
      </c>
      <c r="I42" s="46" t="str">
        <f t="shared" si="33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4"/>
        <v>42</v>
      </c>
      <c r="T42" s="51">
        <f>'31.01'!BG42</f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5"/>
        <v>0</v>
      </c>
      <c r="AF42" s="54">
        <f>AE42+'31.01'!AF42</f>
        <v>0</v>
      </c>
      <c r="AG42" s="94">
        <f t="shared" si="66"/>
        <v>0</v>
      </c>
      <c r="AH42" s="56">
        <f t="shared" si="13"/>
        <v>0</v>
      </c>
      <c r="AI42" s="93"/>
      <c r="AJ42" s="93">
        <f t="shared" si="67"/>
        <v>0</v>
      </c>
      <c r="AK42" s="95">
        <f t="shared" si="36"/>
        <v>1</v>
      </c>
      <c r="AL42" s="58">
        <f t="shared" si="37"/>
        <v>0</v>
      </c>
      <c r="AM42" s="55">
        <f t="shared" si="68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8"/>
        <v>0</v>
      </c>
      <c r="AV42" s="96">
        <f t="shared" si="38"/>
        <v>0</v>
      </c>
      <c r="AW42" s="96">
        <f t="shared" si="39"/>
        <v>0</v>
      </c>
      <c r="AX42" s="96">
        <f t="shared" si="40"/>
        <v>0</v>
      </c>
      <c r="AY42" s="94">
        <f t="shared" si="69"/>
        <v>0</v>
      </c>
      <c r="AZ42" s="94">
        <f t="shared" si="41"/>
        <v>0</v>
      </c>
      <c r="BA42" s="94">
        <f t="shared" si="42"/>
        <v>0</v>
      </c>
      <c r="BB42" s="97">
        <f t="shared" si="43"/>
        <v>0</v>
      </c>
      <c r="BC42" s="93"/>
      <c r="BD42" s="93">
        <f t="shared" si="44"/>
        <v>0</v>
      </c>
      <c r="BE42" s="95">
        <f t="shared" si="45"/>
        <v>1</v>
      </c>
      <c r="BF42" s="58">
        <f t="shared" si="46"/>
        <v>0</v>
      </c>
      <c r="BG42" s="94">
        <f t="shared" si="47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0"/>
        <v>0</v>
      </c>
      <c r="BP42" s="92">
        <f t="shared" si="70"/>
        <v>0</v>
      </c>
      <c r="BQ42" s="96">
        <f t="shared" si="48"/>
        <v>0</v>
      </c>
      <c r="BR42" s="96">
        <f t="shared" si="49"/>
        <v>0</v>
      </c>
      <c r="BS42" s="96">
        <f t="shared" si="71"/>
        <v>0</v>
      </c>
      <c r="BT42" s="96">
        <f t="shared" si="50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1"/>
        <v>0</v>
      </c>
      <c r="BY42" s="61">
        <f t="shared" si="73"/>
        <v>0</v>
      </c>
      <c r="BZ42" s="62">
        <f t="shared" si="52"/>
        <v>0</v>
      </c>
      <c r="CA42" s="98">
        <f t="shared" si="53"/>
        <v>0</v>
      </c>
      <c r="CB42" s="92">
        <f t="shared" si="96"/>
        <v>0</v>
      </c>
      <c r="CC42" s="92">
        <f t="shared" si="96"/>
        <v>0</v>
      </c>
      <c r="CD42" s="92">
        <f t="shared" si="96"/>
        <v>0</v>
      </c>
      <c r="CE42" s="99"/>
      <c r="CF42" s="99"/>
      <c r="CG42" s="51">
        <f t="shared" si="54"/>
        <v>0</v>
      </c>
      <c r="CH42" s="62">
        <f t="shared" si="55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99"/>
        <v>0</v>
      </c>
      <c r="CR42" s="102">
        <f t="shared" si="99"/>
        <v>0</v>
      </c>
      <c r="CS42" s="102">
        <f t="shared" si="99"/>
        <v>0</v>
      </c>
      <c r="CT42" s="92">
        <f t="shared" si="57"/>
        <v>0</v>
      </c>
      <c r="CU42" s="92">
        <f t="shared" si="100"/>
        <v>0</v>
      </c>
      <c r="CV42" s="103">
        <f t="shared" si="100"/>
        <v>0</v>
      </c>
      <c r="CW42" s="104" t="s">
        <v>147</v>
      </c>
      <c r="CX42" s="105">
        <v>24</v>
      </c>
      <c r="CY42" s="106">
        <f t="shared" si="59"/>
        <v>1620</v>
      </c>
      <c r="CZ42" s="106">
        <f t="shared" si="60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6"/>
        <v>0</v>
      </c>
      <c r="DL42" s="108">
        <f t="shared" si="86"/>
        <v>0</v>
      </c>
      <c r="DM42" s="111">
        <f t="shared" si="86"/>
        <v>0</v>
      </c>
      <c r="DN42" s="76">
        <f t="shared" si="89"/>
        <v>0</v>
      </c>
      <c r="DO42" s="76">
        <f t="shared" si="89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97"/>
        <v>0</v>
      </c>
      <c r="DX42" s="81">
        <f t="shared" si="29"/>
        <v>0</v>
      </c>
      <c r="DY42" s="80">
        <f t="shared" si="62"/>
        <v>0</v>
      </c>
      <c r="DZ42" s="82">
        <f t="shared" si="63"/>
        <v>0</v>
      </c>
      <c r="EA42" s="82">
        <f t="shared" si="64"/>
        <v>0</v>
      </c>
      <c r="EB42" s="82">
        <f t="shared" si="65"/>
        <v>0</v>
      </c>
      <c r="EC42" s="82">
        <f t="shared" si="98"/>
        <v>0</v>
      </c>
      <c r="EF42" s="83">
        <f t="shared" si="92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1"/>
        <v>IBC3604-5.5x3-H9A14</v>
      </c>
      <c r="H43" s="46" t="str">
        <f t="shared" si="32"/>
        <v>C3604IB5.50DH9</v>
      </c>
      <c r="I43" s="46" t="str">
        <f t="shared" si="33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4"/>
        <v>16</v>
      </c>
      <c r="T43" s="51">
        <f>'31.01'!BG43</f>
        <v>25</v>
      </c>
      <c r="U43" s="92">
        <v>56</v>
      </c>
      <c r="V43" s="100">
        <v>1.1000000000000001</v>
      </c>
      <c r="W43" s="93">
        <f t="shared" si="5"/>
        <v>0</v>
      </c>
      <c r="X43" s="93">
        <f t="shared" si="6"/>
        <v>7049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0</v>
      </c>
      <c r="AE43" s="93">
        <f t="shared" si="35"/>
        <v>7049</v>
      </c>
      <c r="AF43" s="54">
        <f>AE43+'31.01'!AF43</f>
        <v>14320</v>
      </c>
      <c r="AG43" s="94">
        <f t="shared" si="66"/>
        <v>25</v>
      </c>
      <c r="AH43" s="56">
        <f t="shared" si="13"/>
        <v>0</v>
      </c>
      <c r="AI43" s="93">
        <v>22</v>
      </c>
      <c r="AJ43" s="93">
        <f t="shared" si="67"/>
        <v>0</v>
      </c>
      <c r="AK43" s="95">
        <f t="shared" si="36"/>
        <v>1</v>
      </c>
      <c r="AL43" s="58">
        <f t="shared" si="37"/>
        <v>22</v>
      </c>
      <c r="AM43" s="55">
        <f t="shared" si="68"/>
        <v>59</v>
      </c>
      <c r="AN43" s="93"/>
      <c r="AO43" s="96"/>
      <c r="AP43" s="96">
        <f>$CJ43</f>
        <v>3924</v>
      </c>
      <c r="AQ43" s="96"/>
      <c r="AR43" s="96"/>
      <c r="AS43" s="96"/>
      <c r="AT43" s="96"/>
      <c r="AU43" s="96">
        <f>CK43</f>
        <v>0</v>
      </c>
      <c r="AV43" s="96">
        <f>CL43</f>
        <v>0</v>
      </c>
      <c r="AW43" s="96">
        <f>SUM(AO43:AV43)</f>
        <v>3924</v>
      </c>
      <c r="AX43" s="96">
        <f>IF(V43="","",INT(AW43/$V43))</f>
        <v>3567</v>
      </c>
      <c r="AY43" s="94">
        <f t="shared" si="69"/>
        <v>-20.600000000000364</v>
      </c>
      <c r="AZ43" s="94">
        <f t="shared" si="41"/>
        <v>-18.727272727273057</v>
      </c>
      <c r="BA43" s="94">
        <f t="shared" si="42"/>
        <v>59</v>
      </c>
      <c r="BB43" s="97">
        <f t="shared" si="43"/>
        <v>0</v>
      </c>
      <c r="BC43" s="93">
        <v>22</v>
      </c>
      <c r="BD43" s="93">
        <f t="shared" si="44"/>
        <v>0</v>
      </c>
      <c r="BE43" s="95">
        <f t="shared" si="45"/>
        <v>1</v>
      </c>
      <c r="BF43" s="58">
        <f t="shared" si="46"/>
        <v>22</v>
      </c>
      <c r="BG43" s="94">
        <f t="shared" si="47"/>
        <v>37</v>
      </c>
      <c r="BH43" s="89"/>
      <c r="BI43" s="89"/>
      <c r="BJ43" s="92">
        <f>$CN43</f>
        <v>3830</v>
      </c>
      <c r="BK43" s="89"/>
      <c r="BL43" s="89"/>
      <c r="BM43" s="92"/>
      <c r="BN43" s="89"/>
      <c r="BO43" s="92">
        <f t="shared" si="70"/>
        <v>0</v>
      </c>
      <c r="BP43" s="92">
        <f t="shared" si="70"/>
        <v>0</v>
      </c>
      <c r="BQ43" s="96">
        <f t="shared" si="48"/>
        <v>3830</v>
      </c>
      <c r="BR43" s="96">
        <f>IF(AA43="","",INT(BQ43/$V43))</f>
        <v>3481</v>
      </c>
      <c r="BS43" s="96">
        <f t="shared" si="71"/>
        <v>-114.60000000000036</v>
      </c>
      <c r="BT43" s="96">
        <f t="shared" si="50"/>
        <v>-104.1818181818185</v>
      </c>
      <c r="BU43" s="92">
        <f t="shared" si="16"/>
        <v>7049</v>
      </c>
      <c r="BV43" s="98">
        <f t="shared" si="17"/>
        <v>44</v>
      </c>
      <c r="BW43" s="92">
        <f t="shared" si="18"/>
        <v>-122.90909090909156</v>
      </c>
      <c r="BX43" s="98">
        <f t="shared" si="51"/>
        <v>26.576000000000001</v>
      </c>
      <c r="BY43" s="61">
        <f t="shared" si="73"/>
        <v>44</v>
      </c>
      <c r="BZ43" s="62">
        <f t="shared" si="52"/>
        <v>44</v>
      </c>
      <c r="CA43" s="98">
        <f t="shared" si="53"/>
        <v>7.7539999999999996</v>
      </c>
      <c r="CB43" s="92">
        <f t="shared" si="96"/>
        <v>7048</v>
      </c>
      <c r="CC43" s="92">
        <f t="shared" si="96"/>
        <v>-135.20000000000073</v>
      </c>
      <c r="CD43" s="92">
        <f t="shared" si="96"/>
        <v>-122.90909090909156</v>
      </c>
      <c r="CE43" s="99"/>
      <c r="CF43" s="99"/>
      <c r="CG43" s="51">
        <f t="shared" si="54"/>
        <v>18.822000000000003</v>
      </c>
      <c r="CH43" s="62">
        <f t="shared" si="55"/>
        <v>18.822000000000003</v>
      </c>
      <c r="CI43" s="89"/>
      <c r="CJ43" s="89">
        <v>3924</v>
      </c>
      <c r="CK43" s="89"/>
      <c r="CL43" s="96"/>
      <c r="CM43" s="89"/>
      <c r="CN43" s="89">
        <v>3830</v>
      </c>
      <c r="CO43" s="92"/>
      <c r="CP43" s="101"/>
      <c r="CQ43" s="102">
        <f t="shared" si="99"/>
        <v>3567</v>
      </c>
      <c r="CR43" s="102">
        <f t="shared" si="99"/>
        <v>0</v>
      </c>
      <c r="CS43" s="102">
        <f t="shared" si="99"/>
        <v>0</v>
      </c>
      <c r="CT43" s="92">
        <f t="shared" si="57"/>
        <v>3482</v>
      </c>
      <c r="CU43" s="92">
        <f t="shared" si="100"/>
        <v>0</v>
      </c>
      <c r="CV43" s="103">
        <f t="shared" si="100"/>
        <v>0</v>
      </c>
      <c r="CW43" s="104" t="s">
        <v>147</v>
      </c>
      <c r="CX43" s="105">
        <v>32</v>
      </c>
      <c r="CY43" s="106">
        <f t="shared" si="59"/>
        <v>1299</v>
      </c>
      <c r="CZ43" s="106">
        <f t="shared" si="60"/>
        <v>129.60000000000002</v>
      </c>
      <c r="DA43" s="106"/>
      <c r="DB43" s="106"/>
      <c r="DC43" s="105"/>
      <c r="DD43" s="107"/>
      <c r="DE43" s="92">
        <f t="shared" si="21"/>
        <v>3567</v>
      </c>
      <c r="DF43" s="108">
        <f t="shared" si="22"/>
        <v>22</v>
      </c>
      <c r="DG43" s="115">
        <f t="shared" si="23"/>
        <v>-18.727272727273057</v>
      </c>
      <c r="DH43" s="110">
        <f t="shared" si="24"/>
        <v>3482</v>
      </c>
      <c r="DI43" s="108">
        <f t="shared" si="25"/>
        <v>22</v>
      </c>
      <c r="DJ43" s="112">
        <f t="shared" si="26"/>
        <v>-104.1818181818185</v>
      </c>
      <c r="DK43" s="110">
        <f t="shared" si="86"/>
        <v>7049</v>
      </c>
      <c r="DL43" s="108">
        <f t="shared" si="86"/>
        <v>44</v>
      </c>
      <c r="DM43" s="111">
        <f t="shared" si="86"/>
        <v>-122.90909090909156</v>
      </c>
      <c r="DN43" s="76">
        <f t="shared" si="89"/>
        <v>25</v>
      </c>
      <c r="DO43" s="76">
        <f t="shared" si="89"/>
        <v>56</v>
      </c>
      <c r="DP43" s="112"/>
      <c r="DQ43" s="112"/>
      <c r="DR43" s="113" t="s">
        <v>440</v>
      </c>
      <c r="DS43" s="112"/>
      <c r="DT43" s="112"/>
      <c r="DU43" s="111"/>
      <c r="DV43" s="114"/>
      <c r="DW43" s="80">
        <f t="shared" si="61"/>
        <v>7093</v>
      </c>
      <c r="DX43" s="81">
        <f t="shared" si="29"/>
        <v>6970.0909090909081</v>
      </c>
      <c r="DY43" s="80">
        <f t="shared" si="62"/>
        <v>7049</v>
      </c>
      <c r="DZ43" s="82">
        <f t="shared" si="63"/>
        <v>0</v>
      </c>
      <c r="EA43" s="82">
        <f t="shared" si="64"/>
        <v>7.7539000000000007</v>
      </c>
      <c r="EB43" s="82">
        <f t="shared" si="65"/>
        <v>18.822099999999999</v>
      </c>
      <c r="EC43" s="82">
        <f t="shared" si="75"/>
        <v>18.822099999999999</v>
      </c>
      <c r="EF43" s="83">
        <f t="shared" si="92"/>
        <v>-122.90909090909156</v>
      </c>
    </row>
    <row r="44" spans="1:136" ht="14.1" customHeight="1">
      <c r="A44" s="84">
        <v>37</v>
      </c>
      <c r="B44" s="147" t="s">
        <v>244</v>
      </c>
      <c r="C44" s="148"/>
      <c r="D44" s="116" t="s">
        <v>245</v>
      </c>
      <c r="E44" s="149">
        <v>172</v>
      </c>
      <c r="F44" s="89" t="s">
        <v>136</v>
      </c>
      <c r="G44" s="45" t="str">
        <f t="shared" si="31"/>
        <v>MESUS303-4x3-H9A10</v>
      </c>
      <c r="H44" s="46" t="str">
        <f t="shared" si="32"/>
        <v>SUS303ME40DH9</v>
      </c>
      <c r="I44" s="46" t="str">
        <f t="shared" si="33"/>
        <v>SUS303ME40DH93A10</v>
      </c>
      <c r="J44" s="90" t="s">
        <v>226</v>
      </c>
      <c r="K44" s="90" t="s">
        <v>227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246</v>
      </c>
      <c r="S44" s="89">
        <f t="shared" si="34"/>
        <v>38</v>
      </c>
      <c r="T44" s="51">
        <f>'31.01'!BG44</f>
        <v>10</v>
      </c>
      <c r="U44" s="146">
        <v>23</v>
      </c>
      <c r="V44" s="100">
        <v>0.82</v>
      </c>
      <c r="W44" s="151">
        <f t="shared" si="5"/>
        <v>0</v>
      </c>
      <c r="X44" s="151">
        <f t="shared" si="6"/>
        <v>1097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0</v>
      </c>
      <c r="AE44" s="151">
        <f>IF(V44="","",SUM(W44:AC44))</f>
        <v>1097</v>
      </c>
      <c r="AF44" s="54">
        <f>AE44+'31.01'!AF44</f>
        <v>4849</v>
      </c>
      <c r="AG44" s="94">
        <f t="shared" si="66"/>
        <v>10</v>
      </c>
      <c r="AH44" s="56">
        <f t="shared" si="13"/>
        <v>0</v>
      </c>
      <c r="AI44" s="151">
        <v>6</v>
      </c>
      <c r="AJ44" s="93">
        <f t="shared" si="67"/>
        <v>0</v>
      </c>
      <c r="AK44" s="95">
        <f t="shared" si="36"/>
        <v>1</v>
      </c>
      <c r="AL44" s="58">
        <f t="shared" si="37"/>
        <v>6</v>
      </c>
      <c r="AM44" s="55">
        <f t="shared" si="68"/>
        <v>27</v>
      </c>
      <c r="AN44" s="151"/>
      <c r="AO44" s="145"/>
      <c r="AP44" s="145">
        <f>$CJ44</f>
        <v>900</v>
      </c>
      <c r="AQ44" s="145"/>
      <c r="AR44" s="145"/>
      <c r="AS44" s="145"/>
      <c r="AT44" s="145"/>
      <c r="AU44" s="145">
        <f t="shared" si="38"/>
        <v>0</v>
      </c>
      <c r="AV44" s="145">
        <f t="shared" si="38"/>
        <v>0</v>
      </c>
      <c r="AW44" s="145">
        <f t="shared" si="39"/>
        <v>900</v>
      </c>
      <c r="AX44" s="145">
        <f t="shared" si="40"/>
        <v>1097</v>
      </c>
      <c r="AY44" s="94">
        <f t="shared" si="69"/>
        <v>53.760000000000105</v>
      </c>
      <c r="AZ44" s="94">
        <f t="shared" si="41"/>
        <v>65.560975609756227</v>
      </c>
      <c r="BA44" s="94">
        <f t="shared" si="42"/>
        <v>27</v>
      </c>
      <c r="BB44" s="97">
        <f t="shared" si="43"/>
        <v>0</v>
      </c>
      <c r="BC44" s="151"/>
      <c r="BD44" s="93">
        <f t="shared" si="44"/>
        <v>0</v>
      </c>
      <c r="BE44" s="152">
        <f t="shared" si="45"/>
        <v>1</v>
      </c>
      <c r="BF44" s="58">
        <f t="shared" si="46"/>
        <v>0</v>
      </c>
      <c r="BG44" s="94">
        <f t="shared" si="47"/>
        <v>27</v>
      </c>
      <c r="BH44" s="150"/>
      <c r="BI44" s="150"/>
      <c r="BJ44" s="146">
        <f>$CN44</f>
        <v>0</v>
      </c>
      <c r="BK44" s="150"/>
      <c r="BL44" s="150"/>
      <c r="BM44" s="146"/>
      <c r="BN44" s="146"/>
      <c r="BO44" s="146">
        <f t="shared" si="70"/>
        <v>0</v>
      </c>
      <c r="BP44" s="146">
        <f t="shared" si="70"/>
        <v>0</v>
      </c>
      <c r="BQ44" s="145">
        <f>SUM(BI44:BP44)</f>
        <v>0</v>
      </c>
      <c r="BR44" s="145">
        <f>IF(AA44="","",INT(BQ44/$V44))</f>
        <v>0</v>
      </c>
      <c r="BS44" s="96">
        <f t="shared" si="71"/>
        <v>0</v>
      </c>
      <c r="BT44" s="145">
        <f t="shared" si="50"/>
        <v>0</v>
      </c>
      <c r="BU44" s="146">
        <f t="shared" si="16"/>
        <v>1097</v>
      </c>
      <c r="BV44" s="98">
        <f t="shared" si="17"/>
        <v>6</v>
      </c>
      <c r="BW44" s="146">
        <f t="shared" si="18"/>
        <v>65.560975609756227</v>
      </c>
      <c r="BX44" s="153">
        <f t="shared" si="51"/>
        <v>1.7759999999999998</v>
      </c>
      <c r="BY44" s="61">
        <f>IFERROR(BF44+AL44,0)</f>
        <v>6</v>
      </c>
      <c r="BZ44" s="62">
        <f t="shared" si="52"/>
        <v>6</v>
      </c>
      <c r="CA44" s="98">
        <f t="shared" si="53"/>
        <v>0.9</v>
      </c>
      <c r="CB44" s="146">
        <f t="shared" si="96"/>
        <v>1097</v>
      </c>
      <c r="CC44" s="146">
        <f t="shared" si="96"/>
        <v>53.760000000000105</v>
      </c>
      <c r="CD44" s="146">
        <f t="shared" si="96"/>
        <v>65.560975609756227</v>
      </c>
      <c r="CE44" s="99"/>
      <c r="CF44" s="99"/>
      <c r="CG44" s="51">
        <f t="shared" si="54"/>
        <v>0.87599999999999978</v>
      </c>
      <c r="CH44" s="62">
        <f t="shared" si="55"/>
        <v>0.87599999999999978</v>
      </c>
      <c r="CI44" s="150"/>
      <c r="CJ44" s="150">
        <v>900</v>
      </c>
      <c r="CK44" s="150"/>
      <c r="CL44" s="145"/>
      <c r="CM44" s="150"/>
      <c r="CN44" s="150"/>
      <c r="CO44" s="146"/>
      <c r="CP44" s="154"/>
      <c r="CQ44" s="102">
        <f t="shared" si="99"/>
        <v>1097</v>
      </c>
      <c r="CR44" s="102">
        <f t="shared" si="99"/>
        <v>0</v>
      </c>
      <c r="CS44" s="102">
        <f t="shared" si="99"/>
        <v>0</v>
      </c>
      <c r="CT44" s="92">
        <f t="shared" si="57"/>
        <v>0</v>
      </c>
      <c r="CU44" s="92">
        <f t="shared" si="100"/>
        <v>0</v>
      </c>
      <c r="CV44" s="103">
        <f t="shared" si="100"/>
        <v>0</v>
      </c>
      <c r="CW44" s="155" t="s">
        <v>147</v>
      </c>
      <c r="CX44" s="156">
        <v>12</v>
      </c>
      <c r="CY44" s="157">
        <f t="shared" si="59"/>
        <v>3285</v>
      </c>
      <c r="CZ44" s="157">
        <f t="shared" si="60"/>
        <v>48.6</v>
      </c>
      <c r="DA44" s="157"/>
      <c r="DB44" s="157"/>
      <c r="DC44" s="156"/>
      <c r="DD44" s="158"/>
      <c r="DE44" s="92">
        <f t="shared" si="21"/>
        <v>1097</v>
      </c>
      <c r="DF44" s="108">
        <f t="shared" si="22"/>
        <v>6</v>
      </c>
      <c r="DG44" s="112">
        <f t="shared" si="23"/>
        <v>65.560975609756227</v>
      </c>
      <c r="DH44" s="110">
        <f t="shared" si="24"/>
        <v>0</v>
      </c>
      <c r="DI44" s="108">
        <f t="shared" si="25"/>
        <v>0</v>
      </c>
      <c r="DJ44" s="112">
        <f t="shared" si="26"/>
        <v>0</v>
      </c>
      <c r="DK44" s="110">
        <f t="shared" si="86"/>
        <v>1097</v>
      </c>
      <c r="DL44" s="108">
        <f t="shared" si="86"/>
        <v>6</v>
      </c>
      <c r="DM44" s="111">
        <f t="shared" si="86"/>
        <v>65.560975609756227</v>
      </c>
      <c r="DN44" s="76">
        <f t="shared" si="89"/>
        <v>10</v>
      </c>
      <c r="DO44" s="76">
        <f t="shared" si="89"/>
        <v>23</v>
      </c>
      <c r="DP44" s="112"/>
      <c r="DQ44" s="112"/>
      <c r="DR44" s="113" t="s">
        <v>441</v>
      </c>
      <c r="DS44" s="112"/>
      <c r="DT44" s="112"/>
      <c r="DU44" s="111"/>
      <c r="DV44" s="114"/>
      <c r="DW44" s="80">
        <f>IFERROR(AL44+BF44,"")</f>
        <v>6</v>
      </c>
      <c r="DX44" s="159">
        <f t="shared" si="29"/>
        <v>1168.5609756097563</v>
      </c>
      <c r="DY44" s="80">
        <f t="shared" si="62"/>
        <v>1097</v>
      </c>
      <c r="DZ44" s="82">
        <f t="shared" si="63"/>
        <v>0</v>
      </c>
      <c r="EA44" s="82">
        <f t="shared" si="64"/>
        <v>0.89954000000000001</v>
      </c>
      <c r="EB44" s="82">
        <f t="shared" si="65"/>
        <v>0.87645999999999979</v>
      </c>
      <c r="EC44" s="82">
        <f t="shared" si="75"/>
        <v>0.87645999999999979</v>
      </c>
      <c r="EF44" s="83">
        <f t="shared" si="92"/>
        <v>65.560975609756227</v>
      </c>
    </row>
    <row r="45" spans="1:136" ht="14.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1"/>
        <v>IBC3604-6.2x3-H9A14</v>
      </c>
      <c r="H45" s="46" t="str">
        <f t="shared" si="32"/>
        <v>C3604IB6.20DH9</v>
      </c>
      <c r="I45" s="46" t="str">
        <f t="shared" si="33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4"/>
        <v>54</v>
      </c>
      <c r="T45" s="51">
        <f>'31.01'!BG45</f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5"/>
        <v>0</v>
      </c>
      <c r="AF45" s="54">
        <f>AE45+'31.01'!AF45</f>
        <v>0</v>
      </c>
      <c r="AG45" s="94">
        <f t="shared" si="66"/>
        <v>0</v>
      </c>
      <c r="AH45" s="56">
        <f t="shared" si="13"/>
        <v>0</v>
      </c>
      <c r="AI45" s="93"/>
      <c r="AJ45" s="93">
        <f t="shared" si="67"/>
        <v>0</v>
      </c>
      <c r="AK45" s="95">
        <f t="shared" si="36"/>
        <v>1</v>
      </c>
      <c r="AL45" s="58">
        <f t="shared" si="37"/>
        <v>0</v>
      </c>
      <c r="AM45" s="55">
        <f t="shared" si="68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8"/>
        <v>0</v>
      </c>
      <c r="AV45" s="96">
        <f t="shared" si="38"/>
        <v>0</v>
      </c>
      <c r="AW45" s="96">
        <f t="shared" si="39"/>
        <v>0</v>
      </c>
      <c r="AX45" s="96">
        <f t="shared" si="40"/>
        <v>0</v>
      </c>
      <c r="AY45" s="94">
        <f t="shared" si="69"/>
        <v>0</v>
      </c>
      <c r="AZ45" s="94">
        <f t="shared" si="41"/>
        <v>0</v>
      </c>
      <c r="BA45" s="94">
        <f t="shared" si="42"/>
        <v>0</v>
      </c>
      <c r="BB45" s="97">
        <f t="shared" si="43"/>
        <v>0</v>
      </c>
      <c r="BC45" s="93"/>
      <c r="BD45" s="93">
        <f t="shared" si="44"/>
        <v>0</v>
      </c>
      <c r="BE45" s="95">
        <f t="shared" si="45"/>
        <v>1</v>
      </c>
      <c r="BF45" s="58">
        <f t="shared" si="46"/>
        <v>0</v>
      </c>
      <c r="BG45" s="94">
        <f t="shared" si="47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0"/>
        <v>0</v>
      </c>
      <c r="BP45" s="92">
        <f t="shared" si="70"/>
        <v>0</v>
      </c>
      <c r="BQ45" s="96">
        <f t="shared" si="48"/>
        <v>0</v>
      </c>
      <c r="BR45" s="96">
        <f t="shared" si="49"/>
        <v>0</v>
      </c>
      <c r="BS45" s="96">
        <f t="shared" si="71"/>
        <v>0</v>
      </c>
      <c r="BT45" s="96">
        <f t="shared" si="50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1"/>
        <v>0</v>
      </c>
      <c r="BY45" s="61">
        <f t="shared" si="73"/>
        <v>0</v>
      </c>
      <c r="BZ45" s="62">
        <f t="shared" si="52"/>
        <v>0</v>
      </c>
      <c r="CA45" s="98">
        <f t="shared" si="53"/>
        <v>0</v>
      </c>
      <c r="CB45" s="92">
        <f t="shared" si="96"/>
        <v>0</v>
      </c>
      <c r="CC45" s="92">
        <f t="shared" si="96"/>
        <v>0</v>
      </c>
      <c r="CD45" s="92">
        <f t="shared" si="96"/>
        <v>0</v>
      </c>
      <c r="CE45" s="99"/>
      <c r="CF45" s="99"/>
      <c r="CG45" s="51">
        <f t="shared" si="54"/>
        <v>0</v>
      </c>
      <c r="CH45" s="62">
        <f t="shared" si="55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99"/>
        <v>0</v>
      </c>
      <c r="CR45" s="102">
        <f t="shared" si="99"/>
        <v>0</v>
      </c>
      <c r="CS45" s="102">
        <f t="shared" si="99"/>
        <v>0</v>
      </c>
      <c r="CT45" s="92">
        <f t="shared" si="57"/>
        <v>0</v>
      </c>
      <c r="CU45" s="92">
        <f t="shared" si="100"/>
        <v>0</v>
      </c>
      <c r="CV45" s="103">
        <f t="shared" si="100"/>
        <v>0</v>
      </c>
      <c r="CW45" s="104" t="s">
        <v>147</v>
      </c>
      <c r="CX45" s="105">
        <v>15</v>
      </c>
      <c r="CY45" s="106">
        <f t="shared" si="59"/>
        <v>2496</v>
      </c>
      <c r="CZ45" s="106">
        <f t="shared" si="60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6"/>
        <v>0</v>
      </c>
      <c r="DL45" s="108">
        <f t="shared" si="86"/>
        <v>0</v>
      </c>
      <c r="DM45" s="111">
        <f t="shared" si="86"/>
        <v>0</v>
      </c>
      <c r="DN45" s="76">
        <f t="shared" si="89"/>
        <v>0</v>
      </c>
      <c r="DO45" s="76">
        <f t="shared" si="89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1"/>
        <v>0</v>
      </c>
      <c r="DX45" s="81">
        <f t="shared" si="29"/>
        <v>0</v>
      </c>
      <c r="DY45" s="80">
        <f t="shared" si="62"/>
        <v>0</v>
      </c>
      <c r="DZ45" s="82">
        <f t="shared" si="63"/>
        <v>0</v>
      </c>
      <c r="EA45" s="82">
        <f t="shared" si="64"/>
        <v>0</v>
      </c>
      <c r="EB45" s="82">
        <f t="shared" si="65"/>
        <v>0</v>
      </c>
      <c r="EC45" s="82">
        <f t="shared" si="75"/>
        <v>0</v>
      </c>
      <c r="EF45" s="83">
        <f t="shared" si="92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1"/>
        <v>TV12L14-4.76x2.5-H9B14</v>
      </c>
      <c r="H46" s="46" t="str">
        <f t="shared" si="32"/>
        <v>12L14TV4.760DH9</v>
      </c>
      <c r="I46" s="46" t="str">
        <f t="shared" si="33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4"/>
        <v>44</v>
      </c>
      <c r="T46" s="51">
        <f>'31.01'!BG46</f>
        <v>36</v>
      </c>
      <c r="U46" s="92">
        <v>24</v>
      </c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3510</v>
      </c>
      <c r="AB46" s="93">
        <f t="shared" si="10"/>
        <v>0</v>
      </c>
      <c r="AC46" s="93">
        <f t="shared" si="11"/>
        <v>0</v>
      </c>
      <c r="AD46" s="93">
        <f t="shared" si="12"/>
        <v>55</v>
      </c>
      <c r="AE46" s="93">
        <f t="shared" si="35"/>
        <v>3510</v>
      </c>
      <c r="AF46" s="54">
        <f>AE46+'31.01'!AF46</f>
        <v>5460</v>
      </c>
      <c r="AG46" s="94">
        <f t="shared" si="66"/>
        <v>36</v>
      </c>
      <c r="AH46" s="56">
        <f t="shared" si="13"/>
        <v>0</v>
      </c>
      <c r="AI46" s="93">
        <v>19</v>
      </c>
      <c r="AJ46" s="93">
        <f t="shared" si="67"/>
        <v>0</v>
      </c>
      <c r="AK46" s="95">
        <f t="shared" si="36"/>
        <v>1</v>
      </c>
      <c r="AL46" s="58">
        <f t="shared" si="37"/>
        <v>19</v>
      </c>
      <c r="AM46" s="55">
        <f t="shared" si="68"/>
        <v>41</v>
      </c>
      <c r="AN46" s="93"/>
      <c r="AO46" s="96"/>
      <c r="AP46" s="96"/>
      <c r="AQ46" s="96"/>
      <c r="AR46" s="96"/>
      <c r="AS46" s="96">
        <f>$CJ46</f>
        <v>3610</v>
      </c>
      <c r="AT46" s="96"/>
      <c r="AU46" s="96">
        <f t="shared" si="38"/>
        <v>0</v>
      </c>
      <c r="AV46" s="96">
        <f t="shared" si="38"/>
        <v>125</v>
      </c>
      <c r="AW46" s="96">
        <f t="shared" si="39"/>
        <v>3735</v>
      </c>
      <c r="AX46" s="96">
        <f t="shared" si="40"/>
        <v>1660</v>
      </c>
      <c r="AY46" s="94">
        <f t="shared" si="69"/>
        <v>-27</v>
      </c>
      <c r="AZ46" s="94">
        <f t="shared" si="41"/>
        <v>-12</v>
      </c>
      <c r="BA46" s="94">
        <f t="shared" si="42"/>
        <v>41</v>
      </c>
      <c r="BB46" s="97">
        <f t="shared" si="43"/>
        <v>0</v>
      </c>
      <c r="BC46" s="93">
        <v>21</v>
      </c>
      <c r="BD46" s="93">
        <f t="shared" si="44"/>
        <v>0</v>
      </c>
      <c r="BE46" s="95">
        <f t="shared" si="45"/>
        <v>1</v>
      </c>
      <c r="BF46" s="58">
        <f t="shared" si="46"/>
        <v>21</v>
      </c>
      <c r="BG46" s="94">
        <f t="shared" si="47"/>
        <v>20</v>
      </c>
      <c r="BH46" s="89"/>
      <c r="BI46" s="89"/>
      <c r="BJ46" s="89"/>
      <c r="BK46" s="89"/>
      <c r="BL46" s="89"/>
      <c r="BM46" s="92">
        <f>$CN46</f>
        <v>4288</v>
      </c>
      <c r="BN46" s="89"/>
      <c r="BO46" s="92">
        <f t="shared" si="70"/>
        <v>0</v>
      </c>
      <c r="BP46" s="92">
        <f t="shared" si="70"/>
        <v>0</v>
      </c>
      <c r="BQ46" s="96">
        <f t="shared" si="48"/>
        <v>4288</v>
      </c>
      <c r="BR46" s="96">
        <f t="shared" si="49"/>
        <v>1905</v>
      </c>
      <c r="BS46" s="96">
        <f t="shared" si="71"/>
        <v>130</v>
      </c>
      <c r="BT46" s="96">
        <f t="shared" si="50"/>
        <v>57.777777777777779</v>
      </c>
      <c r="BU46" s="92">
        <f t="shared" si="16"/>
        <v>3510</v>
      </c>
      <c r="BV46" s="98">
        <f t="shared" si="17"/>
        <v>40</v>
      </c>
      <c r="BW46" s="92">
        <f t="shared" si="18"/>
        <v>45.777777777777779</v>
      </c>
      <c r="BX46" s="98">
        <f t="shared" si="51"/>
        <v>13.879999999999999</v>
      </c>
      <c r="BY46" s="61">
        <f t="shared" si="73"/>
        <v>40</v>
      </c>
      <c r="BZ46" s="62">
        <f t="shared" si="52"/>
        <v>40</v>
      </c>
      <c r="CA46" s="98">
        <f t="shared" si="53"/>
        <v>8.0229999999999997</v>
      </c>
      <c r="CB46" s="92">
        <f t="shared" si="96"/>
        <v>3565</v>
      </c>
      <c r="CC46" s="92">
        <f t="shared" si="96"/>
        <v>103</v>
      </c>
      <c r="CD46" s="92">
        <f t="shared" si="96"/>
        <v>45.777777777777779</v>
      </c>
      <c r="CE46" s="99"/>
      <c r="CF46" s="99"/>
      <c r="CG46" s="51">
        <f t="shared" si="54"/>
        <v>5.9819999999999993</v>
      </c>
      <c r="CH46" s="62">
        <f t="shared" si="55"/>
        <v>5.9819999999999993</v>
      </c>
      <c r="CI46" s="89"/>
      <c r="CJ46" s="89">
        <v>3610</v>
      </c>
      <c r="CK46" s="89"/>
      <c r="CL46" s="96">
        <v>125</v>
      </c>
      <c r="CM46" s="89"/>
      <c r="CN46" s="89">
        <v>4288</v>
      </c>
      <c r="CO46" s="92"/>
      <c r="CP46" s="101"/>
      <c r="CQ46" s="102">
        <f t="shared" si="99"/>
        <v>1604</v>
      </c>
      <c r="CR46" s="102">
        <f t="shared" si="99"/>
        <v>0</v>
      </c>
      <c r="CS46" s="102">
        <f t="shared" si="99"/>
        <v>55</v>
      </c>
      <c r="CT46" s="92">
        <f t="shared" si="57"/>
        <v>1906</v>
      </c>
      <c r="CU46" s="92">
        <f t="shared" si="100"/>
        <v>0</v>
      </c>
      <c r="CV46" s="103">
        <f t="shared" si="100"/>
        <v>0</v>
      </c>
      <c r="CW46" s="104" t="s">
        <v>147</v>
      </c>
      <c r="CX46" s="105">
        <v>20</v>
      </c>
      <c r="CY46" s="106">
        <f t="shared" si="59"/>
        <v>1935</v>
      </c>
      <c r="CZ46" s="106">
        <f t="shared" si="60"/>
        <v>81</v>
      </c>
      <c r="DA46" s="106"/>
      <c r="DB46" s="106"/>
      <c r="DC46" s="105"/>
      <c r="DD46" s="107"/>
      <c r="DE46" s="92">
        <f t="shared" si="21"/>
        <v>1604</v>
      </c>
      <c r="DF46" s="108">
        <f t="shared" si="22"/>
        <v>19</v>
      </c>
      <c r="DG46" s="112">
        <f t="shared" si="23"/>
        <v>-12</v>
      </c>
      <c r="DH46" s="110">
        <f t="shared" si="24"/>
        <v>1906</v>
      </c>
      <c r="DI46" s="108">
        <f t="shared" si="25"/>
        <v>21</v>
      </c>
      <c r="DJ46" s="112">
        <f t="shared" si="26"/>
        <v>57.777777777777779</v>
      </c>
      <c r="DK46" s="110">
        <f t="shared" si="86"/>
        <v>3510</v>
      </c>
      <c r="DL46" s="108">
        <f t="shared" si="86"/>
        <v>40</v>
      </c>
      <c r="DM46" s="111">
        <f t="shared" si="86"/>
        <v>45.777777777777779</v>
      </c>
      <c r="DN46" s="76">
        <f t="shared" si="89"/>
        <v>36</v>
      </c>
      <c r="DO46" s="76">
        <f t="shared" si="89"/>
        <v>24</v>
      </c>
      <c r="DP46" s="112"/>
      <c r="DQ46" s="112"/>
      <c r="DR46" s="113" t="s">
        <v>442</v>
      </c>
      <c r="DS46" s="112"/>
      <c r="DT46" s="112"/>
      <c r="DU46" s="111"/>
      <c r="DV46" s="114"/>
      <c r="DW46" s="80">
        <f>IFERROR(AL46+BF46,"")</f>
        <v>40</v>
      </c>
      <c r="DX46" s="81">
        <f t="shared" si="29"/>
        <v>3595.7777777777778</v>
      </c>
      <c r="DY46" s="80">
        <f t="shared" si="62"/>
        <v>3565</v>
      </c>
      <c r="DZ46" s="82">
        <f t="shared" si="63"/>
        <v>0.12375</v>
      </c>
      <c r="EA46" s="82">
        <f t="shared" si="64"/>
        <v>7.8975</v>
      </c>
      <c r="EB46" s="82">
        <f t="shared" si="65"/>
        <v>5.982499999999999</v>
      </c>
      <c r="EC46" s="82">
        <f t="shared" si="75"/>
        <v>6.1062499999999993</v>
      </c>
      <c r="EF46" s="83">
        <f t="shared" si="92"/>
        <v>45.777777777777779</v>
      </c>
    </row>
    <row r="47" spans="1:136" ht="14.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1"/>
        <v>MESUS303-2.5x3-H9B14</v>
      </c>
      <c r="H47" s="46" t="str">
        <f t="shared" si="32"/>
        <v>SUS303ME2.50DH9</v>
      </c>
      <c r="I47" s="46" t="str">
        <f t="shared" si="33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4"/>
        <v>62</v>
      </c>
      <c r="T47" s="51">
        <f>'31.01'!BG47</f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5"/>
        <v>0</v>
      </c>
      <c r="AF47" s="54">
        <f>AE47+'31.01'!AF47</f>
        <v>0</v>
      </c>
      <c r="AG47" s="94">
        <f t="shared" si="66"/>
        <v>0</v>
      </c>
      <c r="AH47" s="56">
        <f t="shared" si="13"/>
        <v>0</v>
      </c>
      <c r="AI47" s="93"/>
      <c r="AJ47" s="93">
        <f t="shared" si="67"/>
        <v>0</v>
      </c>
      <c r="AK47" s="95">
        <f t="shared" si="36"/>
        <v>1</v>
      </c>
      <c r="AL47" s="58">
        <f t="shared" si="37"/>
        <v>0</v>
      </c>
      <c r="AM47" s="55">
        <f t="shared" si="68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8"/>
        <v>0</v>
      </c>
      <c r="AV47" s="96">
        <f t="shared" si="38"/>
        <v>0</v>
      </c>
      <c r="AW47" s="96">
        <f t="shared" si="39"/>
        <v>0</v>
      </c>
      <c r="AX47" s="96">
        <f t="shared" si="40"/>
        <v>0</v>
      </c>
      <c r="AY47" s="94">
        <f t="shared" si="69"/>
        <v>0</v>
      </c>
      <c r="AZ47" s="94">
        <f t="shared" si="41"/>
        <v>0</v>
      </c>
      <c r="BA47" s="94">
        <f t="shared" si="42"/>
        <v>0</v>
      </c>
      <c r="BB47" s="97">
        <f t="shared" si="43"/>
        <v>0</v>
      </c>
      <c r="BC47" s="93"/>
      <c r="BD47" s="93">
        <f t="shared" si="44"/>
        <v>0</v>
      </c>
      <c r="BE47" s="95">
        <f t="shared" si="45"/>
        <v>1</v>
      </c>
      <c r="BF47" s="58">
        <f t="shared" si="46"/>
        <v>0</v>
      </c>
      <c r="BG47" s="94">
        <f t="shared" si="47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0"/>
        <v>0</v>
      </c>
      <c r="BP47" s="92">
        <f t="shared" si="70"/>
        <v>0</v>
      </c>
      <c r="BQ47" s="96">
        <f t="shared" si="48"/>
        <v>0</v>
      </c>
      <c r="BR47" s="96">
        <f t="shared" si="49"/>
        <v>0</v>
      </c>
      <c r="BS47" s="96">
        <f t="shared" si="71"/>
        <v>0</v>
      </c>
      <c r="BT47" s="96">
        <f t="shared" si="50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1"/>
        <v>0</v>
      </c>
      <c r="BY47" s="61">
        <f t="shared" si="73"/>
        <v>0</v>
      </c>
      <c r="BZ47" s="62">
        <f t="shared" si="52"/>
        <v>0</v>
      </c>
      <c r="CA47" s="98">
        <f t="shared" si="53"/>
        <v>0</v>
      </c>
      <c r="CB47" s="92">
        <f t="shared" si="96"/>
        <v>0</v>
      </c>
      <c r="CC47" s="92">
        <f t="shared" si="96"/>
        <v>0</v>
      </c>
      <c r="CD47" s="92">
        <f t="shared" si="96"/>
        <v>0</v>
      </c>
      <c r="CE47" s="99"/>
      <c r="CF47" s="99"/>
      <c r="CG47" s="51">
        <f t="shared" si="54"/>
        <v>0</v>
      </c>
      <c r="CH47" s="62">
        <f t="shared" si="55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99"/>
        <v>0</v>
      </c>
      <c r="CR47" s="102">
        <f t="shared" si="99"/>
        <v>0</v>
      </c>
      <c r="CS47" s="102">
        <f t="shared" si="99"/>
        <v>0</v>
      </c>
      <c r="CT47" s="92">
        <f t="shared" si="57"/>
        <v>0</v>
      </c>
      <c r="CU47" s="92">
        <f t="shared" si="100"/>
        <v>0</v>
      </c>
      <c r="CV47" s="103">
        <f t="shared" si="100"/>
        <v>0</v>
      </c>
      <c r="CW47" s="104" t="s">
        <v>147</v>
      </c>
      <c r="CX47" s="105">
        <v>17</v>
      </c>
      <c r="CY47" s="106">
        <f t="shared" si="59"/>
        <v>2149</v>
      </c>
      <c r="CZ47" s="106">
        <f t="shared" si="60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6"/>
        <v>0</v>
      </c>
      <c r="DL47" s="108">
        <f t="shared" si="86"/>
        <v>0</v>
      </c>
      <c r="DM47" s="111">
        <f t="shared" si="86"/>
        <v>0</v>
      </c>
      <c r="DN47" s="76">
        <f t="shared" si="89"/>
        <v>0</v>
      </c>
      <c r="DO47" s="76">
        <f t="shared" si="89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1"/>
        <v>0</v>
      </c>
      <c r="DX47" s="81">
        <f t="shared" si="29"/>
        <v>0</v>
      </c>
      <c r="DY47" s="80">
        <f t="shared" si="62"/>
        <v>0</v>
      </c>
      <c r="DZ47" s="82">
        <f t="shared" si="63"/>
        <v>0</v>
      </c>
      <c r="EA47" s="82">
        <f t="shared" si="64"/>
        <v>0</v>
      </c>
      <c r="EB47" s="82">
        <f t="shared" si="65"/>
        <v>0</v>
      </c>
      <c r="EC47" s="82">
        <f t="shared" si="75"/>
        <v>0</v>
      </c>
      <c r="EF47" s="83">
        <f t="shared" si="92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1"/>
        <v>TV12L14-3.975x2.5-H7A12</v>
      </c>
      <c r="H48" s="46" t="str">
        <f t="shared" si="32"/>
        <v>12L14TV3.9750DH7</v>
      </c>
      <c r="I48" s="46" t="str">
        <f t="shared" si="33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4"/>
        <v>16</v>
      </c>
      <c r="T48" s="51">
        <f>'31.01'!BG48</f>
        <v>26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5"/>
        <v>0</v>
      </c>
      <c r="AF48" s="54">
        <f>AE48+'31.01'!AF48</f>
        <v>0</v>
      </c>
      <c r="AG48" s="94">
        <f t="shared" si="66"/>
        <v>26</v>
      </c>
      <c r="AH48" s="56">
        <f t="shared" si="13"/>
        <v>0</v>
      </c>
      <c r="AI48" s="93"/>
      <c r="AJ48" s="93">
        <f t="shared" si="67"/>
        <v>0</v>
      </c>
      <c r="AK48" s="95">
        <f t="shared" si="36"/>
        <v>1</v>
      </c>
      <c r="AL48" s="58">
        <f t="shared" si="37"/>
        <v>0</v>
      </c>
      <c r="AM48" s="55">
        <f t="shared" si="68"/>
        <v>26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8"/>
        <v>0</v>
      </c>
      <c r="AV48" s="96">
        <f t="shared" si="38"/>
        <v>0</v>
      </c>
      <c r="AW48" s="96">
        <f t="shared" si="39"/>
        <v>0</v>
      </c>
      <c r="AX48" s="96">
        <f t="shared" si="40"/>
        <v>0</v>
      </c>
      <c r="AY48" s="94">
        <f t="shared" si="69"/>
        <v>0</v>
      </c>
      <c r="AZ48" s="94">
        <f t="shared" si="41"/>
        <v>0</v>
      </c>
      <c r="BA48" s="94">
        <f t="shared" si="42"/>
        <v>26</v>
      </c>
      <c r="BB48" s="97">
        <f t="shared" si="43"/>
        <v>0</v>
      </c>
      <c r="BC48" s="93"/>
      <c r="BD48" s="93">
        <f t="shared" si="44"/>
        <v>0</v>
      </c>
      <c r="BE48" s="95">
        <f t="shared" si="45"/>
        <v>1</v>
      </c>
      <c r="BF48" s="58">
        <f t="shared" si="46"/>
        <v>0</v>
      </c>
      <c r="BG48" s="94">
        <f t="shared" si="47"/>
        <v>26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0"/>
        <v>0</v>
      </c>
      <c r="BP48" s="92">
        <f t="shared" si="70"/>
        <v>0</v>
      </c>
      <c r="BQ48" s="96">
        <f t="shared" si="48"/>
        <v>0</v>
      </c>
      <c r="BR48" s="96">
        <f t="shared" si="49"/>
        <v>0</v>
      </c>
      <c r="BS48" s="96">
        <f t="shared" si="71"/>
        <v>0</v>
      </c>
      <c r="BT48" s="96">
        <f t="shared" si="50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1"/>
        <v>0</v>
      </c>
      <c r="BY48" s="61">
        <f t="shared" si="73"/>
        <v>0</v>
      </c>
      <c r="BZ48" s="62">
        <f t="shared" si="52"/>
        <v>0</v>
      </c>
      <c r="CA48" s="98">
        <f t="shared" si="53"/>
        <v>0</v>
      </c>
      <c r="CB48" s="92">
        <f t="shared" si="96"/>
        <v>0</v>
      </c>
      <c r="CC48" s="92">
        <f t="shared" si="96"/>
        <v>0</v>
      </c>
      <c r="CD48" s="92">
        <f t="shared" si="96"/>
        <v>0</v>
      </c>
      <c r="CE48" s="99"/>
      <c r="CF48" s="99"/>
      <c r="CG48" s="51">
        <f t="shared" si="54"/>
        <v>0</v>
      </c>
      <c r="CH48" s="62">
        <f t="shared" si="55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99"/>
        <v>0</v>
      </c>
      <c r="CR48" s="102">
        <f t="shared" si="99"/>
        <v>0</v>
      </c>
      <c r="CS48" s="102">
        <f t="shared" si="99"/>
        <v>0</v>
      </c>
      <c r="CT48" s="92">
        <f t="shared" si="57"/>
        <v>0</v>
      </c>
      <c r="CU48" s="92">
        <f t="shared" si="100"/>
        <v>0</v>
      </c>
      <c r="CV48" s="103">
        <f t="shared" si="100"/>
        <v>0</v>
      </c>
      <c r="CW48" s="104" t="s">
        <v>147</v>
      </c>
      <c r="CX48" s="105">
        <v>21</v>
      </c>
      <c r="CY48" s="106">
        <f t="shared" si="59"/>
        <v>1988</v>
      </c>
      <c r="CZ48" s="106">
        <f t="shared" si="60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6"/>
        <v>0</v>
      </c>
      <c r="DL48" s="108">
        <f t="shared" si="86"/>
        <v>0</v>
      </c>
      <c r="DM48" s="111">
        <f t="shared" si="86"/>
        <v>0</v>
      </c>
      <c r="DN48" s="76">
        <f t="shared" si="89"/>
        <v>26</v>
      </c>
      <c r="DO48" s="76">
        <f t="shared" si="89"/>
        <v>0</v>
      </c>
      <c r="DP48" s="112"/>
      <c r="DQ48" s="112"/>
      <c r="DR48" s="113" t="s">
        <v>443</v>
      </c>
      <c r="DS48" s="112"/>
      <c r="DT48" s="112"/>
      <c r="DU48" s="111"/>
      <c r="DV48" s="114"/>
      <c r="DW48" s="80">
        <f t="shared" si="61"/>
        <v>0</v>
      </c>
      <c r="DX48" s="81">
        <f t="shared" si="29"/>
        <v>0</v>
      </c>
      <c r="DY48" s="80">
        <f t="shared" si="62"/>
        <v>0</v>
      </c>
      <c r="DZ48" s="82">
        <f t="shared" si="63"/>
        <v>0</v>
      </c>
      <c r="EA48" s="82">
        <f t="shared" si="64"/>
        <v>0</v>
      </c>
      <c r="EB48" s="82">
        <f t="shared" si="65"/>
        <v>0</v>
      </c>
      <c r="EC48" s="82">
        <f t="shared" si="75"/>
        <v>0</v>
      </c>
      <c r="EF48" s="83">
        <f t="shared" si="92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1"/>
        <v>GAA5052-5.7x3-H9A14</v>
      </c>
      <c r="H49" s="46" t="str">
        <f t="shared" si="32"/>
        <v>A5052GA5.70DH9</v>
      </c>
      <c r="I49" s="46" t="str">
        <f t="shared" si="33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4"/>
        <v>14</v>
      </c>
      <c r="T49" s="51">
        <f>'31.01'!BG49</f>
        <v>29.38</v>
      </c>
      <c r="U49" s="92"/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2413</v>
      </c>
      <c r="AC49" s="93">
        <f t="shared" si="11"/>
        <v>0</v>
      </c>
      <c r="AD49" s="93">
        <f t="shared" si="12"/>
        <v>400</v>
      </c>
      <c r="AE49" s="93">
        <f t="shared" si="35"/>
        <v>2413</v>
      </c>
      <c r="AF49" s="54">
        <f>AE49+'31.01'!AF49</f>
        <v>3939</v>
      </c>
      <c r="AG49" s="94">
        <f t="shared" si="66"/>
        <v>29.38</v>
      </c>
      <c r="AH49" s="56">
        <f t="shared" si="13"/>
        <v>0.38</v>
      </c>
      <c r="AI49" s="93">
        <v>6</v>
      </c>
      <c r="AJ49" s="93">
        <f t="shared" si="67"/>
        <v>9</v>
      </c>
      <c r="AK49" s="95">
        <f t="shared" si="36"/>
        <v>0.25</v>
      </c>
      <c r="AL49" s="58">
        <f t="shared" si="37"/>
        <v>5.63</v>
      </c>
      <c r="AM49" s="55">
        <f t="shared" si="68"/>
        <v>23.75</v>
      </c>
      <c r="AN49" s="93"/>
      <c r="AO49" s="96"/>
      <c r="AP49" s="96"/>
      <c r="AQ49" s="96"/>
      <c r="AR49" s="96"/>
      <c r="AS49" s="96"/>
      <c r="AT49" s="96">
        <f>$CJ49</f>
        <v>150</v>
      </c>
      <c r="AU49" s="96">
        <f t="shared" si="38"/>
        <v>0</v>
      </c>
      <c r="AV49" s="96">
        <f t="shared" si="38"/>
        <v>60</v>
      </c>
      <c r="AW49" s="96">
        <f t="shared" si="39"/>
        <v>210</v>
      </c>
      <c r="AX49" s="96">
        <f t="shared" si="40"/>
        <v>1400</v>
      </c>
      <c r="AY49" s="94">
        <f t="shared" si="69"/>
        <v>7.3199999999999932</v>
      </c>
      <c r="AZ49" s="94">
        <f t="shared" si="41"/>
        <v>48.799999999999955</v>
      </c>
      <c r="BA49" s="94">
        <f t="shared" si="42"/>
        <v>23.75</v>
      </c>
      <c r="BB49" s="97">
        <f t="shared" si="43"/>
        <v>0.75</v>
      </c>
      <c r="BC49" s="93">
        <v>6</v>
      </c>
      <c r="BD49" s="93">
        <f t="shared" si="44"/>
        <v>8</v>
      </c>
      <c r="BE49" s="95">
        <f t="shared" si="45"/>
        <v>0.22222222222222224</v>
      </c>
      <c r="BF49" s="58">
        <f t="shared" si="46"/>
        <v>5.9799999999999995</v>
      </c>
      <c r="BG49" s="94">
        <f t="shared" si="47"/>
        <v>17.77</v>
      </c>
      <c r="BH49" s="89"/>
      <c r="BI49" s="89"/>
      <c r="BJ49" s="89"/>
      <c r="BK49" s="89"/>
      <c r="BL49" s="89"/>
      <c r="BM49" s="89"/>
      <c r="BN49" s="146">
        <f>$CN49</f>
        <v>212</v>
      </c>
      <c r="BO49" s="92">
        <f t="shared" si="70"/>
        <v>0</v>
      </c>
      <c r="BP49" s="92">
        <f t="shared" si="70"/>
        <v>0</v>
      </c>
      <c r="BQ49" s="96">
        <f t="shared" si="48"/>
        <v>212</v>
      </c>
      <c r="BR49" s="96">
        <f t="shared" si="49"/>
        <v>1413</v>
      </c>
      <c r="BS49" s="96">
        <f t="shared" si="71"/>
        <v>-3.2799999999999727</v>
      </c>
      <c r="BT49" s="96">
        <f t="shared" si="50"/>
        <v>-21.866666666666486</v>
      </c>
      <c r="BU49" s="92">
        <f t="shared" si="16"/>
        <v>2413</v>
      </c>
      <c r="BV49" s="98">
        <f t="shared" si="17"/>
        <v>11.61</v>
      </c>
      <c r="BW49" s="92">
        <f t="shared" si="18"/>
        <v>26.933333333333469</v>
      </c>
      <c r="BX49" s="98">
        <f t="shared" si="51"/>
        <v>2.3684399999999997</v>
      </c>
      <c r="BY49" s="61">
        <f t="shared" si="73"/>
        <v>11.61</v>
      </c>
      <c r="BZ49" s="62">
        <f t="shared" si="52"/>
        <v>11.61</v>
      </c>
      <c r="CA49" s="98">
        <f t="shared" si="53"/>
        <v>0.42199999999999999</v>
      </c>
      <c r="CB49" s="92">
        <f t="shared" si="96"/>
        <v>2813</v>
      </c>
      <c r="CC49" s="92">
        <f t="shared" si="96"/>
        <v>4.0400000000000205</v>
      </c>
      <c r="CD49" s="92">
        <f t="shared" si="96"/>
        <v>26.933333333333469</v>
      </c>
      <c r="CE49" s="99"/>
      <c r="CF49" s="99"/>
      <c r="CG49" s="51">
        <f t="shared" si="54"/>
        <v>2.0064399999999996</v>
      </c>
      <c r="CH49" s="62">
        <f t="shared" si="55"/>
        <v>2.0064399999999996</v>
      </c>
      <c r="CI49" s="89">
        <v>9</v>
      </c>
      <c r="CJ49" s="89">
        <v>150</v>
      </c>
      <c r="CK49" s="89"/>
      <c r="CL49" s="96">
        <v>60</v>
      </c>
      <c r="CM49" s="89">
        <v>8</v>
      </c>
      <c r="CN49" s="89">
        <v>212</v>
      </c>
      <c r="CO49" s="92"/>
      <c r="CP49" s="101"/>
      <c r="CQ49" s="102">
        <f t="shared" si="99"/>
        <v>1000</v>
      </c>
      <c r="CR49" s="102">
        <f t="shared" si="99"/>
        <v>0</v>
      </c>
      <c r="CS49" s="102">
        <f t="shared" si="99"/>
        <v>400</v>
      </c>
      <c r="CT49" s="92">
        <f t="shared" si="57"/>
        <v>1413</v>
      </c>
      <c r="CU49" s="92">
        <f t="shared" si="100"/>
        <v>0</v>
      </c>
      <c r="CV49" s="103">
        <f t="shared" si="100"/>
        <v>0</v>
      </c>
      <c r="CW49" s="104" t="s">
        <v>147</v>
      </c>
      <c r="CX49" s="105">
        <v>26</v>
      </c>
      <c r="CY49" s="106">
        <f t="shared" si="59"/>
        <v>1613</v>
      </c>
      <c r="CZ49" s="106">
        <f t="shared" si="60"/>
        <v>105.30000000000001</v>
      </c>
      <c r="DA49" s="106"/>
      <c r="DB49" s="106"/>
      <c r="DC49" s="105"/>
      <c r="DD49" s="107"/>
      <c r="DE49" s="92">
        <f t="shared" si="21"/>
        <v>1000</v>
      </c>
      <c r="DF49" s="108">
        <f t="shared" si="22"/>
        <v>5.63</v>
      </c>
      <c r="DG49" s="112">
        <f t="shared" si="23"/>
        <v>48.799999999999955</v>
      </c>
      <c r="DH49" s="110">
        <f t="shared" si="24"/>
        <v>1413</v>
      </c>
      <c r="DI49" s="108">
        <f t="shared" si="25"/>
        <v>5.9799999999999995</v>
      </c>
      <c r="DJ49" s="112">
        <f t="shared" si="26"/>
        <v>-21.866666666666486</v>
      </c>
      <c r="DK49" s="110">
        <f t="shared" si="86"/>
        <v>2413</v>
      </c>
      <c r="DL49" s="108">
        <f t="shared" si="86"/>
        <v>11.61</v>
      </c>
      <c r="DM49" s="111">
        <f t="shared" si="86"/>
        <v>26.933333333333469</v>
      </c>
      <c r="DN49" s="76">
        <f t="shared" si="89"/>
        <v>29.38</v>
      </c>
      <c r="DO49" s="76">
        <f t="shared" si="89"/>
        <v>0</v>
      </c>
      <c r="DP49" s="112"/>
      <c r="DQ49" s="112"/>
      <c r="DR49" s="113" t="s">
        <v>444</v>
      </c>
      <c r="DS49" s="112"/>
      <c r="DT49" s="112"/>
      <c r="DU49" s="111"/>
      <c r="DV49" s="114"/>
      <c r="DW49" s="80">
        <f t="shared" si="61"/>
        <v>2424.61</v>
      </c>
      <c r="DX49" s="81">
        <f t="shared" si="29"/>
        <v>2451.5433333333335</v>
      </c>
      <c r="DY49" s="80">
        <f t="shared" si="62"/>
        <v>2813</v>
      </c>
      <c r="DZ49" s="82">
        <f t="shared" si="63"/>
        <v>0.06</v>
      </c>
      <c r="EA49" s="82">
        <f t="shared" si="64"/>
        <v>0.36194999999999999</v>
      </c>
      <c r="EB49" s="82">
        <f t="shared" si="65"/>
        <v>2.0064899999999994</v>
      </c>
      <c r="EC49" s="82">
        <f t="shared" si="75"/>
        <v>2.0664899999999995</v>
      </c>
      <c r="EF49" s="83">
        <f t="shared" si="92"/>
        <v>26.933333333333469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1"/>
        <v>MESUS303CU-3.5x3-H9B14</v>
      </c>
      <c r="H50" s="46" t="str">
        <f t="shared" si="32"/>
        <v>SUS303CUME3.50DH9</v>
      </c>
      <c r="I50" s="46" t="str">
        <f t="shared" si="33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4"/>
        <v>8</v>
      </c>
      <c r="T50" s="51">
        <f>'31.01'!BG50</f>
        <v>12.000000000000002</v>
      </c>
      <c r="U50" s="92">
        <v>8</v>
      </c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3693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5"/>
        <v>3693</v>
      </c>
      <c r="AF50" s="54">
        <f>AE50+'31.01'!AF50</f>
        <v>7791</v>
      </c>
      <c r="AG50" s="94">
        <f t="shared" si="66"/>
        <v>12.000000000000002</v>
      </c>
      <c r="AH50" s="56">
        <f t="shared" si="13"/>
        <v>0</v>
      </c>
      <c r="AI50" s="93">
        <v>3</v>
      </c>
      <c r="AJ50" s="93">
        <f t="shared" si="67"/>
        <v>60</v>
      </c>
      <c r="AK50" s="95">
        <f t="shared" si="36"/>
        <v>0.73619631901840488</v>
      </c>
      <c r="AL50" s="58">
        <f t="shared" si="37"/>
        <v>2.7399999999999998</v>
      </c>
      <c r="AM50" s="55">
        <f t="shared" si="68"/>
        <v>17.260000000000002</v>
      </c>
      <c r="AN50" s="93"/>
      <c r="AO50" s="96"/>
      <c r="AP50" s="96"/>
      <c r="AQ50" s="96"/>
      <c r="AR50" s="96">
        <f>$CJ50</f>
        <v>198</v>
      </c>
      <c r="AS50" s="96"/>
      <c r="AT50" s="96"/>
      <c r="AU50" s="96">
        <f t="shared" si="38"/>
        <v>0</v>
      </c>
      <c r="AV50" s="96">
        <f t="shared" si="38"/>
        <v>0</v>
      </c>
      <c r="AW50" s="96">
        <f t="shared" si="39"/>
        <v>198</v>
      </c>
      <c r="AX50" s="96">
        <f t="shared" si="40"/>
        <v>1214</v>
      </c>
      <c r="AY50" s="94">
        <f t="shared" si="69"/>
        <v>-25.309999999999974</v>
      </c>
      <c r="AZ50" s="94">
        <f t="shared" si="41"/>
        <v>-155.27607361963175</v>
      </c>
      <c r="BA50" s="94">
        <f t="shared" si="42"/>
        <v>17.260000000000002</v>
      </c>
      <c r="BB50" s="97">
        <f t="shared" si="43"/>
        <v>0.26</v>
      </c>
      <c r="BC50" s="93">
        <v>5</v>
      </c>
      <c r="BD50" s="93">
        <f t="shared" si="44"/>
        <v>0</v>
      </c>
      <c r="BE50" s="95">
        <f t="shared" si="45"/>
        <v>1</v>
      </c>
      <c r="BF50" s="58">
        <f t="shared" si="46"/>
        <v>5.26</v>
      </c>
      <c r="BG50" s="94">
        <f t="shared" si="47"/>
        <v>12.000000000000002</v>
      </c>
      <c r="BH50" s="89"/>
      <c r="BI50" s="89"/>
      <c r="BJ50" s="89"/>
      <c r="BK50" s="89"/>
      <c r="BL50" s="92">
        <f>$CN50</f>
        <v>404</v>
      </c>
      <c r="BM50" s="92"/>
      <c r="BN50" s="89"/>
      <c r="BO50" s="92">
        <f t="shared" si="70"/>
        <v>0</v>
      </c>
      <c r="BP50" s="92">
        <f t="shared" si="70"/>
        <v>0</v>
      </c>
      <c r="BQ50" s="96">
        <f t="shared" si="48"/>
        <v>404</v>
      </c>
      <c r="BR50" s="96">
        <f t="shared" si="49"/>
        <v>2478</v>
      </c>
      <c r="BS50" s="96">
        <f t="shared" si="71"/>
        <v>-24.689999999999998</v>
      </c>
      <c r="BT50" s="96">
        <f t="shared" si="50"/>
        <v>-151.47239263803678</v>
      </c>
      <c r="BU50" s="92">
        <f t="shared" si="16"/>
        <v>3693</v>
      </c>
      <c r="BV50" s="98">
        <f t="shared" si="17"/>
        <v>8</v>
      </c>
      <c r="BW50" s="92">
        <f t="shared" si="18"/>
        <v>-306.7484662576685</v>
      </c>
      <c r="BX50" s="98">
        <f t="shared" si="51"/>
        <v>1.84</v>
      </c>
      <c r="BY50" s="61">
        <f t="shared" si="73"/>
        <v>8</v>
      </c>
      <c r="BZ50" s="62">
        <f t="shared" si="52"/>
        <v>8</v>
      </c>
      <c r="CA50" s="98">
        <f t="shared" si="53"/>
        <v>0.60199999999999998</v>
      </c>
      <c r="CB50" s="92">
        <f t="shared" si="96"/>
        <v>3692</v>
      </c>
      <c r="CC50" s="92">
        <f t="shared" si="96"/>
        <v>-49.999999999999972</v>
      </c>
      <c r="CD50" s="92">
        <f t="shared" si="96"/>
        <v>-306.7484662576685</v>
      </c>
      <c r="CE50" s="99"/>
      <c r="CF50" s="99"/>
      <c r="CG50" s="51">
        <f t="shared" si="54"/>
        <v>1.238</v>
      </c>
      <c r="CH50" s="62">
        <f t="shared" si="55"/>
        <v>1.238</v>
      </c>
      <c r="CI50" s="89">
        <v>60</v>
      </c>
      <c r="CJ50" s="89">
        <v>198</v>
      </c>
      <c r="CK50" s="89"/>
      <c r="CL50" s="96"/>
      <c r="CM50" s="89"/>
      <c r="CN50" s="89">
        <v>404</v>
      </c>
      <c r="CO50" s="92"/>
      <c r="CP50" s="101"/>
      <c r="CQ50" s="102">
        <f t="shared" si="99"/>
        <v>1214</v>
      </c>
      <c r="CR50" s="102">
        <f t="shared" si="99"/>
        <v>0</v>
      </c>
      <c r="CS50" s="102">
        <f t="shared" si="99"/>
        <v>0</v>
      </c>
      <c r="CT50" s="92">
        <f t="shared" si="57"/>
        <v>2479</v>
      </c>
      <c r="CU50" s="92">
        <f t="shared" si="100"/>
        <v>0</v>
      </c>
      <c r="CV50" s="103">
        <f t="shared" si="100"/>
        <v>0</v>
      </c>
      <c r="CW50" s="104" t="s">
        <v>147</v>
      </c>
      <c r="CX50" s="105">
        <v>23</v>
      </c>
      <c r="CY50" s="106">
        <f t="shared" si="59"/>
        <v>1846</v>
      </c>
      <c r="CZ50" s="106">
        <f t="shared" si="60"/>
        <v>93.15</v>
      </c>
      <c r="DA50" s="106"/>
      <c r="DB50" s="106"/>
      <c r="DC50" s="105"/>
      <c r="DD50" s="107"/>
      <c r="DE50" s="92">
        <f t="shared" si="21"/>
        <v>1214</v>
      </c>
      <c r="DF50" s="108">
        <f t="shared" si="22"/>
        <v>2.7399999999999998</v>
      </c>
      <c r="DG50" s="112">
        <f t="shared" si="23"/>
        <v>-155.27607361963175</v>
      </c>
      <c r="DH50" s="110">
        <f t="shared" si="24"/>
        <v>2479</v>
      </c>
      <c r="DI50" s="108">
        <f t="shared" si="25"/>
        <v>5.26</v>
      </c>
      <c r="DJ50" s="112">
        <f t="shared" si="26"/>
        <v>-151.47239263803678</v>
      </c>
      <c r="DK50" s="110">
        <f t="shared" si="86"/>
        <v>3693</v>
      </c>
      <c r="DL50" s="108">
        <f t="shared" si="86"/>
        <v>8</v>
      </c>
      <c r="DM50" s="111">
        <f t="shared" si="86"/>
        <v>-306.7484662576685</v>
      </c>
      <c r="DN50" s="76">
        <f t="shared" si="89"/>
        <v>12.000000000000002</v>
      </c>
      <c r="DO50" s="76">
        <f t="shared" si="89"/>
        <v>8</v>
      </c>
      <c r="DP50" s="112"/>
      <c r="DQ50" s="112"/>
      <c r="DR50" s="113" t="s">
        <v>445</v>
      </c>
      <c r="DS50" s="112"/>
      <c r="DT50" s="112"/>
      <c r="DU50" s="111"/>
      <c r="DV50" s="114"/>
      <c r="DW50" s="80">
        <f t="shared" ref="DW50:DW52" si="101">IFERROR(AL50+BF50,"")</f>
        <v>8</v>
      </c>
      <c r="DX50" s="81">
        <f t="shared" si="29"/>
        <v>3394.2515337423315</v>
      </c>
      <c r="DY50" s="80">
        <f t="shared" si="62"/>
        <v>3693</v>
      </c>
      <c r="DZ50" s="82">
        <f t="shared" si="63"/>
        <v>0</v>
      </c>
      <c r="EA50" s="82">
        <f t="shared" si="64"/>
        <v>0.60195900000000002</v>
      </c>
      <c r="EB50" s="82">
        <f t="shared" si="65"/>
        <v>1.2380409999999999</v>
      </c>
      <c r="EC50" s="82">
        <f t="shared" si="75"/>
        <v>1.2380409999999999</v>
      </c>
      <c r="EF50" s="83">
        <f t="shared" si="92"/>
        <v>-306.7484662576685</v>
      </c>
    </row>
    <row r="51" spans="1:136" ht="14.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1"/>
        <v>MESUS303-2.5x3-H9B14</v>
      </c>
      <c r="H51" s="46" t="str">
        <f t="shared" si="32"/>
        <v>SUS303ME2.50DH9</v>
      </c>
      <c r="I51" s="46" t="str">
        <f t="shared" si="33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4"/>
        <v>38</v>
      </c>
      <c r="T51" s="51">
        <f>'31.01'!BG51</f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5"/>
        <v>0</v>
      </c>
      <c r="AF51" s="54">
        <f>AE51+'31.01'!AF51</f>
        <v>0</v>
      </c>
      <c r="AG51" s="94">
        <f t="shared" si="66"/>
        <v>0</v>
      </c>
      <c r="AH51" s="56">
        <f t="shared" si="13"/>
        <v>0</v>
      </c>
      <c r="AI51" s="93"/>
      <c r="AJ51" s="93">
        <f t="shared" si="67"/>
        <v>0</v>
      </c>
      <c r="AK51" s="95">
        <f t="shared" si="36"/>
        <v>1</v>
      </c>
      <c r="AL51" s="58">
        <f t="shared" si="37"/>
        <v>0</v>
      </c>
      <c r="AM51" s="55">
        <f t="shared" si="68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8"/>
        <v>0</v>
      </c>
      <c r="AV51" s="96">
        <f t="shared" si="38"/>
        <v>0</v>
      </c>
      <c r="AW51" s="96">
        <f t="shared" si="39"/>
        <v>0</v>
      </c>
      <c r="AX51" s="96">
        <f t="shared" si="40"/>
        <v>0</v>
      </c>
      <c r="AY51" s="94">
        <f t="shared" si="69"/>
        <v>0</v>
      </c>
      <c r="AZ51" s="94">
        <f t="shared" si="41"/>
        <v>0</v>
      </c>
      <c r="BA51" s="94">
        <f t="shared" si="42"/>
        <v>0</v>
      </c>
      <c r="BB51" s="97">
        <f t="shared" si="43"/>
        <v>0</v>
      </c>
      <c r="BC51" s="93"/>
      <c r="BD51" s="93">
        <f t="shared" si="44"/>
        <v>0</v>
      </c>
      <c r="BE51" s="95">
        <f t="shared" si="45"/>
        <v>1</v>
      </c>
      <c r="BF51" s="58">
        <f t="shared" si="46"/>
        <v>0</v>
      </c>
      <c r="BG51" s="94">
        <f t="shared" si="47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0"/>
        <v>0</v>
      </c>
      <c r="BP51" s="92">
        <f t="shared" si="70"/>
        <v>0</v>
      </c>
      <c r="BQ51" s="96">
        <f t="shared" si="48"/>
        <v>0</v>
      </c>
      <c r="BR51" s="96">
        <f t="shared" si="49"/>
        <v>0</v>
      </c>
      <c r="BS51" s="96">
        <f t="shared" si="71"/>
        <v>0</v>
      </c>
      <c r="BT51" s="96">
        <f t="shared" si="50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1"/>
        <v>0</v>
      </c>
      <c r="BY51" s="61">
        <f t="shared" si="73"/>
        <v>0</v>
      </c>
      <c r="BZ51" s="62">
        <f t="shared" si="52"/>
        <v>0</v>
      </c>
      <c r="CA51" s="98">
        <f t="shared" si="53"/>
        <v>0</v>
      </c>
      <c r="CB51" s="92">
        <f t="shared" si="96"/>
        <v>0</v>
      </c>
      <c r="CC51" s="92">
        <f t="shared" si="96"/>
        <v>0</v>
      </c>
      <c r="CD51" s="92">
        <f t="shared" si="96"/>
        <v>0</v>
      </c>
      <c r="CE51" s="99"/>
      <c r="CF51" s="99"/>
      <c r="CG51" s="51">
        <f t="shared" si="54"/>
        <v>0</v>
      </c>
      <c r="CH51" s="62">
        <f t="shared" si="55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99"/>
        <v>0</v>
      </c>
      <c r="CR51" s="102">
        <f t="shared" si="99"/>
        <v>0</v>
      </c>
      <c r="CS51" s="102">
        <f t="shared" si="99"/>
        <v>0</v>
      </c>
      <c r="CT51" s="92">
        <f t="shared" si="57"/>
        <v>0</v>
      </c>
      <c r="CU51" s="92">
        <f t="shared" si="100"/>
        <v>0</v>
      </c>
      <c r="CV51" s="103">
        <f t="shared" si="100"/>
        <v>0</v>
      </c>
      <c r="CW51" s="104" t="s">
        <v>147</v>
      </c>
      <c r="CX51" s="105">
        <v>20</v>
      </c>
      <c r="CY51" s="106">
        <f t="shared" si="59"/>
        <v>1971</v>
      </c>
      <c r="CZ51" s="106">
        <f t="shared" si="60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6"/>
        <v>0</v>
      </c>
      <c r="DL51" s="108">
        <f t="shared" si="86"/>
        <v>0</v>
      </c>
      <c r="DM51" s="111">
        <f t="shared" si="86"/>
        <v>0</v>
      </c>
      <c r="DN51" s="76">
        <f t="shared" si="89"/>
        <v>0</v>
      </c>
      <c r="DO51" s="76">
        <f t="shared" si="89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1"/>
        <v>0</v>
      </c>
      <c r="DX51" s="81">
        <f t="shared" si="29"/>
        <v>0</v>
      </c>
      <c r="DY51" s="80">
        <f t="shared" si="62"/>
        <v>0</v>
      </c>
      <c r="DZ51" s="82">
        <f t="shared" si="63"/>
        <v>0</v>
      </c>
      <c r="EA51" s="82">
        <f t="shared" si="64"/>
        <v>0</v>
      </c>
      <c r="EB51" s="82">
        <f t="shared" si="65"/>
        <v>0</v>
      </c>
      <c r="EC51" s="82">
        <f t="shared" si="75"/>
        <v>0</v>
      </c>
      <c r="EF51" s="83">
        <f t="shared" si="92"/>
        <v>0</v>
      </c>
    </row>
    <row r="52" spans="1:136" ht="14.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1"/>
        <v>MESUS303CU-3.5x3-H9B14</v>
      </c>
      <c r="H52" s="46" t="str">
        <f t="shared" si="32"/>
        <v>SUS303CUME3.50DH9</v>
      </c>
      <c r="I52" s="46" t="str">
        <f t="shared" si="33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4"/>
        <v>14</v>
      </c>
      <c r="T52" s="51">
        <f>'31.01'!BG52</f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5"/>
        <v>0</v>
      </c>
      <c r="AF52" s="54">
        <f>AE52+'31.01'!AF52</f>
        <v>0</v>
      </c>
      <c r="AG52" s="94">
        <f t="shared" si="66"/>
        <v>0</v>
      </c>
      <c r="AH52" s="56">
        <f t="shared" si="13"/>
        <v>0</v>
      </c>
      <c r="AI52" s="93"/>
      <c r="AJ52" s="93">
        <f t="shared" si="67"/>
        <v>0</v>
      </c>
      <c r="AK52" s="95">
        <f t="shared" si="36"/>
        <v>1</v>
      </c>
      <c r="AL52" s="58">
        <f t="shared" si="37"/>
        <v>0</v>
      </c>
      <c r="AM52" s="55">
        <f t="shared" si="68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8"/>
        <v>0</v>
      </c>
      <c r="AV52" s="96">
        <f t="shared" si="38"/>
        <v>0</v>
      </c>
      <c r="AW52" s="96">
        <f t="shared" si="39"/>
        <v>0</v>
      </c>
      <c r="AX52" s="96">
        <f t="shared" si="40"/>
        <v>0</v>
      </c>
      <c r="AY52" s="94">
        <f t="shared" si="69"/>
        <v>0</v>
      </c>
      <c r="AZ52" s="94">
        <f t="shared" si="41"/>
        <v>0</v>
      </c>
      <c r="BA52" s="94">
        <f t="shared" si="42"/>
        <v>0</v>
      </c>
      <c r="BB52" s="97">
        <f t="shared" si="43"/>
        <v>0</v>
      </c>
      <c r="BC52" s="93"/>
      <c r="BD52" s="93">
        <f t="shared" si="44"/>
        <v>0</v>
      </c>
      <c r="BE52" s="95">
        <f t="shared" si="45"/>
        <v>1</v>
      </c>
      <c r="BF52" s="58">
        <f t="shared" si="46"/>
        <v>0</v>
      </c>
      <c r="BG52" s="94">
        <f t="shared" si="47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0"/>
        <v>0</v>
      </c>
      <c r="BP52" s="92">
        <f t="shared" si="70"/>
        <v>0</v>
      </c>
      <c r="BQ52" s="96">
        <f t="shared" si="48"/>
        <v>0</v>
      </c>
      <c r="BR52" s="96">
        <f t="shared" si="49"/>
        <v>0</v>
      </c>
      <c r="BS52" s="96">
        <f t="shared" si="71"/>
        <v>0</v>
      </c>
      <c r="BT52" s="96">
        <f t="shared" si="50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1"/>
        <v>0</v>
      </c>
      <c r="BY52" s="61">
        <f t="shared" si="73"/>
        <v>0</v>
      </c>
      <c r="BZ52" s="62">
        <f t="shared" si="52"/>
        <v>0</v>
      </c>
      <c r="CA52" s="98">
        <f t="shared" si="53"/>
        <v>0</v>
      </c>
      <c r="CB52" s="92">
        <f t="shared" si="96"/>
        <v>0</v>
      </c>
      <c r="CC52" s="92">
        <f t="shared" si="96"/>
        <v>0</v>
      </c>
      <c r="CD52" s="92">
        <f t="shared" si="96"/>
        <v>0</v>
      </c>
      <c r="CE52" s="99"/>
      <c r="CF52" s="99"/>
      <c r="CG52" s="51">
        <f t="shared" si="54"/>
        <v>0</v>
      </c>
      <c r="CH52" s="62">
        <f t="shared" si="55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99"/>
        <v>0</v>
      </c>
      <c r="CR52" s="102">
        <f t="shared" si="99"/>
        <v>0</v>
      </c>
      <c r="CS52" s="102">
        <f t="shared" si="99"/>
        <v>0</v>
      </c>
      <c r="CT52" s="92">
        <f t="shared" si="57"/>
        <v>0</v>
      </c>
      <c r="CU52" s="92">
        <f t="shared" si="100"/>
        <v>0</v>
      </c>
      <c r="CV52" s="103">
        <f t="shared" si="100"/>
        <v>0</v>
      </c>
      <c r="CW52" s="104" t="s">
        <v>147</v>
      </c>
      <c r="CX52" s="105">
        <v>12</v>
      </c>
      <c r="CY52" s="106">
        <f t="shared" si="59"/>
        <v>3480</v>
      </c>
      <c r="CZ52" s="106">
        <f t="shared" si="60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6"/>
        <v>0</v>
      </c>
      <c r="DL52" s="108">
        <f t="shared" si="86"/>
        <v>0</v>
      </c>
      <c r="DM52" s="111">
        <f t="shared" si="86"/>
        <v>0</v>
      </c>
      <c r="DN52" s="76">
        <f t="shared" si="89"/>
        <v>0</v>
      </c>
      <c r="DO52" s="76">
        <f t="shared" si="89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1"/>
        <v>0</v>
      </c>
      <c r="DX52" s="81">
        <f t="shared" si="29"/>
        <v>0</v>
      </c>
      <c r="DY52" s="80">
        <f t="shared" si="62"/>
        <v>0</v>
      </c>
      <c r="DZ52" s="82">
        <f t="shared" si="63"/>
        <v>0</v>
      </c>
      <c r="EA52" s="82">
        <f t="shared" si="64"/>
        <v>0</v>
      </c>
      <c r="EB52" s="82">
        <f t="shared" si="65"/>
        <v>0</v>
      </c>
      <c r="EC52" s="82">
        <f t="shared" si="75"/>
        <v>0</v>
      </c>
      <c r="EF52" s="83">
        <f t="shared" si="92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1"/>
        <v>MESUS420J2-2x2.5-H9A14</v>
      </c>
      <c r="H53" s="46" t="str">
        <f t="shared" si="32"/>
        <v>SUS420J2ME20DH9</v>
      </c>
      <c r="I53" s="46" t="str">
        <f t="shared" si="33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4"/>
        <v>42</v>
      </c>
      <c r="T53" s="51">
        <f>'31.01'!BG53</f>
        <v>49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5"/>
        <v>0</v>
      </c>
      <c r="AF53" s="54">
        <f>AE53+'31.01'!AF53</f>
        <v>0</v>
      </c>
      <c r="AG53" s="94">
        <f t="shared" si="66"/>
        <v>49</v>
      </c>
      <c r="AH53" s="56">
        <f t="shared" si="13"/>
        <v>0</v>
      </c>
      <c r="AI53" s="93"/>
      <c r="AJ53" s="93">
        <f t="shared" si="67"/>
        <v>0</v>
      </c>
      <c r="AK53" s="95">
        <f t="shared" si="36"/>
        <v>1</v>
      </c>
      <c r="AL53" s="58">
        <f t="shared" si="37"/>
        <v>0</v>
      </c>
      <c r="AM53" s="55">
        <f t="shared" si="68"/>
        <v>49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8"/>
        <v>0</v>
      </c>
      <c r="AV53" s="96">
        <f t="shared" si="38"/>
        <v>0</v>
      </c>
      <c r="AW53" s="96">
        <f t="shared" si="39"/>
        <v>0</v>
      </c>
      <c r="AX53" s="96">
        <f t="shared" si="40"/>
        <v>0</v>
      </c>
      <c r="AY53" s="94">
        <f t="shared" si="69"/>
        <v>0</v>
      </c>
      <c r="AZ53" s="94">
        <f t="shared" si="41"/>
        <v>0</v>
      </c>
      <c r="BA53" s="94">
        <f t="shared" si="42"/>
        <v>49</v>
      </c>
      <c r="BB53" s="97">
        <f t="shared" si="43"/>
        <v>0</v>
      </c>
      <c r="BC53" s="93"/>
      <c r="BD53" s="93">
        <f t="shared" si="44"/>
        <v>0</v>
      </c>
      <c r="BE53" s="95">
        <f t="shared" si="45"/>
        <v>1</v>
      </c>
      <c r="BF53" s="58">
        <f t="shared" si="46"/>
        <v>0</v>
      </c>
      <c r="BG53" s="94">
        <f t="shared" si="47"/>
        <v>49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0"/>
        <v>0</v>
      </c>
      <c r="BP53" s="92">
        <f t="shared" si="70"/>
        <v>0</v>
      </c>
      <c r="BQ53" s="96">
        <f t="shared" si="48"/>
        <v>0</v>
      </c>
      <c r="BR53" s="96">
        <f t="shared" si="49"/>
        <v>0</v>
      </c>
      <c r="BS53" s="96">
        <f t="shared" si="71"/>
        <v>0</v>
      </c>
      <c r="BT53" s="96">
        <f t="shared" si="50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1"/>
        <v>0</v>
      </c>
      <c r="BY53" s="61">
        <f t="shared" si="73"/>
        <v>0</v>
      </c>
      <c r="BZ53" s="62">
        <f t="shared" si="52"/>
        <v>0</v>
      </c>
      <c r="CA53" s="98">
        <f t="shared" si="53"/>
        <v>0</v>
      </c>
      <c r="CB53" s="92">
        <f t="shared" si="96"/>
        <v>0</v>
      </c>
      <c r="CC53" s="92">
        <f t="shared" si="96"/>
        <v>0</v>
      </c>
      <c r="CD53" s="92">
        <f t="shared" si="96"/>
        <v>0</v>
      </c>
      <c r="CE53" s="99"/>
      <c r="CF53" s="99"/>
      <c r="CG53" s="51">
        <f t="shared" si="54"/>
        <v>0</v>
      </c>
      <c r="CH53" s="62">
        <f t="shared" si="55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99"/>
        <v>0</v>
      </c>
      <c r="CR53" s="102">
        <f t="shared" si="99"/>
        <v>0</v>
      </c>
      <c r="CS53" s="102">
        <f t="shared" si="99"/>
        <v>0</v>
      </c>
      <c r="CT53" s="92">
        <f t="shared" si="57"/>
        <v>0</v>
      </c>
      <c r="CU53" s="92">
        <f t="shared" si="100"/>
        <v>0</v>
      </c>
      <c r="CV53" s="103">
        <f t="shared" si="100"/>
        <v>0</v>
      </c>
      <c r="CW53" s="104" t="s">
        <v>147</v>
      </c>
      <c r="CX53" s="105">
        <v>8.0500000000000007</v>
      </c>
      <c r="CY53" s="106">
        <f t="shared" si="59"/>
        <v>4829</v>
      </c>
      <c r="CZ53" s="106">
        <f t="shared" si="60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6"/>
        <v>0</v>
      </c>
      <c r="DL53" s="108">
        <f t="shared" si="86"/>
        <v>0</v>
      </c>
      <c r="DM53" s="111">
        <f t="shared" si="86"/>
        <v>0</v>
      </c>
      <c r="DN53" s="76">
        <f t="shared" si="89"/>
        <v>49</v>
      </c>
      <c r="DO53" s="76">
        <f t="shared" si="89"/>
        <v>0</v>
      </c>
      <c r="DP53" s="112"/>
      <c r="DQ53" s="112"/>
      <c r="DR53" s="113" t="s">
        <v>446</v>
      </c>
      <c r="DS53" s="112"/>
      <c r="DT53" s="112"/>
      <c r="DU53" s="111"/>
      <c r="DV53" s="114"/>
      <c r="DW53" s="80">
        <f t="shared" si="61"/>
        <v>0</v>
      </c>
      <c r="DX53" s="81">
        <f t="shared" si="29"/>
        <v>0</v>
      </c>
      <c r="DY53" s="80">
        <f t="shared" si="62"/>
        <v>0</v>
      </c>
      <c r="DZ53" s="82">
        <f t="shared" si="63"/>
        <v>0</v>
      </c>
      <c r="EA53" s="82">
        <f t="shared" si="64"/>
        <v>0</v>
      </c>
      <c r="EB53" s="82">
        <f t="shared" si="65"/>
        <v>0</v>
      </c>
      <c r="EC53" s="82">
        <f t="shared" si="75"/>
        <v>0</v>
      </c>
      <c r="EF53" s="83">
        <f t="shared" si="92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1"/>
        <v>MESUS303CU-3.5x3-H9B14</v>
      </c>
      <c r="H54" s="46" t="str">
        <f t="shared" si="32"/>
        <v>SUS303CUME3.50DH9</v>
      </c>
      <c r="I54" s="46" t="str">
        <f t="shared" si="33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4"/>
        <v>12</v>
      </c>
      <c r="T54" s="51">
        <f>'31.01'!BG54</f>
        <v>20</v>
      </c>
      <c r="U54" s="92"/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5"/>
        <v>0</v>
      </c>
      <c r="AF54" s="54">
        <f>AE54+'31.01'!AF54</f>
        <v>0</v>
      </c>
      <c r="AG54" s="94">
        <f t="shared" si="66"/>
        <v>20</v>
      </c>
      <c r="AH54" s="56">
        <f t="shared" si="13"/>
        <v>0</v>
      </c>
      <c r="AI54" s="93"/>
      <c r="AJ54" s="93">
        <f t="shared" si="67"/>
        <v>0</v>
      </c>
      <c r="AK54" s="95">
        <f t="shared" si="36"/>
        <v>1</v>
      </c>
      <c r="AL54" s="58">
        <f t="shared" si="37"/>
        <v>0</v>
      </c>
      <c r="AM54" s="55">
        <f t="shared" si="68"/>
        <v>20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8"/>
        <v>0</v>
      </c>
      <c r="AV54" s="96">
        <f t="shared" si="38"/>
        <v>0</v>
      </c>
      <c r="AW54" s="96">
        <f t="shared" si="39"/>
        <v>0</v>
      </c>
      <c r="AX54" s="96">
        <f t="shared" si="40"/>
        <v>0</v>
      </c>
      <c r="AY54" s="94">
        <f t="shared" si="69"/>
        <v>0</v>
      </c>
      <c r="AZ54" s="94">
        <f t="shared" si="41"/>
        <v>0</v>
      </c>
      <c r="BA54" s="94">
        <f t="shared" si="42"/>
        <v>20</v>
      </c>
      <c r="BB54" s="97">
        <f t="shared" si="43"/>
        <v>0</v>
      </c>
      <c r="BC54" s="93"/>
      <c r="BD54" s="93">
        <f t="shared" si="44"/>
        <v>0</v>
      </c>
      <c r="BE54" s="95">
        <f t="shared" si="45"/>
        <v>1</v>
      </c>
      <c r="BF54" s="58">
        <f t="shared" si="46"/>
        <v>0</v>
      </c>
      <c r="BG54" s="94">
        <f t="shared" si="47"/>
        <v>20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0"/>
        <v>0</v>
      </c>
      <c r="BP54" s="92">
        <f t="shared" si="70"/>
        <v>0</v>
      </c>
      <c r="BQ54" s="96">
        <f t="shared" si="48"/>
        <v>0</v>
      </c>
      <c r="BR54" s="96">
        <f t="shared" si="49"/>
        <v>0</v>
      </c>
      <c r="BS54" s="96">
        <f t="shared" si="71"/>
        <v>0</v>
      </c>
      <c r="BT54" s="96">
        <f t="shared" si="50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1"/>
        <v>0</v>
      </c>
      <c r="BY54" s="61">
        <f t="shared" si="73"/>
        <v>0</v>
      </c>
      <c r="BZ54" s="62">
        <f t="shared" si="52"/>
        <v>0</v>
      </c>
      <c r="CA54" s="98">
        <f t="shared" si="53"/>
        <v>0</v>
      </c>
      <c r="CB54" s="92">
        <f t="shared" si="96"/>
        <v>0</v>
      </c>
      <c r="CC54" s="92">
        <f t="shared" si="96"/>
        <v>0</v>
      </c>
      <c r="CD54" s="92">
        <f t="shared" si="96"/>
        <v>0</v>
      </c>
      <c r="CE54" s="99"/>
      <c r="CF54" s="99"/>
      <c r="CG54" s="51">
        <f t="shared" si="54"/>
        <v>0</v>
      </c>
      <c r="CH54" s="62">
        <f t="shared" si="55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99"/>
        <v>0</v>
      </c>
      <c r="CR54" s="102">
        <f t="shared" si="99"/>
        <v>0</v>
      </c>
      <c r="CS54" s="102">
        <f t="shared" si="99"/>
        <v>0</v>
      </c>
      <c r="CT54" s="92">
        <f t="shared" si="57"/>
        <v>0</v>
      </c>
      <c r="CU54" s="92">
        <f t="shared" si="100"/>
        <v>0</v>
      </c>
      <c r="CV54" s="103">
        <f t="shared" si="100"/>
        <v>0</v>
      </c>
      <c r="CW54" s="104" t="s">
        <v>147</v>
      </c>
      <c r="CX54" s="105">
        <v>15</v>
      </c>
      <c r="CY54" s="106">
        <f t="shared" si="59"/>
        <v>2808</v>
      </c>
      <c r="CZ54" s="106">
        <f t="shared" si="60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6"/>
        <v>0</v>
      </c>
      <c r="DL54" s="108">
        <f t="shared" si="86"/>
        <v>0</v>
      </c>
      <c r="DM54" s="111">
        <f t="shared" si="86"/>
        <v>0</v>
      </c>
      <c r="DN54" s="76">
        <f t="shared" si="89"/>
        <v>20</v>
      </c>
      <c r="DO54" s="76">
        <f t="shared" si="89"/>
        <v>0</v>
      </c>
      <c r="DP54" s="112"/>
      <c r="DQ54" s="112"/>
      <c r="DR54" s="113" t="s">
        <v>447</v>
      </c>
      <c r="DS54" s="112"/>
      <c r="DT54" s="112"/>
      <c r="DU54" s="111"/>
      <c r="DV54" s="114"/>
      <c r="DW54" s="80">
        <f t="shared" ref="DW54:DW58" si="102">IFERROR(AL54+BF54,"")</f>
        <v>0</v>
      </c>
      <c r="DX54" s="81">
        <f t="shared" si="29"/>
        <v>0</v>
      </c>
      <c r="DY54" s="80">
        <f t="shared" si="62"/>
        <v>0</v>
      </c>
      <c r="DZ54" s="82">
        <f t="shared" si="63"/>
        <v>0</v>
      </c>
      <c r="EA54" s="82">
        <f t="shared" si="64"/>
        <v>0</v>
      </c>
      <c r="EB54" s="82">
        <f t="shared" si="65"/>
        <v>0</v>
      </c>
      <c r="EC54" s="82">
        <f t="shared" si="75"/>
        <v>0</v>
      </c>
      <c r="EF54" s="83">
        <f t="shared" si="92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1"/>
        <v>YHC3604-4.03x3-H9A14</v>
      </c>
      <c r="H55" s="46" t="str">
        <f t="shared" si="32"/>
        <v>C3604YH4.030DH9</v>
      </c>
      <c r="I55" s="46" t="str">
        <f t="shared" si="33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4"/>
        <v>60</v>
      </c>
      <c r="T55" s="51">
        <f>'31.01'!BG55</f>
        <v>30</v>
      </c>
      <c r="U55" s="92">
        <v>50</v>
      </c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9257</v>
      </c>
      <c r="AC55" s="93">
        <f t="shared" si="11"/>
        <v>0</v>
      </c>
      <c r="AD55" s="93">
        <f t="shared" si="12"/>
        <v>0</v>
      </c>
      <c r="AE55" s="93">
        <f t="shared" si="35"/>
        <v>9257</v>
      </c>
      <c r="AF55" s="54">
        <f>AE55+'31.01'!AF55</f>
        <v>17714</v>
      </c>
      <c r="AG55" s="94">
        <f t="shared" si="66"/>
        <v>30</v>
      </c>
      <c r="AH55" s="56">
        <f t="shared" si="13"/>
        <v>0</v>
      </c>
      <c r="AI55" s="93">
        <v>28</v>
      </c>
      <c r="AJ55" s="93">
        <f t="shared" si="67"/>
        <v>0</v>
      </c>
      <c r="AK55" s="95">
        <f t="shared" si="36"/>
        <v>1</v>
      </c>
      <c r="AL55" s="58">
        <f t="shared" si="37"/>
        <v>28</v>
      </c>
      <c r="AM55" s="55">
        <f t="shared" si="68"/>
        <v>52</v>
      </c>
      <c r="AN55" s="93"/>
      <c r="AO55" s="96"/>
      <c r="AP55" s="96"/>
      <c r="AQ55" s="96"/>
      <c r="AR55" s="96"/>
      <c r="AS55" s="96"/>
      <c r="AT55" s="96">
        <f>$CJ55</f>
        <v>3084</v>
      </c>
      <c r="AU55" s="96">
        <f t="shared" si="38"/>
        <v>0</v>
      </c>
      <c r="AV55" s="96">
        <f t="shared" si="38"/>
        <v>0</v>
      </c>
      <c r="AW55" s="96">
        <f t="shared" si="39"/>
        <v>3084</v>
      </c>
      <c r="AX55" s="96">
        <f t="shared" si="40"/>
        <v>4818</v>
      </c>
      <c r="AY55" s="94">
        <f t="shared" si="69"/>
        <v>-87.840000000000146</v>
      </c>
      <c r="AZ55" s="94">
        <f t="shared" si="41"/>
        <v>-137.25000000000023</v>
      </c>
      <c r="BA55" s="94">
        <f t="shared" si="42"/>
        <v>52</v>
      </c>
      <c r="BB55" s="97">
        <f t="shared" si="43"/>
        <v>0</v>
      </c>
      <c r="BC55" s="93">
        <v>26</v>
      </c>
      <c r="BD55" s="93">
        <f t="shared" si="44"/>
        <v>0</v>
      </c>
      <c r="BE55" s="95">
        <f t="shared" si="45"/>
        <v>1</v>
      </c>
      <c r="BF55" s="58">
        <f t="shared" si="46"/>
        <v>26</v>
      </c>
      <c r="BG55" s="94">
        <f t="shared" si="47"/>
        <v>26</v>
      </c>
      <c r="BH55" s="89"/>
      <c r="BI55" s="89"/>
      <c r="BJ55" s="89"/>
      <c r="BK55" s="89"/>
      <c r="BL55" s="89"/>
      <c r="BM55" s="89"/>
      <c r="BN55" s="92">
        <f>$CN55</f>
        <v>2841</v>
      </c>
      <c r="BO55" s="92">
        <f t="shared" si="70"/>
        <v>0</v>
      </c>
      <c r="BP55" s="92">
        <f t="shared" si="70"/>
        <v>0</v>
      </c>
      <c r="BQ55" s="96">
        <f t="shared" si="48"/>
        <v>2841</v>
      </c>
      <c r="BR55" s="96">
        <f t="shared" si="49"/>
        <v>4439</v>
      </c>
      <c r="BS55" s="96">
        <f t="shared" si="71"/>
        <v>-104.2800000000002</v>
      </c>
      <c r="BT55" s="96">
        <f t="shared" si="50"/>
        <v>-162.93750000000031</v>
      </c>
      <c r="BU55" s="92">
        <f t="shared" si="16"/>
        <v>9257</v>
      </c>
      <c r="BV55" s="98">
        <f t="shared" si="17"/>
        <v>54</v>
      </c>
      <c r="BW55" s="92">
        <f t="shared" si="18"/>
        <v>-300.18750000000057</v>
      </c>
      <c r="BX55" s="98">
        <f t="shared" si="51"/>
        <v>17.442</v>
      </c>
      <c r="BY55" s="61">
        <f t="shared" si="73"/>
        <v>54</v>
      </c>
      <c r="BZ55" s="62">
        <f t="shared" si="52"/>
        <v>54</v>
      </c>
      <c r="CA55" s="98">
        <f t="shared" si="53"/>
        <v>5.9249999999999998</v>
      </c>
      <c r="CB55" s="92">
        <f t="shared" si="96"/>
        <v>9257</v>
      </c>
      <c r="CC55" s="92">
        <f t="shared" si="96"/>
        <v>-192.12000000000035</v>
      </c>
      <c r="CD55" s="92">
        <f t="shared" si="96"/>
        <v>-300.18750000000057</v>
      </c>
      <c r="CE55" s="99"/>
      <c r="CF55" s="99"/>
      <c r="CG55" s="51">
        <f t="shared" si="54"/>
        <v>11.516999999999999</v>
      </c>
      <c r="CH55" s="62">
        <f t="shared" si="55"/>
        <v>11.516999999999999</v>
      </c>
      <c r="CI55" s="89"/>
      <c r="CJ55" s="89">
        <v>3084</v>
      </c>
      <c r="CK55" s="89"/>
      <c r="CL55" s="96"/>
      <c r="CM55" s="89"/>
      <c r="CN55" s="89">
        <v>2841</v>
      </c>
      <c r="CO55" s="92"/>
      <c r="CP55" s="101"/>
      <c r="CQ55" s="102">
        <f t="shared" si="99"/>
        <v>4818</v>
      </c>
      <c r="CR55" s="102">
        <f t="shared" si="99"/>
        <v>0</v>
      </c>
      <c r="CS55" s="102">
        <f t="shared" si="99"/>
        <v>0</v>
      </c>
      <c r="CT55" s="92">
        <f t="shared" si="57"/>
        <v>4439</v>
      </c>
      <c r="CU55" s="92">
        <f t="shared" si="100"/>
        <v>0</v>
      </c>
      <c r="CV55" s="103">
        <f t="shared" si="100"/>
        <v>0</v>
      </c>
      <c r="CW55" s="104" t="s">
        <v>147</v>
      </c>
      <c r="CX55" s="105">
        <v>7</v>
      </c>
      <c r="CY55" s="106">
        <f t="shared" si="59"/>
        <v>5271</v>
      </c>
      <c r="CZ55" s="106">
        <f t="shared" si="60"/>
        <v>28.35</v>
      </c>
      <c r="DA55" s="106"/>
      <c r="DB55" s="106"/>
      <c r="DC55" s="105"/>
      <c r="DD55" s="107"/>
      <c r="DE55" s="92">
        <f t="shared" si="21"/>
        <v>4818</v>
      </c>
      <c r="DF55" s="108">
        <f t="shared" si="22"/>
        <v>28</v>
      </c>
      <c r="DG55" s="112">
        <f t="shared" si="23"/>
        <v>-137.25000000000023</v>
      </c>
      <c r="DH55" s="110">
        <f t="shared" si="24"/>
        <v>4439</v>
      </c>
      <c r="DI55" s="108">
        <f t="shared" si="25"/>
        <v>26</v>
      </c>
      <c r="DJ55" s="112">
        <f t="shared" si="26"/>
        <v>-162.93750000000031</v>
      </c>
      <c r="DK55" s="110">
        <f t="shared" si="86"/>
        <v>9257</v>
      </c>
      <c r="DL55" s="108">
        <f t="shared" si="86"/>
        <v>54</v>
      </c>
      <c r="DM55" s="111">
        <f t="shared" si="86"/>
        <v>-300.18750000000057</v>
      </c>
      <c r="DN55" s="76">
        <f t="shared" si="89"/>
        <v>30</v>
      </c>
      <c r="DO55" s="76">
        <f t="shared" si="89"/>
        <v>50</v>
      </c>
      <c r="DP55" s="112"/>
      <c r="DQ55" s="112"/>
      <c r="DR55" s="113" t="s">
        <v>448</v>
      </c>
      <c r="DS55" s="112"/>
      <c r="DT55" s="112"/>
      <c r="DU55" s="111"/>
      <c r="DV55" s="114"/>
      <c r="DW55" s="80">
        <f t="shared" si="102"/>
        <v>54</v>
      </c>
      <c r="DX55" s="81">
        <f t="shared" si="29"/>
        <v>9010.8125</v>
      </c>
      <c r="DY55" s="80">
        <f t="shared" si="62"/>
        <v>9257</v>
      </c>
      <c r="DZ55" s="82">
        <f t="shared" si="63"/>
        <v>0</v>
      </c>
      <c r="EA55" s="82">
        <f t="shared" si="64"/>
        <v>5.9244800000000009</v>
      </c>
      <c r="EB55" s="82">
        <f t="shared" si="65"/>
        <v>11.517519999999999</v>
      </c>
      <c r="EC55" s="82">
        <f t="shared" ref="EC55:EC56" si="103">(BX55-CA55)+((AV55+BP55)/1000)</f>
        <v>11.516999999999999</v>
      </c>
      <c r="EF55" s="83">
        <f t="shared" si="92"/>
        <v>-300.18750000000057</v>
      </c>
    </row>
    <row r="56" spans="1:136" ht="14.1" customHeight="1">
      <c r="A56" s="84">
        <v>49</v>
      </c>
      <c r="B56" s="85" t="s">
        <v>278</v>
      </c>
      <c r="C56" s="86"/>
      <c r="D56" s="240" t="s">
        <v>279</v>
      </c>
      <c r="E56" s="88">
        <v>51</v>
      </c>
      <c r="F56" s="89" t="s">
        <v>147</v>
      </c>
      <c r="G56" s="45" t="str">
        <f t="shared" si="31"/>
        <v>TVSUS303-6x2.5-H9A14</v>
      </c>
      <c r="H56" s="46" t="str">
        <f t="shared" si="32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4"/>
        <v>110</v>
      </c>
      <c r="T56" s="51">
        <f>'31.01'!BG56</f>
        <v>13</v>
      </c>
      <c r="U56" s="92">
        <v>17</v>
      </c>
      <c r="V56" s="100">
        <v>7</v>
      </c>
      <c r="W56" s="93">
        <f t="shared" si="5"/>
        <v>0</v>
      </c>
      <c r="X56" s="93">
        <f t="shared" si="6"/>
        <v>523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171</v>
      </c>
      <c r="AE56" s="93">
        <f t="shared" si="35"/>
        <v>523</v>
      </c>
      <c r="AF56" s="54">
        <f>AE56+'31.01'!AF56</f>
        <v>1138</v>
      </c>
      <c r="AG56" s="94">
        <f t="shared" si="66"/>
        <v>13</v>
      </c>
      <c r="AH56" s="56">
        <f t="shared" si="13"/>
        <v>0</v>
      </c>
      <c r="AI56" s="93">
        <v>3</v>
      </c>
      <c r="AJ56" s="93">
        <f t="shared" si="67"/>
        <v>0</v>
      </c>
      <c r="AK56" s="95">
        <f t="shared" si="36"/>
        <v>1</v>
      </c>
      <c r="AL56" s="58">
        <f t="shared" si="37"/>
        <v>3</v>
      </c>
      <c r="AM56" s="55">
        <f t="shared" si="68"/>
        <v>27</v>
      </c>
      <c r="AN56" s="93"/>
      <c r="AO56" s="96"/>
      <c r="AP56" s="96">
        <f>$CJ56</f>
        <v>700</v>
      </c>
      <c r="AQ56" s="96"/>
      <c r="AR56" s="96"/>
      <c r="AS56" s="96"/>
      <c r="AT56" s="96"/>
      <c r="AU56" s="96">
        <f t="shared" si="38"/>
        <v>0</v>
      </c>
      <c r="AV56" s="96">
        <f t="shared" si="38"/>
        <v>400</v>
      </c>
      <c r="AW56" s="96">
        <f t="shared" si="39"/>
        <v>1100</v>
      </c>
      <c r="AX56" s="96">
        <f t="shared" si="40"/>
        <v>157</v>
      </c>
      <c r="AY56" s="94">
        <f t="shared" si="69"/>
        <v>29</v>
      </c>
      <c r="AZ56" s="94">
        <f t="shared" si="41"/>
        <v>4.1428571428571432</v>
      </c>
      <c r="BA56" s="94">
        <f t="shared" si="42"/>
        <v>27</v>
      </c>
      <c r="BB56" s="97">
        <f t="shared" si="43"/>
        <v>0</v>
      </c>
      <c r="BC56" s="93">
        <v>11</v>
      </c>
      <c r="BD56" s="93">
        <f t="shared" si="44"/>
        <v>0</v>
      </c>
      <c r="BE56" s="95">
        <f t="shared" si="45"/>
        <v>1</v>
      </c>
      <c r="BF56" s="58">
        <f t="shared" si="46"/>
        <v>11</v>
      </c>
      <c r="BG56" s="94">
        <f t="shared" si="47"/>
        <v>16</v>
      </c>
      <c r="BH56" s="89"/>
      <c r="BI56" s="89"/>
      <c r="BJ56" s="92">
        <f>$CN56</f>
        <v>2965</v>
      </c>
      <c r="BK56" s="92"/>
      <c r="BL56" s="92"/>
      <c r="BM56" s="92"/>
      <c r="BN56" s="92"/>
      <c r="BO56" s="92">
        <f t="shared" si="70"/>
        <v>0</v>
      </c>
      <c r="BP56" s="92">
        <f t="shared" si="70"/>
        <v>800</v>
      </c>
      <c r="BQ56" s="96">
        <f t="shared" si="48"/>
        <v>3765</v>
      </c>
      <c r="BR56" s="96">
        <f t="shared" si="49"/>
        <v>537</v>
      </c>
      <c r="BS56" s="96">
        <f t="shared" si="71"/>
        <v>-162</v>
      </c>
      <c r="BT56" s="96">
        <f t="shared" si="50"/>
        <v>-23.142857142857142</v>
      </c>
      <c r="BU56" s="92">
        <f t="shared" si="16"/>
        <v>523</v>
      </c>
      <c r="BV56" s="98">
        <f t="shared" si="17"/>
        <v>14</v>
      </c>
      <c r="BW56" s="92">
        <f t="shared" si="18"/>
        <v>-19</v>
      </c>
      <c r="BX56" s="98">
        <f t="shared" si="51"/>
        <v>7.7560000000000002</v>
      </c>
      <c r="BY56" s="61">
        <f t="shared" si="73"/>
        <v>14</v>
      </c>
      <c r="BZ56" s="62">
        <f t="shared" si="52"/>
        <v>14</v>
      </c>
      <c r="CA56" s="98">
        <f t="shared" si="53"/>
        <v>4.8650000000000002</v>
      </c>
      <c r="CB56" s="92">
        <f t="shared" si="96"/>
        <v>694</v>
      </c>
      <c r="CC56" s="92">
        <f t="shared" si="96"/>
        <v>-133</v>
      </c>
      <c r="CD56" s="92">
        <f t="shared" si="96"/>
        <v>-19</v>
      </c>
      <c r="CE56" s="99"/>
      <c r="CF56" s="99"/>
      <c r="CG56" s="51">
        <f t="shared" si="54"/>
        <v>4.0910000000000002</v>
      </c>
      <c r="CH56" s="62">
        <f t="shared" si="55"/>
        <v>4.0910000000000002</v>
      </c>
      <c r="CI56" s="89"/>
      <c r="CJ56" s="89">
        <v>700</v>
      </c>
      <c r="CK56" s="89"/>
      <c r="CL56" s="96">
        <v>400</v>
      </c>
      <c r="CM56" s="89"/>
      <c r="CN56" s="89">
        <v>2965</v>
      </c>
      <c r="CO56" s="92"/>
      <c r="CP56" s="101">
        <v>800</v>
      </c>
      <c r="CQ56" s="102">
        <f t="shared" si="99"/>
        <v>100</v>
      </c>
      <c r="CR56" s="102">
        <f t="shared" si="99"/>
        <v>0</v>
      </c>
      <c r="CS56" s="102">
        <f t="shared" si="99"/>
        <v>57</v>
      </c>
      <c r="CT56" s="92">
        <f t="shared" si="57"/>
        <v>423</v>
      </c>
      <c r="CU56" s="92">
        <f t="shared" si="100"/>
        <v>0</v>
      </c>
      <c r="CV56" s="103">
        <f t="shared" si="100"/>
        <v>114</v>
      </c>
      <c r="CW56" s="104" t="s">
        <v>147</v>
      </c>
      <c r="CX56" s="105">
        <v>10</v>
      </c>
      <c r="CY56" s="106">
        <f t="shared" si="59"/>
        <v>2790</v>
      </c>
      <c r="CZ56" s="106">
        <f t="shared" si="60"/>
        <v>40.5</v>
      </c>
      <c r="DA56" s="106"/>
      <c r="DB56" s="106"/>
      <c r="DC56" s="105"/>
      <c r="DD56" s="107"/>
      <c r="DE56" s="92">
        <f t="shared" si="21"/>
        <v>100</v>
      </c>
      <c r="DF56" s="108">
        <f t="shared" si="22"/>
        <v>3</v>
      </c>
      <c r="DG56" s="112">
        <f t="shared" si="23"/>
        <v>4.1428571428571432</v>
      </c>
      <c r="DH56" s="136">
        <f t="shared" si="24"/>
        <v>423</v>
      </c>
      <c r="DI56" s="135">
        <f t="shared" si="25"/>
        <v>11</v>
      </c>
      <c r="DJ56" s="115">
        <f t="shared" si="26"/>
        <v>-23.142857142857142</v>
      </c>
      <c r="DK56" s="110">
        <f t="shared" si="86"/>
        <v>523</v>
      </c>
      <c r="DL56" s="108">
        <f t="shared" si="86"/>
        <v>14</v>
      </c>
      <c r="DM56" s="111">
        <f t="shared" si="86"/>
        <v>-19</v>
      </c>
      <c r="DN56" s="76">
        <f t="shared" si="89"/>
        <v>13</v>
      </c>
      <c r="DO56" s="76">
        <f t="shared" si="89"/>
        <v>17</v>
      </c>
      <c r="DP56" s="112"/>
      <c r="DQ56" s="112"/>
      <c r="DR56" s="113" t="s">
        <v>449</v>
      </c>
      <c r="DS56" s="112"/>
      <c r="DT56" s="112"/>
      <c r="DU56" s="111"/>
      <c r="DV56" s="114"/>
      <c r="DW56" s="80">
        <f t="shared" si="102"/>
        <v>14</v>
      </c>
      <c r="DX56" s="81">
        <f t="shared" si="29"/>
        <v>518</v>
      </c>
      <c r="DY56" s="80">
        <f t="shared" si="62"/>
        <v>694</v>
      </c>
      <c r="DZ56" s="82">
        <f t="shared" si="63"/>
        <v>1.1970000000000001</v>
      </c>
      <c r="EA56" s="82">
        <f t="shared" si="64"/>
        <v>3.661</v>
      </c>
      <c r="EB56" s="82">
        <f t="shared" si="65"/>
        <v>4.0950000000000006</v>
      </c>
      <c r="EC56" s="82">
        <f t="shared" si="103"/>
        <v>4.0910000000000002</v>
      </c>
      <c r="EF56" s="83">
        <f t="shared" si="92"/>
        <v>-19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1"/>
        <v>GWA6063-T5-8.3x3-H9B14</v>
      </c>
      <c r="H57" s="46" t="str">
        <f t="shared" si="32"/>
        <v>A6063-T5GW8.30DH9</v>
      </c>
      <c r="I57" s="46" t="str">
        <f t="shared" si="33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4"/>
        <v>12</v>
      </c>
      <c r="T57" s="51">
        <f>'31.01'!BG57</f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5"/>
        <v>0</v>
      </c>
      <c r="AF57" s="54">
        <f>AE57+'31.01'!AF57</f>
        <v>0</v>
      </c>
      <c r="AG57" s="94">
        <f t="shared" si="66"/>
        <v>47</v>
      </c>
      <c r="AH57" s="56">
        <f t="shared" si="13"/>
        <v>0</v>
      </c>
      <c r="AI57" s="93"/>
      <c r="AJ57" s="93">
        <f t="shared" si="67"/>
        <v>0</v>
      </c>
      <c r="AK57" s="95">
        <f t="shared" si="36"/>
        <v>1</v>
      </c>
      <c r="AL57" s="58">
        <f t="shared" si="37"/>
        <v>0</v>
      </c>
      <c r="AM57" s="55">
        <f t="shared" si="68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8"/>
        <v>0</v>
      </c>
      <c r="AV57" s="96">
        <f t="shared" si="38"/>
        <v>0</v>
      </c>
      <c r="AW57" s="96">
        <f t="shared" si="39"/>
        <v>0</v>
      </c>
      <c r="AX57" s="96">
        <f t="shared" si="40"/>
        <v>0</v>
      </c>
      <c r="AY57" s="94">
        <f t="shared" si="69"/>
        <v>0</v>
      </c>
      <c r="AZ57" s="94">
        <f t="shared" si="41"/>
        <v>0</v>
      </c>
      <c r="BA57" s="94">
        <f t="shared" si="42"/>
        <v>47</v>
      </c>
      <c r="BB57" s="97">
        <f t="shared" si="43"/>
        <v>0</v>
      </c>
      <c r="BC57" s="93"/>
      <c r="BD57" s="93">
        <f t="shared" si="44"/>
        <v>0</v>
      </c>
      <c r="BE57" s="95">
        <f t="shared" si="45"/>
        <v>1</v>
      </c>
      <c r="BF57" s="58">
        <f t="shared" si="46"/>
        <v>0</v>
      </c>
      <c r="BG57" s="94">
        <f t="shared" si="47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0"/>
        <v>0</v>
      </c>
      <c r="BP57" s="92">
        <f t="shared" si="70"/>
        <v>0</v>
      </c>
      <c r="BQ57" s="96">
        <f t="shared" si="48"/>
        <v>0</v>
      </c>
      <c r="BR57" s="96">
        <f t="shared" si="49"/>
        <v>0</v>
      </c>
      <c r="BS57" s="96">
        <f t="shared" si="71"/>
        <v>0</v>
      </c>
      <c r="BT57" s="96">
        <f t="shared" si="50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1"/>
        <v>0</v>
      </c>
      <c r="BY57" s="61">
        <f t="shared" si="73"/>
        <v>0</v>
      </c>
      <c r="BZ57" s="62">
        <f t="shared" si="52"/>
        <v>0</v>
      </c>
      <c r="CA57" s="98">
        <f t="shared" si="53"/>
        <v>0</v>
      </c>
      <c r="CB57" s="92">
        <f t="shared" si="96"/>
        <v>0</v>
      </c>
      <c r="CC57" s="92">
        <f t="shared" si="96"/>
        <v>0</v>
      </c>
      <c r="CD57" s="92">
        <f t="shared" si="96"/>
        <v>0</v>
      </c>
      <c r="CE57" s="99"/>
      <c r="CF57" s="99"/>
      <c r="CG57" s="51">
        <f t="shared" si="54"/>
        <v>0</v>
      </c>
      <c r="CH57" s="62">
        <f t="shared" si="55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99"/>
        <v>0</v>
      </c>
      <c r="CR57" s="102">
        <f t="shared" si="99"/>
        <v>0</v>
      </c>
      <c r="CS57" s="102">
        <f t="shared" si="99"/>
        <v>0</v>
      </c>
      <c r="CT57" s="92">
        <f t="shared" si="57"/>
        <v>0</v>
      </c>
      <c r="CU57" s="92">
        <f t="shared" si="100"/>
        <v>0</v>
      </c>
      <c r="CV57" s="103">
        <f t="shared" si="100"/>
        <v>0</v>
      </c>
      <c r="CW57" s="104" t="s">
        <v>147</v>
      </c>
      <c r="CX57" s="105">
        <v>22</v>
      </c>
      <c r="CY57" s="106">
        <f t="shared" si="59"/>
        <v>1914</v>
      </c>
      <c r="CZ57" s="106">
        <f t="shared" si="60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6"/>
        <v>0</v>
      </c>
      <c r="DL57" s="108">
        <f t="shared" si="86"/>
        <v>0</v>
      </c>
      <c r="DM57" s="111">
        <f t="shared" si="86"/>
        <v>0</v>
      </c>
      <c r="DN57" s="76">
        <f t="shared" si="89"/>
        <v>47</v>
      </c>
      <c r="DO57" s="76">
        <f t="shared" si="89"/>
        <v>0</v>
      </c>
      <c r="DP57" s="112"/>
      <c r="DQ57" s="112"/>
      <c r="DR57" s="113" t="s">
        <v>450</v>
      </c>
      <c r="DS57" s="112"/>
      <c r="DT57" s="112"/>
      <c r="DU57" s="111"/>
      <c r="DV57" s="114"/>
      <c r="DW57" s="80">
        <f t="shared" si="102"/>
        <v>0</v>
      </c>
      <c r="DX57" s="81">
        <f t="shared" si="29"/>
        <v>0</v>
      </c>
      <c r="DY57" s="80">
        <f t="shared" si="62"/>
        <v>0</v>
      </c>
      <c r="DZ57" s="82">
        <f t="shared" si="63"/>
        <v>0</v>
      </c>
      <c r="EA57" s="82">
        <f t="shared" si="64"/>
        <v>0</v>
      </c>
      <c r="EB57" s="82">
        <f t="shared" si="65"/>
        <v>0</v>
      </c>
      <c r="EC57" s="82">
        <f t="shared" si="75"/>
        <v>0</v>
      </c>
      <c r="EF57" s="83">
        <f t="shared" si="92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1"/>
        <v>IBC3604-6.5x3-H9A15</v>
      </c>
      <c r="H58" s="46" t="str">
        <f t="shared" si="32"/>
        <v>C3604IB6.50DH9</v>
      </c>
      <c r="I58" s="46" t="str">
        <f t="shared" si="33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4"/>
        <v>20</v>
      </c>
      <c r="T58" s="51">
        <f>'31.01'!BG58</f>
        <v>8.0000000000000018</v>
      </c>
      <c r="U58" s="92">
        <v>22</v>
      </c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6716</v>
      </c>
      <c r="AC58" s="93">
        <f t="shared" si="11"/>
        <v>0</v>
      </c>
      <c r="AD58" s="93">
        <f t="shared" si="12"/>
        <v>0</v>
      </c>
      <c r="AE58" s="93">
        <f t="shared" si="35"/>
        <v>6716</v>
      </c>
      <c r="AF58" s="54">
        <f>AE58+'31.01'!AF58</f>
        <v>13578</v>
      </c>
      <c r="AG58" s="94">
        <f t="shared" si="66"/>
        <v>8.0000000000000018</v>
      </c>
      <c r="AH58" s="56">
        <f t="shared" si="13"/>
        <v>0</v>
      </c>
      <c r="AI58" s="93">
        <v>11</v>
      </c>
      <c r="AJ58" s="93">
        <f t="shared" si="67"/>
        <v>0</v>
      </c>
      <c r="AK58" s="95">
        <f t="shared" si="36"/>
        <v>1</v>
      </c>
      <c r="AL58" s="58">
        <f t="shared" si="37"/>
        <v>11</v>
      </c>
      <c r="AM58" s="55">
        <f t="shared" si="68"/>
        <v>19</v>
      </c>
      <c r="AN58" s="93"/>
      <c r="AO58" s="96"/>
      <c r="AP58" s="96"/>
      <c r="AQ58" s="96"/>
      <c r="AR58" s="96"/>
      <c r="AS58" s="96"/>
      <c r="AT58" s="96">
        <f>$CJ58</f>
        <v>1978</v>
      </c>
      <c r="AU58" s="96">
        <f t="shared" si="38"/>
        <v>0</v>
      </c>
      <c r="AV58" s="96">
        <f t="shared" si="38"/>
        <v>0</v>
      </c>
      <c r="AW58" s="96">
        <f t="shared" si="39"/>
        <v>1978</v>
      </c>
      <c r="AX58" s="96">
        <f t="shared" si="40"/>
        <v>3242</v>
      </c>
      <c r="AY58" s="94">
        <f t="shared" si="69"/>
        <v>-108.80999999999995</v>
      </c>
      <c r="AZ58" s="94">
        <f t="shared" si="41"/>
        <v>-178.37704918032779</v>
      </c>
      <c r="BA58" s="94">
        <f t="shared" si="42"/>
        <v>19</v>
      </c>
      <c r="BB58" s="97">
        <f t="shared" si="43"/>
        <v>0</v>
      </c>
      <c r="BC58" s="93">
        <v>11</v>
      </c>
      <c r="BD58" s="93">
        <f t="shared" si="44"/>
        <v>180</v>
      </c>
      <c r="BE58" s="95">
        <f t="shared" si="45"/>
        <v>0.94881661483316637</v>
      </c>
      <c r="BF58" s="58">
        <f t="shared" si="46"/>
        <v>10.95</v>
      </c>
      <c r="BG58" s="94">
        <f t="shared" si="47"/>
        <v>8.0500000000000007</v>
      </c>
      <c r="BH58" s="89"/>
      <c r="BI58" s="89"/>
      <c r="BJ58" s="89"/>
      <c r="BK58" s="89"/>
      <c r="BL58" s="89"/>
      <c r="BM58" s="89"/>
      <c r="BN58" s="92">
        <f>$CN58</f>
        <v>2119</v>
      </c>
      <c r="BO58" s="92">
        <f t="shared" si="70"/>
        <v>0</v>
      </c>
      <c r="BP58" s="92">
        <f t="shared" si="70"/>
        <v>0</v>
      </c>
      <c r="BQ58" s="96">
        <f t="shared" si="48"/>
        <v>2119</v>
      </c>
      <c r="BR58" s="96">
        <f t="shared" si="49"/>
        <v>3473</v>
      </c>
      <c r="BS58" s="96">
        <f t="shared" si="71"/>
        <v>41.675500000000284</v>
      </c>
      <c r="BT58" s="96">
        <f t="shared" si="50"/>
        <v>68.320491803279154</v>
      </c>
      <c r="BU58" s="92">
        <f t="shared" si="16"/>
        <v>6716</v>
      </c>
      <c r="BV58" s="98">
        <f t="shared" si="17"/>
        <v>21.95</v>
      </c>
      <c r="BW58" s="92">
        <f t="shared" si="18"/>
        <v>-110.05655737704863</v>
      </c>
      <c r="BX58" s="98">
        <f t="shared" si="51"/>
        <v>18.459949999999999</v>
      </c>
      <c r="BY58" s="61">
        <f t="shared" si="73"/>
        <v>21.95</v>
      </c>
      <c r="BZ58" s="62">
        <f t="shared" si="52"/>
        <v>21.95</v>
      </c>
      <c r="CA58" s="98">
        <f t="shared" si="53"/>
        <v>4.0970000000000004</v>
      </c>
      <c r="CB58" s="92">
        <f t="shared" si="96"/>
        <v>6715</v>
      </c>
      <c r="CC58" s="92">
        <f t="shared" si="96"/>
        <v>-67.134499999999662</v>
      </c>
      <c r="CD58" s="92">
        <f t="shared" si="96"/>
        <v>-110.05655737704863</v>
      </c>
      <c r="CE58" s="99"/>
      <c r="CF58" s="99"/>
      <c r="CG58" s="51">
        <f t="shared" si="54"/>
        <v>14.362949999999998</v>
      </c>
      <c r="CH58" s="62">
        <f t="shared" si="55"/>
        <v>14.362949999999998</v>
      </c>
      <c r="CI58" s="89"/>
      <c r="CJ58" s="89">
        <v>1978</v>
      </c>
      <c r="CK58" s="89"/>
      <c r="CL58" s="96"/>
      <c r="CM58" s="89">
        <v>180</v>
      </c>
      <c r="CN58" s="89">
        <v>2119</v>
      </c>
      <c r="CO58" s="92"/>
      <c r="CP58" s="101"/>
      <c r="CQ58" s="102">
        <f t="shared" si="99"/>
        <v>3242</v>
      </c>
      <c r="CR58" s="102">
        <f t="shared" si="99"/>
        <v>0</v>
      </c>
      <c r="CS58" s="102">
        <f t="shared" si="99"/>
        <v>0</v>
      </c>
      <c r="CT58" s="92">
        <f t="shared" si="57"/>
        <v>3474</v>
      </c>
      <c r="CU58" s="92">
        <f t="shared" si="100"/>
        <v>0</v>
      </c>
      <c r="CV58" s="103">
        <f t="shared" si="100"/>
        <v>0</v>
      </c>
      <c r="CW58" s="104" t="s">
        <v>147</v>
      </c>
      <c r="CX58" s="105">
        <v>13</v>
      </c>
      <c r="CY58" s="106">
        <f t="shared" si="59"/>
        <v>3170</v>
      </c>
      <c r="CZ58" s="106">
        <f t="shared" si="60"/>
        <v>52.650000000000006</v>
      </c>
      <c r="DA58" s="106"/>
      <c r="DB58" s="106"/>
      <c r="DC58" s="105"/>
      <c r="DD58" s="107"/>
      <c r="DE58" s="92">
        <f t="shared" si="21"/>
        <v>3242</v>
      </c>
      <c r="DF58" s="108">
        <f t="shared" si="22"/>
        <v>11</v>
      </c>
      <c r="DG58" s="112">
        <f t="shared" si="23"/>
        <v>-178.37704918032779</v>
      </c>
      <c r="DH58" s="110">
        <f t="shared" si="24"/>
        <v>3474</v>
      </c>
      <c r="DI58" s="108">
        <f t="shared" si="25"/>
        <v>10.95</v>
      </c>
      <c r="DJ58" s="112">
        <f t="shared" si="26"/>
        <v>68.320491803279154</v>
      </c>
      <c r="DK58" s="110">
        <f t="shared" si="86"/>
        <v>6716</v>
      </c>
      <c r="DL58" s="108">
        <f t="shared" si="86"/>
        <v>21.95</v>
      </c>
      <c r="DM58" s="111">
        <f t="shared" si="86"/>
        <v>-110.05655737704863</v>
      </c>
      <c r="DN58" s="76">
        <f t="shared" si="89"/>
        <v>8.0000000000000018</v>
      </c>
      <c r="DO58" s="76">
        <f t="shared" si="89"/>
        <v>22</v>
      </c>
      <c r="DP58" s="112"/>
      <c r="DQ58" s="112"/>
      <c r="DR58" s="113" t="s">
        <v>451</v>
      </c>
      <c r="DS58" s="112"/>
      <c r="DT58" s="112"/>
      <c r="DU58" s="111"/>
      <c r="DV58" s="114"/>
      <c r="DW58" s="80">
        <f t="shared" si="102"/>
        <v>21.95</v>
      </c>
      <c r="DX58" s="81">
        <f t="shared" si="29"/>
        <v>6627.8934426229516</v>
      </c>
      <c r="DY58" s="80">
        <f t="shared" si="62"/>
        <v>6716</v>
      </c>
      <c r="DZ58" s="82">
        <f t="shared" si="63"/>
        <v>0</v>
      </c>
      <c r="EA58" s="82">
        <f t="shared" si="64"/>
        <v>4.0967600000000006</v>
      </c>
      <c r="EB58" s="82">
        <f t="shared" si="65"/>
        <v>14.363189999999999</v>
      </c>
      <c r="EC58" s="82">
        <f>(BX58-CA58)+((AV58+BP58)/1000)</f>
        <v>14.362949999999998</v>
      </c>
      <c r="EF58" s="83">
        <f t="shared" si="92"/>
        <v>-110.05655737704863</v>
      </c>
    </row>
    <row r="59" spans="1:136" ht="14.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1"/>
        <v>GWA6063-T5-7.5x3-H9B14</v>
      </c>
      <c r="H59" s="46" t="str">
        <f t="shared" si="32"/>
        <v>A6063-T5GW7.50DH9</v>
      </c>
      <c r="I59" s="46" t="str">
        <f t="shared" si="33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4"/>
        <v>22</v>
      </c>
      <c r="T59" s="51">
        <f>'31.01'!BG59</f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5"/>
        <v>0</v>
      </c>
      <c r="AF59" s="54">
        <f>AE59+'31.01'!AF59</f>
        <v>0</v>
      </c>
      <c r="AG59" s="94">
        <f t="shared" si="66"/>
        <v>0</v>
      </c>
      <c r="AH59" s="56">
        <f t="shared" si="13"/>
        <v>0</v>
      </c>
      <c r="AI59" s="93"/>
      <c r="AJ59" s="93">
        <f t="shared" si="67"/>
        <v>0</v>
      </c>
      <c r="AK59" s="95">
        <f t="shared" si="36"/>
        <v>1</v>
      </c>
      <c r="AL59" s="58">
        <f t="shared" si="37"/>
        <v>0</v>
      </c>
      <c r="AM59" s="55">
        <f t="shared" si="68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8"/>
        <v>0</v>
      </c>
      <c r="AV59" s="96">
        <f t="shared" si="38"/>
        <v>0</v>
      </c>
      <c r="AW59" s="96">
        <f t="shared" si="39"/>
        <v>0</v>
      </c>
      <c r="AX59" s="96">
        <f t="shared" si="40"/>
        <v>0</v>
      </c>
      <c r="AY59" s="94">
        <f t="shared" si="69"/>
        <v>0</v>
      </c>
      <c r="AZ59" s="94">
        <f t="shared" si="41"/>
        <v>0</v>
      </c>
      <c r="BA59" s="94">
        <f t="shared" si="42"/>
        <v>0</v>
      </c>
      <c r="BB59" s="97">
        <f t="shared" si="43"/>
        <v>0</v>
      </c>
      <c r="BC59" s="93"/>
      <c r="BD59" s="93">
        <f t="shared" si="44"/>
        <v>0</v>
      </c>
      <c r="BE59" s="95">
        <f t="shared" si="45"/>
        <v>1</v>
      </c>
      <c r="BF59" s="58">
        <f t="shared" si="46"/>
        <v>0</v>
      </c>
      <c r="BG59" s="94">
        <f t="shared" si="47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0"/>
        <v>0</v>
      </c>
      <c r="BP59" s="92">
        <f t="shared" si="70"/>
        <v>0</v>
      </c>
      <c r="BQ59" s="96">
        <f t="shared" si="48"/>
        <v>0</v>
      </c>
      <c r="BR59" s="96">
        <f t="shared" si="49"/>
        <v>0</v>
      </c>
      <c r="BS59" s="96">
        <f t="shared" si="71"/>
        <v>0</v>
      </c>
      <c r="BT59" s="96">
        <f t="shared" si="50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1"/>
        <v>0</v>
      </c>
      <c r="BY59" s="61">
        <f t="shared" si="73"/>
        <v>0</v>
      </c>
      <c r="BZ59" s="62">
        <f t="shared" si="52"/>
        <v>0</v>
      </c>
      <c r="CA59" s="98">
        <f t="shared" si="53"/>
        <v>0</v>
      </c>
      <c r="CB59" s="92">
        <f t="shared" si="96"/>
        <v>0</v>
      </c>
      <c r="CC59" s="92">
        <f t="shared" si="96"/>
        <v>0</v>
      </c>
      <c r="CD59" s="92">
        <f t="shared" si="96"/>
        <v>0</v>
      </c>
      <c r="CE59" s="99"/>
      <c r="CF59" s="99"/>
      <c r="CG59" s="51">
        <f t="shared" si="54"/>
        <v>0</v>
      </c>
      <c r="CH59" s="62">
        <f t="shared" si="55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99"/>
        <v>0</v>
      </c>
      <c r="CR59" s="102">
        <f t="shared" si="99"/>
        <v>0</v>
      </c>
      <c r="CS59" s="102">
        <f t="shared" si="99"/>
        <v>0</v>
      </c>
      <c r="CT59" s="92">
        <f t="shared" si="57"/>
        <v>0</v>
      </c>
      <c r="CU59" s="92">
        <f t="shared" si="100"/>
        <v>0</v>
      </c>
      <c r="CV59" s="103">
        <f t="shared" si="100"/>
        <v>0</v>
      </c>
      <c r="CW59" s="104" t="s">
        <v>147</v>
      </c>
      <c r="CX59" s="105">
        <v>15.56</v>
      </c>
      <c r="CY59" s="106">
        <f t="shared" si="59"/>
        <v>2637</v>
      </c>
      <c r="CZ59" s="106">
        <f t="shared" si="60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6"/>
        <v>0</v>
      </c>
      <c r="DL59" s="108">
        <f t="shared" si="86"/>
        <v>0</v>
      </c>
      <c r="DM59" s="111">
        <f t="shared" si="86"/>
        <v>0</v>
      </c>
      <c r="DN59" s="76">
        <f t="shared" si="89"/>
        <v>0</v>
      </c>
      <c r="DO59" s="76">
        <f t="shared" si="89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1"/>
        <v>0</v>
      </c>
      <c r="DX59" s="81">
        <f t="shared" si="29"/>
        <v>0</v>
      </c>
      <c r="DY59" s="80">
        <f t="shared" si="62"/>
        <v>0</v>
      </c>
      <c r="DZ59" s="82">
        <f t="shared" si="63"/>
        <v>0</v>
      </c>
      <c r="EA59" s="82">
        <f t="shared" si="64"/>
        <v>0</v>
      </c>
      <c r="EB59" s="82">
        <f t="shared" si="65"/>
        <v>0</v>
      </c>
      <c r="EC59" s="82">
        <f t="shared" si="75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1"/>
        <v>TVSUS303-5x3-H7B13</v>
      </c>
      <c r="H60" s="46" t="str">
        <f t="shared" si="32"/>
        <v>SUS303TV50DH7</v>
      </c>
      <c r="I60" s="46" t="str">
        <f t="shared" si="33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4"/>
        <v>6</v>
      </c>
      <c r="T60" s="51">
        <f>'31.01'!BG60</f>
        <v>7</v>
      </c>
      <c r="U60" s="92"/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0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0</v>
      </c>
      <c r="AE60" s="93">
        <f t="shared" si="35"/>
        <v>0</v>
      </c>
      <c r="AF60" s="54">
        <f>AE60+'31.01'!AF60</f>
        <v>0</v>
      </c>
      <c r="AG60" s="94">
        <f t="shared" si="66"/>
        <v>7</v>
      </c>
      <c r="AH60" s="56">
        <f t="shared" si="13"/>
        <v>0</v>
      </c>
      <c r="AI60" s="93"/>
      <c r="AJ60" s="93">
        <f t="shared" si="67"/>
        <v>0</v>
      </c>
      <c r="AK60" s="95">
        <f t="shared" si="36"/>
        <v>1</v>
      </c>
      <c r="AL60" s="58">
        <f t="shared" si="37"/>
        <v>0</v>
      </c>
      <c r="AM60" s="55">
        <f t="shared" si="68"/>
        <v>7</v>
      </c>
      <c r="AN60" s="93"/>
      <c r="AO60" s="96"/>
      <c r="AP60" s="96"/>
      <c r="AQ60" s="96"/>
      <c r="AR60" s="96">
        <f t="shared" ref="AP60:AR61" si="104">$CJ60</f>
        <v>0</v>
      </c>
      <c r="AS60" s="96"/>
      <c r="AT60" s="96"/>
      <c r="AU60" s="96">
        <f t="shared" si="38"/>
        <v>0</v>
      </c>
      <c r="AV60" s="96">
        <f t="shared" si="38"/>
        <v>0</v>
      </c>
      <c r="AW60" s="96">
        <f t="shared" si="39"/>
        <v>0</v>
      </c>
      <c r="AX60" s="96">
        <f t="shared" si="40"/>
        <v>0</v>
      </c>
      <c r="AY60" s="94">
        <f t="shared" si="69"/>
        <v>0</v>
      </c>
      <c r="AZ60" s="94">
        <f t="shared" si="41"/>
        <v>0</v>
      </c>
      <c r="BA60" s="94">
        <f t="shared" si="42"/>
        <v>7</v>
      </c>
      <c r="BB60" s="97">
        <f t="shared" si="43"/>
        <v>0</v>
      </c>
      <c r="BC60" s="93"/>
      <c r="BD60" s="93">
        <f t="shared" si="44"/>
        <v>0</v>
      </c>
      <c r="BE60" s="95">
        <f t="shared" si="45"/>
        <v>1</v>
      </c>
      <c r="BF60" s="58">
        <f t="shared" si="46"/>
        <v>0</v>
      </c>
      <c r="BG60" s="94">
        <f t="shared" si="47"/>
        <v>7</v>
      </c>
      <c r="BH60" s="89"/>
      <c r="BI60" s="89"/>
      <c r="BJ60" s="92"/>
      <c r="BK60" s="89"/>
      <c r="BL60" s="92">
        <f>$CN60</f>
        <v>0</v>
      </c>
      <c r="BM60" s="92"/>
      <c r="BN60" s="92"/>
      <c r="BO60" s="92">
        <f t="shared" si="70"/>
        <v>0</v>
      </c>
      <c r="BP60" s="92">
        <f t="shared" si="70"/>
        <v>0</v>
      </c>
      <c r="BQ60" s="96">
        <f t="shared" si="48"/>
        <v>0</v>
      </c>
      <c r="BR60" s="96">
        <f t="shared" si="49"/>
        <v>0</v>
      </c>
      <c r="BS60" s="96">
        <f t="shared" si="71"/>
        <v>0</v>
      </c>
      <c r="BT60" s="96">
        <f t="shared" si="50"/>
        <v>0</v>
      </c>
      <c r="BU60" s="92">
        <f t="shared" si="16"/>
        <v>0</v>
      </c>
      <c r="BV60" s="98">
        <f t="shared" si="17"/>
        <v>0</v>
      </c>
      <c r="BW60" s="92">
        <f t="shared" si="18"/>
        <v>0</v>
      </c>
      <c r="BX60" s="98">
        <f t="shared" si="51"/>
        <v>0</v>
      </c>
      <c r="BY60" s="61">
        <f t="shared" si="73"/>
        <v>0</v>
      </c>
      <c r="BZ60" s="62">
        <f t="shared" si="52"/>
        <v>0</v>
      </c>
      <c r="CA60" s="98">
        <f t="shared" si="53"/>
        <v>0</v>
      </c>
      <c r="CB60" s="92">
        <f t="shared" si="96"/>
        <v>0</v>
      </c>
      <c r="CC60" s="92">
        <f t="shared" si="96"/>
        <v>0</v>
      </c>
      <c r="CD60" s="92">
        <f t="shared" si="96"/>
        <v>0</v>
      </c>
      <c r="CE60" s="99"/>
      <c r="CF60" s="99"/>
      <c r="CG60" s="51">
        <f t="shared" si="54"/>
        <v>0</v>
      </c>
      <c r="CH60" s="62">
        <f t="shared" si="55"/>
        <v>0</v>
      </c>
      <c r="CI60" s="89"/>
      <c r="CJ60" s="89"/>
      <c r="CK60" s="89"/>
      <c r="CL60" s="96"/>
      <c r="CM60" s="89"/>
      <c r="CN60" s="89"/>
      <c r="CO60" s="92"/>
      <c r="CP60" s="101"/>
      <c r="CQ60" s="102">
        <f t="shared" si="99"/>
        <v>0</v>
      </c>
      <c r="CR60" s="102">
        <f t="shared" si="99"/>
        <v>0</v>
      </c>
      <c r="CS60" s="102">
        <f t="shared" si="99"/>
        <v>0</v>
      </c>
      <c r="CT60" s="92">
        <f t="shared" si="57"/>
        <v>0</v>
      </c>
      <c r="CU60" s="92">
        <f t="shared" si="100"/>
        <v>0</v>
      </c>
      <c r="CV60" s="103">
        <f t="shared" si="100"/>
        <v>0</v>
      </c>
      <c r="CW60" s="104" t="s">
        <v>147</v>
      </c>
      <c r="CX60" s="105">
        <v>30</v>
      </c>
      <c r="CY60" s="106">
        <f t="shared" si="59"/>
        <v>1422</v>
      </c>
      <c r="CZ60" s="106">
        <f t="shared" si="60"/>
        <v>121.50000000000001</v>
      </c>
      <c r="DA60" s="106"/>
      <c r="DB60" s="106"/>
      <c r="DC60" s="105"/>
      <c r="DD60" s="107"/>
      <c r="DE60" s="92">
        <f t="shared" si="21"/>
        <v>0</v>
      </c>
      <c r="DF60" s="108">
        <f t="shared" si="22"/>
        <v>0</v>
      </c>
      <c r="DG60" s="115">
        <f t="shared" si="23"/>
        <v>0</v>
      </c>
      <c r="DH60" s="110">
        <f t="shared" si="24"/>
        <v>0</v>
      </c>
      <c r="DI60" s="108">
        <f t="shared" si="25"/>
        <v>0</v>
      </c>
      <c r="DJ60" s="115">
        <f t="shared" si="26"/>
        <v>0</v>
      </c>
      <c r="DK60" s="110">
        <f t="shared" si="86"/>
        <v>0</v>
      </c>
      <c r="DL60" s="108">
        <f t="shared" si="86"/>
        <v>0</v>
      </c>
      <c r="DM60" s="111">
        <f t="shared" si="86"/>
        <v>0</v>
      </c>
      <c r="DN60" s="76">
        <f t="shared" si="89"/>
        <v>7</v>
      </c>
      <c r="DO60" s="76">
        <f t="shared" si="89"/>
        <v>0</v>
      </c>
      <c r="DP60" s="112"/>
      <c r="DQ60" s="112"/>
      <c r="DR60" s="113" t="s">
        <v>452</v>
      </c>
      <c r="DS60" s="112"/>
      <c r="DT60" s="112"/>
      <c r="DU60" s="111"/>
      <c r="DV60" s="114"/>
      <c r="DW60" s="80">
        <f>IFERROR(AL60+BF60,"")</f>
        <v>0</v>
      </c>
      <c r="DX60" s="81">
        <f t="shared" si="29"/>
        <v>0</v>
      </c>
      <c r="DY60" s="80">
        <f t="shared" si="62"/>
        <v>0</v>
      </c>
      <c r="DZ60" s="82">
        <f t="shared" si="63"/>
        <v>0</v>
      </c>
      <c r="EA60" s="82">
        <f t="shared" si="64"/>
        <v>0</v>
      </c>
      <c r="EB60" s="82">
        <f t="shared" si="65"/>
        <v>0</v>
      </c>
      <c r="EC60" s="82">
        <f t="shared" si="75"/>
        <v>0</v>
      </c>
      <c r="EF60" s="83">
        <f t="shared" ref="EF60:EF88" si="105">DG60+DJ60</f>
        <v>0</v>
      </c>
    </row>
    <row r="61" spans="1:136" ht="14.1" customHeight="1">
      <c r="A61" s="84">
        <v>54</v>
      </c>
      <c r="B61" s="85" t="s">
        <v>290</v>
      </c>
      <c r="C61" s="86"/>
      <c r="D61" s="171" t="s">
        <v>291</v>
      </c>
      <c r="E61" s="88">
        <v>160</v>
      </c>
      <c r="F61" s="89" t="s">
        <v>147</v>
      </c>
      <c r="G61" s="45" t="str">
        <f t="shared" si="31"/>
        <v>IBC3604-9x3-H9B14</v>
      </c>
      <c r="H61" s="46" t="str">
        <f t="shared" si="32"/>
        <v>C3604IB90DH9</v>
      </c>
      <c r="I61" s="46" t="str">
        <f t="shared" si="33"/>
        <v>C3604IB90DH93B14</v>
      </c>
      <c r="J61" s="90" t="s">
        <v>148</v>
      </c>
      <c r="K61" s="90" t="s">
        <v>156</v>
      </c>
      <c r="L61" s="90">
        <v>9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171</v>
      </c>
      <c r="S61" s="89">
        <f t="shared" si="34"/>
        <v>38</v>
      </c>
      <c r="T61" s="51">
        <f>'31.01'!BG61</f>
        <v>32</v>
      </c>
      <c r="U61" s="92"/>
      <c r="V61" s="100">
        <v>4.18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35"/>
        <v>0</v>
      </c>
      <c r="AF61" s="54">
        <f>AE61+'31.01'!AF61</f>
        <v>0</v>
      </c>
      <c r="AG61" s="94">
        <f t="shared" si="66"/>
        <v>32</v>
      </c>
      <c r="AH61" s="56">
        <f t="shared" si="13"/>
        <v>0</v>
      </c>
      <c r="AI61" s="93"/>
      <c r="AJ61" s="93">
        <f t="shared" si="67"/>
        <v>0</v>
      </c>
      <c r="AK61" s="95">
        <f t="shared" si="36"/>
        <v>1</v>
      </c>
      <c r="AL61" s="58">
        <f t="shared" si="37"/>
        <v>0</v>
      </c>
      <c r="AM61" s="55">
        <f t="shared" si="68"/>
        <v>32</v>
      </c>
      <c r="AN61" s="93"/>
      <c r="AO61" s="96"/>
      <c r="AP61" s="96">
        <f t="shared" si="104"/>
        <v>0</v>
      </c>
      <c r="AQ61" s="96"/>
      <c r="AR61" s="96"/>
      <c r="AS61" s="96"/>
      <c r="AT61" s="96"/>
      <c r="AU61" s="96">
        <f t="shared" si="38"/>
        <v>0</v>
      </c>
      <c r="AV61" s="96">
        <f t="shared" si="38"/>
        <v>0</v>
      </c>
      <c r="AW61" s="96">
        <f t="shared" si="39"/>
        <v>0</v>
      </c>
      <c r="AX61" s="96">
        <f t="shared" si="40"/>
        <v>0</v>
      </c>
      <c r="AY61" s="94">
        <f t="shared" si="69"/>
        <v>0</v>
      </c>
      <c r="AZ61" s="94">
        <f t="shared" si="41"/>
        <v>0</v>
      </c>
      <c r="BA61" s="94">
        <f t="shared" si="42"/>
        <v>32</v>
      </c>
      <c r="BB61" s="97">
        <f t="shared" si="43"/>
        <v>0</v>
      </c>
      <c r="BC61" s="93"/>
      <c r="BD61" s="93">
        <f t="shared" si="44"/>
        <v>0</v>
      </c>
      <c r="BE61" s="95">
        <f t="shared" si="45"/>
        <v>1</v>
      </c>
      <c r="BF61" s="58">
        <f t="shared" si="46"/>
        <v>0</v>
      </c>
      <c r="BG61" s="94">
        <f t="shared" si="47"/>
        <v>32</v>
      </c>
      <c r="BH61" s="89"/>
      <c r="BI61" s="89"/>
      <c r="BJ61" s="92">
        <f>$CN61</f>
        <v>0</v>
      </c>
      <c r="BK61" s="89"/>
      <c r="BL61" s="89"/>
      <c r="BM61" s="89"/>
      <c r="BN61" s="92"/>
      <c r="BO61" s="92">
        <f t="shared" si="70"/>
        <v>0</v>
      </c>
      <c r="BP61" s="92">
        <f t="shared" si="70"/>
        <v>0</v>
      </c>
      <c r="BQ61" s="96">
        <f t="shared" si="48"/>
        <v>0</v>
      </c>
      <c r="BR61" s="96">
        <f t="shared" si="49"/>
        <v>0</v>
      </c>
      <c r="BS61" s="96">
        <f t="shared" si="71"/>
        <v>0</v>
      </c>
      <c r="BT61" s="96">
        <f>IF($V61="","",BS61/$V61)</f>
        <v>0</v>
      </c>
      <c r="BU61" s="92">
        <f t="shared" si="16"/>
        <v>0</v>
      </c>
      <c r="BV61" s="98">
        <f t="shared" si="17"/>
        <v>0</v>
      </c>
      <c r="BW61" s="92">
        <f t="shared" si="18"/>
        <v>0</v>
      </c>
      <c r="BX61" s="98">
        <f t="shared" si="51"/>
        <v>0</v>
      </c>
      <c r="BY61" s="61">
        <f t="shared" si="73"/>
        <v>0</v>
      </c>
      <c r="BZ61" s="62">
        <f t="shared" si="52"/>
        <v>0</v>
      </c>
      <c r="CA61" s="98">
        <f t="shared" si="53"/>
        <v>0</v>
      </c>
      <c r="CB61" s="92">
        <f t="shared" si="96"/>
        <v>0</v>
      </c>
      <c r="CC61" s="92">
        <f t="shared" si="96"/>
        <v>0</v>
      </c>
      <c r="CD61" s="92">
        <f t="shared" si="96"/>
        <v>0</v>
      </c>
      <c r="CE61" s="99"/>
      <c r="CF61" s="99"/>
      <c r="CG61" s="51">
        <f t="shared" si="54"/>
        <v>0</v>
      </c>
      <c r="CH61" s="62">
        <f t="shared" si="55"/>
        <v>0</v>
      </c>
      <c r="CI61" s="89"/>
      <c r="CJ61" s="89"/>
      <c r="CK61" s="89"/>
      <c r="CL61" s="96"/>
      <c r="CM61" s="89"/>
      <c r="CN61" s="89"/>
      <c r="CO61" s="92"/>
      <c r="CP61" s="101"/>
      <c r="CQ61" s="102">
        <f t="shared" si="99"/>
        <v>0</v>
      </c>
      <c r="CR61" s="102">
        <f t="shared" si="99"/>
        <v>0</v>
      </c>
      <c r="CS61" s="102">
        <f t="shared" si="99"/>
        <v>0</v>
      </c>
      <c r="CT61" s="92">
        <f t="shared" si="57"/>
        <v>0</v>
      </c>
      <c r="CU61" s="92">
        <f t="shared" si="100"/>
        <v>0</v>
      </c>
      <c r="CV61" s="103">
        <f t="shared" si="100"/>
        <v>0</v>
      </c>
      <c r="CW61" s="104" t="s">
        <v>147</v>
      </c>
      <c r="CX61" s="105">
        <v>13</v>
      </c>
      <c r="CY61" s="106">
        <f t="shared" si="59"/>
        <v>3032</v>
      </c>
      <c r="CZ61" s="106">
        <f t="shared" si="60"/>
        <v>52.650000000000006</v>
      </c>
      <c r="DA61" s="106"/>
      <c r="DB61" s="106"/>
      <c r="DC61" s="105"/>
      <c r="DD61" s="107"/>
      <c r="DE61" s="92">
        <f t="shared" si="21"/>
        <v>0</v>
      </c>
      <c r="DF61" s="108">
        <f t="shared" si="22"/>
        <v>0</v>
      </c>
      <c r="DG61" s="112">
        <f t="shared" si="23"/>
        <v>0</v>
      </c>
      <c r="DH61" s="110">
        <f t="shared" si="24"/>
        <v>0</v>
      </c>
      <c r="DI61" s="108">
        <f t="shared" si="25"/>
        <v>0</v>
      </c>
      <c r="DJ61" s="112">
        <f t="shared" si="26"/>
        <v>0</v>
      </c>
      <c r="DK61" s="110">
        <f t="shared" si="86"/>
        <v>0</v>
      </c>
      <c r="DL61" s="108">
        <f t="shared" si="86"/>
        <v>0</v>
      </c>
      <c r="DM61" s="111">
        <f t="shared" si="86"/>
        <v>0</v>
      </c>
      <c r="DN61" s="76">
        <f t="shared" si="89"/>
        <v>32</v>
      </c>
      <c r="DO61" s="76">
        <f t="shared" si="89"/>
        <v>0</v>
      </c>
      <c r="DP61" s="112"/>
      <c r="DQ61" s="112"/>
      <c r="DR61" s="113" t="s">
        <v>453</v>
      </c>
      <c r="DS61" s="112"/>
      <c r="DT61" s="112"/>
      <c r="DU61" s="111"/>
      <c r="DV61" s="114"/>
      <c r="DW61" s="80">
        <f t="shared" si="61"/>
        <v>0</v>
      </c>
      <c r="DX61" s="81">
        <f t="shared" si="29"/>
        <v>0</v>
      </c>
      <c r="DY61" s="80">
        <f t="shared" si="62"/>
        <v>0</v>
      </c>
      <c r="DZ61" s="82">
        <f t="shared" si="63"/>
        <v>0</v>
      </c>
      <c r="EA61" s="82">
        <f t="shared" si="64"/>
        <v>0</v>
      </c>
      <c r="EB61" s="82">
        <f t="shared" si="65"/>
        <v>0</v>
      </c>
      <c r="EC61" s="82">
        <f t="shared" ref="EC61:EC65" si="106">(BX61-CA61)+((AV61+BP61)/1000)</f>
        <v>0</v>
      </c>
      <c r="EF61" s="83">
        <f t="shared" si="105"/>
        <v>0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1"/>
        <v>MIC3602-3x2.5-H9A14</v>
      </c>
      <c r="H62" s="46" t="str">
        <f t="shared" si="32"/>
        <v>C3602MI30DH9</v>
      </c>
      <c r="I62" s="46" t="str">
        <f t="shared" si="33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4"/>
        <v>34</v>
      </c>
      <c r="T62" s="51">
        <f>'31.01'!BG62</f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5"/>
        <v>0</v>
      </c>
      <c r="AF62" s="54">
        <f>AE62+'31.01'!AF62</f>
        <v>0</v>
      </c>
      <c r="AG62" s="94">
        <f t="shared" si="66"/>
        <v>47</v>
      </c>
      <c r="AH62" s="56">
        <f t="shared" si="13"/>
        <v>0</v>
      </c>
      <c r="AI62" s="93"/>
      <c r="AJ62" s="93">
        <f t="shared" si="67"/>
        <v>0</v>
      </c>
      <c r="AK62" s="95">
        <f t="shared" si="36"/>
        <v>1</v>
      </c>
      <c r="AL62" s="58">
        <f t="shared" si="37"/>
        <v>0</v>
      </c>
      <c r="AM62" s="55">
        <f t="shared" si="68"/>
        <v>47</v>
      </c>
      <c r="AN62" s="93"/>
      <c r="AO62" s="96"/>
      <c r="AP62" s="96"/>
      <c r="AQ62" s="96"/>
      <c r="AR62" s="96"/>
      <c r="AS62" s="96"/>
      <c r="AT62" s="96">
        <f t="shared" ref="AT62:AT64" si="107">$CJ62</f>
        <v>0</v>
      </c>
      <c r="AU62" s="96">
        <f t="shared" si="38"/>
        <v>0</v>
      </c>
      <c r="AV62" s="96">
        <f t="shared" si="38"/>
        <v>0</v>
      </c>
      <c r="AW62" s="96">
        <f t="shared" si="39"/>
        <v>0</v>
      </c>
      <c r="AX62" s="96">
        <f t="shared" si="40"/>
        <v>0</v>
      </c>
      <c r="AY62" s="94">
        <f t="shared" si="69"/>
        <v>0</v>
      </c>
      <c r="AZ62" s="94">
        <f t="shared" si="41"/>
        <v>0</v>
      </c>
      <c r="BA62" s="94">
        <f t="shared" si="42"/>
        <v>47</v>
      </c>
      <c r="BB62" s="97">
        <f t="shared" si="43"/>
        <v>0</v>
      </c>
      <c r="BC62" s="93"/>
      <c r="BD62" s="93">
        <f t="shared" si="44"/>
        <v>0</v>
      </c>
      <c r="BE62" s="95">
        <f t="shared" si="45"/>
        <v>1</v>
      </c>
      <c r="BF62" s="58">
        <f t="shared" si="46"/>
        <v>0</v>
      </c>
      <c r="BG62" s="94">
        <f t="shared" si="47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0"/>
        <v>0</v>
      </c>
      <c r="BP62" s="92">
        <f t="shared" si="70"/>
        <v>0</v>
      </c>
      <c r="BQ62" s="96">
        <f t="shared" si="48"/>
        <v>0</v>
      </c>
      <c r="BR62" s="96">
        <f t="shared" si="49"/>
        <v>0</v>
      </c>
      <c r="BS62" s="96">
        <f t="shared" si="71"/>
        <v>0</v>
      </c>
      <c r="BT62" s="96">
        <f t="shared" si="50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1"/>
        <v>0</v>
      </c>
      <c r="BY62" s="61">
        <f t="shared" si="73"/>
        <v>0</v>
      </c>
      <c r="BZ62" s="62">
        <f t="shared" si="52"/>
        <v>0</v>
      </c>
      <c r="CA62" s="98">
        <f t="shared" si="53"/>
        <v>0</v>
      </c>
      <c r="CB62" s="92">
        <f t="shared" si="96"/>
        <v>0</v>
      </c>
      <c r="CC62" s="92">
        <f t="shared" si="96"/>
        <v>0</v>
      </c>
      <c r="CD62" s="92">
        <f t="shared" si="96"/>
        <v>0</v>
      </c>
      <c r="CE62" s="99"/>
      <c r="CF62" s="99"/>
      <c r="CG62" s="51">
        <f t="shared" si="54"/>
        <v>0</v>
      </c>
      <c r="CH62" s="62">
        <f t="shared" si="55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99"/>
        <v>0</v>
      </c>
      <c r="CR62" s="102">
        <f t="shared" si="99"/>
        <v>0</v>
      </c>
      <c r="CS62" s="102">
        <f t="shared" si="99"/>
        <v>0</v>
      </c>
      <c r="CT62" s="92">
        <f t="shared" si="57"/>
        <v>0</v>
      </c>
      <c r="CU62" s="92">
        <f t="shared" si="100"/>
        <v>0</v>
      </c>
      <c r="CV62" s="103">
        <f t="shared" si="100"/>
        <v>0</v>
      </c>
      <c r="CW62" s="104" t="s">
        <v>147</v>
      </c>
      <c r="CX62" s="105">
        <v>6</v>
      </c>
      <c r="CY62" s="106">
        <f t="shared" si="59"/>
        <v>6630</v>
      </c>
      <c r="CZ62" s="106">
        <f t="shared" si="60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6"/>
        <v>0</v>
      </c>
      <c r="DL62" s="108">
        <f t="shared" si="86"/>
        <v>0</v>
      </c>
      <c r="DM62" s="111">
        <f t="shared" si="86"/>
        <v>0</v>
      </c>
      <c r="DN62" s="76">
        <f t="shared" si="89"/>
        <v>47</v>
      </c>
      <c r="DO62" s="76">
        <f t="shared" si="89"/>
        <v>0</v>
      </c>
      <c r="DP62" s="112"/>
      <c r="DQ62" s="112"/>
      <c r="DR62" s="113" t="s">
        <v>454</v>
      </c>
      <c r="DS62" s="112"/>
      <c r="DT62" s="112"/>
      <c r="DU62" s="111"/>
      <c r="DV62" s="114"/>
      <c r="DW62" s="80">
        <f t="shared" ref="DW62:DW65" si="108">IFERROR(AL62+BF62,"")</f>
        <v>0</v>
      </c>
      <c r="DX62" s="81">
        <f t="shared" si="29"/>
        <v>0</v>
      </c>
      <c r="DY62" s="80">
        <f t="shared" si="62"/>
        <v>0</v>
      </c>
      <c r="DZ62" s="82">
        <f t="shared" si="63"/>
        <v>0</v>
      </c>
      <c r="EA62" s="82">
        <f t="shared" si="64"/>
        <v>0</v>
      </c>
      <c r="EB62" s="82">
        <f t="shared" si="65"/>
        <v>0</v>
      </c>
      <c r="EC62" s="82">
        <f t="shared" si="106"/>
        <v>0</v>
      </c>
      <c r="EF62" s="83">
        <f t="shared" si="105"/>
        <v>0</v>
      </c>
    </row>
    <row r="63" spans="1:136" ht="11.25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1"/>
        <v>FRCuBe2Pb-3.15x3-H9A08</v>
      </c>
      <c r="H63" s="46" t="str">
        <f t="shared" si="32"/>
        <v>CuBe2PbFR3.150DH9</v>
      </c>
      <c r="I63" s="46" t="str">
        <f t="shared" si="33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4"/>
        <v>16</v>
      </c>
      <c r="T63" s="51">
        <f>'31.01'!BG63</f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5"/>
        <v>0</v>
      </c>
      <c r="AF63" s="54">
        <f>AE63+'31.01'!AF63</f>
        <v>0</v>
      </c>
      <c r="AG63" s="94">
        <f t="shared" si="66"/>
        <v>0</v>
      </c>
      <c r="AH63" s="56">
        <f t="shared" si="13"/>
        <v>0</v>
      </c>
      <c r="AI63" s="93"/>
      <c r="AJ63" s="93">
        <f t="shared" si="67"/>
        <v>0</v>
      </c>
      <c r="AK63" s="95">
        <f t="shared" si="36"/>
        <v>1</v>
      </c>
      <c r="AL63" s="58">
        <f t="shared" si="37"/>
        <v>0</v>
      </c>
      <c r="AM63" s="55">
        <f t="shared" si="68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8"/>
        <v>0</v>
      </c>
      <c r="AV63" s="96">
        <f t="shared" si="38"/>
        <v>0</v>
      </c>
      <c r="AW63" s="96">
        <f t="shared" si="39"/>
        <v>0</v>
      </c>
      <c r="AX63" s="96">
        <f t="shared" si="40"/>
        <v>0</v>
      </c>
      <c r="AY63" s="94">
        <f t="shared" si="69"/>
        <v>0</v>
      </c>
      <c r="AZ63" s="94">
        <f t="shared" si="41"/>
        <v>0</v>
      </c>
      <c r="BA63" s="94">
        <f t="shared" si="42"/>
        <v>0</v>
      </c>
      <c r="BB63" s="97">
        <f t="shared" si="43"/>
        <v>0</v>
      </c>
      <c r="BC63" s="93"/>
      <c r="BD63" s="93">
        <f t="shared" si="44"/>
        <v>0</v>
      </c>
      <c r="BE63" s="95">
        <f t="shared" si="45"/>
        <v>1</v>
      </c>
      <c r="BF63" s="58">
        <f t="shared" si="46"/>
        <v>0</v>
      </c>
      <c r="BG63" s="94">
        <f t="shared" si="47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0"/>
        <v>0</v>
      </c>
      <c r="BP63" s="92">
        <f t="shared" si="70"/>
        <v>0</v>
      </c>
      <c r="BQ63" s="96">
        <f t="shared" si="48"/>
        <v>0</v>
      </c>
      <c r="BR63" s="96">
        <f>IF(AA63="","",INT(BQ63/$V63))</f>
        <v>0</v>
      </c>
      <c r="BS63" s="96">
        <f t="shared" si="71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1"/>
        <v>0</v>
      </c>
      <c r="BY63" s="61">
        <f t="shared" si="73"/>
        <v>0</v>
      </c>
      <c r="BZ63" s="62">
        <f t="shared" si="52"/>
        <v>0</v>
      </c>
      <c r="CA63" s="98">
        <f t="shared" si="53"/>
        <v>0</v>
      </c>
      <c r="CB63" s="92">
        <f t="shared" si="96"/>
        <v>0</v>
      </c>
      <c r="CC63" s="92">
        <f t="shared" si="96"/>
        <v>0</v>
      </c>
      <c r="CD63" s="92">
        <f t="shared" si="96"/>
        <v>0</v>
      </c>
      <c r="CE63" s="99"/>
      <c r="CF63" s="99"/>
      <c r="CG63" s="51">
        <f t="shared" si="54"/>
        <v>0</v>
      </c>
      <c r="CH63" s="62">
        <f t="shared" si="55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99"/>
        <v>0</v>
      </c>
      <c r="CR63" s="102">
        <f t="shared" si="99"/>
        <v>0</v>
      </c>
      <c r="CS63" s="102">
        <f t="shared" si="99"/>
        <v>0</v>
      </c>
      <c r="CT63" s="92">
        <f t="shared" si="57"/>
        <v>0</v>
      </c>
      <c r="CU63" s="92">
        <f t="shared" si="100"/>
        <v>0</v>
      </c>
      <c r="CV63" s="103">
        <f t="shared" si="100"/>
        <v>0</v>
      </c>
      <c r="CW63" s="104" t="s">
        <v>147</v>
      </c>
      <c r="CX63" s="105">
        <v>6</v>
      </c>
      <c r="CY63" s="106">
        <f t="shared" si="59"/>
        <v>6960</v>
      </c>
      <c r="CZ63" s="106">
        <f t="shared" si="60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6"/>
        <v>0</v>
      </c>
      <c r="DL63" s="108">
        <f t="shared" si="86"/>
        <v>0</v>
      </c>
      <c r="DM63" s="111">
        <f t="shared" si="86"/>
        <v>0</v>
      </c>
      <c r="DN63" s="76">
        <f t="shared" si="89"/>
        <v>0</v>
      </c>
      <c r="DO63" s="76">
        <f t="shared" si="89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08"/>
        <v>0</v>
      </c>
      <c r="DX63" s="81">
        <f t="shared" si="29"/>
        <v>0</v>
      </c>
      <c r="DY63" s="80">
        <f t="shared" si="62"/>
        <v>0</v>
      </c>
      <c r="DZ63" s="82">
        <f t="shared" si="63"/>
        <v>0</v>
      </c>
      <c r="EA63" s="82">
        <f t="shared" si="64"/>
        <v>0</v>
      </c>
      <c r="EB63" s="82">
        <f t="shared" si="65"/>
        <v>0</v>
      </c>
      <c r="EC63" s="82">
        <f t="shared" si="106"/>
        <v>0</v>
      </c>
      <c r="EF63" s="83">
        <f t="shared" si="105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1"/>
        <v>IBC3604-5x3-H9B14</v>
      </c>
      <c r="H64" s="46" t="str">
        <f t="shared" si="32"/>
        <v>C3604IB50DH9</v>
      </c>
      <c r="I64" s="46" t="str">
        <f t="shared" si="33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4"/>
        <v>22</v>
      </c>
      <c r="T64" s="51">
        <f>'31.01'!BG64</f>
        <v>13</v>
      </c>
      <c r="U64" s="92">
        <v>17</v>
      </c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9767</v>
      </c>
      <c r="AC64" s="93">
        <f t="shared" si="11"/>
        <v>0</v>
      </c>
      <c r="AD64" s="93">
        <f t="shared" si="12"/>
        <v>108</v>
      </c>
      <c r="AE64" s="93">
        <f t="shared" si="35"/>
        <v>9767</v>
      </c>
      <c r="AF64" s="54">
        <f>AE64+'31.01'!AF64</f>
        <v>17753</v>
      </c>
      <c r="AG64" s="94">
        <f t="shared" si="66"/>
        <v>13</v>
      </c>
      <c r="AH64" s="56">
        <f t="shared" si="13"/>
        <v>0</v>
      </c>
      <c r="AI64" s="93">
        <v>10</v>
      </c>
      <c r="AJ64" s="93">
        <f t="shared" si="67"/>
        <v>0</v>
      </c>
      <c r="AK64" s="95">
        <f t="shared" si="36"/>
        <v>1</v>
      </c>
      <c r="AL64" s="58">
        <f t="shared" si="37"/>
        <v>10</v>
      </c>
      <c r="AM64" s="55">
        <f t="shared" si="68"/>
        <v>20</v>
      </c>
      <c r="AN64" s="93"/>
      <c r="AO64" s="96"/>
      <c r="AP64" s="96"/>
      <c r="AQ64" s="96"/>
      <c r="AR64" s="96"/>
      <c r="AS64" s="96"/>
      <c r="AT64" s="96">
        <f t="shared" si="107"/>
        <v>2085</v>
      </c>
      <c r="AU64" s="96">
        <f t="shared" si="38"/>
        <v>0</v>
      </c>
      <c r="AV64" s="96">
        <f t="shared" si="38"/>
        <v>50</v>
      </c>
      <c r="AW64" s="96">
        <f t="shared" si="39"/>
        <v>2135</v>
      </c>
      <c r="AX64" s="96">
        <f t="shared" si="40"/>
        <v>4641</v>
      </c>
      <c r="AY64" s="94">
        <f t="shared" si="69"/>
        <v>-45.400000000000091</v>
      </c>
      <c r="AZ64" s="94">
        <f t="shared" si="41"/>
        <v>-98.695652173913231</v>
      </c>
      <c r="BA64" s="94">
        <f t="shared" si="42"/>
        <v>20</v>
      </c>
      <c r="BB64" s="97">
        <f t="shared" si="43"/>
        <v>0</v>
      </c>
      <c r="BC64" s="93">
        <v>11</v>
      </c>
      <c r="BD64" s="93">
        <f t="shared" si="44"/>
        <v>0</v>
      </c>
      <c r="BE64" s="95">
        <f t="shared" si="45"/>
        <v>1</v>
      </c>
      <c r="BF64" s="58">
        <f t="shared" si="46"/>
        <v>11</v>
      </c>
      <c r="BG64" s="94">
        <f t="shared" si="47"/>
        <v>9</v>
      </c>
      <c r="BH64" s="89"/>
      <c r="BI64" s="89"/>
      <c r="BJ64" s="89"/>
      <c r="BK64" s="89"/>
      <c r="BL64" s="89"/>
      <c r="BM64" s="92"/>
      <c r="BN64" s="92">
        <f>$CN64</f>
        <v>2408</v>
      </c>
      <c r="BO64" s="92">
        <f t="shared" si="70"/>
        <v>0</v>
      </c>
      <c r="BP64" s="92">
        <f t="shared" si="70"/>
        <v>0</v>
      </c>
      <c r="BQ64" s="96">
        <f t="shared" si="48"/>
        <v>2408</v>
      </c>
      <c r="BR64" s="96">
        <f t="shared" si="49"/>
        <v>5234</v>
      </c>
      <c r="BS64" s="96">
        <f t="shared" si="71"/>
        <v>9.5599999999999454</v>
      </c>
      <c r="BT64" s="96">
        <f t="shared" si="50"/>
        <v>20.782608695652055</v>
      </c>
      <c r="BU64" s="92">
        <f t="shared" si="16"/>
        <v>9767</v>
      </c>
      <c r="BV64" s="98">
        <f t="shared" si="17"/>
        <v>21</v>
      </c>
      <c r="BW64" s="92">
        <f t="shared" si="18"/>
        <v>-77.913043478261173</v>
      </c>
      <c r="BX64" s="98">
        <f t="shared" si="51"/>
        <v>10.5</v>
      </c>
      <c r="BY64" s="61">
        <f>IFERROR(BF64+AL64,0)</f>
        <v>21</v>
      </c>
      <c r="BZ64" s="62">
        <f t="shared" si="52"/>
        <v>21</v>
      </c>
      <c r="CA64" s="98">
        <f t="shared" si="53"/>
        <v>4.5430000000000001</v>
      </c>
      <c r="CB64" s="92">
        <f t="shared" si="96"/>
        <v>9875</v>
      </c>
      <c r="CC64" s="92">
        <f t="shared" si="96"/>
        <v>-35.840000000000146</v>
      </c>
      <c r="CD64" s="92">
        <f t="shared" si="96"/>
        <v>-77.913043478261173</v>
      </c>
      <c r="CE64" s="99"/>
      <c r="CF64" s="99"/>
      <c r="CG64" s="51">
        <f t="shared" si="54"/>
        <v>6.0069999999999997</v>
      </c>
      <c r="CH64" s="62">
        <f t="shared" si="55"/>
        <v>6.0069999999999997</v>
      </c>
      <c r="CI64" s="89"/>
      <c r="CJ64" s="89">
        <v>2085</v>
      </c>
      <c r="CK64" s="89"/>
      <c r="CL64" s="96">
        <v>50</v>
      </c>
      <c r="CM64" s="89"/>
      <c r="CN64" s="89">
        <v>2408</v>
      </c>
      <c r="CO64" s="92"/>
      <c r="CP64" s="101"/>
      <c r="CQ64" s="102">
        <f t="shared" si="99"/>
        <v>4532</v>
      </c>
      <c r="CR64" s="102">
        <f t="shared" si="99"/>
        <v>0</v>
      </c>
      <c r="CS64" s="102">
        <f t="shared" si="99"/>
        <v>108</v>
      </c>
      <c r="CT64" s="92">
        <f t="shared" si="57"/>
        <v>5235</v>
      </c>
      <c r="CU64" s="92">
        <f t="shared" si="100"/>
        <v>0</v>
      </c>
      <c r="CV64" s="103">
        <f t="shared" si="100"/>
        <v>0</v>
      </c>
      <c r="CW64" s="104" t="s">
        <v>147</v>
      </c>
      <c r="CX64" s="105">
        <v>8</v>
      </c>
      <c r="CY64" s="106">
        <f t="shared" si="59"/>
        <v>5130</v>
      </c>
      <c r="CZ64" s="106">
        <f t="shared" si="60"/>
        <v>32.400000000000006</v>
      </c>
      <c r="DA64" s="106"/>
      <c r="DB64" s="106"/>
      <c r="DC64" s="105"/>
      <c r="DD64" s="107"/>
      <c r="DE64" s="92">
        <f t="shared" si="21"/>
        <v>4532</v>
      </c>
      <c r="DF64" s="108">
        <f t="shared" si="22"/>
        <v>10</v>
      </c>
      <c r="DG64" s="112">
        <f t="shared" si="23"/>
        <v>-98.695652173913231</v>
      </c>
      <c r="DH64" s="110">
        <f t="shared" si="24"/>
        <v>5235</v>
      </c>
      <c r="DI64" s="108">
        <f t="shared" si="25"/>
        <v>11</v>
      </c>
      <c r="DJ64" s="112">
        <f t="shared" si="26"/>
        <v>20.782608695652055</v>
      </c>
      <c r="DK64" s="110">
        <f t="shared" si="86"/>
        <v>9767</v>
      </c>
      <c r="DL64" s="108">
        <f t="shared" si="86"/>
        <v>21</v>
      </c>
      <c r="DM64" s="111">
        <f t="shared" si="86"/>
        <v>-77.913043478261173</v>
      </c>
      <c r="DN64" s="76">
        <f t="shared" si="89"/>
        <v>13</v>
      </c>
      <c r="DO64" s="76">
        <f t="shared" si="89"/>
        <v>17</v>
      </c>
      <c r="DP64" s="112"/>
      <c r="DQ64" s="112"/>
      <c r="DR64" s="113" t="s">
        <v>455</v>
      </c>
      <c r="DS64" s="112"/>
      <c r="DT64" s="112"/>
      <c r="DU64" s="111"/>
      <c r="DV64" s="114"/>
      <c r="DW64" s="80">
        <f t="shared" si="108"/>
        <v>21</v>
      </c>
      <c r="DX64" s="81">
        <f t="shared" si="29"/>
        <v>9710.0869565217381</v>
      </c>
      <c r="DY64" s="80">
        <f t="shared" si="62"/>
        <v>9875</v>
      </c>
      <c r="DZ64" s="82">
        <f t="shared" si="63"/>
        <v>4.9680000000000002E-2</v>
      </c>
      <c r="EA64" s="82">
        <f t="shared" si="64"/>
        <v>4.4928200000000009</v>
      </c>
      <c r="EB64" s="82">
        <f t="shared" si="65"/>
        <v>6.0071799999999991</v>
      </c>
      <c r="EC64" s="82">
        <f t="shared" si="106"/>
        <v>6.0069999999999997</v>
      </c>
      <c r="EF64" s="83">
        <f t="shared" si="105"/>
        <v>-77.913043478261173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1"/>
        <v>TVA2011-T3-6x3-H9B14</v>
      </c>
      <c r="H65" s="46" t="str">
        <f t="shared" si="32"/>
        <v>A2011-T3TV60DH9</v>
      </c>
      <c r="I65" s="46" t="str">
        <f t="shared" si="33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4"/>
        <v>#DIV/0!</v>
      </c>
      <c r="T65" s="51">
        <f>'31.01'!BG65</f>
        <v>14</v>
      </c>
      <c r="U65" s="92"/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2549</v>
      </c>
      <c r="AC65" s="93">
        <f t="shared" si="11"/>
        <v>0</v>
      </c>
      <c r="AD65" s="93">
        <f t="shared" si="12"/>
        <v>363</v>
      </c>
      <c r="AE65" s="93">
        <f t="shared" si="35"/>
        <v>2549</v>
      </c>
      <c r="AF65" s="54">
        <f>AE65+'31.01'!AF65</f>
        <v>5145</v>
      </c>
      <c r="AG65" s="94">
        <f t="shared" si="66"/>
        <v>14</v>
      </c>
      <c r="AH65" s="56">
        <f t="shared" si="13"/>
        <v>0</v>
      </c>
      <c r="AI65" s="93">
        <v>5</v>
      </c>
      <c r="AJ65" s="93">
        <f t="shared" si="67"/>
        <v>0</v>
      </c>
      <c r="AK65" s="95">
        <f t="shared" si="36"/>
        <v>1</v>
      </c>
      <c r="AL65" s="58">
        <f t="shared" si="37"/>
        <v>5</v>
      </c>
      <c r="AM65" s="55">
        <f t="shared" si="68"/>
        <v>9</v>
      </c>
      <c r="AN65" s="93"/>
      <c r="AO65" s="96"/>
      <c r="AP65" s="96"/>
      <c r="AQ65" s="96"/>
      <c r="AR65" s="96"/>
      <c r="AS65" s="96"/>
      <c r="AT65" s="96">
        <f>$CJ65</f>
        <v>580</v>
      </c>
      <c r="AU65" s="96">
        <f t="shared" si="38"/>
        <v>0</v>
      </c>
      <c r="AV65" s="96">
        <f t="shared" si="38"/>
        <v>0</v>
      </c>
      <c r="AW65" s="96">
        <f t="shared" si="39"/>
        <v>580</v>
      </c>
      <c r="AX65" s="96">
        <f t="shared" si="40"/>
        <v>2109</v>
      </c>
      <c r="AY65" s="94">
        <f t="shared" si="69"/>
        <v>-29.125</v>
      </c>
      <c r="AZ65" s="94">
        <f t="shared" si="41"/>
        <v>-105.90909090909091</v>
      </c>
      <c r="BA65" s="94">
        <f t="shared" si="42"/>
        <v>9</v>
      </c>
      <c r="BB65" s="97">
        <f t="shared" si="43"/>
        <v>0</v>
      </c>
      <c r="BC65" s="93">
        <v>2</v>
      </c>
      <c r="BD65" s="93">
        <f t="shared" si="44"/>
        <v>0</v>
      </c>
      <c r="BE65" s="95">
        <f t="shared" si="45"/>
        <v>1</v>
      </c>
      <c r="BF65" s="58">
        <f t="shared" si="46"/>
        <v>2</v>
      </c>
      <c r="BG65" s="94">
        <f t="shared" si="47"/>
        <v>7</v>
      </c>
      <c r="BH65" s="89"/>
      <c r="BI65" s="89"/>
      <c r="BJ65" s="92"/>
      <c r="BK65" s="89"/>
      <c r="BL65" s="89"/>
      <c r="BM65" s="89"/>
      <c r="BN65" s="92">
        <f>$CN65</f>
        <v>121</v>
      </c>
      <c r="BO65" s="92">
        <f t="shared" si="70"/>
        <v>0</v>
      </c>
      <c r="BP65" s="92">
        <f t="shared" si="70"/>
        <v>100</v>
      </c>
      <c r="BQ65" s="96">
        <f t="shared" si="48"/>
        <v>221</v>
      </c>
      <c r="BR65" s="96">
        <f t="shared" si="49"/>
        <v>803</v>
      </c>
      <c r="BS65" s="96">
        <f t="shared" si="71"/>
        <v>-22.650000000000006</v>
      </c>
      <c r="BT65" s="96">
        <f t="shared" si="50"/>
        <v>-82.363636363636374</v>
      </c>
      <c r="BU65" s="92">
        <f t="shared" si="16"/>
        <v>2549</v>
      </c>
      <c r="BV65" s="98">
        <f t="shared" si="17"/>
        <v>7</v>
      </c>
      <c r="BW65" s="92">
        <f t="shared" si="18"/>
        <v>-188.27272727272728</v>
      </c>
      <c r="BX65" s="98">
        <f t="shared" si="51"/>
        <v>1.68</v>
      </c>
      <c r="BY65" s="61">
        <f t="shared" si="73"/>
        <v>7</v>
      </c>
      <c r="BZ65" s="62">
        <f t="shared" si="52"/>
        <v>7</v>
      </c>
      <c r="CA65" s="98">
        <f t="shared" si="53"/>
        <v>0.80100000000000005</v>
      </c>
      <c r="CB65" s="92">
        <f t="shared" si="96"/>
        <v>2912</v>
      </c>
      <c r="CC65" s="92">
        <f t="shared" si="96"/>
        <v>-51.775000000000006</v>
      </c>
      <c r="CD65" s="92">
        <f t="shared" si="96"/>
        <v>-188.27272727272728</v>
      </c>
      <c r="CE65" s="99"/>
      <c r="CF65" s="99"/>
      <c r="CG65" s="51">
        <f t="shared" si="54"/>
        <v>0.97899999999999987</v>
      </c>
      <c r="CH65" s="62">
        <f t="shared" si="55"/>
        <v>0.97899999999999987</v>
      </c>
      <c r="CI65" s="89"/>
      <c r="CJ65" s="89">
        <v>580</v>
      </c>
      <c r="CK65" s="89"/>
      <c r="CL65" s="96"/>
      <c r="CM65" s="89"/>
      <c r="CN65" s="89">
        <v>121</v>
      </c>
      <c r="CO65" s="92"/>
      <c r="CP65" s="101">
        <v>100</v>
      </c>
      <c r="CQ65" s="102">
        <f t="shared" si="99"/>
        <v>2109</v>
      </c>
      <c r="CR65" s="102">
        <f t="shared" si="99"/>
        <v>0</v>
      </c>
      <c r="CS65" s="102">
        <f t="shared" si="99"/>
        <v>0</v>
      </c>
      <c r="CT65" s="92">
        <f t="shared" si="57"/>
        <v>440</v>
      </c>
      <c r="CU65" s="92">
        <f t="shared" si="100"/>
        <v>0</v>
      </c>
      <c r="CV65" s="103">
        <f t="shared" si="100"/>
        <v>363</v>
      </c>
      <c r="CW65" s="104" t="s">
        <v>147</v>
      </c>
      <c r="CX65" s="105"/>
      <c r="CY65" s="106" t="e">
        <f t="shared" si="59"/>
        <v>#DIV/0!</v>
      </c>
      <c r="CZ65" s="106">
        <f t="shared" si="60"/>
        <v>0</v>
      </c>
      <c r="DA65" s="106"/>
      <c r="DB65" s="106"/>
      <c r="DC65" s="105"/>
      <c r="DD65" s="107"/>
      <c r="DE65" s="92">
        <f t="shared" si="21"/>
        <v>2109</v>
      </c>
      <c r="DF65" s="108">
        <f t="shared" si="22"/>
        <v>5</v>
      </c>
      <c r="DG65" s="115">
        <f t="shared" si="23"/>
        <v>-105.90909090909091</v>
      </c>
      <c r="DH65" s="110">
        <f t="shared" si="24"/>
        <v>440</v>
      </c>
      <c r="DI65" s="108">
        <f t="shared" si="25"/>
        <v>2</v>
      </c>
      <c r="DJ65" s="115">
        <f t="shared" si="26"/>
        <v>-82.363636363636374</v>
      </c>
      <c r="DK65" s="110">
        <f t="shared" si="86"/>
        <v>2549</v>
      </c>
      <c r="DL65" s="108">
        <f t="shared" si="86"/>
        <v>7</v>
      </c>
      <c r="DM65" s="111">
        <f t="shared" si="86"/>
        <v>-188.27272727272728</v>
      </c>
      <c r="DN65" s="76">
        <f t="shared" si="89"/>
        <v>14</v>
      </c>
      <c r="DO65" s="76">
        <f t="shared" si="89"/>
        <v>0</v>
      </c>
      <c r="DP65" s="112"/>
      <c r="DQ65" s="112"/>
      <c r="DR65" s="113" t="s">
        <v>456</v>
      </c>
      <c r="DS65" s="112"/>
      <c r="DT65" s="112"/>
      <c r="DU65" s="111"/>
      <c r="DV65" s="114"/>
      <c r="DW65" s="80">
        <f t="shared" si="108"/>
        <v>7</v>
      </c>
      <c r="DX65" s="81">
        <f t="shared" si="29"/>
        <v>2367.7272727272725</v>
      </c>
      <c r="DY65" s="80">
        <f t="shared" si="62"/>
        <v>2912</v>
      </c>
      <c r="DZ65" s="82">
        <f t="shared" si="63"/>
        <v>9.9824999999999997E-2</v>
      </c>
      <c r="EA65" s="82">
        <f t="shared" si="64"/>
        <v>0.70097500000000001</v>
      </c>
      <c r="EB65" s="82">
        <f t="shared" si="65"/>
        <v>0.97902499999999992</v>
      </c>
      <c r="EC65" s="82">
        <f t="shared" si="106"/>
        <v>0.97899999999999987</v>
      </c>
      <c r="EF65" s="83">
        <f t="shared" si="105"/>
        <v>-188.27272727272728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1"/>
        <v>GAA5052-5.7x3-H9A14</v>
      </c>
      <c r="H66" s="46" t="str">
        <f t="shared" si="32"/>
        <v>A5052GA5.70DH9</v>
      </c>
      <c r="I66" s="46" t="str">
        <f t="shared" si="33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4"/>
        <v>52</v>
      </c>
      <c r="T66" s="51">
        <f>'31.01'!BG66</f>
        <v>12</v>
      </c>
      <c r="U66" s="92">
        <v>13</v>
      </c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2880</v>
      </c>
      <c r="AC66" s="93">
        <f t="shared" si="11"/>
        <v>0</v>
      </c>
      <c r="AD66" s="93">
        <f t="shared" si="12"/>
        <v>33</v>
      </c>
      <c r="AE66" s="93">
        <f t="shared" si="35"/>
        <v>2880</v>
      </c>
      <c r="AF66" s="54">
        <f>AE66+'31.01'!AF66</f>
        <v>6026</v>
      </c>
      <c r="AG66" s="94">
        <f t="shared" si="66"/>
        <v>12</v>
      </c>
      <c r="AH66" s="56">
        <f t="shared" si="13"/>
        <v>0</v>
      </c>
      <c r="AI66" s="93">
        <v>6</v>
      </c>
      <c r="AJ66" s="93">
        <f t="shared" si="67"/>
        <v>30</v>
      </c>
      <c r="AK66" s="95">
        <f t="shared" si="36"/>
        <v>0.83333333333333337</v>
      </c>
      <c r="AL66" s="58">
        <f t="shared" si="37"/>
        <v>5.84</v>
      </c>
      <c r="AM66" s="55">
        <f t="shared" si="68"/>
        <v>19.16</v>
      </c>
      <c r="AN66" s="93"/>
      <c r="AO66" s="96"/>
      <c r="AP66" s="96"/>
      <c r="AQ66" s="96"/>
      <c r="AR66" s="96"/>
      <c r="AS66" s="96"/>
      <c r="AT66" s="96">
        <f>$CJ66</f>
        <v>200</v>
      </c>
      <c r="AU66" s="96">
        <f t="shared" si="38"/>
        <v>0</v>
      </c>
      <c r="AV66" s="96">
        <f t="shared" si="38"/>
        <v>0</v>
      </c>
      <c r="AW66" s="96">
        <f t="shared" si="39"/>
        <v>200</v>
      </c>
      <c r="AX66" s="96">
        <f t="shared" si="40"/>
        <v>1333</v>
      </c>
      <c r="AY66" s="94">
        <f t="shared" si="69"/>
        <v>-10.239999999999981</v>
      </c>
      <c r="AZ66" s="94">
        <f t="shared" si="41"/>
        <v>-68.266666666666538</v>
      </c>
      <c r="BA66" s="94">
        <f t="shared" si="42"/>
        <v>19.16</v>
      </c>
      <c r="BB66" s="97">
        <f t="shared" si="43"/>
        <v>0.16</v>
      </c>
      <c r="BC66" s="93">
        <v>7</v>
      </c>
      <c r="BD66" s="93">
        <f t="shared" si="44"/>
        <v>27</v>
      </c>
      <c r="BE66" s="95">
        <f t="shared" si="45"/>
        <v>0.75</v>
      </c>
      <c r="BF66" s="58">
        <f t="shared" si="46"/>
        <v>6.91</v>
      </c>
      <c r="BG66" s="94">
        <f t="shared" si="47"/>
        <v>12.25</v>
      </c>
      <c r="BH66" s="89"/>
      <c r="BI66" s="89"/>
      <c r="BJ66" s="89"/>
      <c r="BK66" s="92"/>
      <c r="BL66" s="89"/>
      <c r="BM66" s="92"/>
      <c r="BN66" s="92">
        <f>$CN66</f>
        <v>232</v>
      </c>
      <c r="BO66" s="92">
        <f t="shared" si="70"/>
        <v>0</v>
      </c>
      <c r="BP66" s="92">
        <f t="shared" si="70"/>
        <v>5</v>
      </c>
      <c r="BQ66" s="96">
        <f t="shared" si="48"/>
        <v>237</v>
      </c>
      <c r="BR66" s="96">
        <f t="shared" si="49"/>
        <v>1580</v>
      </c>
      <c r="BS66" s="96">
        <f t="shared" si="71"/>
        <v>-11.759999999999991</v>
      </c>
      <c r="BT66" s="96">
        <f t="shared" si="50"/>
        <v>-78.399999999999949</v>
      </c>
      <c r="BU66" s="92">
        <f t="shared" si="16"/>
        <v>2880</v>
      </c>
      <c r="BV66" s="98">
        <f t="shared" si="17"/>
        <v>12.75</v>
      </c>
      <c r="BW66" s="92">
        <f t="shared" si="18"/>
        <v>-146.66666666666649</v>
      </c>
      <c r="BX66" s="98">
        <f t="shared" si="51"/>
        <v>2.601</v>
      </c>
      <c r="BY66" s="61">
        <f t="shared" si="73"/>
        <v>12.75</v>
      </c>
      <c r="BZ66" s="62">
        <f t="shared" si="52"/>
        <v>12.75</v>
      </c>
      <c r="CA66" s="98">
        <f t="shared" si="53"/>
        <v>0.437</v>
      </c>
      <c r="CB66" s="92">
        <f t="shared" si="96"/>
        <v>2913</v>
      </c>
      <c r="CC66" s="92">
        <f t="shared" si="96"/>
        <v>-21.999999999999972</v>
      </c>
      <c r="CD66" s="92">
        <f t="shared" si="96"/>
        <v>-146.66666666666649</v>
      </c>
      <c r="CE66" s="99" t="s">
        <v>2</v>
      </c>
      <c r="CF66" s="99"/>
      <c r="CG66" s="51">
        <f t="shared" si="54"/>
        <v>2.169</v>
      </c>
      <c r="CH66" s="62">
        <f t="shared" si="55"/>
        <v>2.169</v>
      </c>
      <c r="CI66" s="89">
        <v>30</v>
      </c>
      <c r="CJ66" s="89">
        <v>200</v>
      </c>
      <c r="CK66" s="89"/>
      <c r="CL66" s="96"/>
      <c r="CM66" s="89">
        <v>27</v>
      </c>
      <c r="CN66" s="89">
        <v>232</v>
      </c>
      <c r="CO66" s="92"/>
      <c r="CP66" s="101">
        <v>5</v>
      </c>
      <c r="CQ66" s="102">
        <f t="shared" si="99"/>
        <v>1333</v>
      </c>
      <c r="CR66" s="102">
        <f t="shared" si="99"/>
        <v>0</v>
      </c>
      <c r="CS66" s="102">
        <f t="shared" si="99"/>
        <v>0</v>
      </c>
      <c r="CT66" s="92">
        <f t="shared" si="57"/>
        <v>1547</v>
      </c>
      <c r="CU66" s="92">
        <f t="shared" si="100"/>
        <v>0</v>
      </c>
      <c r="CV66" s="103">
        <f t="shared" si="100"/>
        <v>33</v>
      </c>
      <c r="CW66" s="104" t="s">
        <v>147</v>
      </c>
      <c r="CX66" s="105">
        <v>6</v>
      </c>
      <c r="CY66" s="106">
        <f t="shared" si="59"/>
        <v>6300</v>
      </c>
      <c r="CZ66" s="106">
        <f t="shared" si="60"/>
        <v>24.3</v>
      </c>
      <c r="DA66" s="106"/>
      <c r="DB66" s="106"/>
      <c r="DC66" s="105"/>
      <c r="DD66" s="107"/>
      <c r="DE66" s="92">
        <f t="shared" si="21"/>
        <v>1333</v>
      </c>
      <c r="DF66" s="108">
        <f t="shared" si="22"/>
        <v>5.84</v>
      </c>
      <c r="DG66" s="115">
        <f t="shared" si="23"/>
        <v>-68.266666666666538</v>
      </c>
      <c r="DH66" s="110">
        <f t="shared" si="24"/>
        <v>1547</v>
      </c>
      <c r="DI66" s="108">
        <f t="shared" si="25"/>
        <v>6.91</v>
      </c>
      <c r="DJ66" s="112">
        <f t="shared" si="26"/>
        <v>-78.399999999999949</v>
      </c>
      <c r="DK66" s="110">
        <f t="shared" si="86"/>
        <v>2880</v>
      </c>
      <c r="DL66" s="108">
        <f t="shared" si="86"/>
        <v>12.75</v>
      </c>
      <c r="DM66" s="111">
        <f t="shared" si="86"/>
        <v>-146.66666666666649</v>
      </c>
      <c r="DN66" s="76">
        <f t="shared" si="89"/>
        <v>12</v>
      </c>
      <c r="DO66" s="76">
        <f t="shared" si="89"/>
        <v>13</v>
      </c>
      <c r="DP66" s="112"/>
      <c r="DQ66" s="112"/>
      <c r="DR66" s="113" t="s">
        <v>457</v>
      </c>
      <c r="DS66" s="112"/>
      <c r="DT66" s="112"/>
      <c r="DU66" s="111"/>
      <c r="DV66" s="114"/>
      <c r="DW66" s="80">
        <f t="shared" si="61"/>
        <v>2892.75</v>
      </c>
      <c r="DX66" s="81">
        <f t="shared" si="29"/>
        <v>2746.0833333333335</v>
      </c>
      <c r="DY66" s="80">
        <f t="shared" si="62"/>
        <v>2913</v>
      </c>
      <c r="DZ66" s="82">
        <f t="shared" si="63"/>
        <v>4.9500000000000004E-3</v>
      </c>
      <c r="EA66" s="82">
        <f t="shared" si="64"/>
        <v>0.432</v>
      </c>
      <c r="EB66" s="82">
        <f t="shared" si="65"/>
        <v>2.169</v>
      </c>
      <c r="EC66" s="82">
        <f t="shared" si="75"/>
        <v>2.17395</v>
      </c>
      <c r="EF66" s="83">
        <f t="shared" si="105"/>
        <v>-146.66666666666649</v>
      </c>
    </row>
    <row r="67" spans="1:136" ht="14.1" customHeight="1">
      <c r="A67" s="84">
        <v>60</v>
      </c>
      <c r="B67" s="147" t="s">
        <v>309</v>
      </c>
      <c r="C67" s="148"/>
      <c r="D67" s="172" t="s">
        <v>310</v>
      </c>
      <c r="E67" s="149">
        <v>175</v>
      </c>
      <c r="F67" s="150" t="s">
        <v>147</v>
      </c>
      <c r="G67" s="45" t="str">
        <f t="shared" si="31"/>
        <v>IBC3604-H7x3-H11C14</v>
      </c>
      <c r="H67" s="46" t="str">
        <f t="shared" si="32"/>
        <v>C3604IB70HH11</v>
      </c>
      <c r="I67" s="46" t="str">
        <f t="shared" si="33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4"/>
        <v>30</v>
      </c>
      <c r="T67" s="51">
        <f>'31.01'!BG67</f>
        <v>0</v>
      </c>
      <c r="U67" s="146"/>
      <c r="V67" s="100">
        <v>2.44</v>
      </c>
      <c r="W67" s="151">
        <f t="shared" si="5"/>
        <v>0</v>
      </c>
      <c r="X67" s="151">
        <f t="shared" si="6"/>
        <v>0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5"/>
        <v>0</v>
      </c>
      <c r="AF67" s="54">
        <f>AE67+'31.01'!AF67</f>
        <v>0</v>
      </c>
      <c r="AG67" s="94">
        <f t="shared" si="66"/>
        <v>0</v>
      </c>
      <c r="AH67" s="56">
        <f t="shared" si="13"/>
        <v>0</v>
      </c>
      <c r="AI67" s="151"/>
      <c r="AJ67" s="93">
        <f t="shared" si="67"/>
        <v>0</v>
      </c>
      <c r="AK67" s="95">
        <f t="shared" si="36"/>
        <v>1</v>
      </c>
      <c r="AL67" s="58">
        <f t="shared" si="37"/>
        <v>0</v>
      </c>
      <c r="AM67" s="55">
        <f t="shared" si="68"/>
        <v>0</v>
      </c>
      <c r="AN67" s="151"/>
      <c r="AO67" s="145"/>
      <c r="AP67" s="145">
        <f>$CJ67</f>
        <v>0</v>
      </c>
      <c r="AQ67" s="145"/>
      <c r="AR67" s="145"/>
      <c r="AS67" s="145"/>
      <c r="AT67" s="145"/>
      <c r="AU67" s="145">
        <f t="shared" si="38"/>
        <v>0</v>
      </c>
      <c r="AV67" s="145">
        <f t="shared" si="38"/>
        <v>0</v>
      </c>
      <c r="AW67" s="145">
        <f t="shared" si="39"/>
        <v>0</v>
      </c>
      <c r="AX67" s="145">
        <f t="shared" si="40"/>
        <v>0</v>
      </c>
      <c r="AY67" s="94">
        <f t="shared" si="69"/>
        <v>0</v>
      </c>
      <c r="AZ67" s="94">
        <f t="shared" si="41"/>
        <v>0</v>
      </c>
      <c r="BA67" s="94">
        <f t="shared" si="42"/>
        <v>0</v>
      </c>
      <c r="BB67" s="97">
        <f t="shared" si="43"/>
        <v>0</v>
      </c>
      <c r="BC67" s="151"/>
      <c r="BD67" s="93">
        <f t="shared" si="44"/>
        <v>0</v>
      </c>
      <c r="BE67" s="152">
        <f t="shared" si="45"/>
        <v>1</v>
      </c>
      <c r="BF67" s="58">
        <f t="shared" si="46"/>
        <v>0</v>
      </c>
      <c r="BG67" s="94">
        <f t="shared" si="47"/>
        <v>0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0"/>
        <v>0</v>
      </c>
      <c r="BP67" s="146">
        <f t="shared" si="70"/>
        <v>0</v>
      </c>
      <c r="BQ67" s="145">
        <f t="shared" si="48"/>
        <v>0</v>
      </c>
      <c r="BR67" s="145">
        <f t="shared" si="49"/>
        <v>0</v>
      </c>
      <c r="BS67" s="96">
        <f t="shared" si="71"/>
        <v>0</v>
      </c>
      <c r="BT67" s="145">
        <f t="shared" si="50"/>
        <v>0</v>
      </c>
      <c r="BU67" s="146">
        <f t="shared" si="16"/>
        <v>0</v>
      </c>
      <c r="BV67" s="153">
        <f t="shared" si="17"/>
        <v>0</v>
      </c>
      <c r="BW67" s="146">
        <f t="shared" si="18"/>
        <v>0</v>
      </c>
      <c r="BX67" s="153">
        <f t="shared" si="51"/>
        <v>0</v>
      </c>
      <c r="BY67" s="61">
        <f t="shared" si="73"/>
        <v>0</v>
      </c>
      <c r="BZ67" s="62">
        <f t="shared" si="52"/>
        <v>0</v>
      </c>
      <c r="CA67" s="153">
        <f t="shared" si="53"/>
        <v>0</v>
      </c>
      <c r="CB67" s="146">
        <f t="shared" si="96"/>
        <v>0</v>
      </c>
      <c r="CC67" s="146">
        <f t="shared" si="96"/>
        <v>0</v>
      </c>
      <c r="CD67" s="146">
        <f t="shared" si="96"/>
        <v>0</v>
      </c>
      <c r="CE67" s="150"/>
      <c r="CF67" s="150"/>
      <c r="CG67" s="51">
        <f t="shared" si="54"/>
        <v>0</v>
      </c>
      <c r="CH67" s="62">
        <f t="shared" si="55"/>
        <v>0</v>
      </c>
      <c r="CI67" s="150"/>
      <c r="CJ67" s="150"/>
      <c r="CK67" s="150"/>
      <c r="CL67" s="145"/>
      <c r="CM67" s="150"/>
      <c r="CN67" s="150"/>
      <c r="CO67" s="146"/>
      <c r="CP67" s="154"/>
      <c r="CQ67" s="102">
        <f t="shared" si="99"/>
        <v>0</v>
      </c>
      <c r="CR67" s="102">
        <f t="shared" si="99"/>
        <v>0</v>
      </c>
      <c r="CS67" s="102">
        <f t="shared" si="99"/>
        <v>0</v>
      </c>
      <c r="CT67" s="92">
        <f t="shared" si="57"/>
        <v>0</v>
      </c>
      <c r="CU67" s="92">
        <f t="shared" si="100"/>
        <v>0</v>
      </c>
      <c r="CV67" s="103">
        <f t="shared" si="100"/>
        <v>0</v>
      </c>
      <c r="CW67" s="155" t="s">
        <v>147</v>
      </c>
      <c r="CX67" s="156">
        <v>15</v>
      </c>
      <c r="CY67" s="157">
        <f t="shared" si="59"/>
        <v>2676</v>
      </c>
      <c r="CZ67" s="157">
        <f t="shared" si="60"/>
        <v>60.750000000000007</v>
      </c>
      <c r="DA67" s="157"/>
      <c r="DB67" s="157"/>
      <c r="DC67" s="156"/>
      <c r="DD67" s="158"/>
      <c r="DE67" s="92">
        <f t="shared" si="21"/>
        <v>0</v>
      </c>
      <c r="DF67" s="108">
        <f t="shared" si="22"/>
        <v>0</v>
      </c>
      <c r="DG67" s="115">
        <f t="shared" si="23"/>
        <v>0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6"/>
        <v>0</v>
      </c>
      <c r="DL67" s="108">
        <f t="shared" si="86"/>
        <v>0</v>
      </c>
      <c r="DM67" s="111">
        <f t="shared" si="86"/>
        <v>0</v>
      </c>
      <c r="DN67" s="76">
        <f t="shared" si="89"/>
        <v>0</v>
      </c>
      <c r="DO67" s="76">
        <f t="shared" si="89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09">IFERROR(AL67+BF67,"")</f>
        <v>0</v>
      </c>
      <c r="DX67" s="159">
        <f t="shared" si="29"/>
        <v>0</v>
      </c>
      <c r="DY67" s="80">
        <f t="shared" si="62"/>
        <v>0</v>
      </c>
      <c r="DZ67" s="82">
        <f t="shared" si="63"/>
        <v>0</v>
      </c>
      <c r="EA67" s="82">
        <f t="shared" si="64"/>
        <v>0</v>
      </c>
      <c r="EB67" s="82">
        <f t="shared" si="65"/>
        <v>0</v>
      </c>
      <c r="EC67" s="82">
        <f>(BX67-CA67)+((AV67+BP67)/1000)</f>
        <v>0</v>
      </c>
      <c r="EF67" s="83">
        <f t="shared" si="105"/>
        <v>0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1"/>
        <v>TVA2011-T3-6.35x3-H9A14</v>
      </c>
      <c r="H68" s="46" t="str">
        <f t="shared" si="32"/>
        <v>A2011-T3TV6.350DH9</v>
      </c>
      <c r="I68" s="46" t="str">
        <f t="shared" si="33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4"/>
        <v>8</v>
      </c>
      <c r="T68" s="51">
        <f>'31.01'!BG68</f>
        <v>4.9999999999999982</v>
      </c>
      <c r="U68" s="92">
        <v>25</v>
      </c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10659</v>
      </c>
      <c r="AC68" s="93">
        <f t="shared" si="11"/>
        <v>0</v>
      </c>
      <c r="AD68" s="93">
        <f t="shared" si="12"/>
        <v>0</v>
      </c>
      <c r="AE68" s="93">
        <f t="shared" si="35"/>
        <v>10659</v>
      </c>
      <c r="AF68" s="54">
        <f>AE68+'31.01'!AF68</f>
        <v>21691</v>
      </c>
      <c r="AG68" s="94">
        <f t="shared" si="66"/>
        <v>4.9999999999999982</v>
      </c>
      <c r="AH68" s="56">
        <f t="shared" si="13"/>
        <v>0</v>
      </c>
      <c r="AI68" s="93">
        <v>12</v>
      </c>
      <c r="AJ68" s="93">
        <f t="shared" si="67"/>
        <v>0</v>
      </c>
      <c r="AK68" s="95">
        <f t="shared" si="36"/>
        <v>1</v>
      </c>
      <c r="AL68" s="58">
        <f t="shared" si="37"/>
        <v>12</v>
      </c>
      <c r="AM68" s="55">
        <f t="shared" si="68"/>
        <v>18</v>
      </c>
      <c r="AN68" s="93"/>
      <c r="AO68" s="96"/>
      <c r="AP68" s="96"/>
      <c r="AQ68" s="96"/>
      <c r="AR68" s="96"/>
      <c r="AS68" s="96"/>
      <c r="AT68" s="96">
        <f t="shared" ref="AT68:AT73" si="110">$CJ68</f>
        <v>2100</v>
      </c>
      <c r="AU68" s="96">
        <f t="shared" si="38"/>
        <v>0</v>
      </c>
      <c r="AV68" s="96">
        <f t="shared" si="38"/>
        <v>0</v>
      </c>
      <c r="AW68" s="96">
        <f t="shared" si="39"/>
        <v>2100</v>
      </c>
      <c r="AX68" s="96">
        <f t="shared" si="40"/>
        <v>5329</v>
      </c>
      <c r="AY68" s="94">
        <f t="shared" si="69"/>
        <v>14.951999999999771</v>
      </c>
      <c r="AZ68" s="94">
        <f t="shared" si="41"/>
        <v>37.949238578679619</v>
      </c>
      <c r="BA68" s="94">
        <f t="shared" si="42"/>
        <v>18</v>
      </c>
      <c r="BB68" s="97">
        <f t="shared" si="43"/>
        <v>0</v>
      </c>
      <c r="BC68" s="93">
        <v>12</v>
      </c>
      <c r="BD68" s="93">
        <f t="shared" si="44"/>
        <v>160</v>
      </c>
      <c r="BE68" s="95">
        <f t="shared" si="45"/>
        <v>0.9208421101096953</v>
      </c>
      <c r="BF68" s="58">
        <f t="shared" si="46"/>
        <v>11.93</v>
      </c>
      <c r="BG68" s="94">
        <f t="shared" si="47"/>
        <v>6.07</v>
      </c>
      <c r="BH68" s="89"/>
      <c r="BI68" s="89"/>
      <c r="BJ68" s="92"/>
      <c r="BK68" s="89"/>
      <c r="BL68" s="89"/>
      <c r="BM68" s="89"/>
      <c r="BN68" s="92">
        <f t="shared" ref="BN68:BN73" si="111">$CN68</f>
        <v>2100</v>
      </c>
      <c r="BO68" s="92">
        <f t="shared" si="70"/>
        <v>0</v>
      </c>
      <c r="BP68" s="92">
        <f t="shared" si="70"/>
        <v>0</v>
      </c>
      <c r="BQ68" s="96">
        <f t="shared" si="48"/>
        <v>2100</v>
      </c>
      <c r="BR68" s="96">
        <f t="shared" si="49"/>
        <v>5329</v>
      </c>
      <c r="BS68" s="96">
        <f t="shared" si="71"/>
        <v>27.114779999999882</v>
      </c>
      <c r="BT68" s="96">
        <f t="shared" si="50"/>
        <v>68.819238578679901</v>
      </c>
      <c r="BU68" s="92">
        <f t="shared" si="16"/>
        <v>10659</v>
      </c>
      <c r="BV68" s="98">
        <f t="shared" si="17"/>
        <v>23.93</v>
      </c>
      <c r="BW68" s="92">
        <f t="shared" si="18"/>
        <v>106.76847715735951</v>
      </c>
      <c r="BX68" s="98">
        <f t="shared" si="51"/>
        <v>6.2218</v>
      </c>
      <c r="BY68" s="61">
        <f t="shared" si="73"/>
        <v>23.93</v>
      </c>
      <c r="BZ68" s="62">
        <f t="shared" si="52"/>
        <v>23.93</v>
      </c>
      <c r="CA68" s="98">
        <f t="shared" si="53"/>
        <v>4.2</v>
      </c>
      <c r="CB68" s="92">
        <f t="shared" si="96"/>
        <v>10658</v>
      </c>
      <c r="CC68" s="92">
        <f t="shared" si="96"/>
        <v>42.066779999999653</v>
      </c>
      <c r="CD68" s="92">
        <f t="shared" si="96"/>
        <v>106.76847715735951</v>
      </c>
      <c r="CE68" s="99"/>
      <c r="CF68" s="99"/>
      <c r="CG68" s="51">
        <f t="shared" si="54"/>
        <v>2.0217999999999998</v>
      </c>
      <c r="CH68" s="62">
        <f t="shared" si="55"/>
        <v>2.0217999999999998</v>
      </c>
      <c r="CI68" s="89"/>
      <c r="CJ68" s="89">
        <v>2100</v>
      </c>
      <c r="CK68" s="89"/>
      <c r="CL68" s="96"/>
      <c r="CM68" s="89">
        <v>160</v>
      </c>
      <c r="CN68" s="89">
        <v>2100</v>
      </c>
      <c r="CO68" s="92"/>
      <c r="CP68" s="101"/>
      <c r="CQ68" s="102">
        <f t="shared" si="99"/>
        <v>5329</v>
      </c>
      <c r="CR68" s="102">
        <f t="shared" si="99"/>
        <v>0</v>
      </c>
      <c r="CS68" s="102">
        <f t="shared" si="99"/>
        <v>0</v>
      </c>
      <c r="CT68" s="92">
        <f t="shared" si="57"/>
        <v>5330</v>
      </c>
      <c r="CU68" s="92">
        <f t="shared" si="100"/>
        <v>0</v>
      </c>
      <c r="CV68" s="103">
        <f t="shared" si="100"/>
        <v>0</v>
      </c>
      <c r="CW68" s="104" t="s">
        <v>147</v>
      </c>
      <c r="CX68" s="105">
        <v>23.98</v>
      </c>
      <c r="CY68" s="106">
        <f t="shared" si="59"/>
        <v>1763</v>
      </c>
      <c r="CZ68" s="106">
        <f t="shared" si="60"/>
        <v>97.119</v>
      </c>
      <c r="DA68" s="106"/>
      <c r="DB68" s="106"/>
      <c r="DC68" s="105"/>
      <c r="DD68" s="107"/>
      <c r="DE68" s="92">
        <f t="shared" si="21"/>
        <v>5329</v>
      </c>
      <c r="DF68" s="108">
        <f t="shared" si="22"/>
        <v>12</v>
      </c>
      <c r="DG68" s="115">
        <f t="shared" si="23"/>
        <v>37.949238578679619</v>
      </c>
      <c r="DH68" s="110">
        <f t="shared" si="24"/>
        <v>5330</v>
      </c>
      <c r="DI68" s="108">
        <f t="shared" si="25"/>
        <v>11.93</v>
      </c>
      <c r="DJ68" s="115">
        <f t="shared" si="26"/>
        <v>68.819238578679901</v>
      </c>
      <c r="DK68" s="110">
        <f t="shared" si="86"/>
        <v>10659</v>
      </c>
      <c r="DL68" s="108">
        <f t="shared" si="86"/>
        <v>23.93</v>
      </c>
      <c r="DM68" s="111">
        <f t="shared" si="86"/>
        <v>106.76847715735951</v>
      </c>
      <c r="DN68" s="76">
        <f t="shared" si="89"/>
        <v>4.9999999999999982</v>
      </c>
      <c r="DO68" s="76">
        <f t="shared" si="89"/>
        <v>25</v>
      </c>
      <c r="DP68" s="112"/>
      <c r="DQ68" s="112"/>
      <c r="DR68" s="113" t="s">
        <v>458</v>
      </c>
      <c r="DS68" s="112"/>
      <c r="DT68" s="112"/>
      <c r="DU68" s="111"/>
      <c r="DV68" s="114"/>
      <c r="DW68" s="80">
        <f t="shared" si="109"/>
        <v>23.93</v>
      </c>
      <c r="DX68" s="81">
        <f t="shared" si="29"/>
        <v>10789.698477157361</v>
      </c>
      <c r="DY68" s="80">
        <f t="shared" si="62"/>
        <v>10659</v>
      </c>
      <c r="DZ68" s="82">
        <f t="shared" si="63"/>
        <v>0</v>
      </c>
      <c r="EA68" s="82">
        <f t="shared" si="64"/>
        <v>4.1996459999999995</v>
      </c>
      <c r="EB68" s="82">
        <f t="shared" si="65"/>
        <v>2.0221540000000005</v>
      </c>
      <c r="EC68" s="82">
        <f t="shared" si="75"/>
        <v>2.0221540000000005</v>
      </c>
      <c r="EF68" s="83">
        <f t="shared" si="105"/>
        <v>106.76847715735951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1"/>
        <v>GAA5052-5.7x3-H9A14</v>
      </c>
      <c r="H69" s="46" t="str">
        <f t="shared" si="32"/>
        <v>A5052GA5.70DH9</v>
      </c>
      <c r="I69" s="46" t="str">
        <f t="shared" si="33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4"/>
        <v>20</v>
      </c>
      <c r="T69" s="51">
        <f>'31.01'!BG69</f>
        <v>14.77</v>
      </c>
      <c r="U69" s="92">
        <v>13</v>
      </c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3133</v>
      </c>
      <c r="AC69" s="93">
        <f t="shared" si="11"/>
        <v>0</v>
      </c>
      <c r="AD69" s="93">
        <f t="shared" si="12"/>
        <v>33</v>
      </c>
      <c r="AE69" s="93">
        <f t="shared" si="35"/>
        <v>3133</v>
      </c>
      <c r="AF69" s="54">
        <f>AE69+'31.01'!AF69</f>
        <v>5913</v>
      </c>
      <c r="AG69" s="94">
        <f t="shared" si="66"/>
        <v>14.77</v>
      </c>
      <c r="AH69" s="56">
        <f t="shared" si="13"/>
        <v>0.77</v>
      </c>
      <c r="AI69" s="93">
        <v>6</v>
      </c>
      <c r="AJ69" s="93">
        <f t="shared" si="67"/>
        <v>16</v>
      </c>
      <c r="AK69" s="95">
        <f t="shared" si="36"/>
        <v>0.44444444444444448</v>
      </c>
      <c r="AL69" s="58">
        <f t="shared" si="37"/>
        <v>6.22</v>
      </c>
      <c r="AM69" s="55">
        <f t="shared" si="68"/>
        <v>21.55</v>
      </c>
      <c r="AN69" s="93"/>
      <c r="AO69" s="96"/>
      <c r="AP69" s="96"/>
      <c r="AQ69" s="96"/>
      <c r="AR69" s="96"/>
      <c r="AS69" s="96"/>
      <c r="AT69" s="96">
        <f t="shared" si="110"/>
        <v>210</v>
      </c>
      <c r="AU69" s="96">
        <f t="shared" si="38"/>
        <v>0</v>
      </c>
      <c r="AV69" s="96">
        <f t="shared" si="38"/>
        <v>5</v>
      </c>
      <c r="AW69" s="96">
        <f t="shared" si="39"/>
        <v>215</v>
      </c>
      <c r="AX69" s="96">
        <f t="shared" si="40"/>
        <v>1433</v>
      </c>
      <c r="AY69" s="94">
        <f t="shared" si="69"/>
        <v>-8.9199999999999875</v>
      </c>
      <c r="AZ69" s="94">
        <f t="shared" si="41"/>
        <v>-59.466666666666583</v>
      </c>
      <c r="BA69" s="94">
        <f t="shared" si="42"/>
        <v>21.55</v>
      </c>
      <c r="BB69" s="97">
        <f t="shared" si="43"/>
        <v>0.55000000000000004</v>
      </c>
      <c r="BC69" s="93">
        <v>7</v>
      </c>
      <c r="BD69" s="93">
        <f t="shared" si="44"/>
        <v>0</v>
      </c>
      <c r="BE69" s="95">
        <f t="shared" si="45"/>
        <v>1</v>
      </c>
      <c r="BF69" s="58">
        <f t="shared" si="46"/>
        <v>7.55</v>
      </c>
      <c r="BG69" s="94">
        <f t="shared" si="47"/>
        <v>14</v>
      </c>
      <c r="BH69" s="89"/>
      <c r="BI69" s="89"/>
      <c r="BJ69" s="89"/>
      <c r="BK69" s="89"/>
      <c r="BL69" s="89"/>
      <c r="BM69" s="89"/>
      <c r="BN69" s="92">
        <f t="shared" si="111"/>
        <v>260</v>
      </c>
      <c r="BO69" s="92">
        <f t="shared" si="70"/>
        <v>0</v>
      </c>
      <c r="BP69" s="92">
        <f t="shared" si="70"/>
        <v>0</v>
      </c>
      <c r="BQ69" s="96">
        <f t="shared" si="48"/>
        <v>260</v>
      </c>
      <c r="BR69" s="96">
        <f t="shared" si="49"/>
        <v>1733</v>
      </c>
      <c r="BS69" s="96">
        <f t="shared" si="71"/>
        <v>-11.800000000000011</v>
      </c>
      <c r="BT69" s="96">
        <f>IF($V69="","",BS69/$V69)</f>
        <v>-78.666666666666742</v>
      </c>
      <c r="BU69" s="92">
        <f t="shared" si="16"/>
        <v>3133</v>
      </c>
      <c r="BV69" s="98">
        <f t="shared" si="17"/>
        <v>13.77</v>
      </c>
      <c r="BW69" s="92">
        <f t="shared" si="18"/>
        <v>-138.13333333333333</v>
      </c>
      <c r="BX69" s="98">
        <f t="shared" si="51"/>
        <v>2.8090799999999998</v>
      </c>
      <c r="BY69" s="61">
        <f t="shared" si="73"/>
        <v>13.77</v>
      </c>
      <c r="BZ69" s="62">
        <f t="shared" si="52"/>
        <v>13.77</v>
      </c>
      <c r="CA69" s="98">
        <f t="shared" si="53"/>
        <v>0.47499999999999998</v>
      </c>
      <c r="CB69" s="92">
        <f t="shared" si="96"/>
        <v>3166</v>
      </c>
      <c r="CC69" s="92">
        <f t="shared" si="96"/>
        <v>-20.72</v>
      </c>
      <c r="CD69" s="92">
        <f t="shared" si="96"/>
        <v>-138.13333333333333</v>
      </c>
      <c r="CE69" s="99"/>
      <c r="CF69" s="99"/>
      <c r="CG69" s="51">
        <f t="shared" si="54"/>
        <v>2.3390799999999996</v>
      </c>
      <c r="CH69" s="62">
        <f t="shared" si="55"/>
        <v>2.3390799999999996</v>
      </c>
      <c r="CI69" s="89">
        <v>16</v>
      </c>
      <c r="CJ69" s="89">
        <v>210</v>
      </c>
      <c r="CK69" s="89"/>
      <c r="CL69" s="96">
        <v>5</v>
      </c>
      <c r="CM69" s="89"/>
      <c r="CN69" s="89">
        <v>260</v>
      </c>
      <c r="CO69" s="92"/>
      <c r="CP69" s="101"/>
      <c r="CQ69" s="102">
        <f t="shared" si="99"/>
        <v>1400</v>
      </c>
      <c r="CR69" s="102">
        <f t="shared" si="99"/>
        <v>0</v>
      </c>
      <c r="CS69" s="102">
        <f t="shared" si="99"/>
        <v>33</v>
      </c>
      <c r="CT69" s="92">
        <f t="shared" si="57"/>
        <v>1733</v>
      </c>
      <c r="CU69" s="92">
        <f t="shared" si="100"/>
        <v>0</v>
      </c>
      <c r="CV69" s="103">
        <f t="shared" si="100"/>
        <v>0</v>
      </c>
      <c r="CW69" s="104" t="s">
        <v>147</v>
      </c>
      <c r="CX69" s="105">
        <v>16.8</v>
      </c>
      <c r="CY69" s="106">
        <f t="shared" si="59"/>
        <v>2453</v>
      </c>
      <c r="CZ69" s="106">
        <f t="shared" si="60"/>
        <v>68.040000000000006</v>
      </c>
      <c r="DA69" s="106"/>
      <c r="DB69" s="106"/>
      <c r="DC69" s="105"/>
      <c r="DD69" s="107"/>
      <c r="DE69" s="92">
        <f t="shared" si="21"/>
        <v>1400</v>
      </c>
      <c r="DF69" s="108">
        <f t="shared" si="22"/>
        <v>6.22</v>
      </c>
      <c r="DG69" s="115">
        <f t="shared" si="23"/>
        <v>-59.466666666666583</v>
      </c>
      <c r="DH69" s="110">
        <f t="shared" si="24"/>
        <v>1733</v>
      </c>
      <c r="DI69" s="108">
        <f t="shared" si="25"/>
        <v>7.55</v>
      </c>
      <c r="DJ69" s="112">
        <f t="shared" si="26"/>
        <v>-78.666666666666742</v>
      </c>
      <c r="DK69" s="110">
        <f t="shared" si="86"/>
        <v>3133</v>
      </c>
      <c r="DL69" s="108">
        <f t="shared" si="86"/>
        <v>13.77</v>
      </c>
      <c r="DM69" s="111">
        <f t="shared" si="86"/>
        <v>-138.13333333333333</v>
      </c>
      <c r="DN69" s="76">
        <v>12</v>
      </c>
      <c r="DO69" s="76">
        <f t="shared" si="89"/>
        <v>13</v>
      </c>
      <c r="DP69" s="112"/>
      <c r="DQ69" s="112"/>
      <c r="DR69" s="113" t="s">
        <v>459</v>
      </c>
      <c r="DS69" s="112"/>
      <c r="DT69" s="112"/>
      <c r="DU69" s="111"/>
      <c r="DV69" s="114"/>
      <c r="DW69" s="80">
        <f t="shared" si="61"/>
        <v>3146.77</v>
      </c>
      <c r="DX69" s="81">
        <f t="shared" si="29"/>
        <v>3008.6366666666668</v>
      </c>
      <c r="DY69" s="80">
        <f t="shared" si="62"/>
        <v>3166</v>
      </c>
      <c r="DZ69" s="82">
        <f t="shared" si="63"/>
        <v>4.9500000000000004E-3</v>
      </c>
      <c r="EA69" s="82">
        <f t="shared" si="64"/>
        <v>0.46994999999999998</v>
      </c>
      <c r="EB69" s="82">
        <f t="shared" si="65"/>
        <v>2.3391299999999999</v>
      </c>
      <c r="EC69" s="82">
        <f t="shared" si="75"/>
        <v>2.3440799999999999</v>
      </c>
      <c r="EF69" s="83">
        <f t="shared" si="105"/>
        <v>-138.13333333333333</v>
      </c>
    </row>
    <row r="70" spans="1:136" ht="14.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1"/>
        <v>YHC2700-5.5x3-H9A14</v>
      </c>
      <c r="H70" s="46" t="str">
        <f t="shared" si="32"/>
        <v>C2700YH5.50DH9</v>
      </c>
      <c r="I70" s="46" t="str">
        <f t="shared" si="33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4"/>
        <v>24</v>
      </c>
      <c r="T70" s="51">
        <f>'31.01'!BG70</f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>AE70+'31.01'!AF70</f>
        <v>0</v>
      </c>
      <c r="AG70" s="94">
        <f t="shared" si="66"/>
        <v>0</v>
      </c>
      <c r="AH70" s="56">
        <f t="shared" si="13"/>
        <v>0</v>
      </c>
      <c r="AI70" s="93"/>
      <c r="AJ70" s="93">
        <f t="shared" si="67"/>
        <v>0</v>
      </c>
      <c r="AK70" s="95">
        <f t="shared" si="36"/>
        <v>1</v>
      </c>
      <c r="AL70" s="58">
        <f t="shared" si="37"/>
        <v>0</v>
      </c>
      <c r="AM70" s="55">
        <f t="shared" si="68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8"/>
        <v>0</v>
      </c>
      <c r="AV70" s="96">
        <f t="shared" si="38"/>
        <v>0</v>
      </c>
      <c r="AW70" s="96">
        <f t="shared" si="39"/>
        <v>0</v>
      </c>
      <c r="AX70" s="96">
        <f>IF(V70="","",INT(AW70/$V70))</f>
        <v>0</v>
      </c>
      <c r="AY70" s="94">
        <f t="shared" si="69"/>
        <v>0</v>
      </c>
      <c r="AZ70" s="94">
        <f t="shared" si="41"/>
        <v>0</v>
      </c>
      <c r="BA70" s="94">
        <f t="shared" si="42"/>
        <v>0</v>
      </c>
      <c r="BB70" s="97">
        <f t="shared" si="43"/>
        <v>0</v>
      </c>
      <c r="BC70" s="93"/>
      <c r="BD70" s="93">
        <f t="shared" si="44"/>
        <v>0</v>
      </c>
      <c r="BE70" s="95">
        <f t="shared" si="45"/>
        <v>1</v>
      </c>
      <c r="BF70" s="58">
        <f t="shared" si="46"/>
        <v>0</v>
      </c>
      <c r="BG70" s="94">
        <f t="shared" si="47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0"/>
        <v>0</v>
      </c>
      <c r="BP70" s="92">
        <f t="shared" si="70"/>
        <v>0</v>
      </c>
      <c r="BQ70" s="96">
        <f t="shared" si="48"/>
        <v>0</v>
      </c>
      <c r="BR70" s="96">
        <f t="shared" si="49"/>
        <v>0</v>
      </c>
      <c r="BS70" s="96">
        <f t="shared" si="71"/>
        <v>0</v>
      </c>
      <c r="BT70" s="96">
        <f t="shared" si="50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1"/>
        <v>0</v>
      </c>
      <c r="BY70" s="61">
        <f t="shared" si="73"/>
        <v>0</v>
      </c>
      <c r="BZ70" s="62">
        <f t="shared" si="52"/>
        <v>0</v>
      </c>
      <c r="CA70" s="98">
        <f t="shared" si="53"/>
        <v>0</v>
      </c>
      <c r="CB70" s="92">
        <f t="shared" si="96"/>
        <v>0</v>
      </c>
      <c r="CC70" s="92">
        <f t="shared" si="96"/>
        <v>0</v>
      </c>
      <c r="CD70" s="92">
        <f t="shared" si="96"/>
        <v>0</v>
      </c>
      <c r="CE70" s="99"/>
      <c r="CF70" s="99"/>
      <c r="CG70" s="51">
        <f t="shared" si="54"/>
        <v>0</v>
      </c>
      <c r="CH70" s="62">
        <f t="shared" si="55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99"/>
        <v>0</v>
      </c>
      <c r="CR70" s="102">
        <f t="shared" si="99"/>
        <v>0</v>
      </c>
      <c r="CS70" s="102">
        <f t="shared" si="99"/>
        <v>0</v>
      </c>
      <c r="CT70" s="92">
        <f t="shared" si="57"/>
        <v>0</v>
      </c>
      <c r="CU70" s="92">
        <f t="shared" si="100"/>
        <v>0</v>
      </c>
      <c r="CV70" s="103">
        <f t="shared" si="100"/>
        <v>0</v>
      </c>
      <c r="CW70" s="104" t="s">
        <v>147</v>
      </c>
      <c r="CX70" s="105">
        <v>20</v>
      </c>
      <c r="CY70" s="106">
        <f t="shared" si="59"/>
        <v>2034</v>
      </c>
      <c r="CZ70" s="106">
        <f t="shared" si="60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6"/>
        <v>0</v>
      </c>
      <c r="DL70" s="108">
        <f t="shared" si="86"/>
        <v>0</v>
      </c>
      <c r="DM70" s="111">
        <f t="shared" si="86"/>
        <v>0</v>
      </c>
      <c r="DN70" s="76">
        <f t="shared" si="89"/>
        <v>0</v>
      </c>
      <c r="DO70" s="76">
        <f t="shared" si="89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1"/>
        <v>0</v>
      </c>
      <c r="DX70" s="81">
        <f t="shared" si="29"/>
        <v>0</v>
      </c>
      <c r="DY70" s="80">
        <f t="shared" si="62"/>
        <v>0</v>
      </c>
      <c r="DZ70" s="82">
        <f t="shared" si="63"/>
        <v>0</v>
      </c>
      <c r="EA70" s="82">
        <f t="shared" si="64"/>
        <v>0</v>
      </c>
      <c r="EB70" s="82">
        <f t="shared" si="65"/>
        <v>0</v>
      </c>
      <c r="EC70" s="82">
        <f>(BX70-CA70)+((AV70+BP70)/1000)</f>
        <v>0</v>
      </c>
      <c r="EF70" s="83">
        <f t="shared" si="105"/>
        <v>0</v>
      </c>
    </row>
    <row r="71" spans="1:136" ht="14.1" customHeight="1">
      <c r="A71" s="84">
        <v>64</v>
      </c>
      <c r="B71" s="85" t="s">
        <v>319</v>
      </c>
      <c r="C71" s="86"/>
      <c r="D71" s="119">
        <v>8400</v>
      </c>
      <c r="E71" s="88">
        <v>92</v>
      </c>
      <c r="F71" s="89" t="s">
        <v>147</v>
      </c>
      <c r="G71" s="45" t="str">
        <f t="shared" si="31"/>
        <v>IBC3604-6.2x3-H9B14</v>
      </c>
      <c r="H71" s="46" t="str">
        <f t="shared" si="32"/>
        <v>C3604IB6.20DH9</v>
      </c>
      <c r="I71" s="46" t="str">
        <f t="shared" si="33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4"/>
        <v>38</v>
      </c>
      <c r="T71" s="51">
        <f>'31.01'!BG71</f>
        <v>0</v>
      </c>
      <c r="U71" s="92"/>
      <c r="V71" s="100">
        <v>4.26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5"/>
        <v>0</v>
      </c>
      <c r="AF71" s="54">
        <f>AE71+'31.01'!AF71</f>
        <v>0</v>
      </c>
      <c r="AG71" s="94">
        <f t="shared" si="66"/>
        <v>0</v>
      </c>
      <c r="AH71" s="56">
        <f t="shared" si="13"/>
        <v>0</v>
      </c>
      <c r="AI71" s="93"/>
      <c r="AJ71" s="93">
        <f t="shared" si="67"/>
        <v>0</v>
      </c>
      <c r="AK71" s="95">
        <f t="shared" si="36"/>
        <v>1</v>
      </c>
      <c r="AL71" s="58">
        <f t="shared" si="37"/>
        <v>0</v>
      </c>
      <c r="AM71" s="55">
        <f t="shared" si="68"/>
        <v>0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8"/>
        <v>0</v>
      </c>
      <c r="AV71" s="96">
        <f t="shared" si="38"/>
        <v>0</v>
      </c>
      <c r="AW71" s="96">
        <f t="shared" si="39"/>
        <v>0</v>
      </c>
      <c r="AX71" s="96">
        <f t="shared" si="40"/>
        <v>0</v>
      </c>
      <c r="AY71" s="94">
        <f t="shared" si="69"/>
        <v>0</v>
      </c>
      <c r="AZ71" s="94">
        <f t="shared" si="41"/>
        <v>0</v>
      </c>
      <c r="BA71" s="94">
        <f t="shared" si="42"/>
        <v>0</v>
      </c>
      <c r="BB71" s="97">
        <f t="shared" si="43"/>
        <v>0</v>
      </c>
      <c r="BC71" s="93"/>
      <c r="BD71" s="93">
        <f t="shared" si="44"/>
        <v>0</v>
      </c>
      <c r="BE71" s="95">
        <f t="shared" si="45"/>
        <v>1</v>
      </c>
      <c r="BF71" s="58">
        <f t="shared" si="46"/>
        <v>0</v>
      </c>
      <c r="BG71" s="94">
        <f t="shared" si="47"/>
        <v>0</v>
      </c>
      <c r="BH71" s="89"/>
      <c r="BI71" s="89"/>
      <c r="BJ71" s="92">
        <f>$CN71</f>
        <v>0</v>
      </c>
      <c r="BK71" s="89"/>
      <c r="BL71" s="89"/>
      <c r="BM71" s="89"/>
      <c r="BN71" s="89"/>
      <c r="BO71" s="92">
        <f t="shared" si="70"/>
        <v>0</v>
      </c>
      <c r="BP71" s="92">
        <f t="shared" si="70"/>
        <v>0</v>
      </c>
      <c r="BQ71" s="96">
        <f t="shared" si="48"/>
        <v>0</v>
      </c>
      <c r="BR71" s="96">
        <f t="shared" si="49"/>
        <v>0</v>
      </c>
      <c r="BS71" s="96">
        <f t="shared" si="71"/>
        <v>0</v>
      </c>
      <c r="BT71" s="96">
        <f t="shared" si="50"/>
        <v>0</v>
      </c>
      <c r="BU71" s="92">
        <f t="shared" si="16"/>
        <v>0</v>
      </c>
      <c r="BV71" s="98">
        <f t="shared" si="17"/>
        <v>0</v>
      </c>
      <c r="BW71" s="92">
        <f t="shared" si="18"/>
        <v>0</v>
      </c>
      <c r="BX71" s="98">
        <f t="shared" si="51"/>
        <v>0</v>
      </c>
      <c r="BY71" s="61">
        <f t="shared" si="73"/>
        <v>0</v>
      </c>
      <c r="BZ71" s="62">
        <f t="shared" si="52"/>
        <v>0</v>
      </c>
      <c r="CA71" s="98">
        <f t="shared" si="53"/>
        <v>0</v>
      </c>
      <c r="CB71" s="92">
        <f t="shared" si="96"/>
        <v>0</v>
      </c>
      <c r="CC71" s="92">
        <f t="shared" si="96"/>
        <v>0</v>
      </c>
      <c r="CD71" s="92">
        <f t="shared" si="96"/>
        <v>0</v>
      </c>
      <c r="CE71" s="99"/>
      <c r="CF71" s="99"/>
      <c r="CG71" s="51">
        <f t="shared" si="54"/>
        <v>0</v>
      </c>
      <c r="CH71" s="62">
        <f t="shared" si="55"/>
        <v>0</v>
      </c>
      <c r="CI71" s="89"/>
      <c r="CJ71" s="89"/>
      <c r="CK71" s="89"/>
      <c r="CL71" s="96"/>
      <c r="CM71" s="89"/>
      <c r="CN71" s="89"/>
      <c r="CO71" s="92"/>
      <c r="CP71" s="101"/>
      <c r="CQ71" s="102">
        <f t="shared" si="99"/>
        <v>0</v>
      </c>
      <c r="CR71" s="102">
        <f t="shared" si="99"/>
        <v>0</v>
      </c>
      <c r="CS71" s="102">
        <f t="shared" si="99"/>
        <v>0</v>
      </c>
      <c r="CT71" s="92">
        <f t="shared" si="57"/>
        <v>0</v>
      </c>
      <c r="CU71" s="92">
        <f t="shared" si="100"/>
        <v>0</v>
      </c>
      <c r="CV71" s="103">
        <f t="shared" si="100"/>
        <v>0</v>
      </c>
      <c r="CW71" s="104" t="s">
        <v>147</v>
      </c>
      <c r="CX71" s="105">
        <v>23</v>
      </c>
      <c r="CY71" s="106">
        <f t="shared" si="59"/>
        <v>1713</v>
      </c>
      <c r="CZ71" s="106">
        <f t="shared" si="60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0</v>
      </c>
      <c r="DG71" s="115">
        <f t="shared" si="23"/>
        <v>0</v>
      </c>
      <c r="DH71" s="110">
        <f t="shared" si="24"/>
        <v>0</v>
      </c>
      <c r="DI71" s="108">
        <f t="shared" si="25"/>
        <v>0</v>
      </c>
      <c r="DJ71" s="112">
        <f t="shared" si="26"/>
        <v>0</v>
      </c>
      <c r="DK71" s="110">
        <f t="shared" si="86"/>
        <v>0</v>
      </c>
      <c r="DL71" s="108">
        <f t="shared" si="86"/>
        <v>0</v>
      </c>
      <c r="DM71" s="111">
        <f t="shared" si="86"/>
        <v>0</v>
      </c>
      <c r="DN71" s="76">
        <f t="shared" si="89"/>
        <v>0</v>
      </c>
      <c r="DO71" s="76">
        <f t="shared" si="89"/>
        <v>0</v>
      </c>
      <c r="DP71" s="112"/>
      <c r="DQ71" s="112"/>
      <c r="DR71" s="113"/>
      <c r="DS71" s="112"/>
      <c r="DT71" s="112"/>
      <c r="DU71" s="111"/>
      <c r="DV71" s="114"/>
      <c r="DW71" s="80">
        <f t="shared" si="61"/>
        <v>0</v>
      </c>
      <c r="DX71" s="81">
        <f t="shared" si="29"/>
        <v>0</v>
      </c>
      <c r="DY71" s="80">
        <f t="shared" si="62"/>
        <v>0</v>
      </c>
      <c r="DZ71" s="82">
        <f t="shared" si="63"/>
        <v>0</v>
      </c>
      <c r="EA71" s="82">
        <f t="shared" si="64"/>
        <v>0</v>
      </c>
      <c r="EB71" s="82">
        <f t="shared" si="65"/>
        <v>0</v>
      </c>
      <c r="EC71" s="82">
        <f t="shared" si="75"/>
        <v>0</v>
      </c>
      <c r="EF71" s="83">
        <f t="shared" si="105"/>
        <v>0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1"/>
        <v>TVA2011-T3-7.5x3-H9B14</v>
      </c>
      <c r="H72" s="46" t="str">
        <f t="shared" si="32"/>
        <v>A2011-T3TV7.50DH9</v>
      </c>
      <c r="I72" s="46" t="str">
        <f t="shared" si="33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4"/>
        <v>24</v>
      </c>
      <c r="T72" s="51">
        <f>'31.01'!BG72</f>
        <v>30</v>
      </c>
      <c r="U72" s="92"/>
      <c r="V72" s="100">
        <v>0.58299999999999996</v>
      </c>
      <c r="W72" s="93">
        <f t="shared" ref="W72:W103" si="112">IF(V72="","",INT((AO72+BI72)/$V72))</f>
        <v>0</v>
      </c>
      <c r="X72" s="93">
        <f t="shared" ref="X72:X106" si="113">IF(V72="","",INT((AP72+BJ72)/$V72))</f>
        <v>0</v>
      </c>
      <c r="Y72" s="93">
        <f t="shared" ref="Y72:Y106" si="114">IF(V72="","",INT((AQ72+BK72)/$V72))</f>
        <v>0</v>
      </c>
      <c r="Z72" s="93">
        <f t="shared" ref="Z72:Z106" si="115">IF(V72="","",INT((AR72+BL72)/$V72))</f>
        <v>0</v>
      </c>
      <c r="AA72" s="93">
        <f t="shared" ref="AA72:AA106" si="116">IF(V72="","",INT((AS72+BM72)/$V72))</f>
        <v>0</v>
      </c>
      <c r="AB72" s="93">
        <f t="shared" ref="AB72:AB106" si="117">IF(V72="","",INT((AT72+BN72)/$V72))</f>
        <v>0</v>
      </c>
      <c r="AC72" s="93">
        <f t="shared" ref="AC72:AC106" si="118">IF(V72="","",INT((AU72+BO72)/$V72))</f>
        <v>0</v>
      </c>
      <c r="AD72" s="93">
        <f t="shared" ref="AD72:AD106" si="119">IF(V72="","",INT((AV72+BP72)/$V72))</f>
        <v>0</v>
      </c>
      <c r="AE72" s="93">
        <f t="shared" si="35"/>
        <v>0</v>
      </c>
      <c r="AF72" s="54">
        <f>AE72+'31.01'!AF72</f>
        <v>0</v>
      </c>
      <c r="AG72" s="94">
        <f t="shared" si="66"/>
        <v>30</v>
      </c>
      <c r="AH72" s="56">
        <f t="shared" si="13"/>
        <v>0</v>
      </c>
      <c r="AI72" s="93"/>
      <c r="AJ72" s="93">
        <f t="shared" si="67"/>
        <v>0</v>
      </c>
      <c r="AK72" s="95">
        <f t="shared" si="36"/>
        <v>1</v>
      </c>
      <c r="AL72" s="58">
        <f t="shared" si="37"/>
        <v>0</v>
      </c>
      <c r="AM72" s="55">
        <f t="shared" si="68"/>
        <v>30</v>
      </c>
      <c r="AN72" s="93"/>
      <c r="AO72" s="96"/>
      <c r="AP72" s="96"/>
      <c r="AQ72" s="96"/>
      <c r="AR72" s="96"/>
      <c r="AS72" s="96"/>
      <c r="AT72" s="96">
        <f t="shared" si="110"/>
        <v>0</v>
      </c>
      <c r="AU72" s="96">
        <f t="shared" si="38"/>
        <v>0</v>
      </c>
      <c r="AV72" s="96">
        <f t="shared" si="38"/>
        <v>0</v>
      </c>
      <c r="AW72" s="96">
        <f t="shared" si="39"/>
        <v>0</v>
      </c>
      <c r="AX72" s="96">
        <f t="shared" si="40"/>
        <v>0</v>
      </c>
      <c r="AY72" s="94">
        <f t="shared" si="69"/>
        <v>0</v>
      </c>
      <c r="AZ72" s="94">
        <f t="shared" si="41"/>
        <v>0</v>
      </c>
      <c r="BA72" s="94">
        <f t="shared" si="42"/>
        <v>30</v>
      </c>
      <c r="BB72" s="97">
        <f t="shared" si="43"/>
        <v>0</v>
      </c>
      <c r="BC72" s="93"/>
      <c r="BD72" s="93">
        <f t="shared" si="44"/>
        <v>0</v>
      </c>
      <c r="BE72" s="95">
        <f t="shared" si="45"/>
        <v>1</v>
      </c>
      <c r="BF72" s="58">
        <f t="shared" si="46"/>
        <v>0</v>
      </c>
      <c r="BG72" s="94">
        <f t="shared" si="47"/>
        <v>30</v>
      </c>
      <c r="BH72" s="89"/>
      <c r="BI72" s="89"/>
      <c r="BJ72" s="89"/>
      <c r="BK72" s="89"/>
      <c r="BL72" s="89"/>
      <c r="BM72" s="89"/>
      <c r="BN72" s="92">
        <f t="shared" si="111"/>
        <v>0</v>
      </c>
      <c r="BO72" s="92">
        <f t="shared" si="70"/>
        <v>0</v>
      </c>
      <c r="BP72" s="92">
        <f t="shared" si="70"/>
        <v>0</v>
      </c>
      <c r="BQ72" s="96">
        <f t="shared" si="48"/>
        <v>0</v>
      </c>
      <c r="BR72" s="96">
        <f t="shared" si="49"/>
        <v>0</v>
      </c>
      <c r="BS72" s="96">
        <f t="shared" si="71"/>
        <v>0</v>
      </c>
      <c r="BT72" s="96">
        <f t="shared" si="50"/>
        <v>0</v>
      </c>
      <c r="BU72" s="92">
        <f t="shared" ref="BU72:BU106" si="120">IFERROR(AE72,"")</f>
        <v>0</v>
      </c>
      <c r="BV72" s="98">
        <f t="shared" si="17"/>
        <v>0</v>
      </c>
      <c r="BW72" s="92">
        <f t="shared" ref="BW72:BW106" si="121">IFERROR(BT72+AZ72,"")</f>
        <v>0</v>
      </c>
      <c r="BX72" s="98">
        <f t="shared" si="51"/>
        <v>0</v>
      </c>
      <c r="BY72" s="61">
        <f t="shared" si="73"/>
        <v>0</v>
      </c>
      <c r="BZ72" s="62">
        <f t="shared" si="52"/>
        <v>0</v>
      </c>
      <c r="CA72" s="98">
        <f t="shared" si="53"/>
        <v>0</v>
      </c>
      <c r="CB72" s="92">
        <f t="shared" ref="CB72:CD106" si="122">IFERROR(BR72+AX72,"")</f>
        <v>0</v>
      </c>
      <c r="CC72" s="92">
        <f t="shared" si="122"/>
        <v>0</v>
      </c>
      <c r="CD72" s="92">
        <f t="shared" si="122"/>
        <v>0</v>
      </c>
      <c r="CE72" s="99"/>
      <c r="CF72" s="99"/>
      <c r="CG72" s="51">
        <f t="shared" si="54"/>
        <v>0</v>
      </c>
      <c r="CH72" s="62">
        <f t="shared" si="55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99"/>
        <v>0</v>
      </c>
      <c r="CR72" s="102">
        <f t="shared" si="99"/>
        <v>0</v>
      </c>
      <c r="CS72" s="102">
        <f t="shared" si="99"/>
        <v>0</v>
      </c>
      <c r="CT72" s="92">
        <f t="shared" si="57"/>
        <v>0</v>
      </c>
      <c r="CU72" s="92">
        <f t="shared" si="100"/>
        <v>0</v>
      </c>
      <c r="CV72" s="103">
        <f t="shared" si="100"/>
        <v>0</v>
      </c>
      <c r="CW72" s="104" t="s">
        <v>147</v>
      </c>
      <c r="CX72" s="105">
        <v>8</v>
      </c>
      <c r="CY72" s="106">
        <f t="shared" si="59"/>
        <v>5107</v>
      </c>
      <c r="CZ72" s="106">
        <f t="shared" si="60"/>
        <v>32.400000000000006</v>
      </c>
      <c r="DA72" s="106"/>
      <c r="DB72" s="106"/>
      <c r="DC72" s="105"/>
      <c r="DD72" s="107"/>
      <c r="DE72" s="92">
        <f t="shared" ref="DE72:DE106" si="123">IFERROR(CQ72+CR72,"")</f>
        <v>0</v>
      </c>
      <c r="DF72" s="108">
        <f t="shared" ref="DF72:DF106" si="124">IFERROR(AL72,"")</f>
        <v>0</v>
      </c>
      <c r="DG72" s="115">
        <f t="shared" ref="DG72:DG106" si="125">IFERROR(AZ72,"")</f>
        <v>0</v>
      </c>
      <c r="DH72" s="110">
        <f t="shared" ref="DH72:DH106" si="126">IFERROR(CT72+CU72,"")</f>
        <v>0</v>
      </c>
      <c r="DI72" s="108">
        <f t="shared" ref="DI72:DI106" si="127">IFERROR(BF72,"")</f>
        <v>0</v>
      </c>
      <c r="DJ72" s="112">
        <f t="shared" ref="DJ72:DJ106" si="128">IFERROR(BT72,"")</f>
        <v>0</v>
      </c>
      <c r="DK72" s="110">
        <f t="shared" si="86"/>
        <v>0</v>
      </c>
      <c r="DL72" s="108">
        <f t="shared" si="86"/>
        <v>0</v>
      </c>
      <c r="DM72" s="111">
        <f t="shared" si="86"/>
        <v>0</v>
      </c>
      <c r="DN72" s="76">
        <f t="shared" si="89"/>
        <v>30</v>
      </c>
      <c r="DO72" s="76">
        <f t="shared" si="89"/>
        <v>0</v>
      </c>
      <c r="DP72" s="112"/>
      <c r="DQ72" s="112"/>
      <c r="DR72" s="113" t="s">
        <v>460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29">IFERROR(DK72+DL72+DM72,"")</f>
        <v>0</v>
      </c>
      <c r="DY72" s="80">
        <f t="shared" si="62"/>
        <v>0</v>
      </c>
      <c r="DZ72" s="82">
        <f t="shared" si="63"/>
        <v>0</v>
      </c>
      <c r="EA72" s="82">
        <f t="shared" si="64"/>
        <v>0</v>
      </c>
      <c r="EB72" s="82">
        <f t="shared" si="65"/>
        <v>0</v>
      </c>
      <c r="EC72" s="82">
        <f t="shared" si="75"/>
        <v>0</v>
      </c>
      <c r="EF72" s="83">
        <f t="shared" si="105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0">CONCATENATE(K73,J73,"-",IF(N73="D",L73,IF(N73="H",CONCATENATE(N73,L73),CONCATENATE(N73,L73,"x",M73))),"x",P73,"-",O73,R73)</f>
        <v>GAA5052-5.7x3-H9A14</v>
      </c>
      <c r="H73" s="46" t="str">
        <f t="shared" ref="H73:H106" si="131">CONCATENATE(J73,,K73,L73,M73,N73,O73)</f>
        <v>A5052GA5.70DH9</v>
      </c>
      <c r="I73" s="46" t="str">
        <f t="shared" ref="I73:I106" si="132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3">ROUND(CY73/E73,0)*2</f>
        <v>14</v>
      </c>
      <c r="T73" s="51">
        <f>'31.01'!BG73</f>
        <v>13</v>
      </c>
      <c r="U73" s="92">
        <v>12</v>
      </c>
      <c r="V73" s="100">
        <v>0.15</v>
      </c>
      <c r="W73" s="93">
        <f t="shared" si="112"/>
        <v>0</v>
      </c>
      <c r="X73" s="93">
        <f t="shared" si="113"/>
        <v>0</v>
      </c>
      <c r="Y73" s="93">
        <f t="shared" si="114"/>
        <v>0</v>
      </c>
      <c r="Z73" s="93">
        <f t="shared" si="115"/>
        <v>0</v>
      </c>
      <c r="AA73" s="93">
        <f t="shared" si="116"/>
        <v>0</v>
      </c>
      <c r="AB73" s="93">
        <f t="shared" si="117"/>
        <v>2640</v>
      </c>
      <c r="AC73" s="93">
        <f t="shared" si="118"/>
        <v>0</v>
      </c>
      <c r="AD73" s="93">
        <f t="shared" si="119"/>
        <v>33</v>
      </c>
      <c r="AE73" s="93">
        <f t="shared" ref="AE73:AE106" si="134">IF(V73="","",SUM(W73:AC73))</f>
        <v>2640</v>
      </c>
      <c r="AF73" s="54">
        <f>AE73+'31.01'!AF73</f>
        <v>5553</v>
      </c>
      <c r="AG73" s="94">
        <f t="shared" si="66"/>
        <v>13</v>
      </c>
      <c r="AH73" s="56">
        <f t="shared" ref="AH73:AH106" si="135">IFERROR(VALUE("0"&amp;RIGHT(AG73,(LEN(AG73)-LEN(TRUNC(AG73))))),"")</f>
        <v>0</v>
      </c>
      <c r="AI73" s="93">
        <v>6</v>
      </c>
      <c r="AJ73" s="93">
        <f t="shared" si="67"/>
        <v>27</v>
      </c>
      <c r="AK73" s="95">
        <f t="shared" ref="AK73:AK107" si="136">IF(V73="","",IF(AJ73=0,1,AJ73/$V73/$E73))</f>
        <v>0.73170731707317072</v>
      </c>
      <c r="AL73" s="58">
        <f t="shared" si="37"/>
        <v>5.74</v>
      </c>
      <c r="AM73" s="55">
        <f t="shared" si="68"/>
        <v>19.259999999999998</v>
      </c>
      <c r="AN73" s="93"/>
      <c r="AO73" s="96"/>
      <c r="AP73" s="96"/>
      <c r="AQ73" s="96"/>
      <c r="AR73" s="96"/>
      <c r="AS73" s="96"/>
      <c r="AT73" s="96">
        <f t="shared" si="110"/>
        <v>186</v>
      </c>
      <c r="AU73" s="96">
        <f t="shared" ref="AU73:AV106" si="137">CK73</f>
        <v>0</v>
      </c>
      <c r="AV73" s="96">
        <f t="shared" si="137"/>
        <v>5</v>
      </c>
      <c r="AW73" s="96">
        <f t="shared" ref="AW73:AW106" si="138">SUM(AO73:AV73)</f>
        <v>191</v>
      </c>
      <c r="AX73" s="96">
        <f t="shared" ref="AX73:AX106" si="139">IF(V73="","",INT(AW73/$V73))</f>
        <v>1273</v>
      </c>
      <c r="AY73" s="94">
        <f t="shared" si="69"/>
        <v>-20.805999999999983</v>
      </c>
      <c r="AZ73" s="94">
        <f t="shared" ref="AZ73:AZ106" si="140">IF($V73="","",AY73/$V73)</f>
        <v>-138.70666666666656</v>
      </c>
      <c r="BA73" s="94">
        <f t="shared" si="42"/>
        <v>19.259999999999998</v>
      </c>
      <c r="BB73" s="97">
        <f t="shared" si="43"/>
        <v>0.26</v>
      </c>
      <c r="BC73" s="93">
        <v>6</v>
      </c>
      <c r="BD73" s="93">
        <f t="shared" ref="BD73:BD106" si="141">$CM73</f>
        <v>0</v>
      </c>
      <c r="BE73" s="95">
        <f t="shared" ref="BE73:BE106" si="142">IF(AA73="","",IF(BD73=0,1,BD73/$V73/$E73))</f>
        <v>1</v>
      </c>
      <c r="BF73" s="58">
        <f t="shared" si="46"/>
        <v>6.26</v>
      </c>
      <c r="BG73" s="94">
        <f t="shared" ref="BG73:BG106" si="143">IF(AA73="","",BA73-BF73)</f>
        <v>12.999999999999998</v>
      </c>
      <c r="BH73" s="89"/>
      <c r="BI73" s="89"/>
      <c r="BJ73" s="89"/>
      <c r="BK73" s="89"/>
      <c r="BL73" s="89"/>
      <c r="BM73" s="89"/>
      <c r="BN73" s="92">
        <f t="shared" si="111"/>
        <v>210</v>
      </c>
      <c r="BO73" s="92">
        <f t="shared" si="70"/>
        <v>0</v>
      </c>
      <c r="BP73" s="92">
        <f t="shared" si="70"/>
        <v>0</v>
      </c>
      <c r="BQ73" s="96">
        <f t="shared" ref="BQ73:BQ106" si="144">SUM(BI73:BP73)</f>
        <v>210</v>
      </c>
      <c r="BR73" s="96">
        <f t="shared" ref="BR73:BR106" si="145">IF(AA73="","",INT(BQ73/$V73))</f>
        <v>1400</v>
      </c>
      <c r="BS73" s="96">
        <f t="shared" si="71"/>
        <v>-20.994</v>
      </c>
      <c r="BT73" s="96">
        <f t="shared" ref="BT73:BT106" si="146">IF($V73="","",BS73/$V73)</f>
        <v>-139.96</v>
      </c>
      <c r="BU73" s="92">
        <f t="shared" si="120"/>
        <v>2640</v>
      </c>
      <c r="BV73" s="98">
        <f t="shared" si="17"/>
        <v>12</v>
      </c>
      <c r="BW73" s="92">
        <f t="shared" si="121"/>
        <v>-278.66666666666657</v>
      </c>
      <c r="BX73" s="98">
        <f t="shared" ref="BX73:BX106" si="147">IF($Q73="","",(BF73+AL73)*$Q73)</f>
        <v>2.448</v>
      </c>
      <c r="BY73" s="61">
        <f t="shared" si="73"/>
        <v>12</v>
      </c>
      <c r="BZ73" s="62">
        <f t="shared" ref="BZ73:BZ108" si="148">BY73</f>
        <v>12</v>
      </c>
      <c r="CA73" s="98">
        <f t="shared" ref="CA73:CA106" si="149">IFERROR((BQ73+AW73)/1000,"")</f>
        <v>0.40100000000000002</v>
      </c>
      <c r="CB73" s="92">
        <f t="shared" si="122"/>
        <v>2673</v>
      </c>
      <c r="CC73" s="92">
        <f t="shared" si="122"/>
        <v>-41.799999999999983</v>
      </c>
      <c r="CD73" s="92">
        <f t="shared" si="122"/>
        <v>-278.66666666666657</v>
      </c>
      <c r="CE73" s="99"/>
      <c r="CF73" s="99"/>
      <c r="CG73" s="51">
        <f t="shared" ref="CG73:CG106" si="150">IF(BX73="",0,(BX73-CA73)+((AV73+BP73)/1000))</f>
        <v>2.0519999999999996</v>
      </c>
      <c r="CH73" s="62">
        <f t="shared" ref="CH73:CH108" si="151">CG73</f>
        <v>2.0519999999999996</v>
      </c>
      <c r="CI73" s="89">
        <v>27</v>
      </c>
      <c r="CJ73" s="89">
        <v>186</v>
      </c>
      <c r="CK73" s="89"/>
      <c r="CL73" s="96">
        <v>5</v>
      </c>
      <c r="CM73" s="89"/>
      <c r="CN73" s="89">
        <v>210</v>
      </c>
      <c r="CO73" s="92"/>
      <c r="CP73" s="101"/>
      <c r="CQ73" s="102">
        <f t="shared" si="99"/>
        <v>1240</v>
      </c>
      <c r="CR73" s="102">
        <f t="shared" si="99"/>
        <v>0</v>
      </c>
      <c r="CS73" s="102">
        <f t="shared" si="99"/>
        <v>33</v>
      </c>
      <c r="CT73" s="92">
        <f t="shared" ref="CT73:CT106" si="152">INT(IFERROR( AE73-CQ73-CU73-CR73,0))</f>
        <v>1400</v>
      </c>
      <c r="CU73" s="92">
        <f t="shared" si="100"/>
        <v>0</v>
      </c>
      <c r="CV73" s="103">
        <f t="shared" si="100"/>
        <v>0</v>
      </c>
      <c r="CW73" s="104" t="s">
        <v>147</v>
      </c>
      <c r="CX73" s="105">
        <v>23.04</v>
      </c>
      <c r="CY73" s="106">
        <f t="shared" ref="CY73:CY106" si="153">INT(60/CX73*60*(12-(CEILING((60/CX73*60*12)/E73,1)*IF(CW73="T",0.45,IF(CW73="",5,3))/60)))</f>
        <v>1812</v>
      </c>
      <c r="CZ73" s="106">
        <f t="shared" ref="CZ73:CZ106" si="154">IF(CX73="",0,(IF(CW73="",360,180)/(60/CX73))*1.35)</f>
        <v>93.311999999999998</v>
      </c>
      <c r="DA73" s="106"/>
      <c r="DB73" s="106"/>
      <c r="DC73" s="105"/>
      <c r="DD73" s="107"/>
      <c r="DE73" s="92">
        <f t="shared" si="123"/>
        <v>1240</v>
      </c>
      <c r="DF73" s="108">
        <f t="shared" si="124"/>
        <v>5.74</v>
      </c>
      <c r="DG73" s="115">
        <f t="shared" si="125"/>
        <v>-138.70666666666656</v>
      </c>
      <c r="DH73" s="110">
        <f t="shared" si="126"/>
        <v>1400</v>
      </c>
      <c r="DI73" s="108">
        <f t="shared" si="127"/>
        <v>6.26</v>
      </c>
      <c r="DJ73" s="112">
        <f t="shared" si="128"/>
        <v>-139.96</v>
      </c>
      <c r="DK73" s="110">
        <f t="shared" si="86"/>
        <v>2640</v>
      </c>
      <c r="DL73" s="108">
        <f t="shared" si="86"/>
        <v>12</v>
      </c>
      <c r="DM73" s="111">
        <f t="shared" si="86"/>
        <v>-278.66666666666657</v>
      </c>
      <c r="DN73" s="76">
        <f t="shared" si="89"/>
        <v>13</v>
      </c>
      <c r="DO73" s="76">
        <f t="shared" si="89"/>
        <v>12</v>
      </c>
      <c r="DP73" s="112"/>
      <c r="DQ73" s="112"/>
      <c r="DR73" s="113" t="s">
        <v>461</v>
      </c>
      <c r="DS73" s="112"/>
      <c r="DT73" s="112"/>
      <c r="DU73" s="111"/>
      <c r="DV73" s="114"/>
      <c r="DW73" s="80">
        <f t="shared" ref="DW73:DW106" si="155">IFERROR(BU73+BV73,"")</f>
        <v>2652</v>
      </c>
      <c r="DX73" s="81">
        <f t="shared" si="129"/>
        <v>2373.3333333333335</v>
      </c>
      <c r="DY73" s="80">
        <f t="shared" ref="DY73:DY106" si="156">CQ73+CR73+CS73+CT73+CU73+CV73</f>
        <v>2673</v>
      </c>
      <c r="DZ73" s="82">
        <f t="shared" ref="DZ73:DZ106" si="157">IFERROR((AD73*V73/1000),0)</f>
        <v>4.9500000000000004E-3</v>
      </c>
      <c r="EA73" s="82">
        <f t="shared" ref="EA73:EA106" si="158">IFERROR((AE73*V73/1000),0)</f>
        <v>0.39600000000000002</v>
      </c>
      <c r="EB73" s="82">
        <f t="shared" ref="EB73:EB106" si="159">BX73-EA73</f>
        <v>2.052</v>
      </c>
      <c r="EC73" s="82">
        <f t="shared" si="75"/>
        <v>2.0569500000000001</v>
      </c>
      <c r="EF73" s="83">
        <f t="shared" si="105"/>
        <v>-278.66666666666657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0"/>
        <v>IBC3604-7x3-H9D14</v>
      </c>
      <c r="H74" s="46" t="str">
        <f t="shared" si="131"/>
        <v>C3604IB70DH9</v>
      </c>
      <c r="I74" s="46" t="str">
        <f t="shared" si="132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3"/>
        <v>28</v>
      </c>
      <c r="T74" s="51">
        <f>'31.01'!BG74</f>
        <v>37.36</v>
      </c>
      <c r="U74" s="92">
        <v>13</v>
      </c>
      <c r="V74" s="100">
        <v>3.3769999999999998</v>
      </c>
      <c r="W74" s="93">
        <f t="shared" si="112"/>
        <v>0</v>
      </c>
      <c r="X74" s="93">
        <f t="shared" si="113"/>
        <v>2575</v>
      </c>
      <c r="Y74" s="93">
        <f t="shared" si="114"/>
        <v>0</v>
      </c>
      <c r="Z74" s="93">
        <f t="shared" si="115"/>
        <v>0</v>
      </c>
      <c r="AA74" s="93">
        <f t="shared" si="116"/>
        <v>0</v>
      </c>
      <c r="AB74" s="93">
        <f t="shared" si="117"/>
        <v>0</v>
      </c>
      <c r="AC74" s="93">
        <f t="shared" si="118"/>
        <v>0</v>
      </c>
      <c r="AD74" s="93">
        <f t="shared" si="119"/>
        <v>59</v>
      </c>
      <c r="AE74" s="93">
        <f t="shared" si="134"/>
        <v>2575</v>
      </c>
      <c r="AF74" s="54">
        <f>AE74+'31.01'!AF74</f>
        <v>4351</v>
      </c>
      <c r="AG74" s="94">
        <f t="shared" ref="AG74:AG106" si="160">T74</f>
        <v>37.36</v>
      </c>
      <c r="AH74" s="56">
        <f t="shared" si="135"/>
        <v>0.36</v>
      </c>
      <c r="AI74" s="93">
        <v>5</v>
      </c>
      <c r="AJ74" s="93">
        <f t="shared" ref="AJ74:AJ106" si="161">$CI74</f>
        <v>0</v>
      </c>
      <c r="AK74" s="95">
        <f t="shared" si="136"/>
        <v>1</v>
      </c>
      <c r="AL74" s="58">
        <f t="shared" si="37"/>
        <v>5.36</v>
      </c>
      <c r="AM74" s="55">
        <f t="shared" ref="AM74:AM106" si="162">IF(V74="","",AG74+U74-AL74)</f>
        <v>45</v>
      </c>
      <c r="AN74" s="93"/>
      <c r="AO74" s="96"/>
      <c r="AP74" s="96">
        <f>$CJ74</f>
        <v>2478</v>
      </c>
      <c r="AQ74" s="96"/>
      <c r="AR74" s="96"/>
      <c r="AS74" s="96"/>
      <c r="AT74" s="96"/>
      <c r="AU74" s="96">
        <f t="shared" si="137"/>
        <v>0</v>
      </c>
      <c r="AV74" s="96">
        <f t="shared" si="137"/>
        <v>200</v>
      </c>
      <c r="AW74" s="96">
        <f t="shared" si="138"/>
        <v>2678</v>
      </c>
      <c r="AX74" s="96">
        <f t="shared" si="139"/>
        <v>793</v>
      </c>
      <c r="AY74" s="94">
        <f t="shared" ref="AY74:AY106" si="163">IF(V74="","",AW74-AL74*$E74*$V74)</f>
        <v>234.4028000000003</v>
      </c>
      <c r="AZ74" s="94">
        <f t="shared" si="140"/>
        <v>69.411548711874531</v>
      </c>
      <c r="BA74" s="94">
        <f t="shared" si="42"/>
        <v>45</v>
      </c>
      <c r="BB74" s="97">
        <f t="shared" si="43"/>
        <v>0</v>
      </c>
      <c r="BC74" s="93">
        <v>14</v>
      </c>
      <c r="BD74" s="93">
        <f t="shared" si="141"/>
        <v>0</v>
      </c>
      <c r="BE74" s="95">
        <f t="shared" si="142"/>
        <v>1</v>
      </c>
      <c r="BF74" s="58">
        <f t="shared" si="46"/>
        <v>14</v>
      </c>
      <c r="BG74" s="94">
        <f t="shared" si="143"/>
        <v>31</v>
      </c>
      <c r="BH74" s="89"/>
      <c r="BI74" s="89"/>
      <c r="BJ74" s="92">
        <f>$CN74</f>
        <v>6221</v>
      </c>
      <c r="BK74" s="89"/>
      <c r="BL74" s="89"/>
      <c r="BM74" s="89"/>
      <c r="BN74" s="89"/>
      <c r="BO74" s="92">
        <f t="shared" ref="BO74:BP103" si="164">CO74</f>
        <v>0</v>
      </c>
      <c r="BP74" s="92">
        <f t="shared" si="164"/>
        <v>0</v>
      </c>
      <c r="BQ74" s="96">
        <f t="shared" si="144"/>
        <v>6221</v>
      </c>
      <c r="BR74" s="96">
        <f t="shared" si="145"/>
        <v>1842</v>
      </c>
      <c r="BS74" s="96">
        <f t="shared" ref="BS74:BS106" si="165">IF(AA74="","",-BF74*$E74*$V74+BQ74)</f>
        <v>-161.52999999999975</v>
      </c>
      <c r="BT74" s="96">
        <f t="shared" si="146"/>
        <v>-47.832395617411834</v>
      </c>
      <c r="BU74" s="92">
        <f t="shared" si="120"/>
        <v>2575</v>
      </c>
      <c r="BV74" s="98">
        <f t="shared" ref="BV74:BV106" si="166">IFERROR(BF74+AL74,"")</f>
        <v>19.36</v>
      </c>
      <c r="BW74" s="92">
        <f t="shared" si="121"/>
        <v>21.579153094462697</v>
      </c>
      <c r="BX74" s="98">
        <f t="shared" si="147"/>
        <v>18.972799999999999</v>
      </c>
      <c r="BY74" s="61">
        <f>IFERROR(BF74+AL74,0)</f>
        <v>19.36</v>
      </c>
      <c r="BZ74" s="62">
        <f t="shared" si="148"/>
        <v>19.36</v>
      </c>
      <c r="CA74" s="98">
        <f t="shared" si="149"/>
        <v>8.8989999999999991</v>
      </c>
      <c r="CB74" s="92">
        <f t="shared" si="122"/>
        <v>2635</v>
      </c>
      <c r="CC74" s="92">
        <f t="shared" si="122"/>
        <v>72.872800000000552</v>
      </c>
      <c r="CD74" s="92">
        <f t="shared" si="122"/>
        <v>21.579153094462697</v>
      </c>
      <c r="CE74" s="99"/>
      <c r="CF74" s="99"/>
      <c r="CG74" s="51">
        <f t="shared" si="150"/>
        <v>10.2738</v>
      </c>
      <c r="CH74" s="62">
        <f t="shared" si="151"/>
        <v>10.2738</v>
      </c>
      <c r="CI74" s="89"/>
      <c r="CJ74" s="89">
        <v>2478</v>
      </c>
      <c r="CK74" s="89"/>
      <c r="CL74" s="96">
        <v>200</v>
      </c>
      <c r="CM74" s="89"/>
      <c r="CN74" s="89">
        <v>6221</v>
      </c>
      <c r="CO74" s="92"/>
      <c r="CP74" s="101"/>
      <c r="CQ74" s="102">
        <f t="shared" si="99"/>
        <v>733</v>
      </c>
      <c r="CR74" s="102">
        <f t="shared" si="99"/>
        <v>0</v>
      </c>
      <c r="CS74" s="102">
        <f t="shared" si="99"/>
        <v>59</v>
      </c>
      <c r="CT74" s="92">
        <f t="shared" si="152"/>
        <v>1842</v>
      </c>
      <c r="CU74" s="92">
        <f t="shared" si="100"/>
        <v>0</v>
      </c>
      <c r="CV74" s="103">
        <f t="shared" si="100"/>
        <v>0</v>
      </c>
      <c r="CW74" s="104" t="s">
        <v>147</v>
      </c>
      <c r="CX74" s="105">
        <v>22</v>
      </c>
      <c r="CY74" s="106">
        <f t="shared" si="153"/>
        <v>1840</v>
      </c>
      <c r="CZ74" s="106">
        <f t="shared" si="154"/>
        <v>89.100000000000009</v>
      </c>
      <c r="DA74" s="106"/>
      <c r="DB74" s="106"/>
      <c r="DC74" s="105"/>
      <c r="DD74" s="107"/>
      <c r="DE74" s="92">
        <f t="shared" si="123"/>
        <v>733</v>
      </c>
      <c r="DF74" s="108">
        <f t="shared" si="124"/>
        <v>5.36</v>
      </c>
      <c r="DG74" s="115">
        <f t="shared" si="125"/>
        <v>69.411548711874531</v>
      </c>
      <c r="DH74" s="110">
        <f t="shared" si="126"/>
        <v>1842</v>
      </c>
      <c r="DI74" s="108">
        <f t="shared" si="127"/>
        <v>14</v>
      </c>
      <c r="DJ74" s="112">
        <f t="shared" si="128"/>
        <v>-47.832395617411834</v>
      </c>
      <c r="DK74" s="110">
        <f t="shared" si="86"/>
        <v>2575</v>
      </c>
      <c r="DL74" s="108">
        <f t="shared" si="86"/>
        <v>19.36</v>
      </c>
      <c r="DM74" s="111">
        <f t="shared" si="86"/>
        <v>21.579153094462697</v>
      </c>
      <c r="DN74" s="76">
        <f t="shared" si="89"/>
        <v>37.36</v>
      </c>
      <c r="DO74" s="76">
        <f t="shared" si="89"/>
        <v>13</v>
      </c>
      <c r="DP74" s="112"/>
      <c r="DQ74" s="112"/>
      <c r="DR74" s="113" t="s">
        <v>462</v>
      </c>
      <c r="DS74" s="112"/>
      <c r="DT74" s="112"/>
      <c r="DU74" s="111"/>
      <c r="DV74" s="114"/>
      <c r="DW74" s="80">
        <f t="shared" ref="DW74:DW76" si="167">IFERROR(AL74+BF74,"")</f>
        <v>19.36</v>
      </c>
      <c r="DX74" s="81">
        <f t="shared" si="129"/>
        <v>2615.9391530944627</v>
      </c>
      <c r="DY74" s="80">
        <f t="shared" si="156"/>
        <v>2634</v>
      </c>
      <c r="DZ74" s="82">
        <f t="shared" si="157"/>
        <v>0.199243</v>
      </c>
      <c r="EA74" s="82">
        <f t="shared" si="158"/>
        <v>8.6957749999999994</v>
      </c>
      <c r="EB74" s="82">
        <f t="shared" si="159"/>
        <v>10.277025</v>
      </c>
      <c r="EC74" s="82">
        <f t="shared" ref="EC74:EC75" si="168">(BX74-CA74)+((AV74+BP74)/1000)</f>
        <v>10.2738</v>
      </c>
      <c r="EF74" s="83">
        <f t="shared" si="105"/>
        <v>21.579153094462697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0"/>
        <v>IBC3604-5x3-H9B14</v>
      </c>
      <c r="H75" s="46" t="str">
        <f t="shared" si="131"/>
        <v>C3604IB50DH9</v>
      </c>
      <c r="I75" s="46" t="str">
        <f t="shared" si="132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3"/>
        <v>82</v>
      </c>
      <c r="T75" s="51">
        <v>220</v>
      </c>
      <c r="U75" s="92"/>
      <c r="V75" s="100">
        <v>2.65</v>
      </c>
      <c r="W75" s="93">
        <f t="shared" si="112"/>
        <v>0</v>
      </c>
      <c r="X75" s="93">
        <f t="shared" si="113"/>
        <v>0</v>
      </c>
      <c r="Y75" s="93">
        <f t="shared" si="114"/>
        <v>0</v>
      </c>
      <c r="Z75" s="93">
        <f t="shared" si="115"/>
        <v>0</v>
      </c>
      <c r="AA75" s="93">
        <f t="shared" si="116"/>
        <v>0</v>
      </c>
      <c r="AB75" s="93">
        <f t="shared" si="117"/>
        <v>0</v>
      </c>
      <c r="AC75" s="93">
        <f t="shared" si="118"/>
        <v>0</v>
      </c>
      <c r="AD75" s="93">
        <f t="shared" si="119"/>
        <v>0</v>
      </c>
      <c r="AE75" s="93">
        <f t="shared" si="134"/>
        <v>0</v>
      </c>
      <c r="AF75" s="54">
        <f>AE75+'31.01'!AF75</f>
        <v>0</v>
      </c>
      <c r="AG75" s="94">
        <f t="shared" si="160"/>
        <v>220</v>
      </c>
      <c r="AH75" s="56">
        <f t="shared" si="135"/>
        <v>0</v>
      </c>
      <c r="AI75" s="93"/>
      <c r="AJ75" s="93">
        <f t="shared" si="161"/>
        <v>0</v>
      </c>
      <c r="AK75" s="95">
        <f t="shared" si="136"/>
        <v>1</v>
      </c>
      <c r="AL75" s="58">
        <f t="shared" si="37"/>
        <v>0</v>
      </c>
      <c r="AM75" s="55">
        <f t="shared" si="162"/>
        <v>220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37"/>
        <v>0</v>
      </c>
      <c r="AV75" s="96">
        <f t="shared" si="137"/>
        <v>0</v>
      </c>
      <c r="AW75" s="96">
        <f t="shared" si="138"/>
        <v>0</v>
      </c>
      <c r="AX75" s="96">
        <f t="shared" si="139"/>
        <v>0</v>
      </c>
      <c r="AY75" s="94">
        <f t="shared" si="163"/>
        <v>0</v>
      </c>
      <c r="AZ75" s="94">
        <f t="shared" si="140"/>
        <v>0</v>
      </c>
      <c r="BA75" s="94">
        <f t="shared" ref="BA75:BA106" si="169">AM75</f>
        <v>220</v>
      </c>
      <c r="BB75" s="97">
        <f t="shared" ref="BB75:BB106" si="170">VALUE("0"&amp;RIGHT(BA75,(LEN(BA75)-LEN(TRUNC(BA75)))))</f>
        <v>0</v>
      </c>
      <c r="BC75" s="93"/>
      <c r="BD75" s="93">
        <f t="shared" si="141"/>
        <v>0</v>
      </c>
      <c r="BE75" s="95">
        <f t="shared" si="142"/>
        <v>1</v>
      </c>
      <c r="BF75" s="58">
        <f t="shared" si="46"/>
        <v>0</v>
      </c>
      <c r="BG75" s="94">
        <f t="shared" si="143"/>
        <v>220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4"/>
        <v>0</v>
      </c>
      <c r="BP75" s="92">
        <f t="shared" si="164"/>
        <v>0</v>
      </c>
      <c r="BQ75" s="96">
        <f t="shared" si="144"/>
        <v>0</v>
      </c>
      <c r="BR75" s="96">
        <f t="shared" si="145"/>
        <v>0</v>
      </c>
      <c r="BS75" s="96">
        <f t="shared" si="165"/>
        <v>0</v>
      </c>
      <c r="BT75" s="96">
        <f t="shared" si="146"/>
        <v>0</v>
      </c>
      <c r="BU75" s="92">
        <f t="shared" si="120"/>
        <v>0</v>
      </c>
      <c r="BV75" s="98">
        <f t="shared" si="166"/>
        <v>0</v>
      </c>
      <c r="BW75" s="92">
        <f t="shared" si="121"/>
        <v>0</v>
      </c>
      <c r="BX75" s="98">
        <f t="shared" si="147"/>
        <v>0</v>
      </c>
      <c r="BY75" s="61">
        <f t="shared" ref="BY75:BY106" si="171">IFERROR(BF75+AL75,0)</f>
        <v>0</v>
      </c>
      <c r="BZ75" s="62">
        <f t="shared" si="148"/>
        <v>0</v>
      </c>
      <c r="CA75" s="98">
        <f t="shared" si="149"/>
        <v>0</v>
      </c>
      <c r="CB75" s="92">
        <f t="shared" si="122"/>
        <v>0</v>
      </c>
      <c r="CC75" s="92">
        <f t="shared" si="122"/>
        <v>0</v>
      </c>
      <c r="CD75" s="92">
        <f t="shared" si="122"/>
        <v>0</v>
      </c>
      <c r="CE75" s="99"/>
      <c r="CF75" s="99"/>
      <c r="CG75" s="51">
        <f t="shared" si="150"/>
        <v>0</v>
      </c>
      <c r="CH75" s="62">
        <f t="shared" si="151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99"/>
        <v>0</v>
      </c>
      <c r="CR75" s="102">
        <f t="shared" si="99"/>
        <v>0</v>
      </c>
      <c r="CS75" s="102">
        <f t="shared" si="99"/>
        <v>0</v>
      </c>
      <c r="CT75" s="92">
        <f t="shared" si="152"/>
        <v>0</v>
      </c>
      <c r="CU75" s="92">
        <f t="shared" si="100"/>
        <v>0</v>
      </c>
      <c r="CV75" s="103">
        <f t="shared" si="100"/>
        <v>0</v>
      </c>
      <c r="CW75" s="104" t="s">
        <v>147</v>
      </c>
      <c r="CX75" s="105">
        <v>11</v>
      </c>
      <c r="CY75" s="106">
        <f t="shared" si="153"/>
        <v>3043</v>
      </c>
      <c r="CZ75" s="106">
        <f t="shared" si="154"/>
        <v>44.550000000000004</v>
      </c>
      <c r="DA75" s="106"/>
      <c r="DB75" s="106"/>
      <c r="DC75" s="105"/>
      <c r="DD75" s="107"/>
      <c r="DE75" s="92">
        <f t="shared" si="123"/>
        <v>0</v>
      </c>
      <c r="DF75" s="108">
        <f t="shared" si="124"/>
        <v>0</v>
      </c>
      <c r="DG75" s="115">
        <f t="shared" si="125"/>
        <v>0</v>
      </c>
      <c r="DH75" s="110">
        <f t="shared" si="126"/>
        <v>0</v>
      </c>
      <c r="DI75" s="108">
        <f t="shared" si="127"/>
        <v>0</v>
      </c>
      <c r="DJ75" s="112">
        <f t="shared" si="128"/>
        <v>0</v>
      </c>
      <c r="DK75" s="110">
        <f t="shared" si="86"/>
        <v>0</v>
      </c>
      <c r="DL75" s="108">
        <f t="shared" si="86"/>
        <v>0</v>
      </c>
      <c r="DM75" s="111">
        <f t="shared" si="86"/>
        <v>0</v>
      </c>
      <c r="DN75" s="76">
        <f t="shared" si="89"/>
        <v>220</v>
      </c>
      <c r="DO75" s="76">
        <f t="shared" si="89"/>
        <v>0</v>
      </c>
      <c r="DP75" s="112"/>
      <c r="DQ75" s="112"/>
      <c r="DR75" s="113" t="s">
        <v>463</v>
      </c>
      <c r="DS75" s="112"/>
      <c r="DT75" s="112"/>
      <c r="DU75" s="111"/>
      <c r="DV75" s="114"/>
      <c r="DW75" s="80">
        <f t="shared" si="167"/>
        <v>0</v>
      </c>
      <c r="DX75" s="81">
        <f t="shared" si="129"/>
        <v>0</v>
      </c>
      <c r="DY75" s="80">
        <f t="shared" si="156"/>
        <v>0</v>
      </c>
      <c r="DZ75" s="82">
        <f t="shared" si="157"/>
        <v>0</v>
      </c>
      <c r="EA75" s="82">
        <f t="shared" si="158"/>
        <v>0</v>
      </c>
      <c r="EB75" s="82">
        <f t="shared" si="159"/>
        <v>0</v>
      </c>
      <c r="EC75" s="82">
        <f t="shared" si="168"/>
        <v>0</v>
      </c>
      <c r="EF75" s="83">
        <f t="shared" si="105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0"/>
        <v>GAA5052-5.7x3-H9A14</v>
      </c>
      <c r="H76" s="46" t="str">
        <f t="shared" si="131"/>
        <v>A5052GA5.70DH9</v>
      </c>
      <c r="I76" s="46" t="str">
        <f t="shared" si="132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3"/>
        <v>22</v>
      </c>
      <c r="T76" s="51">
        <f>'31.01'!BG76</f>
        <v>14</v>
      </c>
      <c r="U76" s="92">
        <v>11</v>
      </c>
      <c r="V76" s="100">
        <v>0.15</v>
      </c>
      <c r="W76" s="93">
        <f t="shared" si="112"/>
        <v>0</v>
      </c>
      <c r="X76" s="93">
        <f t="shared" si="113"/>
        <v>0</v>
      </c>
      <c r="Y76" s="93">
        <f t="shared" si="114"/>
        <v>0</v>
      </c>
      <c r="Z76" s="93">
        <f t="shared" si="115"/>
        <v>0</v>
      </c>
      <c r="AA76" s="93">
        <f t="shared" si="116"/>
        <v>0</v>
      </c>
      <c r="AB76" s="93">
        <f t="shared" si="117"/>
        <v>2933</v>
      </c>
      <c r="AC76" s="93">
        <f t="shared" si="118"/>
        <v>0</v>
      </c>
      <c r="AD76" s="93">
        <f t="shared" si="119"/>
        <v>0</v>
      </c>
      <c r="AE76" s="93">
        <f t="shared" si="134"/>
        <v>2933</v>
      </c>
      <c r="AF76" s="54">
        <f>AE76+'31.01'!AF76</f>
        <v>5366</v>
      </c>
      <c r="AG76" s="94">
        <f t="shared" si="160"/>
        <v>14</v>
      </c>
      <c r="AH76" s="56">
        <f t="shared" si="135"/>
        <v>0</v>
      </c>
      <c r="AI76" s="93">
        <v>5</v>
      </c>
      <c r="AJ76" s="93">
        <f t="shared" si="161"/>
        <v>0</v>
      </c>
      <c r="AK76" s="95">
        <f t="shared" si="136"/>
        <v>1</v>
      </c>
      <c r="AL76" s="58">
        <f t="shared" ref="AL76:AL108" si="172">IF(V76="","",MAX(ROUNDUP((IF(AI76+AJ76=0,0,AH76)+AI76+AK76-1),2),0))</f>
        <v>5</v>
      </c>
      <c r="AM76" s="55">
        <f t="shared" si="162"/>
        <v>20</v>
      </c>
      <c r="AN76" s="93"/>
      <c r="AO76" s="96"/>
      <c r="AP76" s="96"/>
      <c r="AQ76" s="96"/>
      <c r="AR76" s="96"/>
      <c r="AS76" s="96"/>
      <c r="AT76" s="96">
        <f>$CJ76</f>
        <v>190</v>
      </c>
      <c r="AU76" s="96">
        <f t="shared" si="137"/>
        <v>0</v>
      </c>
      <c r="AV76" s="96">
        <f t="shared" si="137"/>
        <v>0</v>
      </c>
      <c r="AW76" s="96">
        <f t="shared" si="138"/>
        <v>190</v>
      </c>
      <c r="AX76" s="96">
        <f t="shared" si="139"/>
        <v>1266</v>
      </c>
      <c r="AY76" s="94">
        <f t="shared" si="163"/>
        <v>10</v>
      </c>
      <c r="AZ76" s="94">
        <f t="shared" si="140"/>
        <v>66.666666666666671</v>
      </c>
      <c r="BA76" s="94">
        <f t="shared" si="169"/>
        <v>20</v>
      </c>
      <c r="BB76" s="97">
        <f t="shared" si="170"/>
        <v>0</v>
      </c>
      <c r="BC76" s="93">
        <v>7</v>
      </c>
      <c r="BD76" s="93">
        <f t="shared" si="141"/>
        <v>0</v>
      </c>
      <c r="BE76" s="95">
        <f t="shared" si="142"/>
        <v>1</v>
      </c>
      <c r="BF76" s="58">
        <f t="shared" si="46"/>
        <v>7</v>
      </c>
      <c r="BG76" s="94">
        <f t="shared" si="143"/>
        <v>13</v>
      </c>
      <c r="BH76" s="89"/>
      <c r="BI76" s="89"/>
      <c r="BJ76" s="92"/>
      <c r="BK76" s="89"/>
      <c r="BL76" s="89"/>
      <c r="BM76" s="89"/>
      <c r="BN76" s="92">
        <f>$CN76</f>
        <v>250</v>
      </c>
      <c r="BO76" s="92">
        <f t="shared" si="164"/>
        <v>0</v>
      </c>
      <c r="BP76" s="92">
        <f t="shared" si="164"/>
        <v>0</v>
      </c>
      <c r="BQ76" s="96">
        <f t="shared" si="144"/>
        <v>250</v>
      </c>
      <c r="BR76" s="96">
        <f t="shared" si="145"/>
        <v>1666</v>
      </c>
      <c r="BS76" s="96">
        <f t="shared" si="165"/>
        <v>-2</v>
      </c>
      <c r="BT76" s="96">
        <f t="shared" si="146"/>
        <v>-13.333333333333334</v>
      </c>
      <c r="BU76" s="92">
        <f t="shared" si="120"/>
        <v>2933</v>
      </c>
      <c r="BV76" s="98">
        <f t="shared" si="166"/>
        <v>12</v>
      </c>
      <c r="BW76" s="92">
        <f t="shared" si="121"/>
        <v>53.333333333333336</v>
      </c>
      <c r="BX76" s="98">
        <f t="shared" si="147"/>
        <v>2.448</v>
      </c>
      <c r="BY76" s="61">
        <f>IFERROR(BF76+AL76,0)</f>
        <v>12</v>
      </c>
      <c r="BZ76" s="62">
        <f t="shared" si="148"/>
        <v>12</v>
      </c>
      <c r="CA76" s="98">
        <f t="shared" si="149"/>
        <v>0.44</v>
      </c>
      <c r="CB76" s="92">
        <f t="shared" si="122"/>
        <v>2932</v>
      </c>
      <c r="CC76" s="92">
        <f t="shared" si="122"/>
        <v>8</v>
      </c>
      <c r="CD76" s="92">
        <f t="shared" si="122"/>
        <v>53.333333333333336</v>
      </c>
      <c r="CE76" s="99"/>
      <c r="CF76" s="99"/>
      <c r="CG76" s="51">
        <f t="shared" si="150"/>
        <v>2.008</v>
      </c>
      <c r="CH76" s="62">
        <f t="shared" si="151"/>
        <v>2.008</v>
      </c>
      <c r="CI76" s="89"/>
      <c r="CJ76" s="89">
        <v>190</v>
      </c>
      <c r="CK76" s="89"/>
      <c r="CL76" s="96"/>
      <c r="CM76" s="89"/>
      <c r="CN76" s="89">
        <v>250</v>
      </c>
      <c r="CO76" s="92"/>
      <c r="CP76" s="101"/>
      <c r="CQ76" s="102">
        <f t="shared" si="99"/>
        <v>1266</v>
      </c>
      <c r="CR76" s="102">
        <f t="shared" si="99"/>
        <v>0</v>
      </c>
      <c r="CS76" s="102">
        <f t="shared" si="99"/>
        <v>0</v>
      </c>
      <c r="CT76" s="92">
        <f t="shared" si="152"/>
        <v>1667</v>
      </c>
      <c r="CU76" s="92">
        <f t="shared" si="100"/>
        <v>0</v>
      </c>
      <c r="CV76" s="103">
        <f t="shared" si="100"/>
        <v>0</v>
      </c>
      <c r="CW76" s="104" t="s">
        <v>147</v>
      </c>
      <c r="CX76" s="105">
        <v>16</v>
      </c>
      <c r="CY76" s="106">
        <f t="shared" si="153"/>
        <v>2565</v>
      </c>
      <c r="CZ76" s="106">
        <f t="shared" si="154"/>
        <v>64.800000000000011</v>
      </c>
      <c r="DA76" s="106"/>
      <c r="DB76" s="106"/>
      <c r="DC76" s="105"/>
      <c r="DD76" s="107"/>
      <c r="DE76" s="92">
        <f t="shared" si="123"/>
        <v>1266</v>
      </c>
      <c r="DF76" s="108">
        <f t="shared" si="124"/>
        <v>5</v>
      </c>
      <c r="DG76" s="115">
        <f t="shared" si="125"/>
        <v>66.666666666666671</v>
      </c>
      <c r="DH76" s="110">
        <f t="shared" si="126"/>
        <v>1667</v>
      </c>
      <c r="DI76" s="108">
        <f t="shared" si="127"/>
        <v>7</v>
      </c>
      <c r="DJ76" s="112">
        <f t="shared" si="128"/>
        <v>-13.333333333333334</v>
      </c>
      <c r="DK76" s="110">
        <f t="shared" si="86"/>
        <v>2933</v>
      </c>
      <c r="DL76" s="108">
        <f t="shared" si="86"/>
        <v>12</v>
      </c>
      <c r="DM76" s="111">
        <f t="shared" si="86"/>
        <v>53.333333333333336</v>
      </c>
      <c r="DN76" s="76">
        <f t="shared" si="89"/>
        <v>14</v>
      </c>
      <c r="DO76" s="76">
        <f t="shared" si="89"/>
        <v>11</v>
      </c>
      <c r="DP76" s="112"/>
      <c r="DQ76" s="112"/>
      <c r="DR76" s="113" t="s">
        <v>464</v>
      </c>
      <c r="DS76" s="112"/>
      <c r="DT76" s="112"/>
      <c r="DU76" s="111"/>
      <c r="DV76" s="114"/>
      <c r="DW76" s="80">
        <f t="shared" si="167"/>
        <v>12</v>
      </c>
      <c r="DX76" s="81">
        <f t="shared" si="129"/>
        <v>2998.3333333333335</v>
      </c>
      <c r="DY76" s="80">
        <f t="shared" si="156"/>
        <v>2933</v>
      </c>
      <c r="DZ76" s="82">
        <f t="shared" si="157"/>
        <v>0</v>
      </c>
      <c r="EA76" s="82">
        <f t="shared" si="158"/>
        <v>0.43995000000000001</v>
      </c>
      <c r="EB76" s="82">
        <f t="shared" si="159"/>
        <v>2.0080499999999999</v>
      </c>
      <c r="EC76" s="82">
        <f t="shared" si="75"/>
        <v>2.0080499999999999</v>
      </c>
      <c r="EF76" s="83">
        <f t="shared" si="105"/>
        <v>53.333333333333336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0"/>
        <v>GAA5052-5.7x3-H9A14</v>
      </c>
      <c r="H77" s="46" t="str">
        <f t="shared" si="131"/>
        <v>A5052GA5.70DH9</v>
      </c>
      <c r="I77" s="46" t="str">
        <f t="shared" si="132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3"/>
        <v>16</v>
      </c>
      <c r="T77" s="51">
        <f>'31.01'!BG77</f>
        <v>18</v>
      </c>
      <c r="U77" s="92">
        <v>8</v>
      </c>
      <c r="V77" s="100">
        <v>0.15</v>
      </c>
      <c r="W77" s="93">
        <f t="shared" si="112"/>
        <v>0</v>
      </c>
      <c r="X77" s="93">
        <f t="shared" si="113"/>
        <v>0</v>
      </c>
      <c r="Y77" s="93">
        <f t="shared" si="114"/>
        <v>0</v>
      </c>
      <c r="Z77" s="93">
        <f t="shared" si="115"/>
        <v>0</v>
      </c>
      <c r="AA77" s="93">
        <f t="shared" si="116"/>
        <v>0</v>
      </c>
      <c r="AB77" s="93">
        <f t="shared" si="117"/>
        <v>2620</v>
      </c>
      <c r="AC77" s="93">
        <f t="shared" si="118"/>
        <v>0</v>
      </c>
      <c r="AD77" s="93">
        <f t="shared" si="119"/>
        <v>66</v>
      </c>
      <c r="AE77" s="93">
        <f t="shared" si="134"/>
        <v>2620</v>
      </c>
      <c r="AF77" s="54">
        <f>AE77+'31.01'!AF77</f>
        <v>4566</v>
      </c>
      <c r="AG77" s="94">
        <f t="shared" si="160"/>
        <v>18</v>
      </c>
      <c r="AH77" s="56">
        <f t="shared" si="135"/>
        <v>0</v>
      </c>
      <c r="AI77" s="93">
        <v>5</v>
      </c>
      <c r="AJ77" s="93">
        <f t="shared" si="161"/>
        <v>16</v>
      </c>
      <c r="AK77" s="95">
        <f t="shared" si="136"/>
        <v>0.44444444444444448</v>
      </c>
      <c r="AL77" s="58">
        <f t="shared" si="172"/>
        <v>4.45</v>
      </c>
      <c r="AM77" s="55">
        <f t="shared" si="162"/>
        <v>21.55</v>
      </c>
      <c r="AN77" s="93"/>
      <c r="AO77" s="96"/>
      <c r="AP77" s="96"/>
      <c r="AQ77" s="96"/>
      <c r="AR77" s="96"/>
      <c r="AS77" s="96"/>
      <c r="AT77" s="96">
        <f>$CJ77</f>
        <v>143</v>
      </c>
      <c r="AU77" s="96">
        <f t="shared" si="137"/>
        <v>0</v>
      </c>
      <c r="AV77" s="96">
        <f t="shared" si="137"/>
        <v>10</v>
      </c>
      <c r="AW77" s="96">
        <f t="shared" si="138"/>
        <v>153</v>
      </c>
      <c r="AX77" s="96">
        <f t="shared" si="139"/>
        <v>1020</v>
      </c>
      <c r="AY77" s="94">
        <f t="shared" si="163"/>
        <v>-7.1999999999999886</v>
      </c>
      <c r="AZ77" s="94">
        <f t="shared" si="140"/>
        <v>-47.999999999999929</v>
      </c>
      <c r="BA77" s="94">
        <f t="shared" si="169"/>
        <v>21.55</v>
      </c>
      <c r="BB77" s="97">
        <f t="shared" si="170"/>
        <v>0.55000000000000004</v>
      </c>
      <c r="BC77" s="93">
        <v>7</v>
      </c>
      <c r="BD77" s="93">
        <f t="shared" si="141"/>
        <v>0</v>
      </c>
      <c r="BE77" s="95">
        <f t="shared" si="142"/>
        <v>1</v>
      </c>
      <c r="BF77" s="58">
        <f t="shared" ref="BF77:BF106" si="173">IF(V77="","",MAX(ROUNDUP((IF(BC77+BD77=0,0,BB77)+BC77+BE77-1),2),0))</f>
        <v>7.55</v>
      </c>
      <c r="BG77" s="94">
        <f t="shared" si="143"/>
        <v>14</v>
      </c>
      <c r="BH77" s="89"/>
      <c r="BI77" s="89"/>
      <c r="BJ77" s="89"/>
      <c r="BK77" s="89"/>
      <c r="BL77" s="89"/>
      <c r="BM77" s="89"/>
      <c r="BN77" s="92">
        <f>$CN77</f>
        <v>250</v>
      </c>
      <c r="BO77" s="92">
        <f t="shared" si="164"/>
        <v>0</v>
      </c>
      <c r="BP77" s="92">
        <f t="shared" si="164"/>
        <v>0</v>
      </c>
      <c r="BQ77" s="96">
        <f t="shared" si="144"/>
        <v>250</v>
      </c>
      <c r="BR77" s="96">
        <f t="shared" si="145"/>
        <v>1666</v>
      </c>
      <c r="BS77" s="96">
        <f t="shared" si="165"/>
        <v>-21.800000000000011</v>
      </c>
      <c r="BT77" s="96">
        <f t="shared" si="146"/>
        <v>-145.33333333333343</v>
      </c>
      <c r="BU77" s="92">
        <f t="shared" si="120"/>
        <v>2620</v>
      </c>
      <c r="BV77" s="98">
        <f t="shared" si="166"/>
        <v>12</v>
      </c>
      <c r="BW77" s="92">
        <f t="shared" si="121"/>
        <v>-193.33333333333337</v>
      </c>
      <c r="BX77" s="98">
        <f t="shared" si="147"/>
        <v>2.448</v>
      </c>
      <c r="BY77" s="61">
        <f t="shared" si="171"/>
        <v>12</v>
      </c>
      <c r="BZ77" s="62">
        <f t="shared" si="148"/>
        <v>12</v>
      </c>
      <c r="CA77" s="98">
        <f t="shared" si="149"/>
        <v>0.40300000000000002</v>
      </c>
      <c r="CB77" s="92">
        <f t="shared" si="122"/>
        <v>2686</v>
      </c>
      <c r="CC77" s="92">
        <f t="shared" si="122"/>
        <v>-29</v>
      </c>
      <c r="CD77" s="92">
        <f t="shared" si="122"/>
        <v>-193.33333333333337</v>
      </c>
      <c r="CE77" s="99"/>
      <c r="CF77" s="99"/>
      <c r="CG77" s="51">
        <f t="shared" si="150"/>
        <v>2.0549999999999997</v>
      </c>
      <c r="CH77" s="62">
        <f t="shared" si="151"/>
        <v>2.0549999999999997</v>
      </c>
      <c r="CI77" s="89">
        <v>16</v>
      </c>
      <c r="CJ77" s="89">
        <v>143</v>
      </c>
      <c r="CK77" s="89"/>
      <c r="CL77" s="96">
        <v>10</v>
      </c>
      <c r="CM77" s="89"/>
      <c r="CN77" s="89">
        <v>250</v>
      </c>
      <c r="CO77" s="92"/>
      <c r="CP77" s="101"/>
      <c r="CQ77" s="102">
        <f t="shared" si="99"/>
        <v>953</v>
      </c>
      <c r="CR77" s="102">
        <f t="shared" si="99"/>
        <v>0</v>
      </c>
      <c r="CS77" s="102">
        <f t="shared" si="99"/>
        <v>66</v>
      </c>
      <c r="CT77" s="92">
        <f t="shared" si="152"/>
        <v>1667</v>
      </c>
      <c r="CU77" s="92">
        <f t="shared" si="100"/>
        <v>0</v>
      </c>
      <c r="CV77" s="103">
        <f t="shared" si="100"/>
        <v>0</v>
      </c>
      <c r="CW77" s="104" t="s">
        <v>147</v>
      </c>
      <c r="CX77" s="105">
        <v>21.26</v>
      </c>
      <c r="CY77" s="106">
        <f t="shared" si="153"/>
        <v>1955</v>
      </c>
      <c r="CZ77" s="106">
        <f t="shared" si="154"/>
        <v>86.103000000000023</v>
      </c>
      <c r="DA77" s="106"/>
      <c r="DB77" s="106"/>
      <c r="DC77" s="105"/>
      <c r="DD77" s="107"/>
      <c r="DE77" s="92">
        <f t="shared" si="123"/>
        <v>953</v>
      </c>
      <c r="DF77" s="108">
        <f t="shared" si="124"/>
        <v>4.45</v>
      </c>
      <c r="DG77" s="115">
        <f t="shared" si="125"/>
        <v>-47.999999999999929</v>
      </c>
      <c r="DH77" s="110">
        <f t="shared" si="126"/>
        <v>1667</v>
      </c>
      <c r="DI77" s="108">
        <f t="shared" si="127"/>
        <v>7.55</v>
      </c>
      <c r="DJ77" s="112">
        <f t="shared" si="128"/>
        <v>-145.33333333333343</v>
      </c>
      <c r="DK77" s="110">
        <f t="shared" si="86"/>
        <v>2620</v>
      </c>
      <c r="DL77" s="108">
        <f t="shared" si="86"/>
        <v>12</v>
      </c>
      <c r="DM77" s="111">
        <f t="shared" si="86"/>
        <v>-193.33333333333337</v>
      </c>
      <c r="DN77" s="76">
        <f t="shared" si="89"/>
        <v>18</v>
      </c>
      <c r="DO77" s="76">
        <f t="shared" si="89"/>
        <v>8</v>
      </c>
      <c r="DP77" s="112"/>
      <c r="DQ77" s="112"/>
      <c r="DR77" s="113" t="s">
        <v>465</v>
      </c>
      <c r="DS77" s="112"/>
      <c r="DT77" s="112"/>
      <c r="DU77" s="111"/>
      <c r="DV77" s="114"/>
      <c r="DW77" s="80">
        <f t="shared" si="155"/>
        <v>2632</v>
      </c>
      <c r="DX77" s="81">
        <f t="shared" si="129"/>
        <v>2438.6666666666665</v>
      </c>
      <c r="DY77" s="80">
        <f t="shared" si="156"/>
        <v>2686</v>
      </c>
      <c r="DZ77" s="82">
        <f t="shared" si="157"/>
        <v>9.9000000000000008E-3</v>
      </c>
      <c r="EA77" s="82">
        <f t="shared" si="158"/>
        <v>0.39300000000000002</v>
      </c>
      <c r="EB77" s="82">
        <f t="shared" si="159"/>
        <v>2.0549999999999997</v>
      </c>
      <c r="EC77" s="82">
        <f t="shared" si="75"/>
        <v>2.0648999999999997</v>
      </c>
      <c r="EF77" s="83">
        <f t="shared" si="105"/>
        <v>-193.33333333333337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0"/>
        <v>TTS22C-2x2-H9A12</v>
      </c>
      <c r="H78" s="46" t="str">
        <f t="shared" si="131"/>
        <v>S22CTT20DH9</v>
      </c>
      <c r="I78" s="46" t="str">
        <f t="shared" si="132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3"/>
        <v>16</v>
      </c>
      <c r="T78" s="51">
        <f>'31.01'!BG78</f>
        <v>17</v>
      </c>
      <c r="U78" s="92">
        <v>13</v>
      </c>
      <c r="V78" s="100">
        <v>3.5000000000000003E-2</v>
      </c>
      <c r="W78" s="93">
        <f t="shared" si="112"/>
        <v>0</v>
      </c>
      <c r="X78" s="93">
        <f t="shared" si="113"/>
        <v>0</v>
      </c>
      <c r="Y78" s="93">
        <f t="shared" si="114"/>
        <v>0</v>
      </c>
      <c r="Z78" s="93">
        <f t="shared" si="115"/>
        <v>6571</v>
      </c>
      <c r="AA78" s="93">
        <f t="shared" si="116"/>
        <v>0</v>
      </c>
      <c r="AB78" s="93">
        <f t="shared" si="117"/>
        <v>0</v>
      </c>
      <c r="AC78" s="93">
        <f t="shared" si="118"/>
        <v>0</v>
      </c>
      <c r="AD78" s="93">
        <f t="shared" si="119"/>
        <v>0</v>
      </c>
      <c r="AE78" s="93">
        <f t="shared" si="134"/>
        <v>6571</v>
      </c>
      <c r="AF78" s="54">
        <f>AE78+'31.01'!AF78</f>
        <v>13142</v>
      </c>
      <c r="AG78" s="94">
        <f t="shared" si="160"/>
        <v>17</v>
      </c>
      <c r="AH78" s="56">
        <f t="shared" si="135"/>
        <v>0</v>
      </c>
      <c r="AI78" s="93">
        <v>6</v>
      </c>
      <c r="AJ78" s="93">
        <f t="shared" si="161"/>
        <v>0</v>
      </c>
      <c r="AK78" s="95">
        <f t="shared" si="136"/>
        <v>1</v>
      </c>
      <c r="AL78" s="58">
        <f t="shared" si="172"/>
        <v>6</v>
      </c>
      <c r="AM78" s="55">
        <f t="shared" si="162"/>
        <v>24</v>
      </c>
      <c r="AN78" s="93"/>
      <c r="AO78" s="96"/>
      <c r="AP78" s="96"/>
      <c r="AQ78" s="96"/>
      <c r="AR78" s="96">
        <f>$CJ78</f>
        <v>110</v>
      </c>
      <c r="AS78" s="96"/>
      <c r="AT78" s="96"/>
      <c r="AU78" s="96">
        <f t="shared" si="137"/>
        <v>0</v>
      </c>
      <c r="AV78" s="96">
        <f t="shared" si="137"/>
        <v>0</v>
      </c>
      <c r="AW78" s="96">
        <f t="shared" si="138"/>
        <v>110</v>
      </c>
      <c r="AX78" s="96">
        <f t="shared" si="139"/>
        <v>3142</v>
      </c>
      <c r="AY78" s="94">
        <f t="shared" si="163"/>
        <v>4.789999999999992</v>
      </c>
      <c r="AZ78" s="94">
        <f t="shared" si="140"/>
        <v>136.85714285714261</v>
      </c>
      <c r="BA78" s="94">
        <f t="shared" si="169"/>
        <v>24</v>
      </c>
      <c r="BB78" s="97">
        <f t="shared" si="170"/>
        <v>0</v>
      </c>
      <c r="BC78" s="93">
        <v>7</v>
      </c>
      <c r="BD78" s="93">
        <f t="shared" si="141"/>
        <v>0</v>
      </c>
      <c r="BE78" s="95">
        <f t="shared" si="142"/>
        <v>1</v>
      </c>
      <c r="BF78" s="58">
        <f t="shared" si="173"/>
        <v>7</v>
      </c>
      <c r="BG78" s="94">
        <f t="shared" si="143"/>
        <v>17</v>
      </c>
      <c r="BH78" s="89"/>
      <c r="BI78" s="89"/>
      <c r="BJ78" s="89"/>
      <c r="BK78" s="89"/>
      <c r="BL78" s="92">
        <f>$CN78</f>
        <v>120</v>
      </c>
      <c r="BM78" s="89"/>
      <c r="BN78" s="89"/>
      <c r="BO78" s="92">
        <f t="shared" si="164"/>
        <v>0</v>
      </c>
      <c r="BP78" s="92">
        <f t="shared" si="164"/>
        <v>0</v>
      </c>
      <c r="BQ78" s="96">
        <f t="shared" si="144"/>
        <v>120</v>
      </c>
      <c r="BR78" s="96">
        <f t="shared" si="145"/>
        <v>3428</v>
      </c>
      <c r="BS78" s="96">
        <f t="shared" si="165"/>
        <v>-2.7450000000000188</v>
      </c>
      <c r="BT78" s="96">
        <f t="shared" si="146"/>
        <v>-78.428571428571956</v>
      </c>
      <c r="BU78" s="92">
        <f t="shared" si="120"/>
        <v>6571</v>
      </c>
      <c r="BV78" s="98">
        <f t="shared" si="166"/>
        <v>13</v>
      </c>
      <c r="BW78" s="92">
        <f t="shared" si="121"/>
        <v>58.428571428570649</v>
      </c>
      <c r="BX78" s="98" t="str">
        <f t="shared" si="147"/>
        <v/>
      </c>
      <c r="BY78" s="61">
        <f t="shared" si="171"/>
        <v>13</v>
      </c>
      <c r="BZ78" s="62">
        <f t="shared" si="148"/>
        <v>13</v>
      </c>
      <c r="CA78" s="98">
        <f t="shared" si="149"/>
        <v>0.23</v>
      </c>
      <c r="CB78" s="92">
        <f t="shared" si="122"/>
        <v>6570</v>
      </c>
      <c r="CC78" s="92">
        <f t="shared" si="122"/>
        <v>2.0449999999999733</v>
      </c>
      <c r="CD78" s="92">
        <f t="shared" si="122"/>
        <v>58.428571428570649</v>
      </c>
      <c r="CE78" s="99"/>
      <c r="CF78" s="99"/>
      <c r="CG78" s="51">
        <f t="shared" si="150"/>
        <v>0</v>
      </c>
      <c r="CH78" s="62">
        <f t="shared" si="151"/>
        <v>0</v>
      </c>
      <c r="CI78" s="89"/>
      <c r="CJ78" s="89">
        <v>110</v>
      </c>
      <c r="CK78" s="89"/>
      <c r="CL78" s="96"/>
      <c r="CM78" s="89"/>
      <c r="CN78" s="89">
        <v>120</v>
      </c>
      <c r="CO78" s="92"/>
      <c r="CP78" s="101"/>
      <c r="CQ78" s="102">
        <f t="shared" si="99"/>
        <v>3142</v>
      </c>
      <c r="CR78" s="102">
        <f t="shared" si="99"/>
        <v>0</v>
      </c>
      <c r="CS78" s="102">
        <f t="shared" si="99"/>
        <v>0</v>
      </c>
      <c r="CT78" s="92">
        <f t="shared" si="152"/>
        <v>3429</v>
      </c>
      <c r="CU78" s="92">
        <f t="shared" si="100"/>
        <v>0</v>
      </c>
      <c r="CV78" s="103">
        <f t="shared" si="100"/>
        <v>0</v>
      </c>
      <c r="CW78" s="104" t="s">
        <v>147</v>
      </c>
      <c r="CX78" s="105">
        <v>9.85</v>
      </c>
      <c r="CY78" s="106">
        <f t="shared" si="153"/>
        <v>4221</v>
      </c>
      <c r="CZ78" s="106">
        <f t="shared" si="154"/>
        <v>39.892499999999998</v>
      </c>
      <c r="DA78" s="106"/>
      <c r="DB78" s="106"/>
      <c r="DC78" s="105"/>
      <c r="DD78" s="107"/>
      <c r="DE78" s="92">
        <f t="shared" si="123"/>
        <v>3142</v>
      </c>
      <c r="DF78" s="108">
        <f t="shared" si="124"/>
        <v>6</v>
      </c>
      <c r="DG78" s="115">
        <f t="shared" si="125"/>
        <v>136.85714285714261</v>
      </c>
      <c r="DH78" s="110">
        <f t="shared" si="126"/>
        <v>3429</v>
      </c>
      <c r="DI78" s="108">
        <f t="shared" si="127"/>
        <v>7</v>
      </c>
      <c r="DJ78" s="115">
        <f t="shared" si="128"/>
        <v>-78.428571428571956</v>
      </c>
      <c r="DK78" s="110">
        <f t="shared" si="86"/>
        <v>6571</v>
      </c>
      <c r="DL78" s="108">
        <f t="shared" si="86"/>
        <v>13</v>
      </c>
      <c r="DM78" s="111">
        <f t="shared" si="86"/>
        <v>58.428571428570649</v>
      </c>
      <c r="DN78" s="76">
        <f t="shared" si="89"/>
        <v>17</v>
      </c>
      <c r="DO78" s="76">
        <f t="shared" si="89"/>
        <v>13</v>
      </c>
      <c r="DP78" s="112"/>
      <c r="DQ78" s="112"/>
      <c r="DR78" s="113" t="s">
        <v>466</v>
      </c>
      <c r="DS78" s="112"/>
      <c r="DT78" s="112"/>
      <c r="DU78" s="111"/>
      <c r="DV78" s="114"/>
      <c r="DW78" s="80">
        <f t="shared" si="155"/>
        <v>6584</v>
      </c>
      <c r="DX78" s="81">
        <f t="shared" si="129"/>
        <v>6642.4285714285706</v>
      </c>
      <c r="DY78" s="80">
        <f t="shared" si="156"/>
        <v>6571</v>
      </c>
      <c r="DZ78" s="82">
        <f t="shared" si="157"/>
        <v>0</v>
      </c>
      <c r="EA78" s="82">
        <f t="shared" si="158"/>
        <v>0.22998500000000002</v>
      </c>
      <c r="EB78" s="82" t="e">
        <f t="shared" si="159"/>
        <v>#VALUE!</v>
      </c>
      <c r="EC78" s="82" t="e">
        <f t="shared" si="75"/>
        <v>#VALUE!</v>
      </c>
      <c r="EF78" s="83">
        <f t="shared" si="105"/>
        <v>58.428571428570649</v>
      </c>
    </row>
    <row r="79" spans="1:136" ht="15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0"/>
        <v>IBC3604-6x3-H9B13</v>
      </c>
      <c r="H79" s="46" t="str">
        <f t="shared" si="131"/>
        <v>C3604IB60DH9</v>
      </c>
      <c r="I79" s="46" t="str">
        <f t="shared" si="132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3"/>
        <v>10</v>
      </c>
      <c r="T79" s="51">
        <f>'31.01'!BG79</f>
        <v>0</v>
      </c>
      <c r="U79" s="92"/>
      <c r="V79" s="100">
        <v>0.67</v>
      </c>
      <c r="W79" s="93">
        <f t="shared" si="112"/>
        <v>0</v>
      </c>
      <c r="X79" s="93">
        <f t="shared" si="113"/>
        <v>0</v>
      </c>
      <c r="Y79" s="93">
        <f t="shared" si="114"/>
        <v>0</v>
      </c>
      <c r="Z79" s="93">
        <f t="shared" si="115"/>
        <v>0</v>
      </c>
      <c r="AA79" s="93">
        <f t="shared" si="116"/>
        <v>0</v>
      </c>
      <c r="AB79" s="93">
        <f t="shared" si="117"/>
        <v>0</v>
      </c>
      <c r="AC79" s="93">
        <f t="shared" si="118"/>
        <v>0</v>
      </c>
      <c r="AD79" s="93">
        <f t="shared" si="119"/>
        <v>0</v>
      </c>
      <c r="AE79" s="93">
        <f t="shared" si="134"/>
        <v>0</v>
      </c>
      <c r="AF79" s="54">
        <f>AE79+'31.01'!AF79</f>
        <v>0</v>
      </c>
      <c r="AG79" s="94">
        <f t="shared" si="160"/>
        <v>0</v>
      </c>
      <c r="AH79" s="56">
        <f t="shared" si="135"/>
        <v>0</v>
      </c>
      <c r="AI79" s="93"/>
      <c r="AJ79" s="93">
        <f t="shared" si="161"/>
        <v>0</v>
      </c>
      <c r="AK79" s="95">
        <f t="shared" si="136"/>
        <v>1</v>
      </c>
      <c r="AL79" s="58">
        <f t="shared" si="172"/>
        <v>0</v>
      </c>
      <c r="AM79" s="55">
        <f t="shared" si="162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37"/>
        <v>0</v>
      </c>
      <c r="AV79" s="96">
        <f t="shared" si="137"/>
        <v>0</v>
      </c>
      <c r="AW79" s="96">
        <f t="shared" si="138"/>
        <v>0</v>
      </c>
      <c r="AX79" s="96">
        <f t="shared" si="139"/>
        <v>0</v>
      </c>
      <c r="AY79" s="94">
        <f t="shared" si="163"/>
        <v>0</v>
      </c>
      <c r="AZ79" s="94">
        <f t="shared" si="140"/>
        <v>0</v>
      </c>
      <c r="BA79" s="94">
        <f t="shared" si="169"/>
        <v>0</v>
      </c>
      <c r="BB79" s="97">
        <f t="shared" si="170"/>
        <v>0</v>
      </c>
      <c r="BC79" s="93"/>
      <c r="BD79" s="93">
        <f t="shared" si="141"/>
        <v>0</v>
      </c>
      <c r="BE79" s="95">
        <f t="shared" si="142"/>
        <v>1</v>
      </c>
      <c r="BF79" s="58">
        <f t="shared" si="173"/>
        <v>0</v>
      </c>
      <c r="BG79" s="94">
        <f t="shared" si="143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4"/>
        <v>0</v>
      </c>
      <c r="BP79" s="92">
        <f t="shared" si="164"/>
        <v>0</v>
      </c>
      <c r="BQ79" s="96">
        <f t="shared" si="144"/>
        <v>0</v>
      </c>
      <c r="BR79" s="96">
        <f t="shared" si="145"/>
        <v>0</v>
      </c>
      <c r="BS79" s="96">
        <f t="shared" si="165"/>
        <v>0</v>
      </c>
      <c r="BT79" s="96">
        <f t="shared" si="146"/>
        <v>0</v>
      </c>
      <c r="BU79" s="92">
        <f t="shared" si="120"/>
        <v>0</v>
      </c>
      <c r="BV79" s="98">
        <f t="shared" si="166"/>
        <v>0</v>
      </c>
      <c r="BW79" s="92">
        <f t="shared" si="121"/>
        <v>0</v>
      </c>
      <c r="BX79" s="98">
        <f t="shared" si="147"/>
        <v>0</v>
      </c>
      <c r="BY79" s="61">
        <f t="shared" si="171"/>
        <v>0</v>
      </c>
      <c r="BZ79" s="62">
        <f t="shared" si="148"/>
        <v>0</v>
      </c>
      <c r="CA79" s="98">
        <f t="shared" si="149"/>
        <v>0</v>
      </c>
      <c r="CB79" s="92">
        <f t="shared" si="122"/>
        <v>0</v>
      </c>
      <c r="CC79" s="92">
        <f t="shared" si="122"/>
        <v>0</v>
      </c>
      <c r="CD79" s="92">
        <f t="shared" si="122"/>
        <v>0</v>
      </c>
      <c r="CE79" s="99"/>
      <c r="CF79" s="99"/>
      <c r="CG79" s="51">
        <f t="shared" si="150"/>
        <v>0</v>
      </c>
      <c r="CH79" s="62">
        <f t="shared" si="151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99"/>
        <v>0</v>
      </c>
      <c r="CR79" s="102">
        <f t="shared" si="99"/>
        <v>0</v>
      </c>
      <c r="CS79" s="102">
        <f t="shared" si="99"/>
        <v>0</v>
      </c>
      <c r="CT79" s="92">
        <f t="shared" si="152"/>
        <v>0</v>
      </c>
      <c r="CU79" s="92">
        <f t="shared" si="100"/>
        <v>0</v>
      </c>
      <c r="CV79" s="103">
        <f t="shared" si="100"/>
        <v>0</v>
      </c>
      <c r="CW79" s="104" t="s">
        <v>147</v>
      </c>
      <c r="CX79" s="105">
        <v>20</v>
      </c>
      <c r="CY79" s="106">
        <f t="shared" si="153"/>
        <v>2106</v>
      </c>
      <c r="CZ79" s="106">
        <f t="shared" si="154"/>
        <v>81</v>
      </c>
      <c r="DA79" s="106"/>
      <c r="DB79" s="106"/>
      <c r="DC79" s="105"/>
      <c r="DD79" s="107"/>
      <c r="DE79" s="92">
        <f t="shared" si="123"/>
        <v>0</v>
      </c>
      <c r="DF79" s="108">
        <f t="shared" si="124"/>
        <v>0</v>
      </c>
      <c r="DG79" s="115">
        <f t="shared" si="125"/>
        <v>0</v>
      </c>
      <c r="DH79" s="110">
        <f t="shared" si="126"/>
        <v>0</v>
      </c>
      <c r="DI79" s="108">
        <f t="shared" si="127"/>
        <v>0</v>
      </c>
      <c r="DJ79" s="112">
        <f t="shared" si="128"/>
        <v>0</v>
      </c>
      <c r="DK79" s="110">
        <f t="shared" si="86"/>
        <v>0</v>
      </c>
      <c r="DL79" s="108">
        <f t="shared" si="86"/>
        <v>0</v>
      </c>
      <c r="DM79" s="111">
        <f t="shared" si="86"/>
        <v>0</v>
      </c>
      <c r="DN79" s="76">
        <f t="shared" si="89"/>
        <v>0</v>
      </c>
      <c r="DO79" s="76">
        <f t="shared" si="89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5"/>
        <v>0</v>
      </c>
      <c r="DX79" s="81">
        <f t="shared" si="129"/>
        <v>0</v>
      </c>
      <c r="DY79" s="80">
        <f t="shared" si="156"/>
        <v>0</v>
      </c>
      <c r="DZ79" s="82">
        <f t="shared" si="157"/>
        <v>0</v>
      </c>
      <c r="EA79" s="82">
        <f t="shared" si="158"/>
        <v>0</v>
      </c>
      <c r="EB79" s="82">
        <f t="shared" si="159"/>
        <v>0</v>
      </c>
      <c r="EC79" s="82">
        <f t="shared" ref="EC79:EC82" si="174">(BX79-CA79)+((AV79+BP79)/1000)</f>
        <v>0</v>
      </c>
      <c r="EF79" s="83">
        <f t="shared" si="105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0"/>
        <v>YHC2700-5.5x3-H9A14</v>
      </c>
      <c r="H80" s="46" t="str">
        <f t="shared" si="131"/>
        <v>C2700YH5.50DH9</v>
      </c>
      <c r="I80" s="46" t="str">
        <f t="shared" si="132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3"/>
        <v>46</v>
      </c>
      <c r="T80" s="51">
        <f>'31.01'!BG80</f>
        <v>30</v>
      </c>
      <c r="U80" s="92"/>
      <c r="V80" s="100">
        <v>1.1000000000000001</v>
      </c>
      <c r="W80" s="93">
        <f t="shared" si="112"/>
        <v>0</v>
      </c>
      <c r="X80" s="93">
        <f t="shared" si="113"/>
        <v>2260</v>
      </c>
      <c r="Y80" s="93">
        <f t="shared" si="114"/>
        <v>0</v>
      </c>
      <c r="Z80" s="93">
        <f t="shared" si="115"/>
        <v>0</v>
      </c>
      <c r="AA80" s="93">
        <f t="shared" si="116"/>
        <v>0</v>
      </c>
      <c r="AB80" s="93">
        <f t="shared" si="117"/>
        <v>0</v>
      </c>
      <c r="AC80" s="93">
        <f t="shared" si="118"/>
        <v>0</v>
      </c>
      <c r="AD80" s="93">
        <f t="shared" si="119"/>
        <v>45</v>
      </c>
      <c r="AE80" s="93">
        <f t="shared" si="134"/>
        <v>2260</v>
      </c>
      <c r="AF80" s="54">
        <f>AE80+'31.01'!AF80</f>
        <v>3844</v>
      </c>
      <c r="AG80" s="94">
        <f t="shared" si="160"/>
        <v>30</v>
      </c>
      <c r="AH80" s="56">
        <f t="shared" si="135"/>
        <v>0</v>
      </c>
      <c r="AI80" s="93">
        <v>6</v>
      </c>
      <c r="AJ80" s="93">
        <f t="shared" si="161"/>
        <v>60</v>
      </c>
      <c r="AK80" s="95">
        <f t="shared" si="136"/>
        <v>0.33057851239669417</v>
      </c>
      <c r="AL80" s="58">
        <f t="shared" si="172"/>
        <v>5.34</v>
      </c>
      <c r="AM80" s="55">
        <f t="shared" si="162"/>
        <v>24.66</v>
      </c>
      <c r="AN80" s="93"/>
      <c r="AO80" s="96"/>
      <c r="AP80" s="96">
        <f>$CJ80</f>
        <v>992</v>
      </c>
      <c r="AQ80" s="96"/>
      <c r="AR80" s="96"/>
      <c r="AS80" s="96"/>
      <c r="AT80" s="96"/>
      <c r="AU80" s="96">
        <f t="shared" si="137"/>
        <v>0</v>
      </c>
      <c r="AV80" s="96">
        <f t="shared" si="137"/>
        <v>0</v>
      </c>
      <c r="AW80" s="96">
        <f t="shared" si="138"/>
        <v>992</v>
      </c>
      <c r="AX80" s="96">
        <f t="shared" si="139"/>
        <v>901</v>
      </c>
      <c r="AY80" s="94">
        <f t="shared" si="163"/>
        <v>22.78999999999985</v>
      </c>
      <c r="AZ80" s="94">
        <f t="shared" si="140"/>
        <v>20.71818181818168</v>
      </c>
      <c r="BA80" s="94">
        <f t="shared" si="169"/>
        <v>24.66</v>
      </c>
      <c r="BB80" s="97">
        <f t="shared" si="170"/>
        <v>0.66</v>
      </c>
      <c r="BC80" s="93">
        <v>9</v>
      </c>
      <c r="BD80" s="93">
        <f t="shared" si="141"/>
        <v>0</v>
      </c>
      <c r="BE80" s="95">
        <f t="shared" si="142"/>
        <v>1</v>
      </c>
      <c r="BF80" s="58">
        <f t="shared" si="173"/>
        <v>9.66</v>
      </c>
      <c r="BG80" s="94">
        <f t="shared" si="143"/>
        <v>15</v>
      </c>
      <c r="BH80" s="89"/>
      <c r="BI80" s="89"/>
      <c r="BJ80" s="92">
        <f>$CN80</f>
        <v>1495</v>
      </c>
      <c r="BK80" s="89"/>
      <c r="BL80" s="89"/>
      <c r="BM80" s="89"/>
      <c r="BN80" s="92"/>
      <c r="BO80" s="92">
        <f t="shared" si="164"/>
        <v>0</v>
      </c>
      <c r="BP80" s="92">
        <f t="shared" si="164"/>
        <v>50</v>
      </c>
      <c r="BQ80" s="96">
        <f t="shared" si="144"/>
        <v>1545</v>
      </c>
      <c r="BR80" s="96">
        <f t="shared" si="145"/>
        <v>1404</v>
      </c>
      <c r="BS80" s="96">
        <f t="shared" si="165"/>
        <v>-208.29000000000019</v>
      </c>
      <c r="BT80" s="96">
        <f t="shared" si="146"/>
        <v>-189.35454545454562</v>
      </c>
      <c r="BU80" s="92">
        <f t="shared" si="120"/>
        <v>2260</v>
      </c>
      <c r="BV80" s="98">
        <f t="shared" si="166"/>
        <v>15</v>
      </c>
      <c r="BW80" s="92">
        <f t="shared" si="121"/>
        <v>-168.63636363636394</v>
      </c>
      <c r="BX80" s="98">
        <f t="shared" si="147"/>
        <v>8.9849999999999994</v>
      </c>
      <c r="BY80" s="61">
        <f t="shared" si="171"/>
        <v>15</v>
      </c>
      <c r="BZ80" s="62">
        <f t="shared" si="148"/>
        <v>15</v>
      </c>
      <c r="CA80" s="98">
        <f t="shared" si="149"/>
        <v>2.5369999999999999</v>
      </c>
      <c r="CB80" s="92">
        <f>IFERROR(BR80+AX80,"")</f>
        <v>2305</v>
      </c>
      <c r="CC80" s="92">
        <f t="shared" si="122"/>
        <v>-185.50000000000034</v>
      </c>
      <c r="CD80" s="92">
        <f t="shared" si="122"/>
        <v>-168.63636363636394</v>
      </c>
      <c r="CE80" s="99"/>
      <c r="CF80" s="99"/>
      <c r="CG80" s="51">
        <f t="shared" si="150"/>
        <v>6.4979999999999993</v>
      </c>
      <c r="CH80" s="62">
        <f t="shared" si="151"/>
        <v>6.4979999999999993</v>
      </c>
      <c r="CI80" s="89">
        <v>60</v>
      </c>
      <c r="CJ80" s="89">
        <v>992</v>
      </c>
      <c r="CK80" s="89"/>
      <c r="CL80" s="96"/>
      <c r="CM80" s="89"/>
      <c r="CN80" s="89">
        <v>1495</v>
      </c>
      <c r="CO80" s="92"/>
      <c r="CP80" s="101">
        <v>50</v>
      </c>
      <c r="CQ80" s="102">
        <f t="shared" si="99"/>
        <v>901</v>
      </c>
      <c r="CR80" s="102">
        <f t="shared" si="99"/>
        <v>0</v>
      </c>
      <c r="CS80" s="102">
        <f t="shared" si="99"/>
        <v>0</v>
      </c>
      <c r="CT80" s="92">
        <f t="shared" si="152"/>
        <v>1359</v>
      </c>
      <c r="CU80" s="92">
        <f t="shared" si="100"/>
        <v>0</v>
      </c>
      <c r="CV80" s="103">
        <f t="shared" si="100"/>
        <v>45</v>
      </c>
      <c r="CW80" s="104" t="s">
        <v>147</v>
      </c>
      <c r="CX80" s="105">
        <v>10</v>
      </c>
      <c r="CY80" s="106">
        <f t="shared" si="153"/>
        <v>3834</v>
      </c>
      <c r="CZ80" s="106">
        <f t="shared" si="154"/>
        <v>40.5</v>
      </c>
      <c r="DA80" s="106"/>
      <c r="DB80" s="106"/>
      <c r="DC80" s="105"/>
      <c r="DD80" s="107"/>
      <c r="DE80" s="92">
        <f t="shared" si="123"/>
        <v>901</v>
      </c>
      <c r="DF80" s="108">
        <f t="shared" si="124"/>
        <v>5.34</v>
      </c>
      <c r="DG80" s="115">
        <f t="shared" si="125"/>
        <v>20.71818181818168</v>
      </c>
      <c r="DH80" s="110">
        <f t="shared" si="126"/>
        <v>1359</v>
      </c>
      <c r="DI80" s="108">
        <f t="shared" si="127"/>
        <v>9.66</v>
      </c>
      <c r="DJ80" s="112">
        <f t="shared" si="128"/>
        <v>-189.35454545454562</v>
      </c>
      <c r="DK80" s="110">
        <f t="shared" si="86"/>
        <v>2260</v>
      </c>
      <c r="DL80" s="108">
        <f t="shared" si="86"/>
        <v>15</v>
      </c>
      <c r="DM80" s="111">
        <f t="shared" si="86"/>
        <v>-168.63636363636394</v>
      </c>
      <c r="DN80" s="76">
        <f t="shared" si="89"/>
        <v>30</v>
      </c>
      <c r="DO80" s="76">
        <f t="shared" si="89"/>
        <v>0</v>
      </c>
      <c r="DP80" s="112"/>
      <c r="DQ80" s="112"/>
      <c r="DR80" s="113" t="s">
        <v>467</v>
      </c>
      <c r="DS80" s="112"/>
      <c r="DT80" s="112"/>
      <c r="DU80" s="111"/>
      <c r="DV80" s="114"/>
      <c r="DW80" s="80">
        <f t="shared" si="155"/>
        <v>2275</v>
      </c>
      <c r="DX80" s="81">
        <f t="shared" si="129"/>
        <v>2106.363636363636</v>
      </c>
      <c r="DY80" s="80">
        <f t="shared" si="156"/>
        <v>2305</v>
      </c>
      <c r="DZ80" s="82">
        <f t="shared" si="157"/>
        <v>4.9500000000000009E-2</v>
      </c>
      <c r="EA80" s="82">
        <f t="shared" si="158"/>
        <v>2.4860000000000002</v>
      </c>
      <c r="EB80" s="82">
        <f t="shared" si="159"/>
        <v>6.4989999999999988</v>
      </c>
      <c r="EC80" s="82">
        <f t="shared" si="174"/>
        <v>6.4979999999999993</v>
      </c>
      <c r="EF80" s="83">
        <f t="shared" si="105"/>
        <v>-168.63636363636394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0"/>
        <v>IBC3604-7x3-H9D14</v>
      </c>
      <c r="H81" s="46" t="str">
        <f t="shared" si="131"/>
        <v>C3604IB70DH9</v>
      </c>
      <c r="I81" s="46" t="str">
        <f t="shared" si="132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3"/>
        <v>34</v>
      </c>
      <c r="T81" s="51">
        <f>'31.01'!BG81</f>
        <v>32</v>
      </c>
      <c r="U81" s="92">
        <v>18</v>
      </c>
      <c r="V81" s="100">
        <v>2.12</v>
      </c>
      <c r="W81" s="93">
        <f t="shared" si="112"/>
        <v>0</v>
      </c>
      <c r="X81" s="93">
        <f t="shared" si="113"/>
        <v>5560</v>
      </c>
      <c r="Y81" s="93">
        <f t="shared" si="114"/>
        <v>0</v>
      </c>
      <c r="Z81" s="93">
        <f t="shared" si="115"/>
        <v>0</v>
      </c>
      <c r="AA81" s="93">
        <f t="shared" si="116"/>
        <v>0</v>
      </c>
      <c r="AB81" s="93">
        <f t="shared" si="117"/>
        <v>0</v>
      </c>
      <c r="AC81" s="93">
        <f t="shared" si="118"/>
        <v>0</v>
      </c>
      <c r="AD81" s="93">
        <f t="shared" si="119"/>
        <v>40</v>
      </c>
      <c r="AE81" s="93">
        <f t="shared" si="134"/>
        <v>5560</v>
      </c>
      <c r="AF81" s="54">
        <f>AE81+'31.01'!AF81</f>
        <v>8474</v>
      </c>
      <c r="AG81" s="94">
        <f t="shared" si="160"/>
        <v>32</v>
      </c>
      <c r="AH81" s="56">
        <f t="shared" si="135"/>
        <v>0</v>
      </c>
      <c r="AI81" s="93">
        <v>15</v>
      </c>
      <c r="AJ81" s="93">
        <f t="shared" si="161"/>
        <v>0</v>
      </c>
      <c r="AK81" s="95">
        <f t="shared" si="136"/>
        <v>1</v>
      </c>
      <c r="AL81" s="58">
        <f t="shared" si="172"/>
        <v>15</v>
      </c>
      <c r="AM81" s="55">
        <f t="shared" si="162"/>
        <v>35</v>
      </c>
      <c r="AN81" s="93"/>
      <c r="AO81" s="96"/>
      <c r="AP81" s="96">
        <f>$CJ81</f>
        <v>5505</v>
      </c>
      <c r="AQ81" s="96"/>
      <c r="AR81" s="96"/>
      <c r="AS81" s="96"/>
      <c r="AT81" s="96"/>
      <c r="AU81" s="96">
        <f t="shared" si="137"/>
        <v>0</v>
      </c>
      <c r="AV81" s="96">
        <f t="shared" si="137"/>
        <v>50</v>
      </c>
      <c r="AW81" s="96">
        <f t="shared" si="138"/>
        <v>5555</v>
      </c>
      <c r="AX81" s="96">
        <f t="shared" si="139"/>
        <v>2620</v>
      </c>
      <c r="AY81" s="94">
        <f t="shared" si="163"/>
        <v>53.599999999999454</v>
      </c>
      <c r="AZ81" s="94">
        <f t="shared" si="140"/>
        <v>25.28301886792427</v>
      </c>
      <c r="BA81" s="94">
        <f t="shared" si="169"/>
        <v>35</v>
      </c>
      <c r="BB81" s="97">
        <f t="shared" si="170"/>
        <v>0</v>
      </c>
      <c r="BC81" s="93">
        <v>17</v>
      </c>
      <c r="BD81" s="93">
        <f t="shared" si="141"/>
        <v>0</v>
      </c>
      <c r="BE81" s="95">
        <f t="shared" si="142"/>
        <v>1</v>
      </c>
      <c r="BF81" s="58">
        <f t="shared" si="173"/>
        <v>17</v>
      </c>
      <c r="BG81" s="94">
        <f t="shared" si="143"/>
        <v>18</v>
      </c>
      <c r="BH81" s="89"/>
      <c r="BI81" s="89"/>
      <c r="BJ81" s="92">
        <f>$CN81</f>
        <v>6283</v>
      </c>
      <c r="BK81" s="89"/>
      <c r="BL81" s="89"/>
      <c r="BM81" s="89"/>
      <c r="BN81" s="89"/>
      <c r="BO81" s="92">
        <f t="shared" si="164"/>
        <v>0</v>
      </c>
      <c r="BP81" s="92">
        <f t="shared" si="164"/>
        <v>35</v>
      </c>
      <c r="BQ81" s="96">
        <f t="shared" si="144"/>
        <v>6318</v>
      </c>
      <c r="BR81" s="96">
        <f t="shared" si="145"/>
        <v>2980</v>
      </c>
      <c r="BS81" s="96">
        <f t="shared" si="165"/>
        <v>83.079999999999927</v>
      </c>
      <c r="BT81" s="96">
        <f t="shared" si="146"/>
        <v>39.188679245282984</v>
      </c>
      <c r="BU81" s="92">
        <f t="shared" si="120"/>
        <v>5560</v>
      </c>
      <c r="BV81" s="98">
        <f t="shared" si="166"/>
        <v>32</v>
      </c>
      <c r="BW81" s="92">
        <f t="shared" si="121"/>
        <v>64.471698113207253</v>
      </c>
      <c r="BX81" s="98">
        <f t="shared" si="147"/>
        <v>31.36</v>
      </c>
      <c r="BY81" s="61">
        <f t="shared" si="171"/>
        <v>32</v>
      </c>
      <c r="BZ81" s="62">
        <f t="shared" si="148"/>
        <v>32</v>
      </c>
      <c r="CA81" s="98">
        <f t="shared" si="149"/>
        <v>11.872999999999999</v>
      </c>
      <c r="CB81" s="92">
        <f t="shared" si="122"/>
        <v>5600</v>
      </c>
      <c r="CC81" s="92">
        <f t="shared" si="122"/>
        <v>136.67999999999938</v>
      </c>
      <c r="CD81" s="92">
        <f t="shared" si="122"/>
        <v>64.471698113207253</v>
      </c>
      <c r="CE81" s="99"/>
      <c r="CF81" s="99"/>
      <c r="CG81" s="51">
        <f t="shared" si="150"/>
        <v>19.572000000000003</v>
      </c>
      <c r="CH81" s="62">
        <f t="shared" si="151"/>
        <v>19.572000000000003</v>
      </c>
      <c r="CI81" s="89"/>
      <c r="CJ81" s="89">
        <v>5505</v>
      </c>
      <c r="CK81" s="89"/>
      <c r="CL81" s="96">
        <v>50</v>
      </c>
      <c r="CM81" s="89"/>
      <c r="CN81" s="89">
        <v>6283</v>
      </c>
      <c r="CO81" s="92"/>
      <c r="CP81" s="101">
        <v>35</v>
      </c>
      <c r="CQ81" s="102">
        <f t="shared" si="99"/>
        <v>2596</v>
      </c>
      <c r="CR81" s="102">
        <f t="shared" si="99"/>
        <v>0</v>
      </c>
      <c r="CS81" s="102">
        <f t="shared" si="99"/>
        <v>23</v>
      </c>
      <c r="CT81" s="92">
        <f t="shared" si="152"/>
        <v>2964</v>
      </c>
      <c r="CU81" s="92">
        <f t="shared" si="100"/>
        <v>0</v>
      </c>
      <c r="CV81" s="103">
        <f t="shared" si="100"/>
        <v>17</v>
      </c>
      <c r="CW81" s="104" t="s">
        <v>147</v>
      </c>
      <c r="CX81" s="105">
        <v>13.35</v>
      </c>
      <c r="CY81" s="106">
        <f t="shared" si="153"/>
        <v>2979</v>
      </c>
      <c r="CZ81" s="106">
        <f t="shared" si="154"/>
        <v>54.067500000000003</v>
      </c>
      <c r="DA81" s="106"/>
      <c r="DB81" s="106"/>
      <c r="DC81" s="105"/>
      <c r="DD81" s="107"/>
      <c r="DE81" s="92">
        <f t="shared" si="123"/>
        <v>2596</v>
      </c>
      <c r="DF81" s="108">
        <f t="shared" si="124"/>
        <v>15</v>
      </c>
      <c r="DG81" s="115">
        <f t="shared" si="125"/>
        <v>25.28301886792427</v>
      </c>
      <c r="DH81" s="110">
        <f t="shared" si="126"/>
        <v>2964</v>
      </c>
      <c r="DI81" s="108">
        <f t="shared" si="127"/>
        <v>17</v>
      </c>
      <c r="DJ81" s="112">
        <f t="shared" si="128"/>
        <v>39.188679245282984</v>
      </c>
      <c r="DK81" s="110">
        <f t="shared" si="86"/>
        <v>5560</v>
      </c>
      <c r="DL81" s="108">
        <f t="shared" si="86"/>
        <v>32</v>
      </c>
      <c r="DM81" s="111">
        <f t="shared" si="86"/>
        <v>64.471698113207253</v>
      </c>
      <c r="DN81" s="76">
        <f t="shared" si="89"/>
        <v>32</v>
      </c>
      <c r="DO81" s="76">
        <f t="shared" si="89"/>
        <v>18</v>
      </c>
      <c r="DP81" s="112"/>
      <c r="DQ81" s="112"/>
      <c r="DR81" s="113" t="s">
        <v>468</v>
      </c>
      <c r="DS81" s="112"/>
      <c r="DT81" s="112"/>
      <c r="DU81" s="111"/>
      <c r="DV81" s="114"/>
      <c r="DW81" s="80">
        <f t="shared" ref="DW81:DW82" si="175">IFERROR(AL81+BF81,"")</f>
        <v>32</v>
      </c>
      <c r="DX81" s="81">
        <f t="shared" si="129"/>
        <v>5656.4716981132069</v>
      </c>
      <c r="DY81" s="80">
        <f t="shared" si="156"/>
        <v>5600</v>
      </c>
      <c r="DZ81" s="82">
        <f t="shared" si="157"/>
        <v>8.4800000000000014E-2</v>
      </c>
      <c r="EA81" s="82">
        <f t="shared" si="158"/>
        <v>11.7872</v>
      </c>
      <c r="EB81" s="82">
        <f t="shared" si="159"/>
        <v>19.572800000000001</v>
      </c>
      <c r="EC81" s="82">
        <f t="shared" si="174"/>
        <v>19.572000000000003</v>
      </c>
      <c r="EF81" s="83">
        <f t="shared" si="105"/>
        <v>64.471698113207253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0"/>
        <v>IBC3602-7.5x3-H9B14</v>
      </c>
      <c r="H82" s="46" t="str">
        <f t="shared" si="131"/>
        <v>C3602IB7.50DH9</v>
      </c>
      <c r="I82" s="46" t="str">
        <f t="shared" si="132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3"/>
        <v>34</v>
      </c>
      <c r="T82" s="51">
        <f>'31.01'!BG82</f>
        <v>17</v>
      </c>
      <c r="U82" s="92">
        <v>32</v>
      </c>
      <c r="V82" s="174">
        <v>1.23</v>
      </c>
      <c r="W82" s="93">
        <f t="shared" si="112"/>
        <v>0</v>
      </c>
      <c r="X82" s="93">
        <f t="shared" si="113"/>
        <v>0</v>
      </c>
      <c r="Y82" s="93">
        <f t="shared" si="114"/>
        <v>5969</v>
      </c>
      <c r="Z82" s="93">
        <f t="shared" si="115"/>
        <v>0</v>
      </c>
      <c r="AA82" s="93">
        <f t="shared" si="116"/>
        <v>0</v>
      </c>
      <c r="AB82" s="93">
        <f t="shared" si="117"/>
        <v>0</v>
      </c>
      <c r="AC82" s="93">
        <f t="shared" si="118"/>
        <v>0</v>
      </c>
      <c r="AD82" s="93">
        <f t="shared" si="119"/>
        <v>0</v>
      </c>
      <c r="AE82" s="93">
        <f t="shared" si="134"/>
        <v>5969</v>
      </c>
      <c r="AF82" s="54">
        <f>AE82+'31.01'!AF82</f>
        <v>11155</v>
      </c>
      <c r="AG82" s="94">
        <f t="shared" si="160"/>
        <v>17</v>
      </c>
      <c r="AH82" s="56">
        <f t="shared" si="135"/>
        <v>0</v>
      </c>
      <c r="AI82" s="93">
        <v>17</v>
      </c>
      <c r="AJ82" s="93">
        <f t="shared" si="161"/>
        <v>0</v>
      </c>
      <c r="AK82" s="95">
        <f t="shared" si="136"/>
        <v>1</v>
      </c>
      <c r="AL82" s="58">
        <f t="shared" si="172"/>
        <v>17</v>
      </c>
      <c r="AM82" s="55">
        <f t="shared" si="162"/>
        <v>32</v>
      </c>
      <c r="AN82" s="93"/>
      <c r="AO82" s="96"/>
      <c r="AP82" s="96"/>
      <c r="AQ82" s="96">
        <f>$CJ82</f>
        <v>3452</v>
      </c>
      <c r="AR82" s="96"/>
      <c r="AS82" s="96"/>
      <c r="AT82" s="96"/>
      <c r="AU82" s="96">
        <f t="shared" si="137"/>
        <v>0</v>
      </c>
      <c r="AV82" s="96">
        <f t="shared" si="137"/>
        <v>0</v>
      </c>
      <c r="AW82" s="96">
        <f t="shared" si="138"/>
        <v>3452</v>
      </c>
      <c r="AX82" s="96">
        <f t="shared" si="139"/>
        <v>2806</v>
      </c>
      <c r="AY82" s="94">
        <f t="shared" si="163"/>
        <v>85.490000000000236</v>
      </c>
      <c r="AZ82" s="94">
        <f t="shared" si="140"/>
        <v>69.504065040650602</v>
      </c>
      <c r="BA82" s="94">
        <f t="shared" si="169"/>
        <v>32</v>
      </c>
      <c r="BB82" s="97">
        <f t="shared" si="170"/>
        <v>0</v>
      </c>
      <c r="BC82" s="93">
        <v>19</v>
      </c>
      <c r="BD82" s="93">
        <f t="shared" si="141"/>
        <v>0</v>
      </c>
      <c r="BE82" s="95">
        <f t="shared" si="142"/>
        <v>1</v>
      </c>
      <c r="BF82" s="58">
        <f t="shared" si="173"/>
        <v>19</v>
      </c>
      <c r="BG82" s="94">
        <f t="shared" si="143"/>
        <v>13</v>
      </c>
      <c r="BH82" s="89"/>
      <c r="BI82" s="89"/>
      <c r="BJ82" s="89"/>
      <c r="BK82" s="92">
        <f>$CN82</f>
        <v>3891</v>
      </c>
      <c r="BL82" s="89"/>
      <c r="BM82" s="89"/>
      <c r="BN82" s="89"/>
      <c r="BO82" s="92">
        <f t="shared" si="164"/>
        <v>0</v>
      </c>
      <c r="BP82" s="92">
        <f t="shared" si="164"/>
        <v>0</v>
      </c>
      <c r="BQ82" s="96">
        <f t="shared" si="144"/>
        <v>3891</v>
      </c>
      <c r="BR82" s="96">
        <f t="shared" si="145"/>
        <v>3163</v>
      </c>
      <c r="BS82" s="96">
        <f t="shared" si="165"/>
        <v>128.42999999999984</v>
      </c>
      <c r="BT82" s="96">
        <f t="shared" si="146"/>
        <v>104.41463414634133</v>
      </c>
      <c r="BU82" s="92">
        <f t="shared" si="120"/>
        <v>5969</v>
      </c>
      <c r="BV82" s="98">
        <f t="shared" si="166"/>
        <v>36</v>
      </c>
      <c r="BW82" s="92">
        <f t="shared" si="121"/>
        <v>173.91869918699194</v>
      </c>
      <c r="BX82" s="98">
        <f t="shared" si="147"/>
        <v>40.356000000000002</v>
      </c>
      <c r="BY82" s="61">
        <f t="shared" si="171"/>
        <v>36</v>
      </c>
      <c r="BZ82" s="62">
        <f t="shared" si="148"/>
        <v>36</v>
      </c>
      <c r="CA82" s="98">
        <f t="shared" si="149"/>
        <v>7.343</v>
      </c>
      <c r="CB82" s="92">
        <f t="shared" si="122"/>
        <v>5969</v>
      </c>
      <c r="CC82" s="92">
        <f t="shared" si="122"/>
        <v>213.92000000000007</v>
      </c>
      <c r="CD82" s="92">
        <f t="shared" si="122"/>
        <v>173.91869918699194</v>
      </c>
      <c r="CE82" s="99"/>
      <c r="CF82" s="99"/>
      <c r="CG82" s="51">
        <f t="shared" si="150"/>
        <v>33.013000000000005</v>
      </c>
      <c r="CH82" s="62">
        <f t="shared" si="151"/>
        <v>33.013000000000005</v>
      </c>
      <c r="CI82" s="89"/>
      <c r="CJ82" s="89">
        <v>3452</v>
      </c>
      <c r="CK82" s="89"/>
      <c r="CL82" s="96"/>
      <c r="CM82" s="89"/>
      <c r="CN82" s="89">
        <v>3891</v>
      </c>
      <c r="CO82" s="92"/>
      <c r="CP82" s="101"/>
      <c r="CQ82" s="102">
        <f t="shared" si="99"/>
        <v>2806</v>
      </c>
      <c r="CR82" s="102">
        <f t="shared" si="99"/>
        <v>0</v>
      </c>
      <c r="CS82" s="102">
        <f t="shared" si="99"/>
        <v>0</v>
      </c>
      <c r="CT82" s="92">
        <f t="shared" si="152"/>
        <v>3163</v>
      </c>
      <c r="CU82" s="92">
        <f t="shared" si="100"/>
        <v>0</v>
      </c>
      <c r="CV82" s="103">
        <f t="shared" si="100"/>
        <v>0</v>
      </c>
      <c r="CW82" s="104" t="s">
        <v>147</v>
      </c>
      <c r="CX82" s="105">
        <v>15</v>
      </c>
      <c r="CY82" s="106">
        <f t="shared" si="153"/>
        <v>2664</v>
      </c>
      <c r="CZ82" s="106">
        <f t="shared" si="154"/>
        <v>60.750000000000007</v>
      </c>
      <c r="DA82" s="106"/>
      <c r="DB82" s="106"/>
      <c r="DC82" s="105"/>
      <c r="DD82" s="107"/>
      <c r="DE82" s="92">
        <f t="shared" si="123"/>
        <v>2806</v>
      </c>
      <c r="DF82" s="108">
        <f t="shared" si="124"/>
        <v>17</v>
      </c>
      <c r="DG82" s="115">
        <f t="shared" si="125"/>
        <v>69.504065040650602</v>
      </c>
      <c r="DH82" s="110">
        <f t="shared" si="126"/>
        <v>3163</v>
      </c>
      <c r="DI82" s="108">
        <f t="shared" si="127"/>
        <v>19</v>
      </c>
      <c r="DJ82" s="112">
        <f t="shared" si="128"/>
        <v>104.41463414634133</v>
      </c>
      <c r="DK82" s="110">
        <f t="shared" si="86"/>
        <v>5969</v>
      </c>
      <c r="DL82" s="108">
        <f t="shared" si="86"/>
        <v>36</v>
      </c>
      <c r="DM82" s="111">
        <f t="shared" si="86"/>
        <v>173.91869918699194</v>
      </c>
      <c r="DN82" s="76">
        <f t="shared" si="89"/>
        <v>17</v>
      </c>
      <c r="DO82" s="76">
        <f t="shared" si="89"/>
        <v>32</v>
      </c>
      <c r="DP82" s="112"/>
      <c r="DQ82" s="112"/>
      <c r="DR82" s="113" t="s">
        <v>469</v>
      </c>
      <c r="DS82" s="112"/>
      <c r="DT82" s="112"/>
      <c r="DU82" s="111"/>
      <c r="DV82" s="114"/>
      <c r="DW82" s="80">
        <f t="shared" si="175"/>
        <v>36</v>
      </c>
      <c r="DX82" s="81">
        <f t="shared" si="129"/>
        <v>6178.9186991869919</v>
      </c>
      <c r="DY82" s="80">
        <f t="shared" si="156"/>
        <v>5969</v>
      </c>
      <c r="DZ82" s="82">
        <f t="shared" si="157"/>
        <v>0</v>
      </c>
      <c r="EA82" s="82">
        <f t="shared" si="158"/>
        <v>7.3418700000000001</v>
      </c>
      <c r="EB82" s="82">
        <f t="shared" si="159"/>
        <v>33.014130000000002</v>
      </c>
      <c r="EC82" s="82">
        <f t="shared" si="174"/>
        <v>33.013000000000005</v>
      </c>
      <c r="EF82" s="83">
        <f t="shared" si="105"/>
        <v>173.91869918699194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0"/>
        <v>GWA6063-T5-7.5x3-H9B14</v>
      </c>
      <c r="H83" s="46" t="str">
        <f t="shared" si="131"/>
        <v>A6063-T5GW7.50DH9</v>
      </c>
      <c r="I83" s="46" t="str">
        <f t="shared" si="132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3"/>
        <v>18</v>
      </c>
      <c r="T83" s="51">
        <f>'31.01'!BG83</f>
        <v>46</v>
      </c>
      <c r="U83" s="92"/>
      <c r="V83" s="100">
        <v>0.70299999999999996</v>
      </c>
      <c r="W83" s="93">
        <f t="shared" si="112"/>
        <v>0</v>
      </c>
      <c r="X83" s="93">
        <f t="shared" si="113"/>
        <v>0</v>
      </c>
      <c r="Y83" s="93">
        <f t="shared" si="114"/>
        <v>0</v>
      </c>
      <c r="Z83" s="93">
        <f t="shared" si="115"/>
        <v>0</v>
      </c>
      <c r="AA83" s="93">
        <f t="shared" si="116"/>
        <v>0</v>
      </c>
      <c r="AB83" s="93">
        <f t="shared" si="117"/>
        <v>0</v>
      </c>
      <c r="AC83" s="93">
        <f t="shared" si="118"/>
        <v>0</v>
      </c>
      <c r="AD83" s="93">
        <f t="shared" si="119"/>
        <v>0</v>
      </c>
      <c r="AE83" s="93">
        <f t="shared" si="134"/>
        <v>0</v>
      </c>
      <c r="AF83" s="54">
        <f>AE83+'31.01'!AF83</f>
        <v>0</v>
      </c>
      <c r="AG83" s="94">
        <f t="shared" si="160"/>
        <v>46</v>
      </c>
      <c r="AH83" s="56">
        <f t="shared" si="135"/>
        <v>0</v>
      </c>
      <c r="AI83" s="93"/>
      <c r="AJ83" s="93">
        <f t="shared" si="161"/>
        <v>0</v>
      </c>
      <c r="AK83" s="95">
        <f t="shared" si="136"/>
        <v>1</v>
      </c>
      <c r="AL83" s="58">
        <f t="shared" si="172"/>
        <v>0</v>
      </c>
      <c r="AM83" s="55">
        <f t="shared" si="162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37"/>
        <v>0</v>
      </c>
      <c r="AV83" s="96">
        <f t="shared" si="137"/>
        <v>0</v>
      </c>
      <c r="AW83" s="96">
        <f t="shared" si="138"/>
        <v>0</v>
      </c>
      <c r="AX83" s="96">
        <f t="shared" si="139"/>
        <v>0</v>
      </c>
      <c r="AY83" s="94">
        <f t="shared" si="163"/>
        <v>0</v>
      </c>
      <c r="AZ83" s="94">
        <f t="shared" si="140"/>
        <v>0</v>
      </c>
      <c r="BA83" s="94">
        <f t="shared" si="169"/>
        <v>46</v>
      </c>
      <c r="BB83" s="97">
        <f t="shared" si="170"/>
        <v>0</v>
      </c>
      <c r="BC83" s="93"/>
      <c r="BD83" s="93">
        <f t="shared" si="141"/>
        <v>0</v>
      </c>
      <c r="BE83" s="95">
        <f t="shared" si="142"/>
        <v>1</v>
      </c>
      <c r="BF83" s="58">
        <f t="shared" si="173"/>
        <v>0</v>
      </c>
      <c r="BG83" s="94">
        <f t="shared" si="143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4"/>
        <v>0</v>
      </c>
      <c r="BP83" s="92">
        <f t="shared" si="164"/>
        <v>0</v>
      </c>
      <c r="BQ83" s="96">
        <f t="shared" si="144"/>
        <v>0</v>
      </c>
      <c r="BR83" s="96">
        <f t="shared" si="145"/>
        <v>0</v>
      </c>
      <c r="BS83" s="96">
        <f t="shared" si="165"/>
        <v>0</v>
      </c>
      <c r="BT83" s="96">
        <f t="shared" si="146"/>
        <v>0</v>
      </c>
      <c r="BU83" s="92">
        <f t="shared" si="120"/>
        <v>0</v>
      </c>
      <c r="BV83" s="98">
        <f t="shared" si="166"/>
        <v>0</v>
      </c>
      <c r="BW83" s="92">
        <f t="shared" si="121"/>
        <v>0</v>
      </c>
      <c r="BX83" s="98">
        <f t="shared" si="147"/>
        <v>0</v>
      </c>
      <c r="BY83" s="61">
        <f t="shared" si="171"/>
        <v>0</v>
      </c>
      <c r="BZ83" s="62">
        <f t="shared" si="148"/>
        <v>0</v>
      </c>
      <c r="CA83" s="98">
        <f t="shared" si="149"/>
        <v>0</v>
      </c>
      <c r="CB83" s="92">
        <f t="shared" si="122"/>
        <v>0</v>
      </c>
      <c r="CC83" s="92">
        <f t="shared" si="122"/>
        <v>0</v>
      </c>
      <c r="CD83" s="92">
        <f t="shared" si="122"/>
        <v>0</v>
      </c>
      <c r="CE83" s="99"/>
      <c r="CF83" s="99"/>
      <c r="CG83" s="51">
        <f t="shared" si="150"/>
        <v>0</v>
      </c>
      <c r="CH83" s="62">
        <f t="shared" si="151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99"/>
        <v>0</v>
      </c>
      <c r="CR83" s="102">
        <f t="shared" si="99"/>
        <v>0</v>
      </c>
      <c r="CS83" s="102">
        <f t="shared" si="99"/>
        <v>0</v>
      </c>
      <c r="CT83" s="92">
        <f t="shared" si="152"/>
        <v>0</v>
      </c>
      <c r="CU83" s="92">
        <f t="shared" si="100"/>
        <v>0</v>
      </c>
      <c r="CV83" s="103">
        <f t="shared" si="100"/>
        <v>0</v>
      </c>
      <c r="CW83" s="104" t="s">
        <v>147</v>
      </c>
      <c r="CX83" s="105">
        <v>18.5</v>
      </c>
      <c r="CY83" s="106">
        <f t="shared" si="153"/>
        <v>2237</v>
      </c>
      <c r="CZ83" s="106">
        <f t="shared" si="154"/>
        <v>74.925000000000011</v>
      </c>
      <c r="DA83" s="106"/>
      <c r="DB83" s="106"/>
      <c r="DC83" s="105"/>
      <c r="DD83" s="107"/>
      <c r="DE83" s="92">
        <f t="shared" si="123"/>
        <v>0</v>
      </c>
      <c r="DF83" s="108">
        <f t="shared" si="124"/>
        <v>0</v>
      </c>
      <c r="DG83" s="115">
        <f t="shared" si="125"/>
        <v>0</v>
      </c>
      <c r="DH83" s="110">
        <f t="shared" si="126"/>
        <v>0</v>
      </c>
      <c r="DI83" s="108">
        <f t="shared" si="127"/>
        <v>0</v>
      </c>
      <c r="DJ83" s="112">
        <f t="shared" si="128"/>
        <v>0</v>
      </c>
      <c r="DK83" s="110">
        <f t="shared" si="86"/>
        <v>0</v>
      </c>
      <c r="DL83" s="108">
        <f t="shared" si="86"/>
        <v>0</v>
      </c>
      <c r="DM83" s="111">
        <f t="shared" si="86"/>
        <v>0</v>
      </c>
      <c r="DN83" s="76">
        <f t="shared" si="89"/>
        <v>46</v>
      </c>
      <c r="DO83" s="76">
        <f t="shared" si="89"/>
        <v>0</v>
      </c>
      <c r="DP83" s="112"/>
      <c r="DQ83" s="112"/>
      <c r="DR83" s="113" t="s">
        <v>470</v>
      </c>
      <c r="DS83" s="112"/>
      <c r="DT83" s="112"/>
      <c r="DU83" s="111"/>
      <c r="DV83" s="114"/>
      <c r="DW83" s="80">
        <f t="shared" si="155"/>
        <v>0</v>
      </c>
      <c r="DX83" s="81">
        <f t="shared" si="129"/>
        <v>0</v>
      </c>
      <c r="DY83" s="80">
        <f t="shared" si="156"/>
        <v>0</v>
      </c>
      <c r="DZ83" s="82">
        <f t="shared" si="157"/>
        <v>0</v>
      </c>
      <c r="EA83" s="82">
        <f t="shared" si="158"/>
        <v>0</v>
      </c>
      <c r="EB83" s="82">
        <f t="shared" si="159"/>
        <v>0</v>
      </c>
      <c r="EC83" s="82">
        <f t="shared" ref="EC83:EC106" si="176">EB83+DZ83</f>
        <v>0</v>
      </c>
      <c r="EF83" s="83">
        <f t="shared" si="105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0"/>
        <v>GAA5052-5.7x3-H9A14</v>
      </c>
      <c r="H84" s="46" t="str">
        <f t="shared" si="131"/>
        <v>A5052GA5.70DH9</v>
      </c>
      <c r="I84" s="46" t="str">
        <f t="shared" si="132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3"/>
        <v>30</v>
      </c>
      <c r="T84" s="51">
        <f>'31.01'!BG84</f>
        <v>11.19</v>
      </c>
      <c r="U84" s="92">
        <v>14</v>
      </c>
      <c r="V84" s="100">
        <v>0.15</v>
      </c>
      <c r="W84" s="93">
        <f t="shared" si="112"/>
        <v>0</v>
      </c>
      <c r="X84" s="93">
        <f t="shared" si="113"/>
        <v>0</v>
      </c>
      <c r="Y84" s="93">
        <f t="shared" si="114"/>
        <v>0</v>
      </c>
      <c r="Z84" s="93">
        <f t="shared" si="115"/>
        <v>0</v>
      </c>
      <c r="AA84" s="93">
        <f t="shared" si="116"/>
        <v>0</v>
      </c>
      <c r="AB84" s="93">
        <f t="shared" si="117"/>
        <v>2520</v>
      </c>
      <c r="AC84" s="93">
        <f t="shared" si="118"/>
        <v>0</v>
      </c>
      <c r="AD84" s="93">
        <f t="shared" si="119"/>
        <v>200</v>
      </c>
      <c r="AE84" s="93">
        <f t="shared" si="134"/>
        <v>2520</v>
      </c>
      <c r="AF84" s="54">
        <f>AE84+'31.01'!AF84</f>
        <v>5953</v>
      </c>
      <c r="AG84" s="94">
        <f t="shared" si="160"/>
        <v>11.19</v>
      </c>
      <c r="AH84" s="56">
        <f t="shared" si="135"/>
        <v>0.19</v>
      </c>
      <c r="AI84" s="93">
        <v>6</v>
      </c>
      <c r="AJ84" s="93">
        <f t="shared" si="161"/>
        <v>26</v>
      </c>
      <c r="AK84" s="95">
        <f t="shared" si="136"/>
        <v>0.72222222222222221</v>
      </c>
      <c r="AL84" s="58">
        <f t="shared" si="172"/>
        <v>5.92</v>
      </c>
      <c r="AM84" s="55">
        <f t="shared" si="162"/>
        <v>19.269999999999996</v>
      </c>
      <c r="AN84" s="93"/>
      <c r="AO84" s="96"/>
      <c r="AP84" s="96"/>
      <c r="AQ84" s="96"/>
      <c r="AR84" s="96"/>
      <c r="AS84" s="96"/>
      <c r="AT84" s="96">
        <f>$CJ84</f>
        <v>198</v>
      </c>
      <c r="AU84" s="96">
        <f t="shared" si="137"/>
        <v>0</v>
      </c>
      <c r="AV84" s="96">
        <f t="shared" si="137"/>
        <v>25</v>
      </c>
      <c r="AW84" s="96">
        <f t="shared" ref="AW84" si="177">SUM(AO84:AV84)</f>
        <v>223</v>
      </c>
      <c r="AX84" s="96">
        <f t="shared" si="139"/>
        <v>1486</v>
      </c>
      <c r="AY84" s="94">
        <f t="shared" si="163"/>
        <v>9.8800000000000239</v>
      </c>
      <c r="AZ84" s="94">
        <f t="shared" si="140"/>
        <v>65.866666666666831</v>
      </c>
      <c r="BA84" s="94">
        <f t="shared" si="169"/>
        <v>19.269999999999996</v>
      </c>
      <c r="BB84" s="97">
        <f t="shared" si="170"/>
        <v>0.27</v>
      </c>
      <c r="BC84" s="93">
        <v>5</v>
      </c>
      <c r="BD84" s="93">
        <f t="shared" si="141"/>
        <v>0</v>
      </c>
      <c r="BE84" s="95">
        <f t="shared" si="142"/>
        <v>1</v>
      </c>
      <c r="BF84" s="58">
        <f t="shared" si="173"/>
        <v>5.27</v>
      </c>
      <c r="BG84" s="94">
        <f t="shared" si="143"/>
        <v>13.999999999999996</v>
      </c>
      <c r="BH84" s="89"/>
      <c r="BI84" s="89"/>
      <c r="BJ84" s="92"/>
      <c r="BK84" s="89"/>
      <c r="BL84" s="89"/>
      <c r="BM84" s="89"/>
      <c r="BN84" s="92">
        <f>$CN84</f>
        <v>180</v>
      </c>
      <c r="BO84" s="92">
        <f t="shared" si="164"/>
        <v>0</v>
      </c>
      <c r="BP84" s="92">
        <f t="shared" si="164"/>
        <v>5</v>
      </c>
      <c r="BQ84" s="96">
        <f t="shared" si="144"/>
        <v>185</v>
      </c>
      <c r="BR84" s="96">
        <f t="shared" si="145"/>
        <v>1233</v>
      </c>
      <c r="BS84" s="96">
        <f t="shared" si="165"/>
        <v>-4.7199999999999989</v>
      </c>
      <c r="BT84" s="96">
        <f t="shared" si="146"/>
        <v>-31.466666666666661</v>
      </c>
      <c r="BU84" s="92">
        <f t="shared" si="120"/>
        <v>2520</v>
      </c>
      <c r="BV84" s="98">
        <f t="shared" si="166"/>
        <v>11.19</v>
      </c>
      <c r="BW84" s="92">
        <f t="shared" si="121"/>
        <v>34.400000000000169</v>
      </c>
      <c r="BX84" s="98">
        <f t="shared" si="147"/>
        <v>2.2827599999999997</v>
      </c>
      <c r="BY84" s="61">
        <f t="shared" si="171"/>
        <v>11.19</v>
      </c>
      <c r="BZ84" s="62">
        <f t="shared" si="148"/>
        <v>11.19</v>
      </c>
      <c r="CA84" s="98">
        <f t="shared" si="149"/>
        <v>0.40799999999999997</v>
      </c>
      <c r="CB84" s="92">
        <f t="shared" si="122"/>
        <v>2719</v>
      </c>
      <c r="CC84" s="92">
        <f t="shared" si="122"/>
        <v>5.160000000000025</v>
      </c>
      <c r="CD84" s="92">
        <f t="shared" si="122"/>
        <v>34.400000000000169</v>
      </c>
      <c r="CE84" s="99"/>
      <c r="CF84" s="99"/>
      <c r="CG84" s="51">
        <f t="shared" si="150"/>
        <v>1.9047599999999998</v>
      </c>
      <c r="CH84" s="62">
        <f t="shared" si="151"/>
        <v>1.9047599999999998</v>
      </c>
      <c r="CI84" s="89">
        <v>26</v>
      </c>
      <c r="CJ84" s="89">
        <v>198</v>
      </c>
      <c r="CK84" s="89"/>
      <c r="CL84" s="96">
        <v>25</v>
      </c>
      <c r="CM84" s="89"/>
      <c r="CN84" s="89">
        <v>180</v>
      </c>
      <c r="CO84" s="92"/>
      <c r="CP84" s="101">
        <v>5</v>
      </c>
      <c r="CQ84" s="102">
        <f t="shared" si="99"/>
        <v>1320</v>
      </c>
      <c r="CR84" s="102">
        <f t="shared" si="99"/>
        <v>0</v>
      </c>
      <c r="CS84" s="102">
        <f t="shared" si="99"/>
        <v>166</v>
      </c>
      <c r="CT84" s="92">
        <f t="shared" si="152"/>
        <v>1200</v>
      </c>
      <c r="CU84" s="92">
        <f t="shared" si="100"/>
        <v>0</v>
      </c>
      <c r="CV84" s="103">
        <f t="shared" si="100"/>
        <v>34</v>
      </c>
      <c r="CW84" s="104" t="s">
        <v>147</v>
      </c>
      <c r="CX84" s="105">
        <v>11</v>
      </c>
      <c r="CY84" s="106">
        <f t="shared" si="153"/>
        <v>3649</v>
      </c>
      <c r="CZ84" s="106">
        <f t="shared" si="154"/>
        <v>44.550000000000004</v>
      </c>
      <c r="DA84" s="106"/>
      <c r="DB84" s="106"/>
      <c r="DC84" s="105"/>
      <c r="DD84" s="107"/>
      <c r="DE84" s="92">
        <f t="shared" si="123"/>
        <v>1320</v>
      </c>
      <c r="DF84" s="108">
        <f t="shared" si="124"/>
        <v>5.92</v>
      </c>
      <c r="DG84" s="115">
        <f t="shared" si="125"/>
        <v>65.866666666666831</v>
      </c>
      <c r="DH84" s="110">
        <f t="shared" si="126"/>
        <v>1200</v>
      </c>
      <c r="DI84" s="108">
        <f t="shared" si="127"/>
        <v>5.27</v>
      </c>
      <c r="DJ84" s="112">
        <f t="shared" si="128"/>
        <v>-31.466666666666661</v>
      </c>
      <c r="DK84" s="110">
        <f t="shared" si="86"/>
        <v>2520</v>
      </c>
      <c r="DL84" s="108">
        <f t="shared" si="86"/>
        <v>11.19</v>
      </c>
      <c r="DM84" s="111">
        <f t="shared" si="86"/>
        <v>34.400000000000169</v>
      </c>
      <c r="DN84" s="76">
        <f t="shared" si="89"/>
        <v>11.19</v>
      </c>
      <c r="DO84" s="76">
        <f t="shared" si="89"/>
        <v>14</v>
      </c>
      <c r="DP84" s="112"/>
      <c r="DQ84" s="112"/>
      <c r="DR84" s="113" t="s">
        <v>471</v>
      </c>
      <c r="DS84" s="112"/>
      <c r="DT84" s="112"/>
      <c r="DU84" s="111"/>
      <c r="DV84" s="114"/>
      <c r="DW84" s="80">
        <f t="shared" si="155"/>
        <v>2531.19</v>
      </c>
      <c r="DX84" s="81">
        <f t="shared" si="129"/>
        <v>2565.59</v>
      </c>
      <c r="DY84" s="80">
        <f t="shared" si="156"/>
        <v>2720</v>
      </c>
      <c r="DZ84" s="82">
        <f t="shared" si="157"/>
        <v>0.03</v>
      </c>
      <c r="EA84" s="82">
        <f t="shared" si="158"/>
        <v>0.378</v>
      </c>
      <c r="EB84" s="82">
        <f t="shared" si="159"/>
        <v>1.9047599999999996</v>
      </c>
      <c r="EC84" s="82">
        <f t="shared" si="176"/>
        <v>1.9347599999999996</v>
      </c>
      <c r="EF84" s="83">
        <f t="shared" si="105"/>
        <v>34.400000000000169</v>
      </c>
    </row>
    <row r="85" spans="1:136" ht="15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0"/>
        <v>TVSUS303Cu-H15.87x2.5-H11B14</v>
      </c>
      <c r="H85" s="46" t="str">
        <f t="shared" si="131"/>
        <v>SUS303CuTV15.870HH11</v>
      </c>
      <c r="I85" s="46" t="str">
        <f t="shared" si="132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f>'31.01'!BG85</f>
        <v>0</v>
      </c>
      <c r="U85" s="92"/>
      <c r="V85" s="100">
        <v>27.35</v>
      </c>
      <c r="W85" s="93">
        <f t="shared" si="112"/>
        <v>0</v>
      </c>
      <c r="X85" s="93">
        <f t="shared" si="113"/>
        <v>0</v>
      </c>
      <c r="Y85" s="93">
        <f t="shared" si="114"/>
        <v>0</v>
      </c>
      <c r="Z85" s="93">
        <f t="shared" si="115"/>
        <v>0</v>
      </c>
      <c r="AA85" s="93">
        <f t="shared" si="116"/>
        <v>0</v>
      </c>
      <c r="AB85" s="93">
        <f t="shared" si="117"/>
        <v>0</v>
      </c>
      <c r="AC85" s="93">
        <f t="shared" si="118"/>
        <v>0</v>
      </c>
      <c r="AD85" s="93">
        <f t="shared" si="119"/>
        <v>0</v>
      </c>
      <c r="AE85" s="93">
        <f t="shared" si="134"/>
        <v>0</v>
      </c>
      <c r="AF85" s="54">
        <f>AE85+'31.01'!AF85</f>
        <v>0</v>
      </c>
      <c r="AG85" s="94">
        <f t="shared" si="160"/>
        <v>0</v>
      </c>
      <c r="AH85" s="56">
        <f t="shared" si="135"/>
        <v>0</v>
      </c>
      <c r="AI85" s="93"/>
      <c r="AJ85" s="93">
        <f t="shared" si="161"/>
        <v>0</v>
      </c>
      <c r="AK85" s="95">
        <f t="shared" si="136"/>
        <v>1</v>
      </c>
      <c r="AL85" s="58">
        <f t="shared" si="172"/>
        <v>0</v>
      </c>
      <c r="AM85" s="55">
        <f t="shared" si="162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37"/>
        <v>0</v>
      </c>
      <c r="AV85" s="96">
        <f t="shared" si="137"/>
        <v>0</v>
      </c>
      <c r="AW85" s="96">
        <f t="shared" si="138"/>
        <v>0</v>
      </c>
      <c r="AX85" s="96">
        <f t="shared" si="139"/>
        <v>0</v>
      </c>
      <c r="AY85" s="94">
        <f t="shared" si="163"/>
        <v>0</v>
      </c>
      <c r="AZ85" s="94">
        <f t="shared" si="140"/>
        <v>0</v>
      </c>
      <c r="BA85" s="94">
        <f t="shared" si="169"/>
        <v>0</v>
      </c>
      <c r="BB85" s="97">
        <f t="shared" si="170"/>
        <v>0</v>
      </c>
      <c r="BC85" s="93"/>
      <c r="BD85" s="93">
        <f t="shared" si="141"/>
        <v>0</v>
      </c>
      <c r="BE85" s="95">
        <f t="shared" si="142"/>
        <v>1</v>
      </c>
      <c r="BF85" s="58">
        <f t="shared" si="173"/>
        <v>0</v>
      </c>
      <c r="BG85" s="94">
        <f t="shared" si="143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4"/>
        <v>0</v>
      </c>
      <c r="BP85" s="92">
        <f t="shared" si="164"/>
        <v>0</v>
      </c>
      <c r="BQ85" s="96">
        <f t="shared" si="144"/>
        <v>0</v>
      </c>
      <c r="BR85" s="96">
        <f t="shared" si="145"/>
        <v>0</v>
      </c>
      <c r="BS85" s="96">
        <f t="shared" si="165"/>
        <v>0</v>
      </c>
      <c r="BT85" s="96">
        <f t="shared" si="146"/>
        <v>0</v>
      </c>
      <c r="BU85" s="92">
        <f t="shared" si="120"/>
        <v>0</v>
      </c>
      <c r="BV85" s="98">
        <f t="shared" si="166"/>
        <v>0</v>
      </c>
      <c r="BW85" s="92">
        <f t="shared" si="121"/>
        <v>0</v>
      </c>
      <c r="BX85" s="98">
        <f t="shared" si="147"/>
        <v>0</v>
      </c>
      <c r="BY85" s="61">
        <f t="shared" si="171"/>
        <v>0</v>
      </c>
      <c r="BZ85" s="62">
        <f t="shared" si="148"/>
        <v>0</v>
      </c>
      <c r="CA85" s="98">
        <f t="shared" si="149"/>
        <v>0</v>
      </c>
      <c r="CB85" s="92">
        <f t="shared" si="122"/>
        <v>0</v>
      </c>
      <c r="CC85" s="92">
        <f t="shared" si="122"/>
        <v>0</v>
      </c>
      <c r="CD85" s="92">
        <f t="shared" si="122"/>
        <v>0</v>
      </c>
      <c r="CE85" s="99"/>
      <c r="CF85" s="99"/>
      <c r="CG85" s="51">
        <f t="shared" si="150"/>
        <v>0</v>
      </c>
      <c r="CH85" s="62">
        <f t="shared" si="151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99"/>
        <v>0</v>
      </c>
      <c r="CR85" s="102">
        <f t="shared" si="99"/>
        <v>0</v>
      </c>
      <c r="CS85" s="102">
        <f t="shared" si="99"/>
        <v>0</v>
      </c>
      <c r="CT85" s="92">
        <f t="shared" si="152"/>
        <v>0</v>
      </c>
      <c r="CU85" s="92">
        <f t="shared" si="100"/>
        <v>0</v>
      </c>
      <c r="CV85" s="103">
        <f t="shared" si="100"/>
        <v>0</v>
      </c>
      <c r="CW85" s="104"/>
      <c r="CX85" s="105">
        <v>100</v>
      </c>
      <c r="CY85" s="106">
        <f t="shared" si="153"/>
        <v>414</v>
      </c>
      <c r="CZ85" s="106">
        <f t="shared" si="154"/>
        <v>810</v>
      </c>
      <c r="DA85" s="106"/>
      <c r="DB85" s="106"/>
      <c r="DC85" s="105"/>
      <c r="DD85" s="107"/>
      <c r="DE85" s="92">
        <f t="shared" si="123"/>
        <v>0</v>
      </c>
      <c r="DF85" s="108">
        <f t="shared" si="124"/>
        <v>0</v>
      </c>
      <c r="DG85" s="115">
        <f t="shared" si="125"/>
        <v>0</v>
      </c>
      <c r="DH85" s="110">
        <f t="shared" si="126"/>
        <v>0</v>
      </c>
      <c r="DI85" s="108">
        <f t="shared" si="127"/>
        <v>0</v>
      </c>
      <c r="DJ85" s="112">
        <f t="shared" si="128"/>
        <v>0</v>
      </c>
      <c r="DK85" s="110">
        <f t="shared" si="86"/>
        <v>0</v>
      </c>
      <c r="DL85" s="108">
        <f t="shared" si="86"/>
        <v>0</v>
      </c>
      <c r="DM85" s="111">
        <f t="shared" si="86"/>
        <v>0</v>
      </c>
      <c r="DN85" s="76">
        <f t="shared" si="89"/>
        <v>0</v>
      </c>
      <c r="DO85" s="76">
        <f t="shared" si="89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5"/>
        <v>0</v>
      </c>
      <c r="DX85" s="81">
        <f t="shared" si="129"/>
        <v>0</v>
      </c>
      <c r="DY85" s="80">
        <f t="shared" si="156"/>
        <v>0</v>
      </c>
      <c r="DZ85" s="82">
        <f t="shared" si="157"/>
        <v>0</v>
      </c>
      <c r="EA85" s="82">
        <f t="shared" si="158"/>
        <v>0</v>
      </c>
      <c r="EB85" s="82">
        <f t="shared" si="159"/>
        <v>0</v>
      </c>
      <c r="EC85" s="82">
        <f t="shared" ref="EC85:EC86" si="178">(BX85-CA85)+((AV85+BP85)/1000)</f>
        <v>0</v>
      </c>
      <c r="EF85" s="83">
        <f t="shared" si="105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0"/>
        <v>TVSUS303Cu-24x2.5-H9A15</v>
      </c>
      <c r="H86" s="46" t="str">
        <f t="shared" si="131"/>
        <v>SUS303CuTV240DH9</v>
      </c>
      <c r="I86" s="46" t="str">
        <f t="shared" si="132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3"/>
        <v>16</v>
      </c>
      <c r="T86" s="51">
        <v>4</v>
      </c>
      <c r="U86" s="92"/>
      <c r="V86" s="100">
        <v>59.75</v>
      </c>
      <c r="W86" s="93">
        <f t="shared" si="112"/>
        <v>160</v>
      </c>
      <c r="X86" s="93">
        <f t="shared" si="113"/>
        <v>0</v>
      </c>
      <c r="Y86" s="93">
        <f t="shared" si="114"/>
        <v>0</v>
      </c>
      <c r="Z86" s="93">
        <f t="shared" si="115"/>
        <v>0</v>
      </c>
      <c r="AA86" s="93">
        <f t="shared" si="116"/>
        <v>0</v>
      </c>
      <c r="AB86" s="93">
        <f t="shared" si="117"/>
        <v>0</v>
      </c>
      <c r="AC86" s="93">
        <f t="shared" si="118"/>
        <v>0</v>
      </c>
      <c r="AD86" s="93">
        <f t="shared" si="119"/>
        <v>23</v>
      </c>
      <c r="AE86" s="93">
        <f t="shared" si="134"/>
        <v>160</v>
      </c>
      <c r="AF86" s="54">
        <f>AE86+'31.01'!AF86</f>
        <v>330</v>
      </c>
      <c r="AG86" s="94">
        <f t="shared" si="160"/>
        <v>4</v>
      </c>
      <c r="AH86" s="56">
        <f t="shared" si="135"/>
        <v>0</v>
      </c>
      <c r="AI86" s="93">
        <v>2</v>
      </c>
      <c r="AJ86" s="93">
        <f t="shared" si="161"/>
        <v>1792.5</v>
      </c>
      <c r="AK86" s="95">
        <f t="shared" si="136"/>
        <v>0.46875</v>
      </c>
      <c r="AL86" s="58">
        <f t="shared" si="172"/>
        <v>1.47</v>
      </c>
      <c r="AM86" s="55">
        <f t="shared" si="162"/>
        <v>2.5300000000000002</v>
      </c>
      <c r="AN86" s="93"/>
      <c r="AO86" s="96">
        <f>$CJ86</f>
        <v>5377.5</v>
      </c>
      <c r="AP86" s="96"/>
      <c r="AQ86" s="96"/>
      <c r="AR86" s="96"/>
      <c r="AS86" s="96"/>
      <c r="AT86" s="96"/>
      <c r="AU86" s="96">
        <f t="shared" si="137"/>
        <v>0</v>
      </c>
      <c r="AV86" s="96">
        <f t="shared" si="137"/>
        <v>0</v>
      </c>
      <c r="AW86" s="96">
        <f t="shared" si="138"/>
        <v>5377.5</v>
      </c>
      <c r="AX86" s="96">
        <f t="shared" si="139"/>
        <v>90</v>
      </c>
      <c r="AY86" s="94">
        <f t="shared" si="163"/>
        <v>-243.77999999999975</v>
      </c>
      <c r="AZ86" s="94">
        <f t="shared" si="140"/>
        <v>-4.0799999999999956</v>
      </c>
      <c r="BA86" s="94">
        <f t="shared" si="169"/>
        <v>2.5300000000000002</v>
      </c>
      <c r="BB86" s="97">
        <f t="shared" si="170"/>
        <v>0.53</v>
      </c>
      <c r="BC86" s="93">
        <v>1</v>
      </c>
      <c r="BD86" s="93">
        <f t="shared" si="141"/>
        <v>0</v>
      </c>
      <c r="BE86" s="95">
        <f t="shared" si="142"/>
        <v>1</v>
      </c>
      <c r="BF86" s="58">
        <f t="shared" si="173"/>
        <v>1.53</v>
      </c>
      <c r="BG86" s="94">
        <f t="shared" si="143"/>
        <v>1.0000000000000002</v>
      </c>
      <c r="BH86" s="89"/>
      <c r="BI86" s="92">
        <f>$CN86</f>
        <v>4182.5</v>
      </c>
      <c r="BJ86" s="92"/>
      <c r="BK86" s="89"/>
      <c r="BL86" s="89"/>
      <c r="BM86" s="89"/>
      <c r="BN86" s="89"/>
      <c r="BO86" s="92">
        <f t="shared" si="164"/>
        <v>0</v>
      </c>
      <c r="BP86" s="92">
        <f t="shared" si="164"/>
        <v>1400</v>
      </c>
      <c r="BQ86" s="96">
        <f t="shared" si="144"/>
        <v>5582.5</v>
      </c>
      <c r="BR86" s="96">
        <f t="shared" si="145"/>
        <v>93</v>
      </c>
      <c r="BS86" s="96">
        <f t="shared" si="165"/>
        <v>-268.22000000000025</v>
      </c>
      <c r="BT86" s="96">
        <f t="shared" si="146"/>
        <v>-4.4890376569037702</v>
      </c>
      <c r="BU86" s="92">
        <f t="shared" si="120"/>
        <v>160</v>
      </c>
      <c r="BV86" s="98">
        <f t="shared" si="166"/>
        <v>3</v>
      </c>
      <c r="BW86" s="92">
        <f t="shared" si="121"/>
        <v>-8.5690376569037667</v>
      </c>
      <c r="BX86" s="98">
        <f t="shared" si="147"/>
        <v>27.150000000000002</v>
      </c>
      <c r="BY86" s="61">
        <f t="shared" si="171"/>
        <v>3</v>
      </c>
      <c r="BZ86" s="62">
        <f t="shared" si="148"/>
        <v>3</v>
      </c>
      <c r="CA86" s="98">
        <f t="shared" si="149"/>
        <v>10.96</v>
      </c>
      <c r="CB86" s="92">
        <f t="shared" si="122"/>
        <v>183</v>
      </c>
      <c r="CC86" s="92">
        <f t="shared" si="122"/>
        <v>-512</v>
      </c>
      <c r="CD86" s="92">
        <f t="shared" si="122"/>
        <v>-8.5690376569037667</v>
      </c>
      <c r="CE86" s="99"/>
      <c r="CF86" s="99"/>
      <c r="CG86" s="51">
        <f t="shared" si="150"/>
        <v>17.59</v>
      </c>
      <c r="CH86" s="62">
        <f t="shared" si="151"/>
        <v>17.59</v>
      </c>
      <c r="CI86" s="89">
        <f>30*59.75</f>
        <v>1792.5</v>
      </c>
      <c r="CJ86" s="89">
        <f>90*59.75</f>
        <v>5377.5</v>
      </c>
      <c r="CK86" s="89"/>
      <c r="CL86" s="96"/>
      <c r="CM86" s="89"/>
      <c r="CN86" s="89">
        <f>70*59.75</f>
        <v>4182.5</v>
      </c>
      <c r="CO86" s="92"/>
      <c r="CP86" s="101">
        <v>1400</v>
      </c>
      <c r="CQ86" s="102">
        <f t="shared" si="99"/>
        <v>90</v>
      </c>
      <c r="CR86" s="102">
        <f t="shared" si="99"/>
        <v>0</v>
      </c>
      <c r="CS86" s="102">
        <f t="shared" si="99"/>
        <v>0</v>
      </c>
      <c r="CT86" s="92">
        <f t="shared" si="152"/>
        <v>70</v>
      </c>
      <c r="CU86" s="92">
        <f t="shared" si="100"/>
        <v>0</v>
      </c>
      <c r="CV86" s="103">
        <f t="shared" si="100"/>
        <v>23</v>
      </c>
      <c r="CW86" s="104"/>
      <c r="CX86" s="105">
        <v>80</v>
      </c>
      <c r="CY86" s="106">
        <f t="shared" si="153"/>
        <v>506</v>
      </c>
      <c r="CZ86" s="106">
        <f t="shared" si="154"/>
        <v>648</v>
      </c>
      <c r="DA86" s="106"/>
      <c r="DB86" s="106"/>
      <c r="DC86" s="105"/>
      <c r="DD86" s="107"/>
      <c r="DE86" s="92">
        <f t="shared" si="123"/>
        <v>90</v>
      </c>
      <c r="DF86" s="108">
        <f t="shared" si="124"/>
        <v>1.47</v>
      </c>
      <c r="DG86" s="115">
        <f t="shared" si="125"/>
        <v>-4.0799999999999956</v>
      </c>
      <c r="DH86" s="110">
        <f t="shared" si="126"/>
        <v>70</v>
      </c>
      <c r="DI86" s="108">
        <f t="shared" si="127"/>
        <v>1.53</v>
      </c>
      <c r="DJ86" s="112">
        <f t="shared" si="128"/>
        <v>-4.4890376569037702</v>
      </c>
      <c r="DK86" s="110">
        <f t="shared" si="86"/>
        <v>160</v>
      </c>
      <c r="DL86" s="108">
        <f t="shared" si="86"/>
        <v>3</v>
      </c>
      <c r="DM86" s="111">
        <f t="shared" si="86"/>
        <v>-8.5690376569037667</v>
      </c>
      <c r="DN86" s="76">
        <f t="shared" si="89"/>
        <v>4</v>
      </c>
      <c r="DO86" s="76">
        <f t="shared" si="89"/>
        <v>0</v>
      </c>
      <c r="DP86" s="112"/>
      <c r="DQ86" s="112"/>
      <c r="DR86" s="113" t="s">
        <v>472</v>
      </c>
      <c r="DS86" s="112"/>
      <c r="DT86" s="112"/>
      <c r="DU86" s="111"/>
      <c r="DV86" s="114"/>
      <c r="DW86" s="80">
        <f>IFERROR(AL86+BF86,"")</f>
        <v>3</v>
      </c>
      <c r="DX86" s="81">
        <f t="shared" si="129"/>
        <v>154.43096234309624</v>
      </c>
      <c r="DY86" s="80">
        <f t="shared" si="156"/>
        <v>183</v>
      </c>
      <c r="DZ86" s="82">
        <f t="shared" si="157"/>
        <v>1.37425</v>
      </c>
      <c r="EA86" s="82">
        <f t="shared" si="158"/>
        <v>9.56</v>
      </c>
      <c r="EB86" s="82">
        <f t="shared" si="159"/>
        <v>17.590000000000003</v>
      </c>
      <c r="EC86" s="82">
        <f t="shared" si="178"/>
        <v>17.59</v>
      </c>
      <c r="EF86" s="83">
        <f t="shared" si="105"/>
        <v>-8.5690376569037667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0"/>
        <v>TVSUS303-7.5x2.5-H9A14</v>
      </c>
      <c r="H87" s="46" t="str">
        <f t="shared" si="131"/>
        <v>SUS303TV7.50DH9</v>
      </c>
      <c r="I87" s="46" t="str">
        <f t="shared" si="132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3"/>
        <v>2</v>
      </c>
      <c r="T87" s="51">
        <f>'31.01'!BG87</f>
        <v>2</v>
      </c>
      <c r="U87" s="92">
        <v>8</v>
      </c>
      <c r="V87" s="100">
        <v>0.7</v>
      </c>
      <c r="W87" s="93">
        <f t="shared" si="112"/>
        <v>0</v>
      </c>
      <c r="X87" s="93">
        <f t="shared" si="113"/>
        <v>0</v>
      </c>
      <c r="Y87" s="93">
        <f t="shared" si="114"/>
        <v>0</v>
      </c>
      <c r="Z87" s="93">
        <f t="shared" si="115"/>
        <v>0</v>
      </c>
      <c r="AA87" s="93">
        <f t="shared" si="116"/>
        <v>0</v>
      </c>
      <c r="AB87" s="93">
        <f t="shared" si="117"/>
        <v>784</v>
      </c>
      <c r="AC87" s="93">
        <f t="shared" si="118"/>
        <v>0</v>
      </c>
      <c r="AD87" s="93">
        <f t="shared" si="119"/>
        <v>0</v>
      </c>
      <c r="AE87" s="93">
        <f t="shared" si="134"/>
        <v>784</v>
      </c>
      <c r="AF87" s="54">
        <f>AE87+'31.01'!AF87</f>
        <v>1518</v>
      </c>
      <c r="AG87" s="94">
        <f t="shared" si="160"/>
        <v>2</v>
      </c>
      <c r="AH87" s="56">
        <f t="shared" si="135"/>
        <v>0</v>
      </c>
      <c r="AI87" s="93">
        <v>2</v>
      </c>
      <c r="AJ87" s="93">
        <f t="shared" si="161"/>
        <v>0</v>
      </c>
      <c r="AK87" s="95">
        <f t="shared" si="136"/>
        <v>1</v>
      </c>
      <c r="AL87" s="58">
        <f t="shared" si="172"/>
        <v>2</v>
      </c>
      <c r="AM87" s="55">
        <f t="shared" si="162"/>
        <v>8</v>
      </c>
      <c r="AN87" s="93"/>
      <c r="AO87" s="96"/>
      <c r="AP87" s="96"/>
      <c r="AQ87" s="96"/>
      <c r="AR87" s="96"/>
      <c r="AS87" s="96"/>
      <c r="AT87" s="96">
        <f>$CJ87</f>
        <v>283</v>
      </c>
      <c r="AU87" s="96">
        <f t="shared" si="137"/>
        <v>0</v>
      </c>
      <c r="AV87" s="96">
        <f t="shared" si="137"/>
        <v>0</v>
      </c>
      <c r="AW87" s="96">
        <f t="shared" si="138"/>
        <v>283</v>
      </c>
      <c r="AX87" s="96">
        <f t="shared" si="139"/>
        <v>404</v>
      </c>
      <c r="AY87" s="94">
        <f t="shared" si="163"/>
        <v>-30.599999999999966</v>
      </c>
      <c r="AZ87" s="94">
        <f t="shared" si="140"/>
        <v>-43.714285714285666</v>
      </c>
      <c r="BA87" s="94">
        <f t="shared" si="169"/>
        <v>8</v>
      </c>
      <c r="BB87" s="97">
        <f t="shared" si="170"/>
        <v>0</v>
      </c>
      <c r="BC87" s="93">
        <v>2</v>
      </c>
      <c r="BD87" s="93">
        <f t="shared" si="141"/>
        <v>0</v>
      </c>
      <c r="BE87" s="95">
        <f t="shared" si="142"/>
        <v>1</v>
      </c>
      <c r="BF87" s="58">
        <f t="shared" si="173"/>
        <v>2</v>
      </c>
      <c r="BG87" s="94">
        <f t="shared" si="143"/>
        <v>6</v>
      </c>
      <c r="BH87" s="89"/>
      <c r="BI87" s="89"/>
      <c r="BJ87" s="92"/>
      <c r="BK87" s="89"/>
      <c r="BL87" s="89"/>
      <c r="BM87" s="89"/>
      <c r="BN87" s="92">
        <f>$CN87</f>
        <v>266</v>
      </c>
      <c r="BO87" s="92">
        <f t="shared" si="164"/>
        <v>0</v>
      </c>
      <c r="BP87" s="92">
        <f t="shared" si="164"/>
        <v>0</v>
      </c>
      <c r="BQ87" s="96">
        <f t="shared" si="144"/>
        <v>266</v>
      </c>
      <c r="BR87" s="96">
        <f t="shared" si="145"/>
        <v>380</v>
      </c>
      <c r="BS87" s="96">
        <f t="shared" si="165"/>
        <v>-47.599999999999966</v>
      </c>
      <c r="BT87" s="96">
        <f t="shared" si="146"/>
        <v>-67.999999999999957</v>
      </c>
      <c r="BU87" s="92">
        <f t="shared" si="120"/>
        <v>784</v>
      </c>
      <c r="BV87" s="98">
        <f t="shared" si="166"/>
        <v>4</v>
      </c>
      <c r="BW87" s="92">
        <f t="shared" si="121"/>
        <v>-111.71428571428562</v>
      </c>
      <c r="BX87" s="98">
        <f t="shared" si="147"/>
        <v>2.2160000000000002</v>
      </c>
      <c r="BY87" s="61">
        <f t="shared" si="171"/>
        <v>4</v>
      </c>
      <c r="BZ87" s="62">
        <f t="shared" si="148"/>
        <v>4</v>
      </c>
      <c r="CA87" s="98">
        <f t="shared" si="149"/>
        <v>0.54900000000000004</v>
      </c>
      <c r="CB87" s="92">
        <f t="shared" si="122"/>
        <v>784</v>
      </c>
      <c r="CC87" s="92">
        <f t="shared" si="122"/>
        <v>-78.199999999999932</v>
      </c>
      <c r="CD87" s="92">
        <f t="shared" si="122"/>
        <v>-111.71428571428562</v>
      </c>
      <c r="CE87" s="99"/>
      <c r="CF87" s="99"/>
      <c r="CG87" s="51">
        <f t="shared" si="150"/>
        <v>1.6670000000000003</v>
      </c>
      <c r="CH87" s="62">
        <f t="shared" si="151"/>
        <v>1.6670000000000003</v>
      </c>
      <c r="CI87" s="89"/>
      <c r="CJ87" s="89">
        <v>283</v>
      </c>
      <c r="CK87" s="89"/>
      <c r="CL87" s="96"/>
      <c r="CM87" s="89"/>
      <c r="CN87" s="89">
        <v>266</v>
      </c>
      <c r="CO87" s="92"/>
      <c r="CP87" s="101"/>
      <c r="CQ87" s="102">
        <f t="shared" si="99"/>
        <v>404</v>
      </c>
      <c r="CR87" s="102">
        <f t="shared" si="99"/>
        <v>0</v>
      </c>
      <c r="CS87" s="102">
        <f t="shared" si="99"/>
        <v>0</v>
      </c>
      <c r="CT87" s="92">
        <f t="shared" si="152"/>
        <v>380</v>
      </c>
      <c r="CU87" s="92">
        <f t="shared" si="100"/>
        <v>0</v>
      </c>
      <c r="CV87" s="103">
        <f t="shared" si="100"/>
        <v>0</v>
      </c>
      <c r="CW87" s="104"/>
      <c r="CX87" s="105">
        <v>134</v>
      </c>
      <c r="CY87" s="106">
        <f t="shared" si="153"/>
        <v>317</v>
      </c>
      <c r="CZ87" s="106">
        <f t="shared" si="154"/>
        <v>1085.4000000000001</v>
      </c>
      <c r="DA87" s="106"/>
      <c r="DB87" s="106"/>
      <c r="DC87" s="105"/>
      <c r="DD87" s="107"/>
      <c r="DE87" s="92">
        <f t="shared" si="123"/>
        <v>404</v>
      </c>
      <c r="DF87" s="108">
        <f t="shared" si="124"/>
        <v>2</v>
      </c>
      <c r="DG87" s="115">
        <f t="shared" si="125"/>
        <v>-43.714285714285666</v>
      </c>
      <c r="DH87" s="110">
        <f t="shared" si="126"/>
        <v>380</v>
      </c>
      <c r="DI87" s="108">
        <f t="shared" si="127"/>
        <v>2</v>
      </c>
      <c r="DJ87" s="112">
        <f t="shared" si="128"/>
        <v>-67.999999999999957</v>
      </c>
      <c r="DK87" s="110">
        <f t="shared" si="86"/>
        <v>784</v>
      </c>
      <c r="DL87" s="108">
        <f t="shared" si="86"/>
        <v>4</v>
      </c>
      <c r="DM87" s="111">
        <f t="shared" si="86"/>
        <v>-111.71428571428562</v>
      </c>
      <c r="DN87" s="76">
        <f t="shared" si="89"/>
        <v>2</v>
      </c>
      <c r="DO87" s="76">
        <f t="shared" si="89"/>
        <v>8</v>
      </c>
      <c r="DP87" s="112"/>
      <c r="DQ87" s="112"/>
      <c r="DR87" s="113" t="s">
        <v>473</v>
      </c>
      <c r="DS87" s="112"/>
      <c r="DT87" s="112"/>
      <c r="DU87" s="111"/>
      <c r="DV87" s="114"/>
      <c r="DW87" s="80">
        <f t="shared" si="155"/>
        <v>788</v>
      </c>
      <c r="DX87" s="81">
        <f t="shared" si="129"/>
        <v>676.28571428571433</v>
      </c>
      <c r="DY87" s="80">
        <f t="shared" si="156"/>
        <v>784</v>
      </c>
      <c r="DZ87" s="82">
        <f t="shared" si="157"/>
        <v>0</v>
      </c>
      <c r="EA87" s="82">
        <f t="shared" si="158"/>
        <v>0.54879999999999995</v>
      </c>
      <c r="EB87" s="82">
        <f t="shared" si="159"/>
        <v>1.6672000000000002</v>
      </c>
      <c r="EC87" s="82">
        <f t="shared" si="176"/>
        <v>1.6672000000000002</v>
      </c>
      <c r="EF87" s="83">
        <f t="shared" si="105"/>
        <v>-111.71428571428562</v>
      </c>
    </row>
    <row r="88" spans="1:136" ht="15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0"/>
        <v>MESUS303-8x3-H7C14</v>
      </c>
      <c r="H88" s="46" t="str">
        <f t="shared" si="131"/>
        <v>SUS303ME80DH7</v>
      </c>
      <c r="I88" s="46" t="str">
        <f t="shared" si="132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3"/>
        <v>22</v>
      </c>
      <c r="T88" s="51">
        <f>'31.01'!BG88</f>
        <v>0</v>
      </c>
      <c r="U88" s="92"/>
      <c r="V88" s="100">
        <v>15.11</v>
      </c>
      <c r="W88" s="93">
        <f t="shared" si="112"/>
        <v>0</v>
      </c>
      <c r="X88" s="93">
        <f t="shared" si="113"/>
        <v>0</v>
      </c>
      <c r="Y88" s="93">
        <f t="shared" si="114"/>
        <v>0</v>
      </c>
      <c r="Z88" s="93">
        <f t="shared" si="115"/>
        <v>0</v>
      </c>
      <c r="AA88" s="93">
        <f t="shared" si="116"/>
        <v>0</v>
      </c>
      <c r="AB88" s="93">
        <f t="shared" si="117"/>
        <v>0</v>
      </c>
      <c r="AC88" s="93">
        <f t="shared" si="118"/>
        <v>0</v>
      </c>
      <c r="AD88" s="93">
        <f t="shared" si="119"/>
        <v>0</v>
      </c>
      <c r="AE88" s="93">
        <f t="shared" si="134"/>
        <v>0</v>
      </c>
      <c r="AF88" s="54">
        <f>AE88+'31.01'!AF88</f>
        <v>0</v>
      </c>
      <c r="AG88" s="94">
        <f t="shared" si="160"/>
        <v>0</v>
      </c>
      <c r="AH88" s="56">
        <f t="shared" si="135"/>
        <v>0</v>
      </c>
      <c r="AI88" s="93"/>
      <c r="AJ88" s="93">
        <f t="shared" si="161"/>
        <v>0</v>
      </c>
      <c r="AK88" s="95">
        <f t="shared" si="136"/>
        <v>1</v>
      </c>
      <c r="AL88" s="58">
        <f t="shared" si="172"/>
        <v>0</v>
      </c>
      <c r="AM88" s="55">
        <f t="shared" si="162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37"/>
        <v>0</v>
      </c>
      <c r="AV88" s="96">
        <f t="shared" si="137"/>
        <v>0</v>
      </c>
      <c r="AW88" s="96">
        <f t="shared" si="138"/>
        <v>0</v>
      </c>
      <c r="AX88" s="96">
        <f t="shared" si="139"/>
        <v>0</v>
      </c>
      <c r="AY88" s="94">
        <f t="shared" si="163"/>
        <v>0</v>
      </c>
      <c r="AZ88" s="94">
        <f t="shared" si="140"/>
        <v>0</v>
      </c>
      <c r="BA88" s="94">
        <f t="shared" si="169"/>
        <v>0</v>
      </c>
      <c r="BB88" s="97">
        <f t="shared" si="170"/>
        <v>0</v>
      </c>
      <c r="BC88" s="93"/>
      <c r="BD88" s="93">
        <f t="shared" si="141"/>
        <v>0</v>
      </c>
      <c r="BE88" s="95">
        <f t="shared" si="142"/>
        <v>1</v>
      </c>
      <c r="BF88" s="58">
        <f t="shared" si="173"/>
        <v>0</v>
      </c>
      <c r="BG88" s="94">
        <f t="shared" si="143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4"/>
        <v>0</v>
      </c>
      <c r="BP88" s="92">
        <f t="shared" si="164"/>
        <v>0</v>
      </c>
      <c r="BQ88" s="96">
        <f t="shared" si="144"/>
        <v>0</v>
      </c>
      <c r="BR88" s="96">
        <f t="shared" si="145"/>
        <v>0</v>
      </c>
      <c r="BS88" s="96">
        <f t="shared" si="165"/>
        <v>0</v>
      </c>
      <c r="BT88" s="96">
        <f t="shared" si="146"/>
        <v>0</v>
      </c>
      <c r="BU88" s="92">
        <f t="shared" si="120"/>
        <v>0</v>
      </c>
      <c r="BV88" s="98">
        <f t="shared" si="166"/>
        <v>0</v>
      </c>
      <c r="BW88" s="92">
        <f t="shared" si="121"/>
        <v>0</v>
      </c>
      <c r="BX88" s="98">
        <f t="shared" si="147"/>
        <v>0</v>
      </c>
      <c r="BY88" s="61">
        <f t="shared" si="171"/>
        <v>0</v>
      </c>
      <c r="BZ88" s="62">
        <f t="shared" si="148"/>
        <v>0</v>
      </c>
      <c r="CA88" s="98">
        <f t="shared" si="149"/>
        <v>0</v>
      </c>
      <c r="CB88" s="92">
        <f t="shared" si="122"/>
        <v>0</v>
      </c>
      <c r="CC88" s="92">
        <f t="shared" si="122"/>
        <v>0</v>
      </c>
      <c r="CD88" s="92">
        <f t="shared" si="122"/>
        <v>0</v>
      </c>
      <c r="CE88" s="99"/>
      <c r="CF88" s="99"/>
      <c r="CG88" s="51">
        <f t="shared" si="150"/>
        <v>0</v>
      </c>
      <c r="CH88" s="62">
        <f t="shared" si="151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99"/>
        <v>0</v>
      </c>
      <c r="CR88" s="102">
        <f t="shared" si="99"/>
        <v>0</v>
      </c>
      <c r="CS88" s="102">
        <f t="shared" si="99"/>
        <v>0</v>
      </c>
      <c r="CT88" s="92">
        <f t="shared" si="152"/>
        <v>0</v>
      </c>
      <c r="CU88" s="92">
        <f t="shared" si="100"/>
        <v>0</v>
      </c>
      <c r="CV88" s="103">
        <f t="shared" si="100"/>
        <v>0</v>
      </c>
      <c r="CW88" s="104"/>
      <c r="CX88" s="105">
        <v>61</v>
      </c>
      <c r="CY88" s="106">
        <f t="shared" si="153"/>
        <v>649</v>
      </c>
      <c r="CZ88" s="106">
        <f t="shared" si="154"/>
        <v>494.1</v>
      </c>
      <c r="DA88" s="106"/>
      <c r="DB88" s="106"/>
      <c r="DC88" s="105"/>
      <c r="DD88" s="107"/>
      <c r="DE88" s="92">
        <f t="shared" si="123"/>
        <v>0</v>
      </c>
      <c r="DF88" s="108">
        <f t="shared" si="124"/>
        <v>0</v>
      </c>
      <c r="DG88" s="115">
        <f t="shared" si="125"/>
        <v>0</v>
      </c>
      <c r="DH88" s="110">
        <f t="shared" si="126"/>
        <v>0</v>
      </c>
      <c r="DI88" s="108">
        <f t="shared" si="127"/>
        <v>0</v>
      </c>
      <c r="DJ88" s="112">
        <f t="shared" si="128"/>
        <v>0</v>
      </c>
      <c r="DK88" s="110">
        <f t="shared" ref="DK88:DM106" si="179">IFERROR(DE88+DH88,"")</f>
        <v>0</v>
      </c>
      <c r="DL88" s="108">
        <f t="shared" si="179"/>
        <v>0</v>
      </c>
      <c r="DM88" s="111">
        <f t="shared" si="179"/>
        <v>0</v>
      </c>
      <c r="DN88" s="76">
        <f t="shared" si="89"/>
        <v>0</v>
      </c>
      <c r="DO88" s="76">
        <f t="shared" si="89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5"/>
        <v>0</v>
      </c>
      <c r="DX88" s="81">
        <f t="shared" si="129"/>
        <v>0</v>
      </c>
      <c r="DY88" s="80">
        <f t="shared" si="156"/>
        <v>0</v>
      </c>
      <c r="DZ88" s="82">
        <f t="shared" si="157"/>
        <v>0</v>
      </c>
      <c r="EA88" s="82">
        <f t="shared" si="158"/>
        <v>0</v>
      </c>
      <c r="EB88" s="82">
        <f t="shared" si="159"/>
        <v>0</v>
      </c>
      <c r="EC88" s="82">
        <f t="shared" si="176"/>
        <v>0</v>
      </c>
      <c r="EF88" s="83">
        <f t="shared" si="105"/>
        <v>0</v>
      </c>
    </row>
    <row r="89" spans="1:136" ht="15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0"/>
        <v>-xx-</v>
      </c>
      <c r="H89" s="46" t="str">
        <f t="shared" si="131"/>
        <v/>
      </c>
      <c r="I89" s="46" t="str">
        <f t="shared" si="132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3"/>
        <v>#DIV/0!</v>
      </c>
      <c r="T89" s="51">
        <f>'31.01'!BG89</f>
        <v>0</v>
      </c>
      <c r="U89" s="92"/>
      <c r="V89" s="100">
        <v>1</v>
      </c>
      <c r="W89" s="93">
        <f t="shared" si="112"/>
        <v>0</v>
      </c>
      <c r="X89" s="93">
        <f t="shared" si="113"/>
        <v>0</v>
      </c>
      <c r="Y89" s="93">
        <f t="shared" si="114"/>
        <v>0</v>
      </c>
      <c r="Z89" s="93">
        <f t="shared" si="115"/>
        <v>0</v>
      </c>
      <c r="AA89" s="93">
        <f t="shared" si="116"/>
        <v>0</v>
      </c>
      <c r="AB89" s="93">
        <f t="shared" si="117"/>
        <v>0</v>
      </c>
      <c r="AC89" s="93">
        <f t="shared" si="118"/>
        <v>0</v>
      </c>
      <c r="AD89" s="93">
        <f t="shared" si="119"/>
        <v>0</v>
      </c>
      <c r="AE89" s="93">
        <f t="shared" si="134"/>
        <v>0</v>
      </c>
      <c r="AF89" s="54">
        <f>AE89+'31.01'!AF89</f>
        <v>0</v>
      </c>
      <c r="AG89" s="94">
        <f t="shared" si="160"/>
        <v>0</v>
      </c>
      <c r="AH89" s="56">
        <f t="shared" si="135"/>
        <v>0</v>
      </c>
      <c r="AI89" s="93"/>
      <c r="AJ89" s="93">
        <f t="shared" si="161"/>
        <v>0</v>
      </c>
      <c r="AK89" s="95">
        <f t="shared" si="136"/>
        <v>1</v>
      </c>
      <c r="AL89" s="58">
        <f t="shared" si="172"/>
        <v>0</v>
      </c>
      <c r="AM89" s="55">
        <f t="shared" si="162"/>
        <v>0</v>
      </c>
      <c r="AN89" s="93"/>
      <c r="AO89" s="96"/>
      <c r="AP89" s="96"/>
      <c r="AQ89" s="96"/>
      <c r="AR89" s="96"/>
      <c r="AS89" s="96"/>
      <c r="AT89" s="96"/>
      <c r="AU89" s="96">
        <f t="shared" si="137"/>
        <v>0</v>
      </c>
      <c r="AV89" s="96">
        <f t="shared" si="137"/>
        <v>0</v>
      </c>
      <c r="AW89" s="96">
        <f t="shared" si="138"/>
        <v>0</v>
      </c>
      <c r="AX89" s="96">
        <f t="shared" si="139"/>
        <v>0</v>
      </c>
      <c r="AY89" s="94">
        <f t="shared" si="163"/>
        <v>0</v>
      </c>
      <c r="AZ89" s="94">
        <f t="shared" si="140"/>
        <v>0</v>
      </c>
      <c r="BA89" s="94">
        <f t="shared" si="169"/>
        <v>0</v>
      </c>
      <c r="BB89" s="97">
        <f t="shared" si="170"/>
        <v>0</v>
      </c>
      <c r="BC89" s="93"/>
      <c r="BD89" s="93">
        <f t="shared" si="141"/>
        <v>0</v>
      </c>
      <c r="BE89" s="95">
        <f t="shared" si="142"/>
        <v>1</v>
      </c>
      <c r="BF89" s="58">
        <f t="shared" si="173"/>
        <v>0</v>
      </c>
      <c r="BG89" s="94">
        <f t="shared" si="143"/>
        <v>0</v>
      </c>
      <c r="BH89" s="89"/>
      <c r="BI89" s="89"/>
      <c r="BJ89" s="89"/>
      <c r="BK89" s="89"/>
      <c r="BL89" s="89"/>
      <c r="BM89" s="89"/>
      <c r="BN89" s="89"/>
      <c r="BO89" s="92">
        <f t="shared" si="164"/>
        <v>0</v>
      </c>
      <c r="BP89" s="92">
        <f t="shared" si="164"/>
        <v>0</v>
      </c>
      <c r="BQ89" s="96">
        <f t="shared" si="144"/>
        <v>0</v>
      </c>
      <c r="BR89" s="96">
        <f>IF(AA89="","",INT(BQ89/$V89))</f>
        <v>0</v>
      </c>
      <c r="BS89" s="96">
        <f t="shared" si="165"/>
        <v>0</v>
      </c>
      <c r="BT89" s="96">
        <f t="shared" si="146"/>
        <v>0</v>
      </c>
      <c r="BU89" s="92">
        <f t="shared" si="120"/>
        <v>0</v>
      </c>
      <c r="BV89" s="98">
        <f t="shared" si="166"/>
        <v>0</v>
      </c>
      <c r="BW89" s="92">
        <f t="shared" si="121"/>
        <v>0</v>
      </c>
      <c r="BX89" s="98" t="str">
        <f t="shared" si="147"/>
        <v/>
      </c>
      <c r="BY89" s="61">
        <f t="shared" si="171"/>
        <v>0</v>
      </c>
      <c r="BZ89" s="62">
        <f t="shared" si="148"/>
        <v>0</v>
      </c>
      <c r="CA89" s="98">
        <f t="shared" si="149"/>
        <v>0</v>
      </c>
      <c r="CB89" s="92">
        <f t="shared" si="122"/>
        <v>0</v>
      </c>
      <c r="CC89" s="92">
        <f t="shared" si="122"/>
        <v>0</v>
      </c>
      <c r="CD89" s="92">
        <f t="shared" si="122"/>
        <v>0</v>
      </c>
      <c r="CE89" s="99"/>
      <c r="CF89" s="99"/>
      <c r="CG89" s="51">
        <f t="shared" si="150"/>
        <v>0</v>
      </c>
      <c r="CH89" s="62">
        <f t="shared" si="151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99"/>
        <v>0</v>
      </c>
      <c r="CR89" s="102">
        <f t="shared" si="99"/>
        <v>0</v>
      </c>
      <c r="CS89" s="102">
        <f t="shared" si="99"/>
        <v>0</v>
      </c>
      <c r="CT89" s="92">
        <f t="shared" si="152"/>
        <v>0</v>
      </c>
      <c r="CU89" s="92">
        <f t="shared" si="100"/>
        <v>0</v>
      </c>
      <c r="CV89" s="103">
        <f t="shared" si="100"/>
        <v>0</v>
      </c>
      <c r="CW89" s="104"/>
      <c r="CX89" s="105"/>
      <c r="CY89" s="106" t="e">
        <f t="shared" si="153"/>
        <v>#DIV/0!</v>
      </c>
      <c r="CZ89" s="106">
        <f t="shared" si="154"/>
        <v>0</v>
      </c>
      <c r="DA89" s="106"/>
      <c r="DB89" s="106"/>
      <c r="DC89" s="105"/>
      <c r="DD89" s="107"/>
      <c r="DE89" s="92">
        <f t="shared" si="123"/>
        <v>0</v>
      </c>
      <c r="DF89" s="108">
        <f t="shared" si="124"/>
        <v>0</v>
      </c>
      <c r="DG89" s="115">
        <f t="shared" si="125"/>
        <v>0</v>
      </c>
      <c r="DH89" s="110">
        <f t="shared" si="126"/>
        <v>0</v>
      </c>
      <c r="DI89" s="108">
        <f t="shared" si="127"/>
        <v>0</v>
      </c>
      <c r="DJ89" s="112">
        <f t="shared" si="128"/>
        <v>0</v>
      </c>
      <c r="DK89" s="110">
        <f t="shared" si="179"/>
        <v>0</v>
      </c>
      <c r="DL89" s="108">
        <f t="shared" si="179"/>
        <v>0</v>
      </c>
      <c r="DM89" s="111">
        <f t="shared" si="179"/>
        <v>0</v>
      </c>
      <c r="DN89" s="76">
        <f t="shared" si="89"/>
        <v>0</v>
      </c>
      <c r="DO89" s="76">
        <f t="shared" si="89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5"/>
        <v>0</v>
      </c>
      <c r="DX89" s="81">
        <f t="shared" si="129"/>
        <v>0</v>
      </c>
      <c r="DY89" s="80">
        <f t="shared" si="156"/>
        <v>0</v>
      </c>
      <c r="DZ89" s="82">
        <f t="shared" si="157"/>
        <v>0</v>
      </c>
      <c r="EA89" s="82">
        <f t="shared" si="158"/>
        <v>0</v>
      </c>
      <c r="EB89" s="82" t="e">
        <f t="shared" si="159"/>
        <v>#VALUE!</v>
      </c>
      <c r="EC89" s="82" t="e">
        <f t="shared" si="176"/>
        <v>#VALUE!</v>
      </c>
    </row>
    <row r="90" spans="1:136" ht="15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0"/>
        <v>-xx-</v>
      </c>
      <c r="H90" s="46" t="str">
        <f t="shared" si="131"/>
        <v/>
      </c>
      <c r="I90" s="46" t="str">
        <f t="shared" si="132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3"/>
        <v>#DIV/0!</v>
      </c>
      <c r="T90" s="51">
        <f>'31.01'!BG90</f>
        <v>0</v>
      </c>
      <c r="U90" s="92"/>
      <c r="V90" s="100">
        <v>1</v>
      </c>
      <c r="W90" s="93">
        <f t="shared" si="112"/>
        <v>0</v>
      </c>
      <c r="X90" s="93">
        <f t="shared" si="113"/>
        <v>0</v>
      </c>
      <c r="Y90" s="93">
        <f t="shared" si="114"/>
        <v>0</v>
      </c>
      <c r="Z90" s="93">
        <f t="shared" si="115"/>
        <v>0</v>
      </c>
      <c r="AA90" s="93">
        <f t="shared" si="116"/>
        <v>0</v>
      </c>
      <c r="AB90" s="93">
        <f t="shared" si="117"/>
        <v>0</v>
      </c>
      <c r="AC90" s="93">
        <f t="shared" si="118"/>
        <v>0</v>
      </c>
      <c r="AD90" s="93">
        <f t="shared" si="119"/>
        <v>0</v>
      </c>
      <c r="AE90" s="93">
        <f t="shared" si="134"/>
        <v>0</v>
      </c>
      <c r="AF90" s="54">
        <f>AE90+'31.01'!AF90</f>
        <v>0</v>
      </c>
      <c r="AG90" s="94">
        <f t="shared" si="160"/>
        <v>0</v>
      </c>
      <c r="AH90" s="56">
        <f t="shared" si="135"/>
        <v>0</v>
      </c>
      <c r="AI90" s="93"/>
      <c r="AJ90" s="93">
        <f t="shared" si="161"/>
        <v>0</v>
      </c>
      <c r="AK90" s="95">
        <f t="shared" si="136"/>
        <v>1</v>
      </c>
      <c r="AL90" s="58">
        <f t="shared" si="172"/>
        <v>0</v>
      </c>
      <c r="AM90" s="55">
        <f t="shared" si="162"/>
        <v>0</v>
      </c>
      <c r="AN90" s="93"/>
      <c r="AO90" s="96"/>
      <c r="AP90" s="96"/>
      <c r="AQ90" s="96"/>
      <c r="AR90" s="96"/>
      <c r="AS90" s="96"/>
      <c r="AT90" s="96"/>
      <c r="AU90" s="96">
        <f t="shared" si="137"/>
        <v>0</v>
      </c>
      <c r="AV90" s="96">
        <f t="shared" si="137"/>
        <v>0</v>
      </c>
      <c r="AW90" s="96">
        <f t="shared" si="138"/>
        <v>0</v>
      </c>
      <c r="AX90" s="96">
        <f t="shared" si="139"/>
        <v>0</v>
      </c>
      <c r="AY90" s="94">
        <f t="shared" si="163"/>
        <v>0</v>
      </c>
      <c r="AZ90" s="94">
        <f t="shared" si="140"/>
        <v>0</v>
      </c>
      <c r="BA90" s="94">
        <f t="shared" si="169"/>
        <v>0</v>
      </c>
      <c r="BB90" s="97">
        <f t="shared" si="170"/>
        <v>0</v>
      </c>
      <c r="BC90" s="93"/>
      <c r="BD90" s="93">
        <f t="shared" si="141"/>
        <v>0</v>
      </c>
      <c r="BE90" s="95">
        <f t="shared" si="142"/>
        <v>1</v>
      </c>
      <c r="BF90" s="58">
        <f t="shared" si="173"/>
        <v>0</v>
      </c>
      <c r="BG90" s="94">
        <f t="shared" si="143"/>
        <v>0</v>
      </c>
      <c r="BH90" s="89"/>
      <c r="BI90" s="89"/>
      <c r="BJ90" s="89"/>
      <c r="BK90" s="89"/>
      <c r="BL90" s="89"/>
      <c r="BM90" s="89"/>
      <c r="BN90" s="89"/>
      <c r="BO90" s="92">
        <f t="shared" si="164"/>
        <v>0</v>
      </c>
      <c r="BP90" s="92">
        <f t="shared" si="164"/>
        <v>0</v>
      </c>
      <c r="BQ90" s="96">
        <f t="shared" si="144"/>
        <v>0</v>
      </c>
      <c r="BR90" s="96">
        <f t="shared" si="145"/>
        <v>0</v>
      </c>
      <c r="BS90" s="96">
        <f t="shared" si="165"/>
        <v>0</v>
      </c>
      <c r="BT90" s="96">
        <f t="shared" si="146"/>
        <v>0</v>
      </c>
      <c r="BU90" s="92">
        <f t="shared" si="120"/>
        <v>0</v>
      </c>
      <c r="BV90" s="98">
        <f t="shared" si="166"/>
        <v>0</v>
      </c>
      <c r="BW90" s="92">
        <f t="shared" si="121"/>
        <v>0</v>
      </c>
      <c r="BX90" s="98" t="str">
        <f t="shared" si="147"/>
        <v/>
      </c>
      <c r="BY90" s="61">
        <f t="shared" si="171"/>
        <v>0</v>
      </c>
      <c r="BZ90" s="62">
        <f t="shared" si="148"/>
        <v>0</v>
      </c>
      <c r="CA90" s="98">
        <f t="shared" si="149"/>
        <v>0</v>
      </c>
      <c r="CB90" s="92">
        <f t="shared" si="122"/>
        <v>0</v>
      </c>
      <c r="CC90" s="92">
        <f t="shared" si="122"/>
        <v>0</v>
      </c>
      <c r="CD90" s="92">
        <f t="shared" si="122"/>
        <v>0</v>
      </c>
      <c r="CE90" s="99"/>
      <c r="CF90" s="99"/>
      <c r="CG90" s="51">
        <f t="shared" si="150"/>
        <v>0</v>
      </c>
      <c r="CH90" s="62">
        <f t="shared" si="151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99"/>
        <v>0</v>
      </c>
      <c r="CR90" s="102">
        <f t="shared" si="99"/>
        <v>0</v>
      </c>
      <c r="CS90" s="102">
        <f t="shared" si="99"/>
        <v>0</v>
      </c>
      <c r="CT90" s="92">
        <f t="shared" si="152"/>
        <v>0</v>
      </c>
      <c r="CU90" s="92">
        <f t="shared" si="100"/>
        <v>0</v>
      </c>
      <c r="CV90" s="103">
        <f t="shared" si="100"/>
        <v>0</v>
      </c>
      <c r="CW90" s="104"/>
      <c r="CX90" s="105"/>
      <c r="CY90" s="106" t="e">
        <f t="shared" si="153"/>
        <v>#DIV/0!</v>
      </c>
      <c r="CZ90" s="106">
        <f t="shared" si="154"/>
        <v>0</v>
      </c>
      <c r="DA90" s="106"/>
      <c r="DB90" s="106"/>
      <c r="DC90" s="105"/>
      <c r="DD90" s="107"/>
      <c r="DE90" s="92">
        <f t="shared" si="123"/>
        <v>0</v>
      </c>
      <c r="DF90" s="108">
        <f t="shared" si="124"/>
        <v>0</v>
      </c>
      <c r="DG90" s="115">
        <f t="shared" si="125"/>
        <v>0</v>
      </c>
      <c r="DH90" s="110">
        <f t="shared" si="126"/>
        <v>0</v>
      </c>
      <c r="DI90" s="108">
        <f t="shared" si="127"/>
        <v>0</v>
      </c>
      <c r="DJ90" s="112">
        <f t="shared" si="128"/>
        <v>0</v>
      </c>
      <c r="DK90" s="110">
        <f t="shared" si="179"/>
        <v>0</v>
      </c>
      <c r="DL90" s="108">
        <f t="shared" si="179"/>
        <v>0</v>
      </c>
      <c r="DM90" s="111">
        <f t="shared" si="179"/>
        <v>0</v>
      </c>
      <c r="DN90" s="76">
        <f t="shared" ref="DN90:DO106" si="180">T90</f>
        <v>0</v>
      </c>
      <c r="DO90" s="76">
        <f t="shared" si="180"/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5"/>
        <v>0</v>
      </c>
      <c r="DX90" s="81">
        <f t="shared" si="129"/>
        <v>0</v>
      </c>
      <c r="DY90" s="80">
        <f t="shared" si="156"/>
        <v>0</v>
      </c>
      <c r="DZ90" s="82">
        <f t="shared" si="157"/>
        <v>0</v>
      </c>
      <c r="EA90" s="82">
        <f t="shared" si="158"/>
        <v>0</v>
      </c>
      <c r="EB90" s="82" t="e">
        <f t="shared" si="159"/>
        <v>#VALUE!</v>
      </c>
      <c r="EC90" s="82" t="e">
        <f t="shared" si="176"/>
        <v>#VALUE!</v>
      </c>
    </row>
    <row r="91" spans="1:136" ht="15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0"/>
        <v>GWA6063-T5-17x3-H9I14</v>
      </c>
      <c r="H91" s="46" t="str">
        <f t="shared" si="131"/>
        <v>A6063-T5GW170DH9</v>
      </c>
      <c r="I91" s="46" t="str">
        <f t="shared" si="132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3"/>
        <v>8</v>
      </c>
      <c r="T91" s="51">
        <f>'31.01'!BG91</f>
        <v>0</v>
      </c>
      <c r="U91" s="92"/>
      <c r="V91" s="100">
        <v>5.133</v>
      </c>
      <c r="W91" s="93">
        <f t="shared" si="112"/>
        <v>0</v>
      </c>
      <c r="X91" s="93">
        <f t="shared" si="113"/>
        <v>0</v>
      </c>
      <c r="Y91" s="93">
        <f t="shared" si="114"/>
        <v>0</v>
      </c>
      <c r="Z91" s="93">
        <f t="shared" si="115"/>
        <v>0</v>
      </c>
      <c r="AA91" s="93">
        <f t="shared" si="116"/>
        <v>0</v>
      </c>
      <c r="AB91" s="93">
        <f t="shared" si="117"/>
        <v>0</v>
      </c>
      <c r="AC91" s="93">
        <f t="shared" si="118"/>
        <v>0</v>
      </c>
      <c r="AD91" s="93">
        <f t="shared" si="119"/>
        <v>0</v>
      </c>
      <c r="AE91" s="93">
        <f t="shared" si="134"/>
        <v>0</v>
      </c>
      <c r="AF91" s="54">
        <f>AE91+'31.01'!AF91</f>
        <v>0</v>
      </c>
      <c r="AG91" s="94">
        <f t="shared" si="160"/>
        <v>0</v>
      </c>
      <c r="AH91" s="56">
        <f t="shared" si="135"/>
        <v>0</v>
      </c>
      <c r="AI91" s="93"/>
      <c r="AJ91" s="93">
        <f t="shared" si="161"/>
        <v>0</v>
      </c>
      <c r="AK91" s="95">
        <f t="shared" si="136"/>
        <v>1</v>
      </c>
      <c r="AL91" s="58">
        <f t="shared" si="172"/>
        <v>0</v>
      </c>
      <c r="AM91" s="55">
        <f t="shared" si="162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37"/>
        <v>0</v>
      </c>
      <c r="AV91" s="96">
        <f t="shared" si="137"/>
        <v>0</v>
      </c>
      <c r="AW91" s="96">
        <f t="shared" si="138"/>
        <v>0</v>
      </c>
      <c r="AX91" s="96">
        <f t="shared" si="139"/>
        <v>0</v>
      </c>
      <c r="AY91" s="94">
        <f t="shared" si="163"/>
        <v>0</v>
      </c>
      <c r="AZ91" s="94">
        <f t="shared" si="140"/>
        <v>0</v>
      </c>
      <c r="BA91" s="94">
        <f t="shared" si="169"/>
        <v>0</v>
      </c>
      <c r="BB91" s="97">
        <f t="shared" si="170"/>
        <v>0</v>
      </c>
      <c r="BC91" s="93"/>
      <c r="BD91" s="93">
        <f t="shared" si="141"/>
        <v>0</v>
      </c>
      <c r="BE91" s="95">
        <f t="shared" si="142"/>
        <v>1</v>
      </c>
      <c r="BF91" s="58">
        <f t="shared" si="173"/>
        <v>0</v>
      </c>
      <c r="BG91" s="94">
        <f t="shared" si="143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4"/>
        <v>0</v>
      </c>
      <c r="BP91" s="92">
        <f t="shared" si="164"/>
        <v>0</v>
      </c>
      <c r="BQ91" s="96">
        <f t="shared" si="144"/>
        <v>0</v>
      </c>
      <c r="BR91" s="96">
        <f t="shared" si="145"/>
        <v>0</v>
      </c>
      <c r="BS91" s="96">
        <f t="shared" si="165"/>
        <v>0</v>
      </c>
      <c r="BT91" s="96">
        <f t="shared" si="146"/>
        <v>0</v>
      </c>
      <c r="BU91" s="92">
        <f t="shared" si="120"/>
        <v>0</v>
      </c>
      <c r="BV91" s="98">
        <f t="shared" si="166"/>
        <v>0</v>
      </c>
      <c r="BW91" s="92">
        <f t="shared" si="121"/>
        <v>0</v>
      </c>
      <c r="BX91" s="98">
        <f t="shared" si="147"/>
        <v>0</v>
      </c>
      <c r="BY91" s="61">
        <f t="shared" si="171"/>
        <v>0</v>
      </c>
      <c r="BZ91" s="62">
        <f t="shared" si="148"/>
        <v>0</v>
      </c>
      <c r="CA91" s="98">
        <f t="shared" si="149"/>
        <v>0</v>
      </c>
      <c r="CB91" s="92">
        <f t="shared" si="122"/>
        <v>0</v>
      </c>
      <c r="CC91" s="92">
        <f t="shared" si="122"/>
        <v>0</v>
      </c>
      <c r="CD91" s="92">
        <f t="shared" si="122"/>
        <v>0</v>
      </c>
      <c r="CE91" s="99"/>
      <c r="CF91" s="99"/>
      <c r="CG91" s="51">
        <f t="shared" si="150"/>
        <v>0</v>
      </c>
      <c r="CH91" s="62">
        <f t="shared" si="151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99"/>
        <v>0</v>
      </c>
      <c r="CR91" s="102">
        <f t="shared" si="99"/>
        <v>0</v>
      </c>
      <c r="CS91" s="102">
        <f t="shared" si="99"/>
        <v>0</v>
      </c>
      <c r="CT91" s="92">
        <f t="shared" si="152"/>
        <v>0</v>
      </c>
      <c r="CU91" s="92">
        <f t="shared" si="100"/>
        <v>0</v>
      </c>
      <c r="CV91" s="103">
        <f t="shared" si="100"/>
        <v>0</v>
      </c>
      <c r="CW91" s="104"/>
      <c r="CX91" s="105">
        <v>56</v>
      </c>
      <c r="CY91" s="106">
        <f t="shared" si="153"/>
        <v>744</v>
      </c>
      <c r="CZ91" s="106">
        <f t="shared" si="154"/>
        <v>453.6</v>
      </c>
      <c r="DA91" s="106"/>
      <c r="DB91" s="106"/>
      <c r="DC91" s="105"/>
      <c r="DD91" s="107"/>
      <c r="DE91" s="92">
        <f t="shared" si="123"/>
        <v>0</v>
      </c>
      <c r="DF91" s="108">
        <f t="shared" si="124"/>
        <v>0</v>
      </c>
      <c r="DG91" s="115">
        <f t="shared" si="125"/>
        <v>0</v>
      </c>
      <c r="DH91" s="110">
        <f t="shared" si="126"/>
        <v>0</v>
      </c>
      <c r="DI91" s="108">
        <f t="shared" si="127"/>
        <v>0</v>
      </c>
      <c r="DJ91" s="112">
        <f t="shared" si="128"/>
        <v>0</v>
      </c>
      <c r="DK91" s="110">
        <f t="shared" si="179"/>
        <v>0</v>
      </c>
      <c r="DL91" s="108">
        <f t="shared" si="179"/>
        <v>0</v>
      </c>
      <c r="DM91" s="111">
        <f t="shared" si="179"/>
        <v>0</v>
      </c>
      <c r="DN91" s="76">
        <f t="shared" si="180"/>
        <v>0</v>
      </c>
      <c r="DO91" s="76">
        <f t="shared" si="180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5"/>
        <v>0</v>
      </c>
      <c r="DX91" s="81">
        <f t="shared" si="129"/>
        <v>0</v>
      </c>
      <c r="DY91" s="80">
        <f t="shared" si="156"/>
        <v>0</v>
      </c>
      <c r="DZ91" s="82">
        <f t="shared" si="157"/>
        <v>0</v>
      </c>
      <c r="EA91" s="82">
        <f t="shared" si="158"/>
        <v>0</v>
      </c>
      <c r="EB91" s="82">
        <f t="shared" si="159"/>
        <v>0</v>
      </c>
      <c r="EC91" s="82">
        <f t="shared" si="176"/>
        <v>0</v>
      </c>
      <c r="EF91" s="83">
        <f t="shared" ref="EF91:EF101" si="181">DG91+DJ91</f>
        <v>0</v>
      </c>
    </row>
    <row r="92" spans="1:136" ht="15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0"/>
        <v>TVSUS303Cu-H15.87x2.5-H11B14</v>
      </c>
      <c r="H92" s="46" t="str">
        <f t="shared" si="131"/>
        <v>SUS303CuTV15.870HH11</v>
      </c>
      <c r="I92" s="46" t="str">
        <f t="shared" si="132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3"/>
        <v>18</v>
      </c>
      <c r="T92" s="51">
        <f>'31.01'!BG92</f>
        <v>0</v>
      </c>
      <c r="U92" s="92"/>
      <c r="V92" s="100">
        <v>27.35</v>
      </c>
      <c r="W92" s="93">
        <f t="shared" si="112"/>
        <v>0</v>
      </c>
      <c r="X92" s="93">
        <f t="shared" si="113"/>
        <v>0</v>
      </c>
      <c r="Y92" s="93">
        <f t="shared" si="114"/>
        <v>0</v>
      </c>
      <c r="Z92" s="93">
        <f t="shared" si="115"/>
        <v>0</v>
      </c>
      <c r="AA92" s="93">
        <f t="shared" si="116"/>
        <v>0</v>
      </c>
      <c r="AB92" s="93">
        <f t="shared" si="117"/>
        <v>0</v>
      </c>
      <c r="AC92" s="93">
        <f t="shared" si="118"/>
        <v>0</v>
      </c>
      <c r="AD92" s="93">
        <f t="shared" si="119"/>
        <v>0</v>
      </c>
      <c r="AE92" s="93">
        <f t="shared" si="134"/>
        <v>0</v>
      </c>
      <c r="AF92" s="54">
        <f>AE92+'31.01'!AF92</f>
        <v>0</v>
      </c>
      <c r="AG92" s="94">
        <f t="shared" si="160"/>
        <v>0</v>
      </c>
      <c r="AH92" s="56">
        <f t="shared" si="135"/>
        <v>0</v>
      </c>
      <c r="AI92" s="93"/>
      <c r="AJ92" s="93">
        <f t="shared" si="161"/>
        <v>0</v>
      </c>
      <c r="AK92" s="95">
        <f t="shared" si="136"/>
        <v>1</v>
      </c>
      <c r="AL92" s="58">
        <f t="shared" si="172"/>
        <v>0</v>
      </c>
      <c r="AM92" s="55">
        <f t="shared" si="162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37"/>
        <v>0</v>
      </c>
      <c r="AV92" s="96">
        <f t="shared" si="137"/>
        <v>0</v>
      </c>
      <c r="AW92" s="96">
        <f t="shared" si="138"/>
        <v>0</v>
      </c>
      <c r="AX92" s="96">
        <f t="shared" si="139"/>
        <v>0</v>
      </c>
      <c r="AY92" s="94">
        <f t="shared" si="163"/>
        <v>0</v>
      </c>
      <c r="AZ92" s="94">
        <f t="shared" si="140"/>
        <v>0</v>
      </c>
      <c r="BA92" s="94">
        <f t="shared" si="169"/>
        <v>0</v>
      </c>
      <c r="BB92" s="97">
        <f t="shared" si="170"/>
        <v>0</v>
      </c>
      <c r="BC92" s="93"/>
      <c r="BD92" s="93">
        <f t="shared" si="141"/>
        <v>0</v>
      </c>
      <c r="BE92" s="95">
        <f t="shared" si="142"/>
        <v>1</v>
      </c>
      <c r="BF92" s="58">
        <f t="shared" si="173"/>
        <v>0</v>
      </c>
      <c r="BG92" s="94">
        <f t="shared" si="143"/>
        <v>0</v>
      </c>
      <c r="BH92" s="89"/>
      <c r="BI92" s="92">
        <f t="shared" ref="BI92:BJ97" si="182">$CN92</f>
        <v>0</v>
      </c>
      <c r="BJ92" s="92"/>
      <c r="BK92" s="89"/>
      <c r="BL92" s="89"/>
      <c r="BM92" s="89"/>
      <c r="BN92" s="92"/>
      <c r="BO92" s="92">
        <f t="shared" si="164"/>
        <v>0</v>
      </c>
      <c r="BP92" s="92">
        <f t="shared" si="164"/>
        <v>0</v>
      </c>
      <c r="BQ92" s="96">
        <f t="shared" si="144"/>
        <v>0</v>
      </c>
      <c r="BR92" s="96">
        <f t="shared" si="145"/>
        <v>0</v>
      </c>
      <c r="BS92" s="96">
        <f t="shared" si="165"/>
        <v>0</v>
      </c>
      <c r="BT92" s="96">
        <f t="shared" si="146"/>
        <v>0</v>
      </c>
      <c r="BU92" s="92">
        <f t="shared" si="120"/>
        <v>0</v>
      </c>
      <c r="BV92" s="98">
        <f t="shared" si="166"/>
        <v>0</v>
      </c>
      <c r="BW92" s="92">
        <f t="shared" si="121"/>
        <v>0</v>
      </c>
      <c r="BX92" s="98">
        <f t="shared" si="147"/>
        <v>0</v>
      </c>
      <c r="BY92" s="61">
        <f t="shared" si="171"/>
        <v>0</v>
      </c>
      <c r="BZ92" s="62">
        <f t="shared" si="148"/>
        <v>0</v>
      </c>
      <c r="CA92" s="98">
        <f t="shared" si="149"/>
        <v>0</v>
      </c>
      <c r="CB92" s="92">
        <f t="shared" si="122"/>
        <v>0</v>
      </c>
      <c r="CC92" s="92">
        <f t="shared" si="122"/>
        <v>0</v>
      </c>
      <c r="CD92" s="92">
        <f t="shared" si="122"/>
        <v>0</v>
      </c>
      <c r="CE92" s="99"/>
      <c r="CF92" s="99"/>
      <c r="CG92" s="51">
        <f t="shared" si="150"/>
        <v>0</v>
      </c>
      <c r="CH92" s="62">
        <f t="shared" si="151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99"/>
        <v>0</v>
      </c>
      <c r="CR92" s="102">
        <f t="shared" si="99"/>
        <v>0</v>
      </c>
      <c r="CS92" s="102">
        <f t="shared" si="99"/>
        <v>0</v>
      </c>
      <c r="CT92" s="92">
        <f t="shared" si="152"/>
        <v>0</v>
      </c>
      <c r="CU92" s="92">
        <f t="shared" si="100"/>
        <v>0</v>
      </c>
      <c r="CV92" s="103">
        <f t="shared" si="100"/>
        <v>0</v>
      </c>
      <c r="CW92" s="104"/>
      <c r="CX92" s="105">
        <v>60</v>
      </c>
      <c r="CY92" s="106">
        <f t="shared" si="153"/>
        <v>670</v>
      </c>
      <c r="CZ92" s="106">
        <f t="shared" si="154"/>
        <v>486.00000000000006</v>
      </c>
      <c r="DA92" s="106"/>
      <c r="DB92" s="106"/>
      <c r="DC92" s="105"/>
      <c r="DD92" s="107"/>
      <c r="DE92" s="92">
        <f t="shared" si="123"/>
        <v>0</v>
      </c>
      <c r="DF92" s="108">
        <f t="shared" si="124"/>
        <v>0</v>
      </c>
      <c r="DG92" s="115">
        <f t="shared" si="125"/>
        <v>0</v>
      </c>
      <c r="DH92" s="110">
        <f t="shared" si="126"/>
        <v>0</v>
      </c>
      <c r="DI92" s="108">
        <f t="shared" si="127"/>
        <v>0</v>
      </c>
      <c r="DJ92" s="112">
        <f t="shared" si="128"/>
        <v>0</v>
      </c>
      <c r="DK92" s="110">
        <f t="shared" si="179"/>
        <v>0</v>
      </c>
      <c r="DL92" s="108">
        <f t="shared" si="179"/>
        <v>0</v>
      </c>
      <c r="DM92" s="111">
        <f t="shared" si="179"/>
        <v>0</v>
      </c>
      <c r="DN92" s="76">
        <f t="shared" si="180"/>
        <v>0</v>
      </c>
      <c r="DO92" s="76">
        <f t="shared" si="180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5"/>
        <v>0</v>
      </c>
      <c r="DX92" s="81">
        <f t="shared" si="129"/>
        <v>0</v>
      </c>
      <c r="DY92" s="80">
        <f t="shared" si="156"/>
        <v>0</v>
      </c>
      <c r="DZ92" s="82">
        <f t="shared" si="157"/>
        <v>0</v>
      </c>
      <c r="EA92" s="82">
        <f t="shared" si="158"/>
        <v>0</v>
      </c>
      <c r="EB92" s="82">
        <f t="shared" si="159"/>
        <v>0</v>
      </c>
      <c r="EC92" s="82">
        <f t="shared" si="176"/>
        <v>0</v>
      </c>
      <c r="EF92" s="83">
        <f t="shared" si="181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0"/>
        <v>GWA6061-T6-16x3-H9A15</v>
      </c>
      <c r="H93" s="46" t="str">
        <f t="shared" si="131"/>
        <v>A6061-T6GW160DH9</v>
      </c>
      <c r="I93" s="46" t="str">
        <f t="shared" si="132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3"/>
        <v>22</v>
      </c>
      <c r="T93" s="51">
        <f>'31.01'!BG93</f>
        <v>0</v>
      </c>
      <c r="U93" s="92"/>
      <c r="V93" s="100">
        <v>14.1</v>
      </c>
      <c r="W93" s="93">
        <f t="shared" si="112"/>
        <v>0</v>
      </c>
      <c r="X93" s="93">
        <f t="shared" si="113"/>
        <v>0</v>
      </c>
      <c r="Y93" s="93">
        <f t="shared" si="114"/>
        <v>0</v>
      </c>
      <c r="Z93" s="93">
        <f t="shared" si="115"/>
        <v>0</v>
      </c>
      <c r="AA93" s="93">
        <f t="shared" si="116"/>
        <v>0</v>
      </c>
      <c r="AB93" s="93">
        <f t="shared" si="117"/>
        <v>0</v>
      </c>
      <c r="AC93" s="93">
        <f t="shared" si="118"/>
        <v>0</v>
      </c>
      <c r="AD93" s="93">
        <f t="shared" si="119"/>
        <v>0</v>
      </c>
      <c r="AE93" s="93">
        <f t="shared" si="134"/>
        <v>0</v>
      </c>
      <c r="AF93" s="54">
        <f>AE93+'31.01'!AF93</f>
        <v>0</v>
      </c>
      <c r="AG93" s="94">
        <f t="shared" si="160"/>
        <v>0</v>
      </c>
      <c r="AH93" s="56">
        <f t="shared" si="135"/>
        <v>0</v>
      </c>
      <c r="AI93" s="93"/>
      <c r="AJ93" s="93">
        <f t="shared" si="161"/>
        <v>0</v>
      </c>
      <c r="AK93" s="95">
        <f t="shared" si="136"/>
        <v>1</v>
      </c>
      <c r="AL93" s="58">
        <f t="shared" si="172"/>
        <v>0</v>
      </c>
      <c r="AM93" s="55">
        <f t="shared" si="162"/>
        <v>0</v>
      </c>
      <c r="AN93" s="93"/>
      <c r="AO93" s="96">
        <f>$CJ93</f>
        <v>0</v>
      </c>
      <c r="AP93" s="96"/>
      <c r="AQ93" s="96"/>
      <c r="AR93" s="96"/>
      <c r="AS93" s="96"/>
      <c r="AT93" s="96"/>
      <c r="AU93" s="96">
        <f t="shared" si="137"/>
        <v>0</v>
      </c>
      <c r="AV93" s="96">
        <f t="shared" si="137"/>
        <v>0</v>
      </c>
      <c r="AW93" s="96">
        <f t="shared" si="138"/>
        <v>0</v>
      </c>
      <c r="AX93" s="96">
        <f t="shared" si="139"/>
        <v>0</v>
      </c>
      <c r="AY93" s="94">
        <f t="shared" si="163"/>
        <v>0</v>
      </c>
      <c r="AZ93" s="94">
        <f t="shared" si="140"/>
        <v>0</v>
      </c>
      <c r="BA93" s="94">
        <f t="shared" si="169"/>
        <v>0</v>
      </c>
      <c r="BB93" s="97">
        <f t="shared" si="170"/>
        <v>0</v>
      </c>
      <c r="BC93" s="93"/>
      <c r="BD93" s="93">
        <f t="shared" si="141"/>
        <v>0</v>
      </c>
      <c r="BE93" s="95">
        <f t="shared" si="142"/>
        <v>1</v>
      </c>
      <c r="BF93" s="58">
        <f t="shared" si="173"/>
        <v>0</v>
      </c>
      <c r="BG93" s="94">
        <f t="shared" si="143"/>
        <v>0</v>
      </c>
      <c r="BH93" s="89"/>
      <c r="BI93" s="92">
        <f t="shared" si="182"/>
        <v>0</v>
      </c>
      <c r="BJ93" s="92"/>
      <c r="BK93" s="89"/>
      <c r="BL93" s="89"/>
      <c r="BM93" s="89"/>
      <c r="BN93" s="89"/>
      <c r="BO93" s="92">
        <f t="shared" si="164"/>
        <v>0</v>
      </c>
      <c r="BP93" s="92">
        <f t="shared" si="164"/>
        <v>0</v>
      </c>
      <c r="BQ93" s="96">
        <f t="shared" si="144"/>
        <v>0</v>
      </c>
      <c r="BR93" s="96">
        <f t="shared" si="145"/>
        <v>0</v>
      </c>
      <c r="BS93" s="96">
        <f t="shared" si="165"/>
        <v>0</v>
      </c>
      <c r="BT93" s="96">
        <f t="shared" si="146"/>
        <v>0</v>
      </c>
      <c r="BU93" s="92">
        <f t="shared" si="120"/>
        <v>0</v>
      </c>
      <c r="BV93" s="98">
        <f t="shared" si="166"/>
        <v>0</v>
      </c>
      <c r="BW93" s="92">
        <f t="shared" si="121"/>
        <v>0</v>
      </c>
      <c r="BX93" s="98">
        <f t="shared" si="147"/>
        <v>0</v>
      </c>
      <c r="BY93" s="61">
        <f>IFERROR(BF93+AL93,0)</f>
        <v>0</v>
      </c>
      <c r="BZ93" s="62">
        <f t="shared" si="148"/>
        <v>0</v>
      </c>
      <c r="CA93" s="98">
        <f t="shared" si="149"/>
        <v>0</v>
      </c>
      <c r="CB93" s="92">
        <f t="shared" si="122"/>
        <v>0</v>
      </c>
      <c r="CC93" s="92">
        <f t="shared" si="122"/>
        <v>0</v>
      </c>
      <c r="CD93" s="92">
        <f t="shared" si="122"/>
        <v>0</v>
      </c>
      <c r="CE93" s="99"/>
      <c r="CF93" s="99"/>
      <c r="CG93" s="51">
        <f t="shared" si="150"/>
        <v>0</v>
      </c>
      <c r="CH93" s="62">
        <f t="shared" si="151"/>
        <v>0</v>
      </c>
      <c r="CI93" s="89"/>
      <c r="CJ93" s="89"/>
      <c r="CK93" s="89"/>
      <c r="CL93" s="96"/>
      <c r="CM93" s="89"/>
      <c r="CN93" s="89"/>
      <c r="CO93" s="92"/>
      <c r="CP93" s="101"/>
      <c r="CQ93" s="102">
        <f t="shared" si="99"/>
        <v>0</v>
      </c>
      <c r="CR93" s="102">
        <f t="shared" si="99"/>
        <v>0</v>
      </c>
      <c r="CS93" s="102">
        <f t="shared" si="99"/>
        <v>0</v>
      </c>
      <c r="CT93" s="92">
        <f t="shared" si="152"/>
        <v>0</v>
      </c>
      <c r="CU93" s="92">
        <f t="shared" si="100"/>
        <v>0</v>
      </c>
      <c r="CV93" s="103">
        <f t="shared" si="100"/>
        <v>0</v>
      </c>
      <c r="CW93" s="104"/>
      <c r="CX93" s="105">
        <v>110</v>
      </c>
      <c r="CY93" s="106">
        <f t="shared" si="153"/>
        <v>360</v>
      </c>
      <c r="CZ93" s="106">
        <f t="shared" si="154"/>
        <v>891.00000000000011</v>
      </c>
      <c r="DA93" s="106"/>
      <c r="DB93" s="106"/>
      <c r="DC93" s="105"/>
      <c r="DD93" s="107"/>
      <c r="DE93" s="92">
        <f t="shared" si="123"/>
        <v>0</v>
      </c>
      <c r="DF93" s="108">
        <f t="shared" si="124"/>
        <v>0</v>
      </c>
      <c r="DG93" s="115">
        <f t="shared" si="125"/>
        <v>0</v>
      </c>
      <c r="DH93" s="110">
        <f t="shared" si="126"/>
        <v>0</v>
      </c>
      <c r="DI93" s="108">
        <f t="shared" si="127"/>
        <v>0</v>
      </c>
      <c r="DJ93" s="115">
        <f t="shared" si="128"/>
        <v>0</v>
      </c>
      <c r="DK93" s="110">
        <f t="shared" si="179"/>
        <v>0</v>
      </c>
      <c r="DL93" s="108">
        <f t="shared" si="179"/>
        <v>0</v>
      </c>
      <c r="DM93" s="111">
        <f t="shared" si="179"/>
        <v>0</v>
      </c>
      <c r="DN93" s="76">
        <f t="shared" si="180"/>
        <v>0</v>
      </c>
      <c r="DO93" s="76">
        <f t="shared" si="180"/>
        <v>0</v>
      </c>
      <c r="DP93" s="112"/>
      <c r="DQ93" s="112"/>
      <c r="DR93" s="113"/>
      <c r="DS93" s="112"/>
      <c r="DT93" s="112"/>
      <c r="DU93" s="111"/>
      <c r="DV93" s="114"/>
      <c r="DW93" s="80">
        <f t="shared" ref="DW93:DW94" si="183">IFERROR(AL93+BF93,"")</f>
        <v>0</v>
      </c>
      <c r="DX93" s="81">
        <f t="shared" si="129"/>
        <v>0</v>
      </c>
      <c r="DY93" s="80">
        <f t="shared" si="156"/>
        <v>0</v>
      </c>
      <c r="DZ93" s="82">
        <f t="shared" si="157"/>
        <v>0</v>
      </c>
      <c r="EA93" s="82">
        <f t="shared" si="158"/>
        <v>0</v>
      </c>
      <c r="EB93" s="82">
        <f t="shared" si="159"/>
        <v>0</v>
      </c>
      <c r="EC93" s="82">
        <f>(BX93-CA93)+((AV93+BP93)/1000)</f>
        <v>0</v>
      </c>
      <c r="EF93" s="83">
        <f t="shared" si="181"/>
        <v>0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0"/>
        <v>GWA6061-T6-19.1x3-H9A14</v>
      </c>
      <c r="H94" s="46" t="str">
        <f t="shared" si="131"/>
        <v>A6061-T6GW19.10DH9</v>
      </c>
      <c r="I94" s="46" t="str">
        <f t="shared" si="132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3"/>
        <v>22</v>
      </c>
      <c r="T94" s="51">
        <v>15</v>
      </c>
      <c r="U94" s="92">
        <v>10</v>
      </c>
      <c r="V94" s="100">
        <v>20.25</v>
      </c>
      <c r="W94" s="93">
        <f t="shared" si="112"/>
        <v>281</v>
      </c>
      <c r="X94" s="93">
        <f t="shared" si="113"/>
        <v>0</v>
      </c>
      <c r="Y94" s="93">
        <f t="shared" si="114"/>
        <v>0</v>
      </c>
      <c r="Z94" s="93">
        <f t="shared" si="115"/>
        <v>0</v>
      </c>
      <c r="AA94" s="93">
        <f t="shared" si="116"/>
        <v>0</v>
      </c>
      <c r="AB94" s="93">
        <f t="shared" si="117"/>
        <v>0</v>
      </c>
      <c r="AC94" s="93">
        <f t="shared" si="118"/>
        <v>0</v>
      </c>
      <c r="AD94" s="93">
        <f t="shared" si="119"/>
        <v>9</v>
      </c>
      <c r="AE94" s="93">
        <f t="shared" si="134"/>
        <v>281</v>
      </c>
      <c r="AF94" s="54">
        <f>AE94+'31.01'!AF94</f>
        <v>566</v>
      </c>
      <c r="AG94" s="94">
        <f t="shared" si="160"/>
        <v>15</v>
      </c>
      <c r="AH94" s="56">
        <f t="shared" si="135"/>
        <v>0</v>
      </c>
      <c r="AI94" s="93">
        <v>5</v>
      </c>
      <c r="AJ94" s="93">
        <f t="shared" si="161"/>
        <v>0</v>
      </c>
      <c r="AK94" s="95">
        <f t="shared" si="136"/>
        <v>1</v>
      </c>
      <c r="AL94" s="58">
        <f t="shared" si="172"/>
        <v>5</v>
      </c>
      <c r="AM94" s="55">
        <f t="shared" si="162"/>
        <v>20</v>
      </c>
      <c r="AN94" s="93"/>
      <c r="AO94" s="96">
        <f>$CJ94</f>
        <v>2551.5</v>
      </c>
      <c r="AP94" s="96"/>
      <c r="AQ94" s="96"/>
      <c r="AR94" s="96"/>
      <c r="AS94" s="96"/>
      <c r="AT94" s="96"/>
      <c r="AU94" s="96">
        <f t="shared" si="137"/>
        <v>0</v>
      </c>
      <c r="AV94" s="96">
        <f t="shared" si="137"/>
        <v>0</v>
      </c>
      <c r="AW94" s="96">
        <f t="shared" si="138"/>
        <v>2551.5</v>
      </c>
      <c r="AX94" s="96">
        <f t="shared" si="139"/>
        <v>126</v>
      </c>
      <c r="AY94" s="94">
        <f t="shared" si="163"/>
        <v>121.5</v>
      </c>
      <c r="AZ94" s="94">
        <f t="shared" si="140"/>
        <v>6</v>
      </c>
      <c r="BA94" s="94">
        <f t="shared" si="169"/>
        <v>20</v>
      </c>
      <c r="BB94" s="97">
        <f t="shared" si="170"/>
        <v>0</v>
      </c>
      <c r="BC94" s="93">
        <v>7</v>
      </c>
      <c r="BD94" s="93">
        <f t="shared" si="141"/>
        <v>0</v>
      </c>
      <c r="BE94" s="95">
        <f t="shared" si="142"/>
        <v>1</v>
      </c>
      <c r="BF94" s="58">
        <f t="shared" si="173"/>
        <v>7</v>
      </c>
      <c r="BG94" s="94">
        <f t="shared" si="143"/>
        <v>13</v>
      </c>
      <c r="BH94" s="89"/>
      <c r="BI94" s="92">
        <f t="shared" si="182"/>
        <v>3138.75</v>
      </c>
      <c r="BJ94" s="92"/>
      <c r="BK94" s="89"/>
      <c r="BL94" s="89"/>
      <c r="BM94" s="89"/>
      <c r="BN94" s="89"/>
      <c r="BO94" s="92">
        <f t="shared" si="164"/>
        <v>0</v>
      </c>
      <c r="BP94" s="92">
        <f t="shared" si="164"/>
        <v>198</v>
      </c>
      <c r="BQ94" s="96">
        <f t="shared" si="144"/>
        <v>3336.75</v>
      </c>
      <c r="BR94" s="96">
        <f t="shared" si="145"/>
        <v>164</v>
      </c>
      <c r="BS94" s="96">
        <f t="shared" si="165"/>
        <v>-65.25</v>
      </c>
      <c r="BT94" s="96">
        <f t="shared" si="146"/>
        <v>-3.2222222222222223</v>
      </c>
      <c r="BU94" s="92">
        <f t="shared" si="120"/>
        <v>281</v>
      </c>
      <c r="BV94" s="98">
        <f t="shared" si="166"/>
        <v>12</v>
      </c>
      <c r="BW94" s="92">
        <f t="shared" si="121"/>
        <v>2.7777777777777777</v>
      </c>
      <c r="BX94" s="98">
        <f t="shared" si="147"/>
        <v>27.768000000000001</v>
      </c>
      <c r="BY94" s="61">
        <f t="shared" si="171"/>
        <v>12</v>
      </c>
      <c r="BZ94" s="62">
        <f t="shared" si="148"/>
        <v>12</v>
      </c>
      <c r="CA94" s="98">
        <f t="shared" si="149"/>
        <v>5.8882500000000002</v>
      </c>
      <c r="CB94" s="92">
        <f t="shared" si="122"/>
        <v>290</v>
      </c>
      <c r="CC94" s="92">
        <f t="shared" si="122"/>
        <v>56.25</v>
      </c>
      <c r="CD94" s="92">
        <f t="shared" si="122"/>
        <v>2.7777777777777777</v>
      </c>
      <c r="CE94" s="99"/>
      <c r="CF94" s="99"/>
      <c r="CG94" s="51">
        <f t="shared" si="150"/>
        <v>22.077750000000002</v>
      </c>
      <c r="CH94" s="62">
        <f t="shared" si="151"/>
        <v>22.077750000000002</v>
      </c>
      <c r="CI94" s="89"/>
      <c r="CJ94" s="89">
        <f>126*20.25</f>
        <v>2551.5</v>
      </c>
      <c r="CK94" s="89"/>
      <c r="CL94" s="96"/>
      <c r="CM94" s="89"/>
      <c r="CN94" s="89">
        <f>155*20.25</f>
        <v>3138.75</v>
      </c>
      <c r="CO94" s="92"/>
      <c r="CP94" s="101">
        <v>198</v>
      </c>
      <c r="CQ94" s="102">
        <f t="shared" si="99"/>
        <v>126</v>
      </c>
      <c r="CR94" s="102">
        <f t="shared" si="99"/>
        <v>0</v>
      </c>
      <c r="CS94" s="102">
        <f t="shared" si="99"/>
        <v>0</v>
      </c>
      <c r="CT94" s="92">
        <f t="shared" si="152"/>
        <v>155</v>
      </c>
      <c r="CU94" s="92">
        <f t="shared" si="100"/>
        <v>0</v>
      </c>
      <c r="CV94" s="103">
        <f t="shared" si="100"/>
        <v>9</v>
      </c>
      <c r="CW94" s="104"/>
      <c r="CX94" s="105">
        <v>150</v>
      </c>
      <c r="CY94" s="106">
        <f t="shared" si="153"/>
        <v>264</v>
      </c>
      <c r="CZ94" s="106">
        <f t="shared" si="154"/>
        <v>1215</v>
      </c>
      <c r="DA94" s="106"/>
      <c r="DB94" s="106"/>
      <c r="DC94" s="105"/>
      <c r="DD94" s="107"/>
      <c r="DE94" s="92">
        <f t="shared" si="123"/>
        <v>126</v>
      </c>
      <c r="DF94" s="108">
        <f t="shared" si="124"/>
        <v>5</v>
      </c>
      <c r="DG94" s="115">
        <f t="shared" si="125"/>
        <v>6</v>
      </c>
      <c r="DH94" s="110">
        <f t="shared" si="126"/>
        <v>155</v>
      </c>
      <c r="DI94" s="108">
        <f t="shared" si="127"/>
        <v>7</v>
      </c>
      <c r="DJ94" s="115">
        <f t="shared" si="128"/>
        <v>-3.2222222222222223</v>
      </c>
      <c r="DK94" s="110">
        <f t="shared" si="179"/>
        <v>281</v>
      </c>
      <c r="DL94" s="108">
        <f t="shared" si="179"/>
        <v>12</v>
      </c>
      <c r="DM94" s="111">
        <f t="shared" si="179"/>
        <v>2.7777777777777777</v>
      </c>
      <c r="DN94" s="76">
        <f t="shared" si="180"/>
        <v>15</v>
      </c>
      <c r="DO94" s="76">
        <f t="shared" si="180"/>
        <v>10</v>
      </c>
      <c r="DP94" s="112"/>
      <c r="DQ94" s="112"/>
      <c r="DR94" s="113" t="s">
        <v>474</v>
      </c>
      <c r="DS94" s="112"/>
      <c r="DT94" s="112"/>
      <c r="DU94" s="111"/>
      <c r="DV94" s="114"/>
      <c r="DW94" s="80">
        <f t="shared" si="183"/>
        <v>12</v>
      </c>
      <c r="DX94" s="81">
        <f t="shared" si="129"/>
        <v>295.77777777777777</v>
      </c>
      <c r="DY94" s="80">
        <f t="shared" si="156"/>
        <v>290</v>
      </c>
      <c r="DZ94" s="82">
        <f t="shared" si="157"/>
        <v>0.18225</v>
      </c>
      <c r="EA94" s="82">
        <f t="shared" si="158"/>
        <v>5.6902499999999998</v>
      </c>
      <c r="EB94" s="82">
        <f t="shared" si="159"/>
        <v>22.077750000000002</v>
      </c>
      <c r="EC94" s="82">
        <f t="shared" si="176"/>
        <v>22.26</v>
      </c>
      <c r="EF94" s="83">
        <f t="shared" si="181"/>
        <v>2.7777777777777777</v>
      </c>
    </row>
    <row r="95" spans="1:136" ht="15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0"/>
        <v>TVSUS303-10x2.5-H7A14</v>
      </c>
      <c r="H95" s="46" t="str">
        <f t="shared" si="131"/>
        <v>SUS303TV100DH7</v>
      </c>
      <c r="I95" s="46" t="str">
        <f t="shared" si="132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3"/>
        <v>42</v>
      </c>
      <c r="T95" s="51">
        <f>'31.01'!BG95</f>
        <v>0</v>
      </c>
      <c r="U95" s="92"/>
      <c r="V95" s="100">
        <v>67.7</v>
      </c>
      <c r="W95" s="93">
        <f t="shared" si="112"/>
        <v>0</v>
      </c>
      <c r="X95" s="93">
        <f t="shared" si="113"/>
        <v>0</v>
      </c>
      <c r="Y95" s="93">
        <f t="shared" si="114"/>
        <v>0</v>
      </c>
      <c r="Z95" s="93">
        <f t="shared" si="115"/>
        <v>0</v>
      </c>
      <c r="AA95" s="93">
        <f t="shared" si="116"/>
        <v>0</v>
      </c>
      <c r="AB95" s="93">
        <f t="shared" si="117"/>
        <v>0</v>
      </c>
      <c r="AC95" s="93">
        <f t="shared" si="118"/>
        <v>0</v>
      </c>
      <c r="AD95" s="93">
        <f t="shared" si="119"/>
        <v>0</v>
      </c>
      <c r="AE95" s="93">
        <f t="shared" si="134"/>
        <v>0</v>
      </c>
      <c r="AF95" s="54">
        <f>AE95+'31.01'!AF95</f>
        <v>0</v>
      </c>
      <c r="AG95" s="94">
        <f t="shared" si="160"/>
        <v>0</v>
      </c>
      <c r="AH95" s="56">
        <f t="shared" si="135"/>
        <v>0</v>
      </c>
      <c r="AI95" s="93"/>
      <c r="AJ95" s="93">
        <f t="shared" si="161"/>
        <v>0</v>
      </c>
      <c r="AK95" s="95">
        <f t="shared" si="136"/>
        <v>1</v>
      </c>
      <c r="AL95" s="58">
        <f t="shared" si="172"/>
        <v>0</v>
      </c>
      <c r="AM95" s="55">
        <f t="shared" si="162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37"/>
        <v>0</v>
      </c>
      <c r="AV95" s="96">
        <f t="shared" si="137"/>
        <v>0</v>
      </c>
      <c r="AW95" s="96">
        <f t="shared" si="138"/>
        <v>0</v>
      </c>
      <c r="AX95" s="96">
        <f t="shared" si="139"/>
        <v>0</v>
      </c>
      <c r="AY95" s="94">
        <f t="shared" si="163"/>
        <v>0</v>
      </c>
      <c r="AZ95" s="94">
        <f t="shared" si="140"/>
        <v>0</v>
      </c>
      <c r="BA95" s="94">
        <f t="shared" si="169"/>
        <v>0</v>
      </c>
      <c r="BB95" s="97">
        <f t="shared" si="170"/>
        <v>0</v>
      </c>
      <c r="BC95" s="93"/>
      <c r="BD95" s="93">
        <f t="shared" si="141"/>
        <v>0</v>
      </c>
      <c r="BE95" s="95">
        <f t="shared" si="142"/>
        <v>1</v>
      </c>
      <c r="BF95" s="58">
        <f t="shared" si="173"/>
        <v>0</v>
      </c>
      <c r="BG95" s="94">
        <f t="shared" si="143"/>
        <v>0</v>
      </c>
      <c r="BH95" s="89"/>
      <c r="BI95" s="92">
        <f t="shared" si="182"/>
        <v>0</v>
      </c>
      <c r="BJ95" s="89"/>
      <c r="BK95" s="89"/>
      <c r="BL95" s="89"/>
      <c r="BM95" s="89"/>
      <c r="BN95" s="89"/>
      <c r="BO95" s="92">
        <f t="shared" si="164"/>
        <v>0</v>
      </c>
      <c r="BP95" s="92">
        <f t="shared" si="164"/>
        <v>0</v>
      </c>
      <c r="BQ95" s="96">
        <f t="shared" si="144"/>
        <v>0</v>
      </c>
      <c r="BR95" s="96">
        <f t="shared" si="145"/>
        <v>0</v>
      </c>
      <c r="BS95" s="96">
        <f t="shared" si="165"/>
        <v>0</v>
      </c>
      <c r="BT95" s="96">
        <f t="shared" si="146"/>
        <v>0</v>
      </c>
      <c r="BU95" s="92">
        <f t="shared" si="120"/>
        <v>0</v>
      </c>
      <c r="BV95" s="98">
        <f t="shared" si="166"/>
        <v>0</v>
      </c>
      <c r="BW95" s="92">
        <f t="shared" si="121"/>
        <v>0</v>
      </c>
      <c r="BX95" s="98">
        <f t="shared" si="147"/>
        <v>0</v>
      </c>
      <c r="BY95" s="61">
        <f t="shared" si="171"/>
        <v>0</v>
      </c>
      <c r="BZ95" s="62">
        <f t="shared" si="148"/>
        <v>0</v>
      </c>
      <c r="CA95" s="98">
        <f t="shared" si="149"/>
        <v>0</v>
      </c>
      <c r="CB95" s="92">
        <f t="shared" si="122"/>
        <v>0</v>
      </c>
      <c r="CC95" s="92">
        <f t="shared" si="122"/>
        <v>0</v>
      </c>
      <c r="CD95" s="92">
        <f t="shared" si="122"/>
        <v>0</v>
      </c>
      <c r="CE95" s="99"/>
      <c r="CF95" s="99"/>
      <c r="CG95" s="51">
        <f t="shared" si="150"/>
        <v>0</v>
      </c>
      <c r="CH95" s="62">
        <f t="shared" si="151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99"/>
        <v>0</v>
      </c>
      <c r="CR95" s="102">
        <f t="shared" si="99"/>
        <v>0</v>
      </c>
      <c r="CS95" s="102">
        <f t="shared" si="99"/>
        <v>0</v>
      </c>
      <c r="CT95" s="92">
        <f t="shared" si="152"/>
        <v>0</v>
      </c>
      <c r="CU95" s="92">
        <f t="shared" si="100"/>
        <v>0</v>
      </c>
      <c r="CV95" s="103">
        <f t="shared" si="100"/>
        <v>0</v>
      </c>
      <c r="CW95" s="104"/>
      <c r="CX95" s="105">
        <v>90</v>
      </c>
      <c r="CY95" s="106">
        <f t="shared" si="153"/>
        <v>393</v>
      </c>
      <c r="CZ95" s="106">
        <f t="shared" si="154"/>
        <v>729</v>
      </c>
      <c r="DA95" s="106"/>
      <c r="DB95" s="106"/>
      <c r="DC95" s="105"/>
      <c r="DD95" s="107"/>
      <c r="DE95" s="92">
        <f t="shared" si="123"/>
        <v>0</v>
      </c>
      <c r="DF95" s="108">
        <f t="shared" si="124"/>
        <v>0</v>
      </c>
      <c r="DG95" s="115">
        <f t="shared" si="125"/>
        <v>0</v>
      </c>
      <c r="DH95" s="110">
        <f t="shared" si="126"/>
        <v>0</v>
      </c>
      <c r="DI95" s="108">
        <f t="shared" si="127"/>
        <v>0</v>
      </c>
      <c r="DJ95" s="112">
        <f t="shared" si="128"/>
        <v>0</v>
      </c>
      <c r="DK95" s="110">
        <f t="shared" si="179"/>
        <v>0</v>
      </c>
      <c r="DL95" s="108">
        <f t="shared" si="179"/>
        <v>0</v>
      </c>
      <c r="DM95" s="111">
        <f t="shared" si="179"/>
        <v>0</v>
      </c>
      <c r="DN95" s="76">
        <f t="shared" si="180"/>
        <v>0</v>
      </c>
      <c r="DO95" s="76">
        <f t="shared" si="180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5"/>
        <v>0</v>
      </c>
      <c r="DX95" s="81">
        <f t="shared" si="129"/>
        <v>0</v>
      </c>
      <c r="DY95" s="80">
        <f t="shared" si="156"/>
        <v>0</v>
      </c>
      <c r="DZ95" s="82">
        <f t="shared" si="157"/>
        <v>0</v>
      </c>
      <c r="EA95" s="82">
        <f t="shared" si="158"/>
        <v>0</v>
      </c>
      <c r="EB95" s="82">
        <f t="shared" si="159"/>
        <v>0</v>
      </c>
      <c r="EC95" s="82">
        <f t="shared" si="176"/>
        <v>0</v>
      </c>
      <c r="EF95" s="83">
        <f t="shared" si="181"/>
        <v>0</v>
      </c>
    </row>
    <row r="96" spans="1:136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0"/>
        <v>TVSUS303-6x2.5-H9A14</v>
      </c>
      <c r="H96" s="46" t="str">
        <f t="shared" si="131"/>
        <v>SUS303TV60DH9</v>
      </c>
      <c r="I96" s="46" t="str">
        <f t="shared" si="132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3"/>
        <v>8</v>
      </c>
      <c r="T96" s="51">
        <f>'31.01'!BG96</f>
        <v>0</v>
      </c>
      <c r="U96" s="92"/>
      <c r="V96" s="100">
        <v>1.875</v>
      </c>
      <c r="W96" s="93">
        <f t="shared" si="112"/>
        <v>0</v>
      </c>
      <c r="X96" s="93">
        <f t="shared" si="113"/>
        <v>0</v>
      </c>
      <c r="Y96" s="93">
        <f t="shared" si="114"/>
        <v>0</v>
      </c>
      <c r="Z96" s="93">
        <f t="shared" si="115"/>
        <v>0</v>
      </c>
      <c r="AA96" s="93">
        <f t="shared" si="116"/>
        <v>0</v>
      </c>
      <c r="AB96" s="93">
        <f t="shared" si="117"/>
        <v>0</v>
      </c>
      <c r="AC96" s="93">
        <f t="shared" si="118"/>
        <v>0</v>
      </c>
      <c r="AD96" s="93">
        <f t="shared" si="119"/>
        <v>0</v>
      </c>
      <c r="AE96" s="93">
        <f t="shared" si="134"/>
        <v>0</v>
      </c>
      <c r="AF96" s="54">
        <f>AE96+'31.01'!AF96</f>
        <v>0</v>
      </c>
      <c r="AG96" s="94">
        <f t="shared" si="160"/>
        <v>0</v>
      </c>
      <c r="AH96" s="56">
        <f t="shared" si="135"/>
        <v>0</v>
      </c>
      <c r="AI96" s="93"/>
      <c r="AJ96" s="93">
        <f t="shared" si="161"/>
        <v>0</v>
      </c>
      <c r="AK96" s="95">
        <f t="shared" si="136"/>
        <v>1</v>
      </c>
      <c r="AL96" s="58">
        <f t="shared" si="172"/>
        <v>0</v>
      </c>
      <c r="AM96" s="55">
        <f t="shared" si="162"/>
        <v>0</v>
      </c>
      <c r="AN96" s="93"/>
      <c r="AO96" s="96"/>
      <c r="AP96" s="96">
        <f t="shared" ref="AP96" si="184">$CJ96</f>
        <v>0</v>
      </c>
      <c r="AQ96" s="96"/>
      <c r="AR96" s="96"/>
      <c r="AS96" s="96"/>
      <c r="AT96" s="96"/>
      <c r="AU96" s="96">
        <f t="shared" si="137"/>
        <v>0</v>
      </c>
      <c r="AV96" s="96">
        <f t="shared" si="137"/>
        <v>0</v>
      </c>
      <c r="AW96" s="96">
        <f t="shared" si="138"/>
        <v>0</v>
      </c>
      <c r="AX96" s="96">
        <f t="shared" si="139"/>
        <v>0</v>
      </c>
      <c r="AY96" s="94">
        <f t="shared" si="163"/>
        <v>0</v>
      </c>
      <c r="AZ96" s="94">
        <f t="shared" si="140"/>
        <v>0</v>
      </c>
      <c r="BA96" s="94">
        <f t="shared" si="169"/>
        <v>0</v>
      </c>
      <c r="BB96" s="97">
        <f t="shared" si="170"/>
        <v>0</v>
      </c>
      <c r="BC96" s="93"/>
      <c r="BD96" s="93">
        <f t="shared" si="141"/>
        <v>0</v>
      </c>
      <c r="BE96" s="95">
        <f t="shared" si="142"/>
        <v>1</v>
      </c>
      <c r="BF96" s="58">
        <f t="shared" si="173"/>
        <v>0</v>
      </c>
      <c r="BG96" s="94">
        <f t="shared" si="143"/>
        <v>0</v>
      </c>
      <c r="BH96" s="89"/>
      <c r="BI96" s="92"/>
      <c r="BJ96" s="92">
        <f t="shared" si="182"/>
        <v>0</v>
      </c>
      <c r="BK96" s="89"/>
      <c r="BL96" s="89"/>
      <c r="BM96" s="89"/>
      <c r="BN96" s="92"/>
      <c r="BO96" s="92">
        <f t="shared" si="164"/>
        <v>0</v>
      </c>
      <c r="BP96" s="92">
        <f t="shared" si="164"/>
        <v>0</v>
      </c>
      <c r="BQ96" s="96">
        <f t="shared" si="144"/>
        <v>0</v>
      </c>
      <c r="BR96" s="96">
        <f t="shared" si="145"/>
        <v>0</v>
      </c>
      <c r="BS96" s="96">
        <f t="shared" si="165"/>
        <v>0</v>
      </c>
      <c r="BT96" s="96">
        <f t="shared" si="146"/>
        <v>0</v>
      </c>
      <c r="BU96" s="92">
        <f t="shared" si="120"/>
        <v>0</v>
      </c>
      <c r="BV96" s="98">
        <f t="shared" si="166"/>
        <v>0</v>
      </c>
      <c r="BW96" s="92">
        <f t="shared" si="121"/>
        <v>0</v>
      </c>
      <c r="BX96" s="98">
        <f t="shared" si="147"/>
        <v>0</v>
      </c>
      <c r="BY96" s="61">
        <f t="shared" si="171"/>
        <v>0</v>
      </c>
      <c r="BZ96" s="62">
        <f t="shared" si="148"/>
        <v>0</v>
      </c>
      <c r="CA96" s="98">
        <f t="shared" si="149"/>
        <v>0</v>
      </c>
      <c r="CB96" s="92">
        <f t="shared" si="122"/>
        <v>0</v>
      </c>
      <c r="CC96" s="92">
        <f t="shared" si="122"/>
        <v>0</v>
      </c>
      <c r="CD96" s="92">
        <f t="shared" si="122"/>
        <v>0</v>
      </c>
      <c r="CE96" s="99"/>
      <c r="CF96" s="99"/>
      <c r="CG96" s="51">
        <f t="shared" si="150"/>
        <v>0</v>
      </c>
      <c r="CH96" s="62">
        <f t="shared" si="151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99"/>
        <v>0</v>
      </c>
      <c r="CR96" s="102">
        <f t="shared" si="99"/>
        <v>0</v>
      </c>
      <c r="CS96" s="102">
        <f t="shared" si="99"/>
        <v>0</v>
      </c>
      <c r="CT96" s="92">
        <f t="shared" si="152"/>
        <v>0</v>
      </c>
      <c r="CU96" s="92">
        <f t="shared" si="100"/>
        <v>0</v>
      </c>
      <c r="CV96" s="103">
        <f t="shared" si="100"/>
        <v>0</v>
      </c>
      <c r="CW96" s="104"/>
      <c r="CX96" s="105">
        <v>56</v>
      </c>
      <c r="CY96" s="106">
        <f t="shared" si="153"/>
        <v>744</v>
      </c>
      <c r="CZ96" s="106">
        <f t="shared" si="154"/>
        <v>453.6</v>
      </c>
      <c r="DA96" s="106"/>
      <c r="DB96" s="106"/>
      <c r="DC96" s="105"/>
      <c r="DD96" s="107"/>
      <c r="DE96" s="92">
        <f t="shared" si="123"/>
        <v>0</v>
      </c>
      <c r="DF96" s="108">
        <f t="shared" si="124"/>
        <v>0</v>
      </c>
      <c r="DG96" s="115">
        <f t="shared" si="125"/>
        <v>0</v>
      </c>
      <c r="DH96" s="110">
        <f t="shared" si="126"/>
        <v>0</v>
      </c>
      <c r="DI96" s="108">
        <f t="shared" si="127"/>
        <v>0</v>
      </c>
      <c r="DJ96" s="112">
        <f t="shared" si="128"/>
        <v>0</v>
      </c>
      <c r="DK96" s="110">
        <f t="shared" si="179"/>
        <v>0</v>
      </c>
      <c r="DL96" s="108">
        <f t="shared" si="179"/>
        <v>0</v>
      </c>
      <c r="DM96" s="111">
        <f t="shared" si="179"/>
        <v>0</v>
      </c>
      <c r="DN96" s="76">
        <f t="shared" si="180"/>
        <v>0</v>
      </c>
      <c r="DO96" s="76">
        <f t="shared" si="180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5"/>
        <v>0</v>
      </c>
      <c r="DX96" s="81">
        <f t="shared" si="129"/>
        <v>0</v>
      </c>
      <c r="DY96" s="80">
        <f t="shared" si="156"/>
        <v>0</v>
      </c>
      <c r="DZ96" s="82">
        <f t="shared" si="157"/>
        <v>0</v>
      </c>
      <c r="EA96" s="82">
        <f t="shared" si="158"/>
        <v>0</v>
      </c>
      <c r="EB96" s="82">
        <f t="shared" si="159"/>
        <v>0</v>
      </c>
      <c r="EC96" s="82">
        <f>(BX96-CA96)+((AV96+BP96)/1000)</f>
        <v>0</v>
      </c>
      <c r="EF96" s="83">
        <f t="shared" si="181"/>
        <v>0</v>
      </c>
    </row>
    <row r="97" spans="1:136" ht="15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0"/>
        <v>MESUS304-10x3-H7C14</v>
      </c>
      <c r="H97" s="46" t="str">
        <f t="shared" si="131"/>
        <v>SUS304ME100DH7</v>
      </c>
      <c r="I97" s="46" t="str">
        <f t="shared" si="132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3"/>
        <v>24</v>
      </c>
      <c r="T97" s="51">
        <f>'31.01'!BG97</f>
        <v>0</v>
      </c>
      <c r="U97" s="92"/>
      <c r="V97" s="100">
        <v>54.7</v>
      </c>
      <c r="W97" s="93">
        <f t="shared" si="112"/>
        <v>0</v>
      </c>
      <c r="X97" s="93">
        <f t="shared" si="113"/>
        <v>0</v>
      </c>
      <c r="Y97" s="93">
        <f t="shared" si="114"/>
        <v>0</v>
      </c>
      <c r="Z97" s="93">
        <f t="shared" si="115"/>
        <v>0</v>
      </c>
      <c r="AA97" s="93">
        <f t="shared" si="116"/>
        <v>0</v>
      </c>
      <c r="AB97" s="93">
        <f t="shared" si="117"/>
        <v>0</v>
      </c>
      <c r="AC97" s="93">
        <f t="shared" si="118"/>
        <v>0</v>
      </c>
      <c r="AD97" s="93">
        <f t="shared" si="119"/>
        <v>0</v>
      </c>
      <c r="AE97" s="93">
        <f t="shared" si="134"/>
        <v>0</v>
      </c>
      <c r="AF97" s="54">
        <f>AE97+'31.01'!AF97</f>
        <v>0</v>
      </c>
      <c r="AG97" s="94">
        <f t="shared" si="160"/>
        <v>0</v>
      </c>
      <c r="AH97" s="56">
        <f t="shared" si="135"/>
        <v>0</v>
      </c>
      <c r="AI97" s="93"/>
      <c r="AJ97" s="93">
        <f t="shared" si="161"/>
        <v>0</v>
      </c>
      <c r="AK97" s="95">
        <f t="shared" si="136"/>
        <v>1</v>
      </c>
      <c r="AL97" s="58">
        <f t="shared" si="172"/>
        <v>0</v>
      </c>
      <c r="AM97" s="55">
        <f t="shared" si="162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37"/>
        <v>0</v>
      </c>
      <c r="AV97" s="96">
        <f t="shared" si="137"/>
        <v>0</v>
      </c>
      <c r="AW97" s="96">
        <f t="shared" si="138"/>
        <v>0</v>
      </c>
      <c r="AX97" s="96">
        <f t="shared" si="139"/>
        <v>0</v>
      </c>
      <c r="AY97" s="94">
        <f t="shared" si="163"/>
        <v>0</v>
      </c>
      <c r="AZ97" s="94">
        <f t="shared" si="140"/>
        <v>0</v>
      </c>
      <c r="BA97" s="94">
        <f t="shared" si="169"/>
        <v>0</v>
      </c>
      <c r="BB97" s="97">
        <f t="shared" si="170"/>
        <v>0</v>
      </c>
      <c r="BC97" s="93"/>
      <c r="BD97" s="93">
        <f t="shared" si="141"/>
        <v>0</v>
      </c>
      <c r="BE97" s="95">
        <f t="shared" si="142"/>
        <v>1</v>
      </c>
      <c r="BF97" s="58">
        <f t="shared" si="173"/>
        <v>0</v>
      </c>
      <c r="BG97" s="94">
        <f t="shared" si="143"/>
        <v>0</v>
      </c>
      <c r="BH97" s="89"/>
      <c r="BI97" s="92">
        <f t="shared" si="182"/>
        <v>0</v>
      </c>
      <c r="BJ97" s="89"/>
      <c r="BK97" s="89"/>
      <c r="BL97" s="89"/>
      <c r="BM97" s="89"/>
      <c r="BN97" s="89"/>
      <c r="BO97" s="92">
        <f t="shared" si="164"/>
        <v>0</v>
      </c>
      <c r="BP97" s="92">
        <f t="shared" si="164"/>
        <v>0</v>
      </c>
      <c r="BQ97" s="96">
        <f t="shared" si="144"/>
        <v>0</v>
      </c>
      <c r="BR97" s="96">
        <f t="shared" si="145"/>
        <v>0</v>
      </c>
      <c r="BS97" s="96">
        <f t="shared" si="165"/>
        <v>0</v>
      </c>
      <c r="BT97" s="96">
        <f t="shared" si="146"/>
        <v>0</v>
      </c>
      <c r="BU97" s="92">
        <f t="shared" si="120"/>
        <v>0</v>
      </c>
      <c r="BV97" s="98">
        <f t="shared" si="166"/>
        <v>0</v>
      </c>
      <c r="BW97" s="92">
        <f t="shared" si="121"/>
        <v>0</v>
      </c>
      <c r="BX97" s="98">
        <f t="shared" si="147"/>
        <v>0</v>
      </c>
      <c r="BY97" s="61">
        <f t="shared" si="171"/>
        <v>0</v>
      </c>
      <c r="BZ97" s="62">
        <f t="shared" si="148"/>
        <v>0</v>
      </c>
      <c r="CA97" s="98">
        <f t="shared" si="149"/>
        <v>0</v>
      </c>
      <c r="CB97" s="92">
        <f t="shared" si="122"/>
        <v>0</v>
      </c>
      <c r="CC97" s="92">
        <f t="shared" si="122"/>
        <v>0</v>
      </c>
      <c r="CD97" s="92">
        <f t="shared" si="122"/>
        <v>0</v>
      </c>
      <c r="CE97" s="99"/>
      <c r="CF97" s="99"/>
      <c r="CG97" s="51">
        <f t="shared" si="150"/>
        <v>0</v>
      </c>
      <c r="CH97" s="62">
        <f t="shared" si="151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99"/>
        <v>0</v>
      </c>
      <c r="CR97" s="102">
        <f t="shared" si="99"/>
        <v>0</v>
      </c>
      <c r="CS97" s="102">
        <f t="shared" si="99"/>
        <v>0</v>
      </c>
      <c r="CT97" s="92">
        <f t="shared" si="152"/>
        <v>0</v>
      </c>
      <c r="CU97" s="92">
        <f t="shared" si="100"/>
        <v>0</v>
      </c>
      <c r="CV97" s="103">
        <f t="shared" si="100"/>
        <v>0</v>
      </c>
      <c r="CW97" s="104"/>
      <c r="CX97" s="105">
        <v>120</v>
      </c>
      <c r="CY97" s="106">
        <f t="shared" si="153"/>
        <v>325</v>
      </c>
      <c r="CZ97" s="106">
        <f t="shared" si="154"/>
        <v>972.00000000000011</v>
      </c>
      <c r="DA97" s="106"/>
      <c r="DB97" s="106"/>
      <c r="DC97" s="105"/>
      <c r="DD97" s="107"/>
      <c r="DE97" s="92">
        <f t="shared" si="123"/>
        <v>0</v>
      </c>
      <c r="DF97" s="108">
        <f t="shared" si="124"/>
        <v>0</v>
      </c>
      <c r="DG97" s="115">
        <f t="shared" si="125"/>
        <v>0</v>
      </c>
      <c r="DH97" s="110">
        <f t="shared" si="126"/>
        <v>0</v>
      </c>
      <c r="DI97" s="108">
        <f t="shared" si="127"/>
        <v>0</v>
      </c>
      <c r="DJ97" s="112">
        <f t="shared" si="128"/>
        <v>0</v>
      </c>
      <c r="DK97" s="110">
        <f t="shared" si="179"/>
        <v>0</v>
      </c>
      <c r="DL97" s="108">
        <f t="shared" si="179"/>
        <v>0</v>
      </c>
      <c r="DM97" s="111">
        <f t="shared" si="179"/>
        <v>0</v>
      </c>
      <c r="DN97" s="76">
        <f t="shared" si="180"/>
        <v>0</v>
      </c>
      <c r="DO97" s="76">
        <f t="shared" si="180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5"/>
        <v>0</v>
      </c>
      <c r="DX97" s="81">
        <f t="shared" si="129"/>
        <v>0</v>
      </c>
      <c r="DY97" s="80">
        <f t="shared" si="156"/>
        <v>0</v>
      </c>
      <c r="DZ97" s="82">
        <f t="shared" si="157"/>
        <v>0</v>
      </c>
      <c r="EA97" s="82">
        <f t="shared" si="158"/>
        <v>0</v>
      </c>
      <c r="EB97" s="82">
        <f t="shared" si="159"/>
        <v>0</v>
      </c>
      <c r="EC97" s="82">
        <f t="shared" si="176"/>
        <v>0</v>
      </c>
      <c r="EF97" s="83">
        <f t="shared" si="181"/>
        <v>0</v>
      </c>
    </row>
    <row r="98" spans="1:136" ht="15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0"/>
        <v>ORC17300-3.5x3-H9A14</v>
      </c>
      <c r="H98" s="46" t="str">
        <f t="shared" si="131"/>
        <v>C17300OR3.50DH9</v>
      </c>
      <c r="I98" s="46" t="str">
        <f t="shared" si="132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3"/>
        <v>4</v>
      </c>
      <c r="T98" s="51">
        <f>'31.01'!BG98</f>
        <v>0</v>
      </c>
      <c r="U98" s="92"/>
      <c r="V98" s="100">
        <v>0.06</v>
      </c>
      <c r="W98" s="93">
        <f t="shared" si="112"/>
        <v>0</v>
      </c>
      <c r="X98" s="93">
        <f t="shared" si="113"/>
        <v>0</v>
      </c>
      <c r="Y98" s="93">
        <f t="shared" si="114"/>
        <v>0</v>
      </c>
      <c r="Z98" s="93">
        <f t="shared" si="115"/>
        <v>0</v>
      </c>
      <c r="AA98" s="93">
        <f t="shared" si="116"/>
        <v>0</v>
      </c>
      <c r="AB98" s="93">
        <f t="shared" si="117"/>
        <v>0</v>
      </c>
      <c r="AC98" s="93">
        <f t="shared" si="118"/>
        <v>0</v>
      </c>
      <c r="AD98" s="93">
        <f t="shared" si="119"/>
        <v>0</v>
      </c>
      <c r="AE98" s="93">
        <f t="shared" si="134"/>
        <v>0</v>
      </c>
      <c r="AF98" s="54">
        <f>AE98+'31.01'!AF98</f>
        <v>0</v>
      </c>
      <c r="AG98" s="94">
        <f t="shared" si="160"/>
        <v>0</v>
      </c>
      <c r="AH98" s="56">
        <f t="shared" si="135"/>
        <v>0</v>
      </c>
      <c r="AI98" s="93"/>
      <c r="AJ98" s="93">
        <f t="shared" si="161"/>
        <v>0</v>
      </c>
      <c r="AK98" s="95">
        <f t="shared" si="136"/>
        <v>1</v>
      </c>
      <c r="AL98" s="58">
        <f t="shared" si="172"/>
        <v>0</v>
      </c>
      <c r="AM98" s="55">
        <f t="shared" si="162"/>
        <v>0</v>
      </c>
      <c r="AN98" s="93"/>
      <c r="AO98" s="96"/>
      <c r="AP98" s="96"/>
      <c r="AQ98" s="96"/>
      <c r="AR98" s="96"/>
      <c r="AS98" s="96"/>
      <c r="AT98" s="96">
        <f t="shared" ref="AT98:AT100" si="185">$CJ98</f>
        <v>0</v>
      </c>
      <c r="AU98" s="96">
        <f t="shared" si="137"/>
        <v>0</v>
      </c>
      <c r="AV98" s="96">
        <f t="shared" si="137"/>
        <v>0</v>
      </c>
      <c r="AW98" s="96">
        <f t="shared" si="138"/>
        <v>0</v>
      </c>
      <c r="AX98" s="96">
        <f t="shared" si="139"/>
        <v>0</v>
      </c>
      <c r="AY98" s="94">
        <f t="shared" si="163"/>
        <v>0</v>
      </c>
      <c r="AZ98" s="94">
        <f t="shared" si="140"/>
        <v>0</v>
      </c>
      <c r="BA98" s="94">
        <f t="shared" si="169"/>
        <v>0</v>
      </c>
      <c r="BB98" s="97">
        <f t="shared" si="170"/>
        <v>0</v>
      </c>
      <c r="BC98" s="93"/>
      <c r="BD98" s="93">
        <f t="shared" si="141"/>
        <v>0</v>
      </c>
      <c r="BE98" s="95">
        <f t="shared" si="142"/>
        <v>1</v>
      </c>
      <c r="BF98" s="58">
        <f t="shared" si="173"/>
        <v>0</v>
      </c>
      <c r="BG98" s="94">
        <f t="shared" si="143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4"/>
        <v>0</v>
      </c>
      <c r="BP98" s="92">
        <f t="shared" si="164"/>
        <v>0</v>
      </c>
      <c r="BQ98" s="96">
        <f t="shared" si="144"/>
        <v>0</v>
      </c>
      <c r="BR98" s="96">
        <f t="shared" si="145"/>
        <v>0</v>
      </c>
      <c r="BS98" s="96">
        <f t="shared" si="165"/>
        <v>0</v>
      </c>
      <c r="BT98" s="96">
        <f t="shared" si="146"/>
        <v>0</v>
      </c>
      <c r="BU98" s="92">
        <f t="shared" si="120"/>
        <v>0</v>
      </c>
      <c r="BV98" s="98">
        <f t="shared" si="166"/>
        <v>0</v>
      </c>
      <c r="BW98" s="92">
        <f t="shared" si="121"/>
        <v>0</v>
      </c>
      <c r="BX98" s="98">
        <f t="shared" si="147"/>
        <v>0</v>
      </c>
      <c r="BY98" s="61">
        <f>IFERROR(BF98+AL98,0)</f>
        <v>0</v>
      </c>
      <c r="BZ98" s="62">
        <f t="shared" si="148"/>
        <v>0</v>
      </c>
      <c r="CA98" s="98">
        <f t="shared" si="149"/>
        <v>0</v>
      </c>
      <c r="CB98" s="92">
        <f t="shared" si="122"/>
        <v>0</v>
      </c>
      <c r="CC98" s="92">
        <f t="shared" si="122"/>
        <v>0</v>
      </c>
      <c r="CD98" s="92">
        <f t="shared" si="122"/>
        <v>0</v>
      </c>
      <c r="CE98" s="99"/>
      <c r="CF98" s="99"/>
      <c r="CG98" s="51">
        <f t="shared" si="150"/>
        <v>0</v>
      </c>
      <c r="CH98" s="62">
        <f t="shared" si="151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99"/>
        <v>0</v>
      </c>
      <c r="CR98" s="102">
        <f t="shared" si="99"/>
        <v>0</v>
      </c>
      <c r="CS98" s="102">
        <f t="shared" si="99"/>
        <v>0</v>
      </c>
      <c r="CT98" s="92">
        <f t="shared" si="152"/>
        <v>0</v>
      </c>
      <c r="CU98" s="92">
        <f t="shared" si="100"/>
        <v>0</v>
      </c>
      <c r="CV98" s="103">
        <f t="shared" si="100"/>
        <v>0</v>
      </c>
      <c r="CW98" s="104"/>
      <c r="CX98" s="105">
        <v>60</v>
      </c>
      <c r="CY98" s="106">
        <f t="shared" si="153"/>
        <v>710</v>
      </c>
      <c r="CZ98" s="106">
        <f t="shared" si="154"/>
        <v>486.00000000000006</v>
      </c>
      <c r="DA98" s="106"/>
      <c r="DB98" s="106"/>
      <c r="DC98" s="105"/>
      <c r="DD98" s="107"/>
      <c r="DE98" s="92">
        <f t="shared" si="123"/>
        <v>0</v>
      </c>
      <c r="DF98" s="108">
        <f t="shared" si="124"/>
        <v>0</v>
      </c>
      <c r="DG98" s="115">
        <f t="shared" si="125"/>
        <v>0</v>
      </c>
      <c r="DH98" s="110">
        <f t="shared" si="126"/>
        <v>0</v>
      </c>
      <c r="DI98" s="108">
        <f t="shared" si="127"/>
        <v>0</v>
      </c>
      <c r="DJ98" s="112">
        <f t="shared" si="128"/>
        <v>0</v>
      </c>
      <c r="DK98" s="110">
        <f t="shared" si="179"/>
        <v>0</v>
      </c>
      <c r="DL98" s="108">
        <f t="shared" si="179"/>
        <v>0</v>
      </c>
      <c r="DM98" s="111">
        <f t="shared" si="179"/>
        <v>0</v>
      </c>
      <c r="DN98" s="76">
        <f t="shared" si="180"/>
        <v>0</v>
      </c>
      <c r="DO98" s="76">
        <f t="shared" si="180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29"/>
        <v>0</v>
      </c>
      <c r="DY98" s="80">
        <f t="shared" si="156"/>
        <v>0</v>
      </c>
      <c r="DZ98" s="82">
        <f t="shared" si="157"/>
        <v>0</v>
      </c>
      <c r="EA98" s="82">
        <f t="shared" si="158"/>
        <v>0</v>
      </c>
      <c r="EB98" s="82">
        <f t="shared" si="159"/>
        <v>0</v>
      </c>
      <c r="EC98" s="82">
        <f t="shared" si="176"/>
        <v>0</v>
      </c>
      <c r="EF98" s="83">
        <f t="shared" si="181"/>
        <v>0</v>
      </c>
    </row>
    <row r="99" spans="1:136" ht="14.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0"/>
        <v>TVSUS303-6x2.5-H9A14</v>
      </c>
      <c r="H99" s="46" t="str">
        <f t="shared" si="131"/>
        <v>SUS303TV60DH9</v>
      </c>
      <c r="I99" s="46" t="str">
        <f t="shared" si="132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3"/>
        <v>12</v>
      </c>
      <c r="T99" s="51">
        <f>'31.01'!BG99</f>
        <v>0</v>
      </c>
      <c r="U99" s="92"/>
      <c r="V99" s="100">
        <v>3.0150000000000001</v>
      </c>
      <c r="W99" s="93">
        <f t="shared" si="112"/>
        <v>0</v>
      </c>
      <c r="X99" s="93">
        <f t="shared" si="113"/>
        <v>0</v>
      </c>
      <c r="Y99" s="93">
        <f t="shared" si="114"/>
        <v>0</v>
      </c>
      <c r="Z99" s="93">
        <f t="shared" si="115"/>
        <v>0</v>
      </c>
      <c r="AA99" s="93">
        <f t="shared" si="116"/>
        <v>0</v>
      </c>
      <c r="AB99" s="93">
        <f t="shared" si="117"/>
        <v>0</v>
      </c>
      <c r="AC99" s="93">
        <f t="shared" si="118"/>
        <v>0</v>
      </c>
      <c r="AD99" s="93">
        <f t="shared" si="119"/>
        <v>0</v>
      </c>
      <c r="AE99" s="93">
        <f t="shared" si="134"/>
        <v>0</v>
      </c>
      <c r="AF99" s="54">
        <f>AE99+'31.01'!AF99</f>
        <v>0</v>
      </c>
      <c r="AG99" s="94">
        <f t="shared" si="160"/>
        <v>0</v>
      </c>
      <c r="AH99" s="56">
        <f t="shared" si="135"/>
        <v>0</v>
      </c>
      <c r="AI99" s="93"/>
      <c r="AJ99" s="93">
        <f t="shared" si="161"/>
        <v>0</v>
      </c>
      <c r="AK99" s="95">
        <f t="shared" si="136"/>
        <v>1</v>
      </c>
      <c r="AL99" s="58">
        <f t="shared" si="172"/>
        <v>0</v>
      </c>
      <c r="AM99" s="55">
        <f t="shared" si="162"/>
        <v>0</v>
      </c>
      <c r="AN99" s="93"/>
      <c r="AO99" s="96"/>
      <c r="AP99" s="96"/>
      <c r="AQ99" s="96"/>
      <c r="AR99" s="96"/>
      <c r="AS99" s="96"/>
      <c r="AT99" s="96">
        <f t="shared" si="185"/>
        <v>0</v>
      </c>
      <c r="AU99" s="96">
        <f t="shared" si="137"/>
        <v>0</v>
      </c>
      <c r="AV99" s="96">
        <f t="shared" si="137"/>
        <v>0</v>
      </c>
      <c r="AW99" s="96">
        <f t="shared" si="138"/>
        <v>0</v>
      </c>
      <c r="AX99" s="96">
        <f t="shared" si="139"/>
        <v>0</v>
      </c>
      <c r="AY99" s="94">
        <f t="shared" si="163"/>
        <v>0</v>
      </c>
      <c r="AZ99" s="94">
        <f t="shared" si="140"/>
        <v>0</v>
      </c>
      <c r="BA99" s="94">
        <f t="shared" si="169"/>
        <v>0</v>
      </c>
      <c r="BB99" s="97">
        <f t="shared" si="170"/>
        <v>0</v>
      </c>
      <c r="BC99" s="93"/>
      <c r="BD99" s="93">
        <f t="shared" si="141"/>
        <v>0</v>
      </c>
      <c r="BE99" s="95">
        <f t="shared" si="142"/>
        <v>1</v>
      </c>
      <c r="BF99" s="58">
        <f t="shared" si="173"/>
        <v>0</v>
      </c>
      <c r="BG99" s="94">
        <f t="shared" si="143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4"/>
        <v>0</v>
      </c>
      <c r="BP99" s="92">
        <f t="shared" si="164"/>
        <v>0</v>
      </c>
      <c r="BQ99" s="96">
        <f t="shared" si="144"/>
        <v>0</v>
      </c>
      <c r="BR99" s="96">
        <f t="shared" si="145"/>
        <v>0</v>
      </c>
      <c r="BS99" s="96">
        <f t="shared" si="165"/>
        <v>0</v>
      </c>
      <c r="BT99" s="96">
        <f t="shared" si="146"/>
        <v>0</v>
      </c>
      <c r="BU99" s="92">
        <f t="shared" si="120"/>
        <v>0</v>
      </c>
      <c r="BV99" s="98">
        <f t="shared" si="166"/>
        <v>0</v>
      </c>
      <c r="BW99" s="92">
        <f t="shared" si="121"/>
        <v>0</v>
      </c>
      <c r="BX99" s="98">
        <f t="shared" si="147"/>
        <v>0</v>
      </c>
      <c r="BY99" s="61">
        <f t="shared" si="171"/>
        <v>0</v>
      </c>
      <c r="BZ99" s="62">
        <f t="shared" si="148"/>
        <v>0</v>
      </c>
      <c r="CA99" s="98">
        <f t="shared" si="149"/>
        <v>0</v>
      </c>
      <c r="CB99" s="92">
        <f t="shared" si="122"/>
        <v>0</v>
      </c>
      <c r="CC99" s="92">
        <f t="shared" si="122"/>
        <v>0</v>
      </c>
      <c r="CD99" s="92">
        <f t="shared" si="122"/>
        <v>0</v>
      </c>
      <c r="CE99" s="99"/>
      <c r="CF99" s="99"/>
      <c r="CG99" s="51">
        <f t="shared" si="150"/>
        <v>0</v>
      </c>
      <c r="CH99" s="62">
        <f t="shared" si="151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86">INT(IFERROR( CJ99/$V99,0))</f>
        <v>0</v>
      </c>
      <c r="CR99" s="102">
        <f t="shared" si="186"/>
        <v>0</v>
      </c>
      <c r="CS99" s="102">
        <f t="shared" si="186"/>
        <v>0</v>
      </c>
      <c r="CT99" s="92">
        <f t="shared" si="152"/>
        <v>0</v>
      </c>
      <c r="CU99" s="92">
        <f t="shared" si="100"/>
        <v>0</v>
      </c>
      <c r="CV99" s="103">
        <f t="shared" si="100"/>
        <v>0</v>
      </c>
      <c r="CW99" s="104"/>
      <c r="CX99" s="105">
        <v>123</v>
      </c>
      <c r="CY99" s="106">
        <f t="shared" si="153"/>
        <v>336</v>
      </c>
      <c r="CZ99" s="106">
        <f t="shared" si="154"/>
        <v>996.30000000000007</v>
      </c>
      <c r="DA99" s="106"/>
      <c r="DB99" s="106"/>
      <c r="DC99" s="105"/>
      <c r="DD99" s="107"/>
      <c r="DE99" s="92">
        <f t="shared" si="123"/>
        <v>0</v>
      </c>
      <c r="DF99" s="108">
        <f t="shared" si="124"/>
        <v>0</v>
      </c>
      <c r="DG99" s="115">
        <f t="shared" si="125"/>
        <v>0</v>
      </c>
      <c r="DH99" s="110">
        <f t="shared" si="126"/>
        <v>0</v>
      </c>
      <c r="DI99" s="108">
        <f t="shared" si="127"/>
        <v>0</v>
      </c>
      <c r="DJ99" s="112">
        <f t="shared" si="128"/>
        <v>0</v>
      </c>
      <c r="DK99" s="110">
        <f t="shared" si="179"/>
        <v>0</v>
      </c>
      <c r="DL99" s="108">
        <f t="shared" si="179"/>
        <v>0</v>
      </c>
      <c r="DM99" s="111">
        <f t="shared" si="179"/>
        <v>0</v>
      </c>
      <c r="DN99" s="76">
        <f t="shared" si="180"/>
        <v>0</v>
      </c>
      <c r="DO99" s="76">
        <f t="shared" si="180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5"/>
        <v>0</v>
      </c>
      <c r="DX99" s="81">
        <f t="shared" si="129"/>
        <v>0</v>
      </c>
      <c r="DY99" s="80">
        <f t="shared" si="156"/>
        <v>0</v>
      </c>
      <c r="DZ99" s="82">
        <f t="shared" si="157"/>
        <v>0</v>
      </c>
      <c r="EA99" s="82">
        <f t="shared" si="158"/>
        <v>0</v>
      </c>
      <c r="EB99" s="82">
        <f t="shared" si="159"/>
        <v>0</v>
      </c>
      <c r="EC99" s="82">
        <f t="shared" si="176"/>
        <v>0</v>
      </c>
      <c r="EF99" s="83">
        <f t="shared" si="181"/>
        <v>0</v>
      </c>
    </row>
    <row r="100" spans="1:136" ht="14.1" customHeight="1">
      <c r="A100" s="84">
        <v>93</v>
      </c>
      <c r="B100" s="85" t="s">
        <v>391</v>
      </c>
      <c r="C100" s="86"/>
      <c r="D100" s="236" t="s">
        <v>478</v>
      </c>
      <c r="E100" s="88">
        <v>388</v>
      </c>
      <c r="F100" s="89" t="s">
        <v>128</v>
      </c>
      <c r="G100" s="45" t="str">
        <f t="shared" si="130"/>
        <v>WTA6061-T6-T17x7x3-H9B13</v>
      </c>
      <c r="H100" s="46" t="str">
        <f t="shared" si="131"/>
        <v>A6061-T6WT177TH9</v>
      </c>
      <c r="I100" s="46" t="str">
        <f t="shared" si="132"/>
        <v>A6061-T6WT177TH93B13</v>
      </c>
      <c r="J100" s="90" t="s">
        <v>374</v>
      </c>
      <c r="K100" s="90" t="s">
        <v>393</v>
      </c>
      <c r="L100" s="90">
        <v>17</v>
      </c>
      <c r="M100" s="90">
        <v>7</v>
      </c>
      <c r="N100" s="90" t="s">
        <v>157</v>
      </c>
      <c r="O100" s="90" t="s">
        <v>131</v>
      </c>
      <c r="P100" s="90">
        <v>3</v>
      </c>
      <c r="Q100" s="91">
        <v>1.522</v>
      </c>
      <c r="R100" s="49" t="s">
        <v>228</v>
      </c>
      <c r="S100" s="89">
        <f t="shared" si="133"/>
        <v>4</v>
      </c>
      <c r="T100" s="51">
        <f>'31.01'!BG100</f>
        <v>3</v>
      </c>
      <c r="U100" s="92"/>
      <c r="V100" s="100">
        <v>0.71699999999999997</v>
      </c>
      <c r="W100" s="93">
        <f t="shared" si="112"/>
        <v>0</v>
      </c>
      <c r="X100" s="93">
        <f t="shared" si="113"/>
        <v>0</v>
      </c>
      <c r="Y100" s="93">
        <f t="shared" si="114"/>
        <v>0</v>
      </c>
      <c r="Z100" s="93">
        <f t="shared" si="115"/>
        <v>0</v>
      </c>
      <c r="AA100" s="93">
        <f t="shared" si="116"/>
        <v>0</v>
      </c>
      <c r="AB100" s="93">
        <f t="shared" si="117"/>
        <v>286</v>
      </c>
      <c r="AC100" s="93">
        <f t="shared" si="118"/>
        <v>0</v>
      </c>
      <c r="AD100" s="93">
        <f t="shared" si="119"/>
        <v>62</v>
      </c>
      <c r="AE100" s="93">
        <f t="shared" si="134"/>
        <v>286</v>
      </c>
      <c r="AF100" s="54">
        <f>AE100+'31.01'!AF100</f>
        <v>286</v>
      </c>
      <c r="AG100" s="94">
        <f t="shared" si="160"/>
        <v>3</v>
      </c>
      <c r="AH100" s="56">
        <f t="shared" si="135"/>
        <v>0</v>
      </c>
      <c r="AI100" s="93">
        <v>1</v>
      </c>
      <c r="AJ100" s="93">
        <f t="shared" si="161"/>
        <v>0</v>
      </c>
      <c r="AK100" s="95">
        <f t="shared" si="136"/>
        <v>1</v>
      </c>
      <c r="AL100" s="58">
        <f t="shared" si="172"/>
        <v>1</v>
      </c>
      <c r="AM100" s="55">
        <f t="shared" si="162"/>
        <v>2</v>
      </c>
      <c r="AN100" s="93"/>
      <c r="AO100" s="96"/>
      <c r="AP100" s="96"/>
      <c r="AQ100" s="96"/>
      <c r="AR100" s="96"/>
      <c r="AS100" s="96"/>
      <c r="AT100" s="96">
        <f t="shared" si="185"/>
        <v>135.51300000000001</v>
      </c>
      <c r="AU100" s="96">
        <f t="shared" si="137"/>
        <v>0</v>
      </c>
      <c r="AV100" s="96">
        <f t="shared" si="137"/>
        <v>45</v>
      </c>
      <c r="AW100" s="96">
        <f t="shared" si="138"/>
        <v>180.51300000000001</v>
      </c>
      <c r="AX100" s="96">
        <f t="shared" si="139"/>
        <v>251</v>
      </c>
      <c r="AY100" s="94">
        <f t="shared" si="163"/>
        <v>-97.682999999999964</v>
      </c>
      <c r="AZ100" s="94">
        <f t="shared" si="140"/>
        <v>-136.23849372384933</v>
      </c>
      <c r="BA100" s="94">
        <f t="shared" si="169"/>
        <v>2</v>
      </c>
      <c r="BB100" s="97">
        <f t="shared" si="170"/>
        <v>0</v>
      </c>
      <c r="BC100" s="93"/>
      <c r="BD100" s="93">
        <f t="shared" si="141"/>
        <v>69.548999999999992</v>
      </c>
      <c r="BE100" s="95">
        <f t="shared" si="142"/>
        <v>0.25</v>
      </c>
      <c r="BF100" s="58">
        <v>0.25</v>
      </c>
      <c r="BG100" s="94">
        <f t="shared" si="143"/>
        <v>1.75</v>
      </c>
      <c r="BH100" s="89"/>
      <c r="BI100" s="89"/>
      <c r="BJ100" s="89"/>
      <c r="BK100" s="89"/>
      <c r="BL100" s="89"/>
      <c r="BM100" s="89"/>
      <c r="BN100" s="92">
        <f>$CN100</f>
        <v>69.548999999999992</v>
      </c>
      <c r="BO100" s="92">
        <f t="shared" si="164"/>
        <v>0</v>
      </c>
      <c r="BP100" s="92">
        <f t="shared" si="164"/>
        <v>0</v>
      </c>
      <c r="BQ100" s="96">
        <f t="shared" si="144"/>
        <v>69.548999999999992</v>
      </c>
      <c r="BR100" s="96">
        <f t="shared" si="145"/>
        <v>97</v>
      </c>
      <c r="BS100" s="96">
        <f t="shared" si="165"/>
        <v>0</v>
      </c>
      <c r="BT100" s="96">
        <f t="shared" si="146"/>
        <v>0</v>
      </c>
      <c r="BU100" s="92">
        <f t="shared" si="120"/>
        <v>286</v>
      </c>
      <c r="BV100" s="98">
        <f t="shared" si="166"/>
        <v>1.25</v>
      </c>
      <c r="BW100" s="92">
        <f t="shared" si="121"/>
        <v>-136.23849372384933</v>
      </c>
      <c r="BX100" s="98">
        <f t="shared" si="147"/>
        <v>1.9025000000000001</v>
      </c>
      <c r="BY100" s="61">
        <f>IFERROR(BF100+AL100,0)</f>
        <v>1.25</v>
      </c>
      <c r="BZ100" s="62">
        <f t="shared" si="148"/>
        <v>1.25</v>
      </c>
      <c r="CA100" s="98">
        <f t="shared" si="149"/>
        <v>0.25006200000000001</v>
      </c>
      <c r="CB100" s="92">
        <f t="shared" si="122"/>
        <v>348</v>
      </c>
      <c r="CC100" s="92">
        <f t="shared" si="122"/>
        <v>-97.682999999999964</v>
      </c>
      <c r="CD100" s="92">
        <f t="shared" si="122"/>
        <v>-136.23849372384933</v>
      </c>
      <c r="CE100" s="99"/>
      <c r="CF100" s="99"/>
      <c r="CG100" s="51">
        <f t="shared" si="150"/>
        <v>1.697438</v>
      </c>
      <c r="CH100" s="62">
        <f t="shared" si="151"/>
        <v>1.697438</v>
      </c>
      <c r="CI100" s="89"/>
      <c r="CJ100" s="89">
        <f>189*0.717</f>
        <v>135.51300000000001</v>
      </c>
      <c r="CK100" s="89"/>
      <c r="CL100" s="96">
        <v>45</v>
      </c>
      <c r="CM100" s="89">
        <f>97*0.717</f>
        <v>69.548999999999992</v>
      </c>
      <c r="CN100" s="89">
        <f>97*0.717</f>
        <v>69.548999999999992</v>
      </c>
      <c r="CO100" s="92"/>
      <c r="CP100" s="101"/>
      <c r="CQ100" s="102">
        <f t="shared" si="186"/>
        <v>189</v>
      </c>
      <c r="CR100" s="102">
        <f t="shared" si="186"/>
        <v>0</v>
      </c>
      <c r="CS100" s="102">
        <f t="shared" si="186"/>
        <v>62</v>
      </c>
      <c r="CT100" s="92">
        <f t="shared" si="152"/>
        <v>97</v>
      </c>
      <c r="CU100" s="92">
        <f t="shared" si="100"/>
        <v>0</v>
      </c>
      <c r="CV100" s="103">
        <f t="shared" si="100"/>
        <v>0</v>
      </c>
      <c r="CW100" s="104"/>
      <c r="CX100" s="105">
        <v>60</v>
      </c>
      <c r="CY100" s="106">
        <f t="shared" si="153"/>
        <v>710</v>
      </c>
      <c r="CZ100" s="106">
        <f t="shared" si="154"/>
        <v>486.00000000000006</v>
      </c>
      <c r="DA100" s="106"/>
      <c r="DB100" s="106"/>
      <c r="DC100" s="105"/>
      <c r="DD100" s="107"/>
      <c r="DE100" s="92">
        <f t="shared" si="123"/>
        <v>189</v>
      </c>
      <c r="DF100" s="108">
        <f t="shared" si="124"/>
        <v>1</v>
      </c>
      <c r="DG100" s="115">
        <f t="shared" si="125"/>
        <v>-136.23849372384933</v>
      </c>
      <c r="DH100" s="110">
        <f t="shared" si="126"/>
        <v>97</v>
      </c>
      <c r="DI100" s="108">
        <f t="shared" si="127"/>
        <v>0.25</v>
      </c>
      <c r="DJ100" s="112">
        <f t="shared" si="128"/>
        <v>0</v>
      </c>
      <c r="DK100" s="110">
        <f t="shared" si="179"/>
        <v>286</v>
      </c>
      <c r="DL100" s="108">
        <f t="shared" si="179"/>
        <v>1.25</v>
      </c>
      <c r="DM100" s="111">
        <f t="shared" si="179"/>
        <v>-136.23849372384933</v>
      </c>
      <c r="DN100" s="76">
        <f t="shared" si="180"/>
        <v>3</v>
      </c>
      <c r="DO100" s="76">
        <f t="shared" si="180"/>
        <v>0</v>
      </c>
      <c r="DP100" s="112"/>
      <c r="DQ100" s="112"/>
      <c r="DR100" s="113" t="s">
        <v>475</v>
      </c>
      <c r="DS100" s="112"/>
      <c r="DT100" s="112"/>
      <c r="DU100" s="111"/>
      <c r="DV100" s="114"/>
      <c r="DW100" s="80">
        <f t="shared" si="155"/>
        <v>287.25</v>
      </c>
      <c r="DX100" s="81">
        <f t="shared" si="129"/>
        <v>151.01150627615067</v>
      </c>
      <c r="DY100" s="80">
        <f t="shared" si="156"/>
        <v>348</v>
      </c>
      <c r="DZ100" s="82">
        <f t="shared" si="157"/>
        <v>4.4454E-2</v>
      </c>
      <c r="EA100" s="82">
        <f t="shared" si="158"/>
        <v>0.20506199999999999</v>
      </c>
      <c r="EB100" s="82">
        <f t="shared" si="159"/>
        <v>1.697438</v>
      </c>
      <c r="EC100" s="82">
        <f t="shared" si="176"/>
        <v>1.741892</v>
      </c>
      <c r="EF100" s="83">
        <f t="shared" si="181"/>
        <v>-136.23849372384933</v>
      </c>
    </row>
    <row r="101" spans="1:136" ht="15" customHeight="1">
      <c r="A101" s="84">
        <v>94</v>
      </c>
      <c r="B101" s="85" t="s">
        <v>395</v>
      </c>
      <c r="C101" s="86"/>
      <c r="D101" s="119">
        <v>3228</v>
      </c>
      <c r="E101" s="88">
        <v>174</v>
      </c>
      <c r="F101" s="89" t="s">
        <v>136</v>
      </c>
      <c r="G101" s="45" t="str">
        <f t="shared" si="130"/>
        <v>GWA6063-T5-12x3-H9A14</v>
      </c>
      <c r="H101" s="46" t="str">
        <f t="shared" si="131"/>
        <v>A6063-T5GW120DH9</v>
      </c>
      <c r="I101" s="46" t="str">
        <f t="shared" si="132"/>
        <v>A6063-T5GW120DH93A14</v>
      </c>
      <c r="J101" s="90" t="s">
        <v>129</v>
      </c>
      <c r="K101" s="90" t="s">
        <v>130</v>
      </c>
      <c r="L101" s="90">
        <v>12</v>
      </c>
      <c r="M101" s="90">
        <v>0</v>
      </c>
      <c r="N101" s="90" t="s">
        <v>128</v>
      </c>
      <c r="O101" s="90" t="s">
        <v>131</v>
      </c>
      <c r="P101" s="90">
        <v>3</v>
      </c>
      <c r="Q101" s="91">
        <v>0.92200000000000004</v>
      </c>
      <c r="R101" s="90" t="s">
        <v>139</v>
      </c>
      <c r="S101" s="89">
        <f t="shared" si="133"/>
        <v>4</v>
      </c>
      <c r="T101" s="51">
        <f>'31.01'!BG101</f>
        <v>12</v>
      </c>
      <c r="U101" s="92"/>
      <c r="V101" s="100">
        <v>1.28</v>
      </c>
      <c r="W101" s="93">
        <f t="shared" si="112"/>
        <v>0</v>
      </c>
      <c r="X101" s="93">
        <f t="shared" si="113"/>
        <v>0</v>
      </c>
      <c r="Y101" s="93">
        <f t="shared" si="114"/>
        <v>0</v>
      </c>
      <c r="Z101" s="93">
        <f t="shared" si="115"/>
        <v>0</v>
      </c>
      <c r="AA101" s="93">
        <f t="shared" si="116"/>
        <v>0</v>
      </c>
      <c r="AB101" s="93">
        <f t="shared" si="117"/>
        <v>0</v>
      </c>
      <c r="AC101" s="93">
        <f t="shared" si="118"/>
        <v>0</v>
      </c>
      <c r="AD101" s="93">
        <f t="shared" si="119"/>
        <v>0</v>
      </c>
      <c r="AE101" s="93">
        <f t="shared" si="134"/>
        <v>0</v>
      </c>
      <c r="AF101" s="54">
        <f>AE101+'31.01'!AF101</f>
        <v>0</v>
      </c>
      <c r="AG101" s="94">
        <f t="shared" si="160"/>
        <v>12</v>
      </c>
      <c r="AH101" s="56">
        <f t="shared" si="135"/>
        <v>0</v>
      </c>
      <c r="AI101" s="93"/>
      <c r="AJ101" s="93">
        <f t="shared" si="161"/>
        <v>0</v>
      </c>
      <c r="AK101" s="95">
        <f t="shared" si="136"/>
        <v>1</v>
      </c>
      <c r="AL101" s="58">
        <f t="shared" si="172"/>
        <v>0</v>
      </c>
      <c r="AM101" s="55">
        <f t="shared" si="162"/>
        <v>12</v>
      </c>
      <c r="AN101" s="93"/>
      <c r="AO101" s="96"/>
      <c r="AP101" s="96"/>
      <c r="AQ101" s="96"/>
      <c r="AR101" s="96"/>
      <c r="AS101" s="96"/>
      <c r="AT101" s="96">
        <f>$CJ101</f>
        <v>0</v>
      </c>
      <c r="AU101" s="96">
        <f t="shared" si="137"/>
        <v>0</v>
      </c>
      <c r="AV101" s="96">
        <f t="shared" si="137"/>
        <v>0</v>
      </c>
      <c r="AW101" s="96">
        <f t="shared" si="138"/>
        <v>0</v>
      </c>
      <c r="AX101" s="96">
        <f t="shared" si="139"/>
        <v>0</v>
      </c>
      <c r="AY101" s="94">
        <f t="shared" si="163"/>
        <v>0</v>
      </c>
      <c r="AZ101" s="94">
        <f t="shared" si="140"/>
        <v>0</v>
      </c>
      <c r="BA101" s="94">
        <f t="shared" si="169"/>
        <v>12</v>
      </c>
      <c r="BB101" s="97">
        <f t="shared" si="170"/>
        <v>0</v>
      </c>
      <c r="BC101" s="93"/>
      <c r="BD101" s="93">
        <f t="shared" si="141"/>
        <v>0</v>
      </c>
      <c r="BE101" s="95">
        <f t="shared" si="142"/>
        <v>1</v>
      </c>
      <c r="BF101" s="58">
        <f t="shared" si="173"/>
        <v>0</v>
      </c>
      <c r="BG101" s="94">
        <f t="shared" si="143"/>
        <v>12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4"/>
        <v>0</v>
      </c>
      <c r="BP101" s="92">
        <f t="shared" si="164"/>
        <v>0</v>
      </c>
      <c r="BQ101" s="96">
        <f t="shared" si="144"/>
        <v>0</v>
      </c>
      <c r="BR101" s="96">
        <f t="shared" si="145"/>
        <v>0</v>
      </c>
      <c r="BS101" s="96">
        <f t="shared" si="165"/>
        <v>0</v>
      </c>
      <c r="BT101" s="96">
        <f t="shared" si="146"/>
        <v>0</v>
      </c>
      <c r="BU101" s="92">
        <f t="shared" si="120"/>
        <v>0</v>
      </c>
      <c r="BV101" s="98">
        <f t="shared" si="166"/>
        <v>0</v>
      </c>
      <c r="BW101" s="92">
        <f t="shared" si="121"/>
        <v>0</v>
      </c>
      <c r="BX101" s="98">
        <f t="shared" si="147"/>
        <v>0</v>
      </c>
      <c r="BY101" s="61">
        <f t="shared" si="171"/>
        <v>0</v>
      </c>
      <c r="BZ101" s="62">
        <f t="shared" si="148"/>
        <v>0</v>
      </c>
      <c r="CA101" s="98">
        <f t="shared" si="149"/>
        <v>0</v>
      </c>
      <c r="CB101" s="92">
        <f t="shared" si="122"/>
        <v>0</v>
      </c>
      <c r="CC101" s="92">
        <f t="shared" si="122"/>
        <v>0</v>
      </c>
      <c r="CD101" s="92">
        <f t="shared" si="122"/>
        <v>0</v>
      </c>
      <c r="CE101" s="99"/>
      <c r="CF101" s="99"/>
      <c r="CG101" s="51">
        <f t="shared" si="150"/>
        <v>0</v>
      </c>
      <c r="CH101" s="62">
        <f t="shared" si="151"/>
        <v>0</v>
      </c>
      <c r="CI101" s="89"/>
      <c r="CJ101" s="89"/>
      <c r="CK101" s="89"/>
      <c r="CL101" s="96"/>
      <c r="CM101" s="89"/>
      <c r="CN101" s="89"/>
      <c r="CO101" s="92"/>
      <c r="CP101" s="101"/>
      <c r="CQ101" s="102">
        <f t="shared" si="186"/>
        <v>0</v>
      </c>
      <c r="CR101" s="102">
        <f t="shared" si="186"/>
        <v>0</v>
      </c>
      <c r="CS101" s="102">
        <f t="shared" si="186"/>
        <v>0</v>
      </c>
      <c r="CT101" s="92">
        <f t="shared" si="152"/>
        <v>0</v>
      </c>
      <c r="CU101" s="92">
        <f t="shared" si="100"/>
        <v>0</v>
      </c>
      <c r="CV101" s="103">
        <f t="shared" si="100"/>
        <v>0</v>
      </c>
      <c r="CW101" s="104"/>
      <c r="CX101" s="105">
        <v>128</v>
      </c>
      <c r="CY101" s="106">
        <f t="shared" si="153"/>
        <v>332</v>
      </c>
      <c r="CZ101" s="106">
        <f t="shared" si="154"/>
        <v>1036.8000000000002</v>
      </c>
      <c r="DA101" s="106"/>
      <c r="DB101" s="106"/>
      <c r="DC101" s="105"/>
      <c r="DD101" s="107"/>
      <c r="DE101" s="92">
        <f t="shared" si="123"/>
        <v>0</v>
      </c>
      <c r="DF101" s="108">
        <f t="shared" si="124"/>
        <v>0</v>
      </c>
      <c r="DG101" s="115">
        <f t="shared" si="125"/>
        <v>0</v>
      </c>
      <c r="DH101" s="110">
        <f t="shared" si="126"/>
        <v>0</v>
      </c>
      <c r="DI101" s="108">
        <f t="shared" si="127"/>
        <v>0</v>
      </c>
      <c r="DJ101" s="112">
        <f t="shared" si="128"/>
        <v>0</v>
      </c>
      <c r="DK101" s="110">
        <f t="shared" si="179"/>
        <v>0</v>
      </c>
      <c r="DL101" s="108">
        <f t="shared" si="179"/>
        <v>0</v>
      </c>
      <c r="DM101" s="111">
        <f t="shared" si="179"/>
        <v>0</v>
      </c>
      <c r="DN101" s="76">
        <f t="shared" si="180"/>
        <v>12</v>
      </c>
      <c r="DO101" s="76">
        <f t="shared" si="180"/>
        <v>0</v>
      </c>
      <c r="DP101" s="112"/>
      <c r="DQ101" s="112"/>
      <c r="DR101" s="113" t="s">
        <v>476</v>
      </c>
      <c r="DS101" s="112"/>
      <c r="DT101" s="112"/>
      <c r="DU101" s="111"/>
      <c r="DV101" s="114"/>
      <c r="DW101" s="80">
        <f t="shared" si="155"/>
        <v>0</v>
      </c>
      <c r="DX101" s="81">
        <f t="shared" si="129"/>
        <v>0</v>
      </c>
      <c r="DY101" s="80">
        <f t="shared" si="156"/>
        <v>0</v>
      </c>
      <c r="DZ101" s="82">
        <f t="shared" si="157"/>
        <v>0</v>
      </c>
      <c r="EA101" s="82">
        <f t="shared" si="158"/>
        <v>0</v>
      </c>
      <c r="EB101" s="82">
        <f t="shared" si="159"/>
        <v>0</v>
      </c>
      <c r="EC101" s="82">
        <f t="shared" si="176"/>
        <v>0</v>
      </c>
      <c r="EF101" s="83">
        <f t="shared" si="181"/>
        <v>0</v>
      </c>
    </row>
    <row r="102" spans="1:136" ht="15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0"/>
        <v>-xx-</v>
      </c>
      <c r="H102" s="46" t="str">
        <f t="shared" si="131"/>
        <v/>
      </c>
      <c r="I102" s="46" t="str">
        <f t="shared" si="132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3"/>
        <v>#DIV/0!</v>
      </c>
      <c r="T102" s="51">
        <f>'31.01'!BG102</f>
        <v>0</v>
      </c>
      <c r="U102" s="92"/>
      <c r="V102" s="100">
        <v>1</v>
      </c>
      <c r="W102" s="93">
        <f t="shared" si="112"/>
        <v>0</v>
      </c>
      <c r="X102" s="93">
        <f t="shared" si="113"/>
        <v>0</v>
      </c>
      <c r="Y102" s="93">
        <f t="shared" si="114"/>
        <v>0</v>
      </c>
      <c r="Z102" s="93">
        <f t="shared" si="115"/>
        <v>0</v>
      </c>
      <c r="AA102" s="93">
        <f t="shared" si="116"/>
        <v>0</v>
      </c>
      <c r="AB102" s="93">
        <f t="shared" si="117"/>
        <v>0</v>
      </c>
      <c r="AC102" s="93">
        <f t="shared" si="118"/>
        <v>0</v>
      </c>
      <c r="AD102" s="93">
        <f t="shared" si="119"/>
        <v>0</v>
      </c>
      <c r="AE102" s="93">
        <f t="shared" si="134"/>
        <v>0</v>
      </c>
      <c r="AF102" s="54">
        <f>AE102+'31.01'!AF102</f>
        <v>0</v>
      </c>
      <c r="AG102" s="94">
        <f t="shared" si="160"/>
        <v>0</v>
      </c>
      <c r="AH102" s="56">
        <f t="shared" si="135"/>
        <v>0</v>
      </c>
      <c r="AI102" s="93"/>
      <c r="AJ102" s="93">
        <f t="shared" si="161"/>
        <v>0</v>
      </c>
      <c r="AK102" s="95">
        <f>IF(V102="","",IF(AJ102=0,1,AJ102/$V102/$E102))</f>
        <v>1</v>
      </c>
      <c r="AL102" s="58">
        <f t="shared" si="172"/>
        <v>0</v>
      </c>
      <c r="AM102" s="55">
        <f t="shared" si="162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37"/>
        <v>0</v>
      </c>
      <c r="AV102" s="96">
        <f t="shared" si="137"/>
        <v>0</v>
      </c>
      <c r="AW102" s="96">
        <f t="shared" si="138"/>
        <v>0</v>
      </c>
      <c r="AX102" s="96">
        <f t="shared" si="139"/>
        <v>0</v>
      </c>
      <c r="AY102" s="94">
        <f t="shared" si="163"/>
        <v>0</v>
      </c>
      <c r="AZ102" s="94">
        <f t="shared" si="140"/>
        <v>0</v>
      </c>
      <c r="BA102" s="94">
        <f t="shared" si="169"/>
        <v>0</v>
      </c>
      <c r="BB102" s="97">
        <f t="shared" si="170"/>
        <v>0</v>
      </c>
      <c r="BC102" s="93"/>
      <c r="BD102" s="93">
        <f t="shared" si="141"/>
        <v>0</v>
      </c>
      <c r="BE102" s="95">
        <f t="shared" si="142"/>
        <v>1</v>
      </c>
      <c r="BF102" s="58">
        <f t="shared" si="173"/>
        <v>0</v>
      </c>
      <c r="BG102" s="94">
        <f t="shared" si="143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4"/>
        <v>0</v>
      </c>
      <c r="BP102" s="92">
        <f t="shared" si="164"/>
        <v>0</v>
      </c>
      <c r="BQ102" s="96">
        <f t="shared" si="144"/>
        <v>0</v>
      </c>
      <c r="BR102" s="96">
        <f t="shared" si="145"/>
        <v>0</v>
      </c>
      <c r="BS102" s="96">
        <f t="shared" si="165"/>
        <v>0</v>
      </c>
      <c r="BT102" s="96">
        <f t="shared" si="146"/>
        <v>0</v>
      </c>
      <c r="BU102" s="92">
        <f t="shared" si="120"/>
        <v>0</v>
      </c>
      <c r="BV102" s="98">
        <f t="shared" si="166"/>
        <v>0</v>
      </c>
      <c r="BW102" s="92">
        <f t="shared" si="121"/>
        <v>0</v>
      </c>
      <c r="BX102" s="98" t="str">
        <f t="shared" si="147"/>
        <v/>
      </c>
      <c r="BY102" s="61">
        <f t="shared" si="171"/>
        <v>0</v>
      </c>
      <c r="BZ102" s="62">
        <f t="shared" si="148"/>
        <v>0</v>
      </c>
      <c r="CA102" s="98">
        <f t="shared" si="149"/>
        <v>0</v>
      </c>
      <c r="CB102" s="92">
        <f t="shared" si="122"/>
        <v>0</v>
      </c>
      <c r="CC102" s="92">
        <f t="shared" si="122"/>
        <v>0</v>
      </c>
      <c r="CD102" s="92">
        <f t="shared" si="122"/>
        <v>0</v>
      </c>
      <c r="CE102" s="99"/>
      <c r="CF102" s="99"/>
      <c r="CG102" s="51">
        <f t="shared" si="150"/>
        <v>0</v>
      </c>
      <c r="CH102" s="62">
        <f t="shared" si="151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86"/>
        <v>0</v>
      </c>
      <c r="CR102" s="102">
        <f t="shared" si="186"/>
        <v>0</v>
      </c>
      <c r="CS102" s="102">
        <f t="shared" si="186"/>
        <v>0</v>
      </c>
      <c r="CT102" s="92">
        <f t="shared" si="152"/>
        <v>0</v>
      </c>
      <c r="CU102" s="92">
        <f t="shared" si="100"/>
        <v>0</v>
      </c>
      <c r="CV102" s="103">
        <f t="shared" si="100"/>
        <v>0</v>
      </c>
      <c r="CW102" s="104"/>
      <c r="CX102" s="105"/>
      <c r="CY102" s="106" t="e">
        <f t="shared" si="153"/>
        <v>#DIV/0!</v>
      </c>
      <c r="CZ102" s="106">
        <f t="shared" si="154"/>
        <v>0</v>
      </c>
      <c r="DA102" s="106"/>
      <c r="DB102" s="106"/>
      <c r="DC102" s="105"/>
      <c r="DD102" s="107"/>
      <c r="DE102" s="92">
        <f t="shared" si="123"/>
        <v>0</v>
      </c>
      <c r="DF102" s="108">
        <f t="shared" si="124"/>
        <v>0</v>
      </c>
      <c r="DG102" s="115">
        <f t="shared" si="125"/>
        <v>0</v>
      </c>
      <c r="DH102" s="110">
        <f t="shared" si="126"/>
        <v>0</v>
      </c>
      <c r="DI102" s="108">
        <f t="shared" si="127"/>
        <v>0</v>
      </c>
      <c r="DJ102" s="112">
        <f t="shared" si="128"/>
        <v>0</v>
      </c>
      <c r="DK102" s="110">
        <f t="shared" si="179"/>
        <v>0</v>
      </c>
      <c r="DL102" s="108">
        <f t="shared" si="179"/>
        <v>0</v>
      </c>
      <c r="DM102" s="111">
        <f t="shared" si="179"/>
        <v>0</v>
      </c>
      <c r="DN102" s="76">
        <f t="shared" si="180"/>
        <v>0</v>
      </c>
      <c r="DO102" s="76">
        <f t="shared" si="180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5"/>
        <v>0</v>
      </c>
      <c r="DX102" s="81">
        <f t="shared" si="129"/>
        <v>0</v>
      </c>
      <c r="DY102" s="80">
        <f t="shared" si="156"/>
        <v>0</v>
      </c>
      <c r="DZ102" s="82">
        <f t="shared" si="157"/>
        <v>0</v>
      </c>
      <c r="EA102" s="82">
        <f t="shared" si="158"/>
        <v>0</v>
      </c>
      <c r="EB102" s="82" t="e">
        <f t="shared" si="159"/>
        <v>#VALUE!</v>
      </c>
      <c r="EC102" s="82" t="e">
        <f t="shared" si="176"/>
        <v>#VALUE!</v>
      </c>
    </row>
    <row r="103" spans="1:136" ht="15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0"/>
        <v>TVSUS303-5x3-H7B13</v>
      </c>
      <c r="H103" s="46" t="str">
        <f t="shared" si="131"/>
        <v>SUS303TV50DH7</v>
      </c>
      <c r="I103" s="46" t="str">
        <f t="shared" si="132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3"/>
        <v>2</v>
      </c>
      <c r="T103" s="51">
        <f>'31.01'!BG103</f>
        <v>0</v>
      </c>
      <c r="U103" s="92"/>
      <c r="V103" s="100">
        <v>0.1</v>
      </c>
      <c r="W103" s="93">
        <f t="shared" si="112"/>
        <v>0</v>
      </c>
      <c r="X103" s="93">
        <f t="shared" si="113"/>
        <v>0</v>
      </c>
      <c r="Y103" s="93">
        <f t="shared" si="114"/>
        <v>0</v>
      </c>
      <c r="Z103" s="93">
        <f t="shared" si="115"/>
        <v>0</v>
      </c>
      <c r="AA103" s="93">
        <f t="shared" si="116"/>
        <v>0</v>
      </c>
      <c r="AB103" s="93">
        <f t="shared" si="117"/>
        <v>0</v>
      </c>
      <c r="AC103" s="93">
        <f t="shared" si="118"/>
        <v>0</v>
      </c>
      <c r="AD103" s="93">
        <f t="shared" si="119"/>
        <v>0</v>
      </c>
      <c r="AE103" s="93">
        <f t="shared" si="134"/>
        <v>0</v>
      </c>
      <c r="AF103" s="54">
        <f>AE103+'31.01'!AF103</f>
        <v>0</v>
      </c>
      <c r="AG103" s="94">
        <f t="shared" si="160"/>
        <v>0</v>
      </c>
      <c r="AH103" s="56">
        <f t="shared" si="135"/>
        <v>0</v>
      </c>
      <c r="AI103" s="93"/>
      <c r="AJ103" s="93">
        <f t="shared" si="161"/>
        <v>0</v>
      </c>
      <c r="AK103" s="95">
        <f t="shared" ref="AK103:AK106" si="187">IF(V103="","",IF(AJ103=0,1,AJ103/$V103/$E103))</f>
        <v>1</v>
      </c>
      <c r="AL103" s="58">
        <f t="shared" si="172"/>
        <v>0</v>
      </c>
      <c r="AM103" s="55">
        <f t="shared" si="162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37"/>
        <v>0</v>
      </c>
      <c r="AV103" s="96">
        <f t="shared" si="137"/>
        <v>0</v>
      </c>
      <c r="AW103" s="96">
        <f t="shared" si="138"/>
        <v>0</v>
      </c>
      <c r="AX103" s="96">
        <f t="shared" si="139"/>
        <v>0</v>
      </c>
      <c r="AY103" s="94">
        <f t="shared" si="163"/>
        <v>0</v>
      </c>
      <c r="AZ103" s="94">
        <f t="shared" si="140"/>
        <v>0</v>
      </c>
      <c r="BA103" s="94">
        <f t="shared" si="169"/>
        <v>0</v>
      </c>
      <c r="BB103" s="97">
        <f t="shared" si="170"/>
        <v>0</v>
      </c>
      <c r="BC103" s="93"/>
      <c r="BD103" s="93">
        <f t="shared" si="141"/>
        <v>0</v>
      </c>
      <c r="BE103" s="95">
        <f t="shared" si="142"/>
        <v>1</v>
      </c>
      <c r="BF103" s="58">
        <f t="shared" si="173"/>
        <v>0</v>
      </c>
      <c r="BG103" s="94">
        <f t="shared" si="143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4"/>
        <v>0</v>
      </c>
      <c r="BP103" s="92">
        <f t="shared" si="164"/>
        <v>0</v>
      </c>
      <c r="BQ103" s="96">
        <f t="shared" si="144"/>
        <v>0</v>
      </c>
      <c r="BR103" s="96">
        <f t="shared" si="145"/>
        <v>0</v>
      </c>
      <c r="BS103" s="96">
        <f t="shared" si="165"/>
        <v>0</v>
      </c>
      <c r="BT103" s="96">
        <f t="shared" si="146"/>
        <v>0</v>
      </c>
      <c r="BU103" s="92">
        <f t="shared" si="120"/>
        <v>0</v>
      </c>
      <c r="BV103" s="98">
        <f t="shared" si="166"/>
        <v>0</v>
      </c>
      <c r="BW103" s="92">
        <f t="shared" si="121"/>
        <v>0</v>
      </c>
      <c r="BX103" s="98">
        <f t="shared" si="147"/>
        <v>0</v>
      </c>
      <c r="BY103" s="61">
        <f t="shared" si="171"/>
        <v>0</v>
      </c>
      <c r="BZ103" s="62">
        <f t="shared" si="148"/>
        <v>0</v>
      </c>
      <c r="CA103" s="98">
        <f t="shared" si="149"/>
        <v>0</v>
      </c>
      <c r="CB103" s="92">
        <f t="shared" si="122"/>
        <v>0</v>
      </c>
      <c r="CC103" s="92">
        <f t="shared" si="122"/>
        <v>0</v>
      </c>
      <c r="CD103" s="92">
        <f t="shared" si="122"/>
        <v>0</v>
      </c>
      <c r="CE103" s="99"/>
      <c r="CF103" s="99"/>
      <c r="CG103" s="51">
        <f t="shared" si="150"/>
        <v>0</v>
      </c>
      <c r="CH103" s="62">
        <f t="shared" si="151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86"/>
        <v>0</v>
      </c>
      <c r="CR103" s="102">
        <f t="shared" si="186"/>
        <v>0</v>
      </c>
      <c r="CS103" s="102">
        <f t="shared" si="186"/>
        <v>0</v>
      </c>
      <c r="CT103" s="92">
        <f t="shared" si="152"/>
        <v>0</v>
      </c>
      <c r="CU103" s="92">
        <f t="shared" si="100"/>
        <v>0</v>
      </c>
      <c r="CV103" s="103">
        <f t="shared" si="100"/>
        <v>0</v>
      </c>
      <c r="CW103" s="104"/>
      <c r="CX103" s="105">
        <v>90</v>
      </c>
      <c r="CY103" s="106">
        <f t="shared" si="153"/>
        <v>476</v>
      </c>
      <c r="CZ103" s="106">
        <f t="shared" si="154"/>
        <v>729</v>
      </c>
      <c r="DA103" s="106"/>
      <c r="DB103" s="106"/>
      <c r="DC103" s="105"/>
      <c r="DD103" s="107"/>
      <c r="DE103" s="92">
        <f t="shared" si="123"/>
        <v>0</v>
      </c>
      <c r="DF103" s="108">
        <f t="shared" si="124"/>
        <v>0</v>
      </c>
      <c r="DG103" s="115">
        <f t="shared" si="125"/>
        <v>0</v>
      </c>
      <c r="DH103" s="110">
        <f t="shared" si="126"/>
        <v>0</v>
      </c>
      <c r="DI103" s="108">
        <f t="shared" si="127"/>
        <v>0</v>
      </c>
      <c r="DJ103" s="112">
        <f t="shared" si="128"/>
        <v>0</v>
      </c>
      <c r="DK103" s="110">
        <f t="shared" si="179"/>
        <v>0</v>
      </c>
      <c r="DL103" s="108">
        <f t="shared" si="179"/>
        <v>0</v>
      </c>
      <c r="DM103" s="111">
        <f t="shared" si="179"/>
        <v>0</v>
      </c>
      <c r="DN103" s="76">
        <f t="shared" si="180"/>
        <v>0</v>
      </c>
      <c r="DO103" s="76">
        <f t="shared" si="180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5"/>
        <v>0</v>
      </c>
      <c r="DX103" s="81">
        <f t="shared" si="129"/>
        <v>0</v>
      </c>
      <c r="DY103" s="80">
        <f t="shared" si="156"/>
        <v>0</v>
      </c>
      <c r="DZ103" s="82">
        <f t="shared" si="157"/>
        <v>0</v>
      </c>
      <c r="EA103" s="82">
        <f t="shared" si="158"/>
        <v>0</v>
      </c>
      <c r="EB103" s="82">
        <f t="shared" si="159"/>
        <v>0</v>
      </c>
      <c r="EC103" s="82">
        <f t="shared" si="176"/>
        <v>0</v>
      </c>
      <c r="EF103" s="83">
        <f t="shared" ref="EF103:EF106" si="188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0"/>
        <v>TVSUS303-6x2.5-H9A14</v>
      </c>
      <c r="H104" s="46" t="str">
        <f t="shared" si="131"/>
        <v>SUS303TV60DH9</v>
      </c>
      <c r="I104" s="46" t="str">
        <f t="shared" si="132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3"/>
        <v>20</v>
      </c>
      <c r="T104" s="51">
        <f>'31.01'!BG104</f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3"/>
        <v>0</v>
      </c>
      <c r="Y104" s="93">
        <f t="shared" si="114"/>
        <v>0</v>
      </c>
      <c r="Z104" s="93">
        <f t="shared" si="115"/>
        <v>0</v>
      </c>
      <c r="AA104" s="93">
        <f t="shared" si="116"/>
        <v>0</v>
      </c>
      <c r="AB104" s="93">
        <f t="shared" si="117"/>
        <v>0</v>
      </c>
      <c r="AC104" s="93">
        <f t="shared" si="118"/>
        <v>0</v>
      </c>
      <c r="AD104" s="93">
        <f t="shared" si="119"/>
        <v>0</v>
      </c>
      <c r="AE104" s="93">
        <f t="shared" si="134"/>
        <v>0</v>
      </c>
      <c r="AF104" s="54">
        <f>AE104+'31.01'!AF104</f>
        <v>0</v>
      </c>
      <c r="AG104" s="94">
        <f t="shared" si="160"/>
        <v>18</v>
      </c>
      <c r="AH104" s="56">
        <f t="shared" si="135"/>
        <v>0</v>
      </c>
      <c r="AI104" s="93"/>
      <c r="AJ104" s="93">
        <f t="shared" si="161"/>
        <v>0</v>
      </c>
      <c r="AK104" s="95">
        <f t="shared" si="187"/>
        <v>1</v>
      </c>
      <c r="AL104" s="58">
        <f t="shared" si="172"/>
        <v>0</v>
      </c>
      <c r="AM104" s="55">
        <f t="shared" si="162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37"/>
        <v>0</v>
      </c>
      <c r="AV104" s="96">
        <f t="shared" si="137"/>
        <v>0</v>
      </c>
      <c r="AW104" s="96">
        <f t="shared" si="138"/>
        <v>0</v>
      </c>
      <c r="AX104" s="96">
        <f t="shared" si="139"/>
        <v>0</v>
      </c>
      <c r="AY104" s="94">
        <f t="shared" si="163"/>
        <v>0</v>
      </c>
      <c r="AZ104" s="94">
        <f t="shared" si="140"/>
        <v>0</v>
      </c>
      <c r="BA104" s="94">
        <f t="shared" si="169"/>
        <v>18</v>
      </c>
      <c r="BB104" s="97">
        <f t="shared" si="170"/>
        <v>0</v>
      </c>
      <c r="BC104" s="93"/>
      <c r="BD104" s="93">
        <f t="shared" si="141"/>
        <v>0</v>
      </c>
      <c r="BE104" s="95">
        <f t="shared" si="142"/>
        <v>1</v>
      </c>
      <c r="BF104" s="58">
        <f t="shared" si="173"/>
        <v>0</v>
      </c>
      <c r="BG104" s="94">
        <f t="shared" si="143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89">CO104</f>
        <v>0</v>
      </c>
      <c r="BP104" s="92">
        <f t="shared" si="189"/>
        <v>0</v>
      </c>
      <c r="BQ104" s="96">
        <f t="shared" si="144"/>
        <v>0</v>
      </c>
      <c r="BR104" s="96">
        <f t="shared" si="145"/>
        <v>0</v>
      </c>
      <c r="BS104" s="96">
        <f t="shared" si="165"/>
        <v>0</v>
      </c>
      <c r="BT104" s="96">
        <f t="shared" si="146"/>
        <v>0</v>
      </c>
      <c r="BU104" s="92">
        <f t="shared" si="120"/>
        <v>0</v>
      </c>
      <c r="BV104" s="98">
        <f t="shared" si="166"/>
        <v>0</v>
      </c>
      <c r="BW104" s="92">
        <f t="shared" si="121"/>
        <v>0</v>
      </c>
      <c r="BX104" s="98">
        <f t="shared" si="147"/>
        <v>0</v>
      </c>
      <c r="BY104" s="61">
        <f t="shared" si="171"/>
        <v>0</v>
      </c>
      <c r="BZ104" s="62">
        <f t="shared" si="148"/>
        <v>0</v>
      </c>
      <c r="CA104" s="98">
        <f t="shared" si="149"/>
        <v>0</v>
      </c>
      <c r="CB104" s="92">
        <f t="shared" si="122"/>
        <v>0</v>
      </c>
      <c r="CC104" s="92">
        <f t="shared" si="122"/>
        <v>0</v>
      </c>
      <c r="CD104" s="92">
        <f t="shared" si="122"/>
        <v>0</v>
      </c>
      <c r="CE104" s="99"/>
      <c r="CF104" s="99"/>
      <c r="CG104" s="51">
        <f t="shared" si="150"/>
        <v>0</v>
      </c>
      <c r="CH104" s="62">
        <f t="shared" si="151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86"/>
        <v>0</v>
      </c>
      <c r="CR104" s="102">
        <f t="shared" si="186"/>
        <v>0</v>
      </c>
      <c r="CS104" s="102">
        <f t="shared" si="186"/>
        <v>0</v>
      </c>
      <c r="CT104" s="92">
        <f t="shared" si="152"/>
        <v>0</v>
      </c>
      <c r="CU104" s="92">
        <f t="shared" ref="CU104:CV106" si="190">INT(IFERROR( AC104-CR104,0))</f>
        <v>0</v>
      </c>
      <c r="CV104" s="103">
        <f t="shared" si="190"/>
        <v>0</v>
      </c>
      <c r="CW104" s="178"/>
      <c r="CX104" s="179">
        <v>70</v>
      </c>
      <c r="CY104" s="180">
        <f t="shared" si="153"/>
        <v>570</v>
      </c>
      <c r="CZ104" s="180">
        <f t="shared" si="154"/>
        <v>567</v>
      </c>
      <c r="DA104" s="181"/>
      <c r="DB104" s="181"/>
      <c r="DC104" s="179"/>
      <c r="DD104" s="182"/>
      <c r="DE104" s="92">
        <f t="shared" si="123"/>
        <v>0</v>
      </c>
      <c r="DF104" s="108">
        <f t="shared" si="124"/>
        <v>0</v>
      </c>
      <c r="DG104" s="115">
        <f t="shared" si="125"/>
        <v>0</v>
      </c>
      <c r="DH104" s="110">
        <f t="shared" si="126"/>
        <v>0</v>
      </c>
      <c r="DI104" s="108">
        <f t="shared" si="127"/>
        <v>0</v>
      </c>
      <c r="DJ104" s="112">
        <f t="shared" si="128"/>
        <v>0</v>
      </c>
      <c r="DK104" s="110">
        <f t="shared" si="179"/>
        <v>0</v>
      </c>
      <c r="DL104" s="108">
        <f t="shared" si="179"/>
        <v>0</v>
      </c>
      <c r="DM104" s="111">
        <f t="shared" si="179"/>
        <v>0</v>
      </c>
      <c r="DN104" s="76">
        <f t="shared" si="180"/>
        <v>18</v>
      </c>
      <c r="DO104" s="76">
        <f t="shared" si="180"/>
        <v>0</v>
      </c>
      <c r="DP104" s="183"/>
      <c r="DQ104" s="183"/>
      <c r="DR104" s="184" t="s">
        <v>477</v>
      </c>
      <c r="DS104" s="183"/>
      <c r="DT104" s="183"/>
      <c r="DU104" s="185"/>
      <c r="DV104" s="186"/>
      <c r="DW104" s="80">
        <f t="shared" si="155"/>
        <v>0</v>
      </c>
      <c r="DX104" s="81">
        <f t="shared" si="129"/>
        <v>0</v>
      </c>
      <c r="DY104" s="80">
        <f t="shared" si="156"/>
        <v>0</v>
      </c>
      <c r="DZ104" s="82">
        <f t="shared" si="157"/>
        <v>0</v>
      </c>
      <c r="EA104" s="82">
        <f t="shared" si="158"/>
        <v>0</v>
      </c>
      <c r="EB104" s="82">
        <f t="shared" si="159"/>
        <v>0</v>
      </c>
      <c r="EC104" s="82">
        <f t="shared" si="176"/>
        <v>0</v>
      </c>
      <c r="EF104" s="83">
        <f t="shared" si="188"/>
        <v>0</v>
      </c>
    </row>
    <row r="105" spans="1:136" ht="14.1" customHeight="1">
      <c r="A105" s="84">
        <v>98</v>
      </c>
      <c r="B105" s="187" t="s">
        <v>402</v>
      </c>
      <c r="C105" s="86"/>
      <c r="D105" s="188" t="s">
        <v>403</v>
      </c>
      <c r="E105" s="189">
        <v>66</v>
      </c>
      <c r="F105" s="190" t="s">
        <v>147</v>
      </c>
      <c r="G105" s="191" t="str">
        <f t="shared" si="130"/>
        <v>TV12L14-H17x3-H11A14</v>
      </c>
      <c r="H105" s="191" t="str">
        <f t="shared" si="131"/>
        <v>12L14TV170HH11</v>
      </c>
      <c r="I105" s="191" t="str">
        <f t="shared" si="132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3"/>
        <v>16</v>
      </c>
      <c r="T105" s="51">
        <f>'31.01'!BG105</f>
        <v>0</v>
      </c>
      <c r="U105" s="194"/>
      <c r="V105" s="195">
        <v>60.8</v>
      </c>
      <c r="W105" s="196">
        <f>IF(V105="","",INT((AO105+BI105)/$V105))</f>
        <v>0</v>
      </c>
      <c r="X105" s="196">
        <f t="shared" si="113"/>
        <v>0</v>
      </c>
      <c r="Y105" s="196">
        <f t="shared" si="114"/>
        <v>0</v>
      </c>
      <c r="Z105" s="196">
        <f t="shared" si="115"/>
        <v>0</v>
      </c>
      <c r="AA105" s="196">
        <f t="shared" si="116"/>
        <v>0</v>
      </c>
      <c r="AB105" s="196">
        <f t="shared" si="117"/>
        <v>0</v>
      </c>
      <c r="AC105" s="196">
        <f t="shared" si="118"/>
        <v>0</v>
      </c>
      <c r="AD105" s="196">
        <f t="shared" si="119"/>
        <v>0</v>
      </c>
      <c r="AE105" s="196">
        <f t="shared" si="134"/>
        <v>0</v>
      </c>
      <c r="AF105" s="54">
        <f>AE105+'31.01'!AF105</f>
        <v>0</v>
      </c>
      <c r="AG105" s="94">
        <f t="shared" si="160"/>
        <v>0</v>
      </c>
      <c r="AH105" s="56">
        <f t="shared" si="135"/>
        <v>0</v>
      </c>
      <c r="AI105" s="196"/>
      <c r="AJ105" s="93">
        <f t="shared" si="161"/>
        <v>0</v>
      </c>
      <c r="AK105" s="197">
        <f t="shared" si="187"/>
        <v>1</v>
      </c>
      <c r="AL105" s="58">
        <f t="shared" si="172"/>
        <v>0</v>
      </c>
      <c r="AM105" s="55">
        <f t="shared" si="162"/>
        <v>0</v>
      </c>
      <c r="AN105" s="196"/>
      <c r="AO105" s="198"/>
      <c r="AP105" s="198"/>
      <c r="AQ105" s="198"/>
      <c r="AR105" s="198"/>
      <c r="AS105" s="198">
        <f>$CJ105</f>
        <v>0</v>
      </c>
      <c r="AT105" s="198"/>
      <c r="AU105" s="198">
        <f t="shared" si="137"/>
        <v>0</v>
      </c>
      <c r="AV105" s="198">
        <f t="shared" si="137"/>
        <v>0</v>
      </c>
      <c r="AW105" s="198">
        <f t="shared" si="138"/>
        <v>0</v>
      </c>
      <c r="AX105" s="198">
        <f t="shared" si="139"/>
        <v>0</v>
      </c>
      <c r="AY105" s="199">
        <f t="shared" si="163"/>
        <v>0</v>
      </c>
      <c r="AZ105" s="199">
        <f t="shared" si="140"/>
        <v>0</v>
      </c>
      <c r="BA105" s="94">
        <f t="shared" si="169"/>
        <v>0</v>
      </c>
      <c r="BB105" s="200">
        <f t="shared" si="170"/>
        <v>0</v>
      </c>
      <c r="BC105" s="196"/>
      <c r="BD105" s="93">
        <f t="shared" si="141"/>
        <v>0</v>
      </c>
      <c r="BE105" s="197">
        <f t="shared" si="142"/>
        <v>1</v>
      </c>
      <c r="BF105" s="58">
        <f t="shared" si="173"/>
        <v>0</v>
      </c>
      <c r="BG105" s="94">
        <f t="shared" si="143"/>
        <v>0</v>
      </c>
      <c r="BH105" s="190"/>
      <c r="BI105" s="194"/>
      <c r="BJ105" s="194">
        <f>$CN105</f>
        <v>0</v>
      </c>
      <c r="BK105" s="190"/>
      <c r="BL105" s="190"/>
      <c r="BM105" s="190"/>
      <c r="BN105" s="194"/>
      <c r="BO105" s="194">
        <f t="shared" si="189"/>
        <v>0</v>
      </c>
      <c r="BP105" s="194">
        <f t="shared" si="189"/>
        <v>0</v>
      </c>
      <c r="BQ105" s="198">
        <f t="shared" si="144"/>
        <v>0</v>
      </c>
      <c r="BR105" s="198">
        <f t="shared" si="145"/>
        <v>0</v>
      </c>
      <c r="BS105" s="198">
        <f t="shared" si="165"/>
        <v>0</v>
      </c>
      <c r="BT105" s="198">
        <f t="shared" si="146"/>
        <v>0</v>
      </c>
      <c r="BU105" s="194">
        <f t="shared" si="120"/>
        <v>0</v>
      </c>
      <c r="BV105" s="201">
        <f t="shared" si="166"/>
        <v>0</v>
      </c>
      <c r="BW105" s="194">
        <f t="shared" si="121"/>
        <v>0</v>
      </c>
      <c r="BX105" s="201">
        <f t="shared" si="147"/>
        <v>0</v>
      </c>
      <c r="BY105" s="51">
        <f t="shared" si="171"/>
        <v>0</v>
      </c>
      <c r="BZ105" s="62">
        <f t="shared" si="148"/>
        <v>0</v>
      </c>
      <c r="CA105" s="201">
        <f t="shared" si="149"/>
        <v>0</v>
      </c>
      <c r="CB105" s="194">
        <f t="shared" si="122"/>
        <v>0</v>
      </c>
      <c r="CC105" s="194">
        <f t="shared" si="122"/>
        <v>0</v>
      </c>
      <c r="CD105" s="194">
        <f t="shared" si="122"/>
        <v>0</v>
      </c>
      <c r="CE105" s="202"/>
      <c r="CF105" s="202"/>
      <c r="CG105" s="51">
        <f t="shared" si="150"/>
        <v>0</v>
      </c>
      <c r="CH105" s="62">
        <f t="shared" si="151"/>
        <v>0</v>
      </c>
      <c r="CI105" s="190"/>
      <c r="CJ105" s="190"/>
      <c r="CK105" s="190"/>
      <c r="CL105" s="198"/>
      <c r="CM105" s="190"/>
      <c r="CN105" s="190"/>
      <c r="CO105" s="190"/>
      <c r="CP105" s="190"/>
      <c r="CQ105" s="203">
        <f t="shared" si="186"/>
        <v>0</v>
      </c>
      <c r="CR105" s="203">
        <f t="shared" si="186"/>
        <v>0</v>
      </c>
      <c r="CS105" s="203">
        <f t="shared" si="186"/>
        <v>0</v>
      </c>
      <c r="CT105" s="194">
        <f t="shared" si="152"/>
        <v>0</v>
      </c>
      <c r="CU105" s="194">
        <f t="shared" si="190"/>
        <v>0</v>
      </c>
      <c r="CV105" s="204">
        <f t="shared" si="190"/>
        <v>0</v>
      </c>
      <c r="CW105" s="205"/>
      <c r="CX105" s="206">
        <v>81</v>
      </c>
      <c r="CY105" s="207">
        <f t="shared" si="153"/>
        <v>500</v>
      </c>
      <c r="CZ105" s="207">
        <f t="shared" si="154"/>
        <v>656.1</v>
      </c>
      <c r="DA105" s="207"/>
      <c r="DB105" s="207"/>
      <c r="DC105" s="206"/>
      <c r="DD105" s="208"/>
      <c r="DE105" s="194">
        <f t="shared" si="123"/>
        <v>0</v>
      </c>
      <c r="DF105" s="209">
        <f t="shared" si="124"/>
        <v>0</v>
      </c>
      <c r="DG105" s="115">
        <f t="shared" si="125"/>
        <v>0</v>
      </c>
      <c r="DH105" s="210">
        <f t="shared" si="126"/>
        <v>0</v>
      </c>
      <c r="DI105" s="209">
        <f t="shared" si="127"/>
        <v>0</v>
      </c>
      <c r="DJ105" s="76">
        <f t="shared" si="128"/>
        <v>0</v>
      </c>
      <c r="DK105" s="210">
        <f t="shared" si="179"/>
        <v>0</v>
      </c>
      <c r="DL105" s="209">
        <f t="shared" si="179"/>
        <v>0</v>
      </c>
      <c r="DM105" s="211">
        <f t="shared" si="179"/>
        <v>0</v>
      </c>
      <c r="DN105" s="212">
        <f t="shared" si="180"/>
        <v>0</v>
      </c>
      <c r="DO105" s="212">
        <f t="shared" si="180"/>
        <v>0</v>
      </c>
      <c r="DP105" s="212"/>
      <c r="DQ105" s="212"/>
      <c r="DR105" s="213"/>
      <c r="DS105" s="212"/>
      <c r="DT105" s="212"/>
      <c r="DU105" s="214"/>
      <c r="DV105" s="215"/>
      <c r="DW105" s="80">
        <f t="shared" si="155"/>
        <v>0</v>
      </c>
      <c r="DX105" s="81">
        <f t="shared" si="129"/>
        <v>0</v>
      </c>
      <c r="DY105" s="80">
        <f t="shared" si="156"/>
        <v>0</v>
      </c>
      <c r="DZ105" s="82">
        <f t="shared" si="157"/>
        <v>0</v>
      </c>
      <c r="EA105" s="82">
        <f t="shared" si="158"/>
        <v>0</v>
      </c>
      <c r="EB105" s="82">
        <f t="shared" si="159"/>
        <v>0</v>
      </c>
      <c r="EC105" s="82">
        <f t="shared" si="176"/>
        <v>0</v>
      </c>
      <c r="EF105" s="83">
        <f t="shared" si="188"/>
        <v>0</v>
      </c>
    </row>
    <row r="106" spans="1:136" ht="14.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0"/>
        <v>SSSUS316L-T2.2x0.78x2.5-H9A08</v>
      </c>
      <c r="H106" s="219" t="str">
        <f t="shared" si="131"/>
        <v>SUS316LSS2.20.78TH9</v>
      </c>
      <c r="I106" s="219" t="str">
        <f t="shared" si="132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3"/>
        <v>10</v>
      </c>
      <c r="T106" s="51">
        <f>'31.01'!BG106</f>
        <v>0</v>
      </c>
      <c r="U106" s="222"/>
      <c r="V106" s="223">
        <v>7.2999999999999995E-2</v>
      </c>
      <c r="W106" s="224">
        <f>IF(V106="","",INT((AO106+BI106)/$V106))</f>
        <v>0</v>
      </c>
      <c r="X106" s="224">
        <f t="shared" si="113"/>
        <v>0</v>
      </c>
      <c r="Y106" s="224">
        <f t="shared" si="114"/>
        <v>0</v>
      </c>
      <c r="Z106" s="224">
        <f t="shared" si="115"/>
        <v>0</v>
      </c>
      <c r="AA106" s="224">
        <f t="shared" si="116"/>
        <v>0</v>
      </c>
      <c r="AB106" s="224">
        <f t="shared" si="117"/>
        <v>0</v>
      </c>
      <c r="AC106" s="224">
        <f t="shared" si="118"/>
        <v>0</v>
      </c>
      <c r="AD106" s="224">
        <f t="shared" si="119"/>
        <v>0</v>
      </c>
      <c r="AE106" s="224">
        <f t="shared" si="134"/>
        <v>0</v>
      </c>
      <c r="AF106" s="54">
        <f>AE106+'31.01'!AF106</f>
        <v>0</v>
      </c>
      <c r="AG106" s="94">
        <f t="shared" si="160"/>
        <v>0</v>
      </c>
      <c r="AH106" s="56">
        <f t="shared" si="135"/>
        <v>0</v>
      </c>
      <c r="AI106" s="224"/>
      <c r="AJ106" s="93">
        <f t="shared" si="161"/>
        <v>0</v>
      </c>
      <c r="AK106" s="225">
        <f t="shared" si="187"/>
        <v>1</v>
      </c>
      <c r="AL106" s="58">
        <f t="shared" si="172"/>
        <v>0</v>
      </c>
      <c r="AM106" s="55">
        <f t="shared" si="162"/>
        <v>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37"/>
        <v>0</v>
      </c>
      <c r="AV106" s="226">
        <f t="shared" si="137"/>
        <v>0</v>
      </c>
      <c r="AW106" s="226">
        <f t="shared" si="138"/>
        <v>0</v>
      </c>
      <c r="AX106" s="226">
        <f t="shared" si="139"/>
        <v>0</v>
      </c>
      <c r="AY106" s="227">
        <f t="shared" si="163"/>
        <v>0</v>
      </c>
      <c r="AZ106" s="227">
        <f t="shared" si="140"/>
        <v>0</v>
      </c>
      <c r="BA106" s="94">
        <f t="shared" si="169"/>
        <v>0</v>
      </c>
      <c r="BB106" s="228">
        <f t="shared" si="170"/>
        <v>0</v>
      </c>
      <c r="BC106" s="224"/>
      <c r="BD106" s="93">
        <f t="shared" si="141"/>
        <v>0</v>
      </c>
      <c r="BE106" s="225">
        <f t="shared" si="142"/>
        <v>1</v>
      </c>
      <c r="BF106" s="58">
        <f t="shared" si="173"/>
        <v>0</v>
      </c>
      <c r="BG106" s="94">
        <f t="shared" si="143"/>
        <v>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89"/>
        <v>0</v>
      </c>
      <c r="BP106" s="222">
        <f t="shared" si="189"/>
        <v>0</v>
      </c>
      <c r="BQ106" s="226">
        <f t="shared" si="144"/>
        <v>0</v>
      </c>
      <c r="BR106" s="226">
        <f t="shared" si="145"/>
        <v>0</v>
      </c>
      <c r="BS106" s="226">
        <f t="shared" si="165"/>
        <v>0</v>
      </c>
      <c r="BT106" s="226">
        <f t="shared" si="146"/>
        <v>0</v>
      </c>
      <c r="BU106" s="222">
        <f t="shared" si="120"/>
        <v>0</v>
      </c>
      <c r="BV106" s="229">
        <f t="shared" si="166"/>
        <v>0</v>
      </c>
      <c r="BW106" s="222">
        <f t="shared" si="121"/>
        <v>0</v>
      </c>
      <c r="BX106" s="229" t="str">
        <f t="shared" si="147"/>
        <v/>
      </c>
      <c r="BY106" s="229">
        <f t="shared" si="171"/>
        <v>0</v>
      </c>
      <c r="BZ106" s="62">
        <f t="shared" si="148"/>
        <v>0</v>
      </c>
      <c r="CA106" s="229">
        <f t="shared" si="149"/>
        <v>0</v>
      </c>
      <c r="CB106" s="222">
        <f t="shared" si="122"/>
        <v>0</v>
      </c>
      <c r="CC106" s="222">
        <f t="shared" si="122"/>
        <v>0</v>
      </c>
      <c r="CD106" s="222">
        <f t="shared" si="122"/>
        <v>0</v>
      </c>
      <c r="CE106" s="230"/>
      <c r="CF106" s="230"/>
      <c r="CG106" s="229">
        <f t="shared" si="150"/>
        <v>0</v>
      </c>
      <c r="CH106" s="62">
        <f t="shared" si="151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86"/>
        <v>0</v>
      </c>
      <c r="CR106" s="222">
        <f t="shared" si="186"/>
        <v>0</v>
      </c>
      <c r="CS106" s="222">
        <f t="shared" si="186"/>
        <v>0</v>
      </c>
      <c r="CT106" s="222">
        <f t="shared" si="152"/>
        <v>0</v>
      </c>
      <c r="CU106" s="222">
        <f t="shared" si="190"/>
        <v>0</v>
      </c>
      <c r="CV106" s="222">
        <f t="shared" si="190"/>
        <v>0</v>
      </c>
      <c r="CW106" s="218"/>
      <c r="CX106" s="218">
        <v>43</v>
      </c>
      <c r="CY106" s="222">
        <f t="shared" si="153"/>
        <v>962</v>
      </c>
      <c r="CZ106" s="222">
        <f t="shared" si="154"/>
        <v>348.3</v>
      </c>
      <c r="DA106" s="222"/>
      <c r="DB106" s="222"/>
      <c r="DC106" s="218"/>
      <c r="DD106" s="218"/>
      <c r="DE106" s="222">
        <f t="shared" si="123"/>
        <v>0</v>
      </c>
      <c r="DF106" s="231">
        <f t="shared" si="124"/>
        <v>0</v>
      </c>
      <c r="DG106" s="115">
        <f t="shared" si="125"/>
        <v>0</v>
      </c>
      <c r="DH106" s="232">
        <f t="shared" si="126"/>
        <v>0</v>
      </c>
      <c r="DI106" s="231">
        <f t="shared" si="127"/>
        <v>0</v>
      </c>
      <c r="DJ106" s="183">
        <f t="shared" si="128"/>
        <v>0</v>
      </c>
      <c r="DK106" s="232">
        <f t="shared" si="179"/>
        <v>0</v>
      </c>
      <c r="DL106" s="231">
        <f t="shared" si="179"/>
        <v>0</v>
      </c>
      <c r="DM106" s="183">
        <f t="shared" si="179"/>
        <v>0</v>
      </c>
      <c r="DN106" s="76">
        <f t="shared" si="180"/>
        <v>0</v>
      </c>
      <c r="DO106" s="76">
        <f t="shared" si="180"/>
        <v>0</v>
      </c>
      <c r="DP106" s="183"/>
      <c r="DQ106" s="183"/>
      <c r="DR106" s="184"/>
      <c r="DS106" s="183"/>
      <c r="DT106" s="183"/>
      <c r="DU106" s="183"/>
      <c r="DV106" s="186"/>
      <c r="DW106" s="80">
        <f t="shared" si="155"/>
        <v>0</v>
      </c>
      <c r="DX106" s="81">
        <f t="shared" si="129"/>
        <v>0</v>
      </c>
      <c r="DY106" s="80">
        <f t="shared" si="156"/>
        <v>0</v>
      </c>
      <c r="DZ106" s="82">
        <f t="shared" si="157"/>
        <v>0</v>
      </c>
      <c r="EA106" s="82">
        <f t="shared" si="158"/>
        <v>0</v>
      </c>
      <c r="EB106" s="82" t="e">
        <f t="shared" si="159"/>
        <v>#VALUE!</v>
      </c>
      <c r="EC106" s="82" t="e">
        <f t="shared" si="176"/>
        <v>#VALUE!</v>
      </c>
      <c r="EF106" s="83">
        <f t="shared" si="188"/>
        <v>0</v>
      </c>
    </row>
    <row r="107" spans="1:136" ht="15" customHeight="1">
      <c r="A107" s="301" t="s">
        <v>407</v>
      </c>
      <c r="B107" s="301"/>
      <c r="C107" s="301"/>
      <c r="D107" s="302"/>
      <c r="AF107" s="54">
        <f>AE107+'31.01'!AF107</f>
        <v>0</v>
      </c>
      <c r="AK107" s="233" t="str">
        <f t="shared" si="136"/>
        <v/>
      </c>
      <c r="AL107" s="58" t="str">
        <f t="shared" si="172"/>
        <v/>
      </c>
      <c r="BZ107" s="62">
        <f t="shared" si="148"/>
        <v>0</v>
      </c>
      <c r="CH107" s="62">
        <f t="shared" si="151"/>
        <v>0</v>
      </c>
    </row>
    <row r="108" spans="1:136" ht="0.75" customHeight="1">
      <c r="X108" s="234"/>
      <c r="AF108" s="54">
        <f>AE108+'31.01'!AF108</f>
        <v>0</v>
      </c>
      <c r="AL108" s="58" t="str">
        <f t="shared" si="172"/>
        <v/>
      </c>
      <c r="BZ108" s="62">
        <f t="shared" si="148"/>
        <v>0</v>
      </c>
      <c r="CH108" s="62">
        <f t="shared" si="151"/>
        <v>0</v>
      </c>
    </row>
    <row r="109" spans="1:136">
      <c r="AF109" s="235"/>
      <c r="BZ109" s="62"/>
      <c r="CH109" s="62"/>
    </row>
    <row r="110" spans="1:136">
      <c r="AF110" s="54"/>
    </row>
    <row r="111" spans="1:136">
      <c r="AF111" s="54"/>
    </row>
    <row r="112" spans="1:136">
      <c r="F112" s="218"/>
      <c r="G112" s="219"/>
      <c r="H112" s="219"/>
      <c r="I112" s="219"/>
      <c r="J112" s="220"/>
      <c r="K112" s="220"/>
      <c r="L112" s="220"/>
      <c r="M112" s="220"/>
      <c r="N112" s="220"/>
      <c r="O112" s="220"/>
      <c r="P112" s="220"/>
      <c r="Q112" s="221"/>
      <c r="R112" s="220"/>
    </row>
    <row r="113" spans="6:18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1496.71</v>
      </c>
      <c r="DO160" s="83">
        <f>SUM(DO8:DO106)</f>
        <v>647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1"/>
    <filterColumn colId="118"/>
    <filterColumn colId="123"/>
    <filterColumn colId="132"/>
  </autoFilter>
  <mergeCells count="162"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A1:D1"/>
    <mergeCell ref="J1:DT1"/>
    <mergeCell ref="DU1:DV1"/>
    <mergeCell ref="A2:D2"/>
    <mergeCell ref="E2:U2"/>
    <mergeCell ref="CW2:DD2"/>
    <mergeCell ref="DE2:DG2"/>
    <mergeCell ref="DH2:DJ2"/>
    <mergeCell ref="DK2:DM2"/>
  </mergeCells>
  <conditionalFormatting sqref="AL8:AL985">
    <cfRule type="cellIs" dxfId="28" priority="3" operator="greaterThan">
      <formula>0</formula>
    </cfRule>
  </conditionalFormatting>
  <conditionalFormatting sqref="BF8:BF985">
    <cfRule type="cellIs" dxfId="27" priority="2" operator="greaterThan">
      <formula>0</formula>
    </cfRule>
  </conditionalFormatting>
  <conditionalFormatting sqref="CI8:CP985">
    <cfRule type="cellIs" dxfId="26" priority="1" operator="greaterThan">
      <formula>0</formula>
    </cfRule>
  </conditionalFormatting>
  <pageMargins left="0.33" right="0.22" top="0.38" bottom="0.4" header="0.31496062992126" footer="0.31496062992126"/>
  <pageSetup paperSize="9" orientation="portrait" verticalDpi="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EF163"/>
  <sheetViews>
    <sheetView workbookViewId="0">
      <pane xSplit="4" ySplit="7" topLeftCell="E26" activePane="bottomRight" state="frozen"/>
      <selection pane="topRight" activeCell="E1" sqref="E1"/>
      <selection pane="bottomLeft" activeCell="A8" sqref="A8"/>
      <selection pane="bottomRight" activeCell="S32" sqref="S32"/>
    </sheetView>
  </sheetViews>
  <sheetFormatPr defaultRowHeight="15"/>
  <cols>
    <col min="1" max="1" width="4.140625" customWidth="1"/>
    <col min="2" max="2" width="6.5703125" customWidth="1"/>
    <col min="3" max="3" width="9.140625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76" width="9.140625" customWidth="1"/>
    <col min="77" max="86" width="9.140625" hidden="1" customWidth="1"/>
    <col min="87" max="108" width="9.140625" customWidth="1"/>
    <col min="109" max="117" width="9" customWidth="1"/>
    <col min="118" max="118" width="7" customWidth="1"/>
    <col min="119" max="120" width="6.7109375" customWidth="1"/>
    <col min="121" max="121" width="7.42578125" customWidth="1"/>
    <col min="122" max="122" width="12.28515625" customWidth="1"/>
    <col min="123" max="123" width="6.7109375" customWidth="1"/>
    <col min="124" max="124" width="9.140625" customWidth="1"/>
    <col min="125" max="125" width="13.7109375" customWidth="1"/>
    <col min="126" max="126" width="10.7109375" customWidth="1"/>
    <col min="127" max="152" width="9.140625" customWidth="1"/>
  </cols>
  <sheetData>
    <row r="1" spans="1:136" s="3" customFormat="1" ht="27" customHeight="1" thickBot="1">
      <c r="A1" s="402" t="s">
        <v>486</v>
      </c>
      <c r="B1" s="402"/>
      <c r="C1" s="402"/>
      <c r="D1" s="402"/>
      <c r="E1" s="237"/>
      <c r="F1" s="237"/>
      <c r="G1" s="237"/>
      <c r="H1" s="237"/>
      <c r="I1" s="237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39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38" t="s">
        <v>124</v>
      </c>
      <c r="AK6" s="238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38" t="s">
        <v>124</v>
      </c>
      <c r="BE6" s="238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128853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customHeight="1" thickBot="1">
      <c r="A7" s="30"/>
      <c r="D7" s="32"/>
      <c r="Q7" s="33"/>
      <c r="S7" s="31">
        <f>SUMIF(S8:S106,"&gt;0")</f>
        <v>2732</v>
      </c>
      <c r="T7" s="31">
        <f>SUM(T8:T106)</f>
        <v>1341.9099999999999</v>
      </c>
      <c r="U7" s="31">
        <f>SUM(U8:U106)</f>
        <v>716</v>
      </c>
      <c r="W7" s="31">
        <f t="shared" ref="W7:AD7" si="0">SUM(W8:W777)</f>
        <v>1372</v>
      </c>
      <c r="X7" s="31">
        <f t="shared" si="0"/>
        <v>40130</v>
      </c>
      <c r="Y7" s="31">
        <f t="shared" si="0"/>
        <v>5630</v>
      </c>
      <c r="Z7" s="31">
        <f t="shared" si="0"/>
        <v>7142</v>
      </c>
      <c r="AA7" s="31">
        <f t="shared" si="0"/>
        <v>3521</v>
      </c>
      <c r="AB7" s="31">
        <f t="shared" si="0"/>
        <v>70776</v>
      </c>
      <c r="AC7" s="31">
        <f t="shared" si="0"/>
        <v>282</v>
      </c>
      <c r="AD7" s="31">
        <f t="shared" si="0"/>
        <v>2479</v>
      </c>
      <c r="AE7" s="31">
        <f>SUM(AE8:AE777)</f>
        <v>128853</v>
      </c>
      <c r="AF7" s="31">
        <f>SUM(AF8:AF249)</f>
        <v>377301</v>
      </c>
      <c r="AG7" s="31">
        <f t="shared" ref="AG7:CP7" si="1">SUM(AG8:AG285)</f>
        <v>1365.9099999999999</v>
      </c>
      <c r="AH7" s="31">
        <f t="shared" si="1"/>
        <v>1.9100000000000001</v>
      </c>
      <c r="AI7" s="31">
        <f t="shared" si="1"/>
        <v>357</v>
      </c>
      <c r="AJ7" s="31">
        <f t="shared" si="1"/>
        <v>2102.5</v>
      </c>
      <c r="AK7" s="31">
        <f t="shared" si="1"/>
        <v>98.443237393404544</v>
      </c>
      <c r="AL7" s="34">
        <f>SUM(AL8:AL285)</f>
        <v>357.36000000000007</v>
      </c>
      <c r="AM7" s="31">
        <f t="shared" si="1"/>
        <v>1724.55</v>
      </c>
      <c r="AN7" s="31">
        <f t="shared" si="1"/>
        <v>0</v>
      </c>
      <c r="AO7" s="31">
        <f t="shared" si="1"/>
        <v>7531.75</v>
      </c>
      <c r="AP7" s="31">
        <f t="shared" si="1"/>
        <v>75690.200000000012</v>
      </c>
      <c r="AQ7" s="31">
        <f t="shared" si="1"/>
        <v>3665</v>
      </c>
      <c r="AR7" s="31">
        <f t="shared" si="1"/>
        <v>125</v>
      </c>
      <c r="AS7" s="31">
        <f t="shared" si="1"/>
        <v>4017.6</v>
      </c>
      <c r="AT7" s="31">
        <f t="shared" si="1"/>
        <v>24225.8</v>
      </c>
      <c r="AU7" s="31">
        <f t="shared" si="1"/>
        <v>610</v>
      </c>
      <c r="AV7" s="31">
        <f t="shared" si="1"/>
        <v>1732</v>
      </c>
      <c r="AW7" s="31">
        <f t="shared" si="1"/>
        <v>117597.35</v>
      </c>
      <c r="AX7" s="31">
        <f t="shared" si="1"/>
        <v>68355</v>
      </c>
      <c r="AY7" s="31">
        <f t="shared" si="1"/>
        <v>-2729.1250799999998</v>
      </c>
      <c r="AZ7" s="31">
        <f t="shared" si="1"/>
        <v>152.8180733263323</v>
      </c>
      <c r="BA7" s="31">
        <f t="shared" si="1"/>
        <v>1724.55</v>
      </c>
      <c r="BB7" s="31">
        <f t="shared" si="1"/>
        <v>1.55</v>
      </c>
      <c r="BC7" s="31">
        <f t="shared" si="1"/>
        <v>376</v>
      </c>
      <c r="BD7" s="31">
        <f t="shared" si="1"/>
        <v>1109</v>
      </c>
      <c r="BE7" s="31">
        <f t="shared" si="1"/>
        <v>96.461541513665054</v>
      </c>
      <c r="BF7" s="34">
        <f t="shared" si="1"/>
        <v>374.04999999999995</v>
      </c>
      <c r="BG7" s="31">
        <f t="shared" si="1"/>
        <v>1350.5</v>
      </c>
      <c r="BH7" s="31">
        <f t="shared" si="1"/>
        <v>0</v>
      </c>
      <c r="BI7" s="31">
        <f t="shared" si="1"/>
        <v>21754.799999999999</v>
      </c>
      <c r="BJ7" s="31">
        <f t="shared" si="1"/>
        <v>74222.799999999988</v>
      </c>
      <c r="BK7" s="31">
        <f t="shared" si="1"/>
        <v>3261</v>
      </c>
      <c r="BL7" s="31">
        <f t="shared" si="1"/>
        <v>125</v>
      </c>
      <c r="BM7" s="31">
        <f t="shared" si="1"/>
        <v>4141</v>
      </c>
      <c r="BN7" s="31">
        <f t="shared" si="1"/>
        <v>28948.799999999999</v>
      </c>
      <c r="BO7" s="31">
        <f t="shared" si="1"/>
        <v>150</v>
      </c>
      <c r="BP7" s="31">
        <f t="shared" si="1"/>
        <v>2965</v>
      </c>
      <c r="BQ7" s="31">
        <f t="shared" si="1"/>
        <v>135568.4</v>
      </c>
      <c r="BR7" s="31">
        <f t="shared" si="1"/>
        <v>62973</v>
      </c>
      <c r="BS7" s="31">
        <f t="shared" si="1"/>
        <v>-6338.9586999999983</v>
      </c>
      <c r="BT7" s="31">
        <f t="shared" si="1"/>
        <v>-944.45380196262761</v>
      </c>
      <c r="BU7" s="31">
        <f t="shared" si="1"/>
        <v>128853</v>
      </c>
      <c r="BV7" s="34">
        <f t="shared" si="1"/>
        <v>731.41</v>
      </c>
      <c r="BW7" s="31">
        <f t="shared" si="1"/>
        <v>-791.63572863629565</v>
      </c>
      <c r="BX7" s="31">
        <f t="shared" si="1"/>
        <v>584.16556000000003</v>
      </c>
      <c r="BY7" s="34">
        <f t="shared" si="1"/>
        <v>731.41</v>
      </c>
      <c r="BZ7" s="35">
        <f t="shared" si="1"/>
        <v>731.41</v>
      </c>
      <c r="CA7" s="31">
        <f t="shared" si="1"/>
        <v>253.16575000000006</v>
      </c>
      <c r="CB7" s="31">
        <f t="shared" si="1"/>
        <v>131328</v>
      </c>
      <c r="CC7" s="31">
        <f t="shared" si="1"/>
        <v>-9068.083779999999</v>
      </c>
      <c r="CD7" s="31">
        <f t="shared" si="1"/>
        <v>-791.63572863629565</v>
      </c>
      <c r="CE7" s="36">
        <f t="shared" si="1"/>
        <v>0</v>
      </c>
      <c r="CF7" s="36">
        <f t="shared" si="1"/>
        <v>0</v>
      </c>
      <c r="CG7" s="34">
        <f t="shared" si="1"/>
        <v>359.20480999999995</v>
      </c>
      <c r="CH7" s="35">
        <f t="shared" si="1"/>
        <v>359.20480999999995</v>
      </c>
      <c r="CI7" s="31">
        <f t="shared" si="1"/>
        <v>2102.5</v>
      </c>
      <c r="CJ7" s="31">
        <f t="shared" si="1"/>
        <v>115255.35</v>
      </c>
      <c r="CK7" s="31">
        <f t="shared" si="1"/>
        <v>610</v>
      </c>
      <c r="CL7" s="31">
        <f t="shared" si="1"/>
        <v>1732</v>
      </c>
      <c r="CM7" s="31">
        <f t="shared" si="1"/>
        <v>1109</v>
      </c>
      <c r="CN7" s="31">
        <f t="shared" si="1"/>
        <v>132453.4</v>
      </c>
      <c r="CO7" s="31">
        <f t="shared" si="1"/>
        <v>150</v>
      </c>
      <c r="CP7" s="31">
        <f t="shared" si="1"/>
        <v>2965</v>
      </c>
      <c r="CQ7" s="31">
        <f t="shared" ref="CQ7:CV7" si="2">SUM(CQ8:CQ777)</f>
        <v>67195</v>
      </c>
      <c r="CR7" s="31">
        <f t="shared" si="2"/>
        <v>160</v>
      </c>
      <c r="CS7" s="31">
        <f t="shared" si="2"/>
        <v>993</v>
      </c>
      <c r="CT7" s="31">
        <f t="shared" si="2"/>
        <v>61376</v>
      </c>
      <c r="CU7" s="31">
        <f t="shared" si="2"/>
        <v>122</v>
      </c>
      <c r="CV7" s="31">
        <f t="shared" si="2"/>
        <v>1486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67355</v>
      </c>
      <c r="DF7" s="38">
        <f t="shared" si="4"/>
        <v>357.36000000000007</v>
      </c>
      <c r="DG7" s="37">
        <f t="shared" si="4"/>
        <v>152.8180733263323</v>
      </c>
      <c r="DH7" s="37">
        <f t="shared" si="4"/>
        <v>61498</v>
      </c>
      <c r="DI7" s="38">
        <f t="shared" si="4"/>
        <v>374.04999999999995</v>
      </c>
      <c r="DJ7" s="37">
        <f t="shared" si="4"/>
        <v>-944.45380196262761</v>
      </c>
      <c r="DK7" s="37">
        <f t="shared" si="4"/>
        <v>128853</v>
      </c>
      <c r="DL7" s="38">
        <f t="shared" si="4"/>
        <v>731.41</v>
      </c>
      <c r="DM7" s="37">
        <f t="shared" si="4"/>
        <v>-791.63572863629565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f>'02.02'!BG8</f>
        <v>25</v>
      </c>
      <c r="U8" s="52"/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0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0</v>
      </c>
      <c r="AE8" s="53">
        <f>IF(V8="","",SUM(W8:AC8))</f>
        <v>0</v>
      </c>
      <c r="AF8" s="54">
        <f>AE8+'02.02'!AF8</f>
        <v>148</v>
      </c>
      <c r="AG8" s="55">
        <f>T8</f>
        <v>25</v>
      </c>
      <c r="AH8" s="56">
        <f t="shared" ref="AH8:AH72" si="13">IFERROR(VALUE("0"&amp;RIGHT(AG8,(LEN(AG8)-LEN(TRUNC(AG8))))),"")</f>
        <v>0</v>
      </c>
      <c r="AI8" s="53"/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0</v>
      </c>
      <c r="AM8" s="55">
        <f>IF(V8="","",AG8+U8-AL8)</f>
        <v>25</v>
      </c>
      <c r="AN8" s="53"/>
      <c r="AO8" s="59"/>
      <c r="AP8" s="59">
        <f t="shared" ref="AP8:AP13" si="14">$CJ8</f>
        <v>0</v>
      </c>
      <c r="AQ8" s="59"/>
      <c r="AR8" s="59"/>
      <c r="AS8" s="59"/>
      <c r="AT8" s="59"/>
      <c r="AU8" s="59">
        <f>CK8</f>
        <v>0</v>
      </c>
      <c r="AV8" s="59">
        <f>CL8</f>
        <v>0</v>
      </c>
      <c r="AW8" s="59">
        <f>SUM(AO8:AV8)</f>
        <v>0</v>
      </c>
      <c r="AX8" s="59">
        <f>IF(V8="","",INT(AW8/$V8))</f>
        <v>0</v>
      </c>
      <c r="AY8" s="55">
        <f>IF(V8="","",AW8-AL8*$E8*$V8)</f>
        <v>0</v>
      </c>
      <c r="AZ8" s="59">
        <f>IF($V8="","",AY8/$V8)</f>
        <v>0</v>
      </c>
      <c r="BA8" s="55">
        <f>AM8</f>
        <v>25</v>
      </c>
      <c r="BB8" s="60">
        <f>VALUE("0"&amp;RIGHT(BA8,(LEN(BA8)-LEN(TRUNC(BA8)))))</f>
        <v>0</v>
      </c>
      <c r="BC8" s="53"/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0</v>
      </c>
      <c r="BG8" s="55">
        <f>IF(AA8="","",BA8-BF8)</f>
        <v>25</v>
      </c>
      <c r="BH8" s="44"/>
      <c r="BI8" s="44"/>
      <c r="BJ8" s="52">
        <f t="shared" ref="BJ8:BJ13" si="15">$CN8</f>
        <v>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0</v>
      </c>
      <c r="BR8" s="59">
        <f>IF(AA8="","",INT(BQ8/$V8))</f>
        <v>0</v>
      </c>
      <c r="BS8" s="59">
        <f>IF(AA8="","",-BF8*$E8*$V8+BQ8)</f>
        <v>0</v>
      </c>
      <c r="BT8" s="59">
        <f>IF($V8="","",BS8/$V8)</f>
        <v>0</v>
      </c>
      <c r="BU8" s="52">
        <f t="shared" ref="BU8:BU71" si="16">IFERROR(AE8,"")</f>
        <v>0</v>
      </c>
      <c r="BV8" s="61">
        <f t="shared" ref="BV8:BV73" si="17">IFERROR(BF8+AL8,"")</f>
        <v>0</v>
      </c>
      <c r="BW8" s="52">
        <f t="shared" ref="BW8:BW71" si="18">IFERROR(BT8+AZ8,"")</f>
        <v>0</v>
      </c>
      <c r="BX8" s="61">
        <f>IF($Q8="","",(BF8+AL8)*$Q8)</f>
        <v>0</v>
      </c>
      <c r="BY8" s="61">
        <f>IFERROR(BF8+AL8,0)</f>
        <v>0</v>
      </c>
      <c r="BZ8" s="62">
        <f>BY8</f>
        <v>0</v>
      </c>
      <c r="CA8" s="51">
        <f>IFERROR((BQ8+AW8)/1000,"")</f>
        <v>0</v>
      </c>
      <c r="CB8" s="63">
        <f t="shared" ref="CB8:CD39" si="19">IFERROR(BR8+AX8,"")</f>
        <v>0</v>
      </c>
      <c r="CC8" s="63">
        <f t="shared" si="19"/>
        <v>0</v>
      </c>
      <c r="CD8" s="63">
        <f t="shared" si="19"/>
        <v>0</v>
      </c>
      <c r="CE8" s="64"/>
      <c r="CF8" s="64"/>
      <c r="CG8" s="51">
        <f>IF(BX8="",0,(BX8-CA8)+((AV8+BP8)/1000))</f>
        <v>0</v>
      </c>
      <c r="CH8" s="62">
        <f>CG8</f>
        <v>0</v>
      </c>
      <c r="CI8" s="44"/>
      <c r="CJ8" s="44"/>
      <c r="CK8" s="44"/>
      <c r="CL8" s="59"/>
      <c r="CM8" s="44"/>
      <c r="CN8" s="44"/>
      <c r="CO8" s="52"/>
      <c r="CP8" s="65"/>
      <c r="CQ8" s="66">
        <f>INT(IFERROR( CJ8/$V8,0))</f>
        <v>0</v>
      </c>
      <c r="CR8" s="66">
        <f t="shared" ref="CR8:CS23" si="20">INT(IFERROR( CK8/$V8,0))</f>
        <v>0</v>
      </c>
      <c r="CS8" s="66">
        <f t="shared" si="20"/>
        <v>0</v>
      </c>
      <c r="CT8" s="63">
        <f>INT(IFERROR( AE8-CQ8-CU8-CR8,0))</f>
        <v>0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0</v>
      </c>
      <c r="DF8" s="72">
        <f t="shared" ref="DF8:DF71" si="22">IFERROR(AL8,"")</f>
        <v>0</v>
      </c>
      <c r="DG8" s="73">
        <f t="shared" ref="DG8:DG71" si="23">IFERROR(AZ8,"")</f>
        <v>0</v>
      </c>
      <c r="DH8" s="74">
        <f t="shared" ref="DH8:DH71" si="24">IFERROR(CT8+CU8,"")</f>
        <v>0</v>
      </c>
      <c r="DI8" s="72">
        <f t="shared" ref="DI8:DI71" si="25">IFERROR(BF8,"")</f>
        <v>0</v>
      </c>
      <c r="DJ8" s="73">
        <f t="shared" ref="DJ8:DJ71" si="26">IFERROR(BT8,"")</f>
        <v>0</v>
      </c>
      <c r="DK8" s="74">
        <f t="shared" ref="DK8:DM23" si="27">IFERROR(DE8+DH8,"")</f>
        <v>0</v>
      </c>
      <c r="DL8" s="72">
        <f t="shared" si="27"/>
        <v>0</v>
      </c>
      <c r="DM8" s="75">
        <f t="shared" si="27"/>
        <v>0</v>
      </c>
      <c r="DN8" s="76">
        <f t="shared" ref="DN8:DO25" si="28">T8</f>
        <v>25</v>
      </c>
      <c r="DO8" s="73">
        <f>U8</f>
        <v>0</v>
      </c>
      <c r="DP8" s="77"/>
      <c r="DQ8" s="77"/>
      <c r="DR8" s="78" t="s">
        <v>417</v>
      </c>
      <c r="DS8" s="77"/>
      <c r="DT8" s="77"/>
      <c r="DU8" s="75"/>
      <c r="DV8" s="79"/>
      <c r="DW8" s="80">
        <f>IFERROR(AL8+BC8,"")</f>
        <v>0</v>
      </c>
      <c r="DX8" s="81">
        <f t="shared" ref="DX8:DX71" si="29">IFERROR(DK8+DL8+DM8,"")</f>
        <v>0</v>
      </c>
      <c r="DY8" s="80">
        <f>CQ8+CR8+CS8+CT8+CU8+CV8</f>
        <v>0</v>
      </c>
      <c r="DZ8">
        <f>IFERROR((AD8*V8/1000),0)</f>
        <v>0</v>
      </c>
      <c r="EA8" s="82">
        <f>IFERROR((AE8*V8/1000),0)</f>
        <v>0</v>
      </c>
      <c r="EB8" s="82">
        <f>BX8-EA8</f>
        <v>0</v>
      </c>
      <c r="EC8" s="82">
        <f t="shared" ref="EC8:EC13" si="30">(BX8-CA8)+((AV8+BP8)/1000)</f>
        <v>0</v>
      </c>
      <c r="EF8" s="83">
        <f>DG8+DJ8</f>
        <v>0</v>
      </c>
    </row>
    <row r="9" spans="1:136" ht="15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1">CONCATENATE(K9,J9,"-",IF(N9="D",L9,IF(N9="H",CONCATENATE(N9,L9),CONCATENATE(N9,L9,"x",M9))),"x",P9,"-",O9,R9)</f>
        <v>TV12L14-10x2.5-H9A14</v>
      </c>
      <c r="H9" s="46" t="str">
        <f t="shared" ref="H9:H72" si="32">CONCATENATE(J9,,K9,L9,M9,N9,O9)</f>
        <v>12L14TV100DH9</v>
      </c>
      <c r="I9" s="46" t="str">
        <f t="shared" ref="I9:I72" si="33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4">ROUND(CY9/E9,0)*2</f>
        <v>70</v>
      </c>
      <c r="T9" s="51">
        <f>'02.02'!BG9</f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5">IF(V9="","",SUM(W9:AC9))</f>
        <v>0</v>
      </c>
      <c r="AF9" s="54">
        <f>AE9+'02.02'!AF9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6">IF(V9="","",IF(AJ9=0,1,AJ9/$V9/$E9))</f>
        <v>1</v>
      </c>
      <c r="AL9" s="58">
        <f t="shared" ref="AL9:AL75" si="37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8">CL9</f>
        <v>0</v>
      </c>
      <c r="AW9" s="96">
        <f t="shared" ref="AW9:AW72" si="39">SUM(AO9:AV9)</f>
        <v>0</v>
      </c>
      <c r="AX9" s="96">
        <f t="shared" ref="AX9:AX72" si="40">IF(V9="","",INT(AW9/$V9))</f>
        <v>0</v>
      </c>
      <c r="AY9" s="94">
        <f>IF(V9="","",AW9-AL9*$E9*$V9)</f>
        <v>0</v>
      </c>
      <c r="AZ9" s="94">
        <f t="shared" ref="AZ9:AZ72" si="41">IF($V9="","",AY9/$V9)</f>
        <v>0</v>
      </c>
      <c r="BA9" s="94">
        <f t="shared" ref="BA9:BA74" si="42">AM9</f>
        <v>0</v>
      </c>
      <c r="BB9" s="97">
        <f t="shared" ref="BB9:BB74" si="43">VALUE("0"&amp;RIGHT(BA9,(LEN(BA9)-LEN(TRUNC(BA9)))))</f>
        <v>0</v>
      </c>
      <c r="BC9" s="93"/>
      <c r="BD9" s="93">
        <f t="shared" ref="BD9:BD72" si="44">$CM9</f>
        <v>0</v>
      </c>
      <c r="BE9" s="95">
        <f t="shared" ref="BE9:BE72" si="45">IF(AA9="","",IF(BD9=0,1,BD9/$V9/$E9))</f>
        <v>1</v>
      </c>
      <c r="BF9" s="58">
        <f t="shared" ref="BF9:BF76" si="46">IF(V9="","",MAX(ROUNDUP((IF(BC9+BD9=0,0,BB9)+BC9+BE9-1),2),0))</f>
        <v>0</v>
      </c>
      <c r="BG9" s="94">
        <f t="shared" ref="BG9:BG72" si="47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8">SUM(BI9:BP9)</f>
        <v>0</v>
      </c>
      <c r="BR9" s="96">
        <f t="shared" ref="BR9:BR72" si="49">IF(AA9="","",INT(BQ9/$V9))</f>
        <v>0</v>
      </c>
      <c r="BS9" s="96">
        <f>IF(AA9="","",-BF9*$E9*$V9+BQ9)</f>
        <v>0</v>
      </c>
      <c r="BT9" s="96">
        <f t="shared" ref="BT9:BT72" si="50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1">IF($Q9="","",(BF9+AL9)*$Q9)</f>
        <v>0</v>
      </c>
      <c r="BY9" s="61">
        <f>IFERROR(BF9+AL9,0)</f>
        <v>0</v>
      </c>
      <c r="BZ9" s="62">
        <f t="shared" ref="BZ9:BZ72" si="52">BY9</f>
        <v>0</v>
      </c>
      <c r="CA9" s="98">
        <f t="shared" ref="CA9:CA72" si="53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4">IF(BX9="",0,(BX9-CA9)+((AV9+BP9)/1000))</f>
        <v>0</v>
      </c>
      <c r="CH9" s="62">
        <f t="shared" ref="CH9:CH72" si="55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6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7">INT(IFERROR( AE9-CQ9-CU9-CR9,0))</f>
        <v>0</v>
      </c>
      <c r="CU9" s="92">
        <f t="shared" ref="CU9:CV24" si="58">INT(IFERROR( AC9-CR9,0))</f>
        <v>0</v>
      </c>
      <c r="CV9" s="103">
        <f t="shared" si="58"/>
        <v>0</v>
      </c>
      <c r="CW9" s="104"/>
      <c r="CX9" s="105">
        <v>67</v>
      </c>
      <c r="CY9" s="106">
        <f t="shared" ref="CY9:CY72" si="59">INT(60/CX9*60*(12-(CEILING((60/CX9*60*12)/E9,1)*IF(CW9="T",0.45,IF(CW9="",5,3))/60)))</f>
        <v>282</v>
      </c>
      <c r="CZ9" s="106">
        <f t="shared" ref="CZ9:CZ72" si="60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si="28"/>
        <v>0</v>
      </c>
      <c r="DO9" s="76">
        <f t="shared" si="28"/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1">IFERROR(BU9+BV9,"")</f>
        <v>0</v>
      </c>
      <c r="DX9" s="81">
        <f t="shared" si="29"/>
        <v>0</v>
      </c>
      <c r="DY9" s="80">
        <f t="shared" ref="DY9:DY72" si="62">CQ9+CR9+CS9+CT9+CU9+CV9</f>
        <v>0</v>
      </c>
      <c r="DZ9">
        <f t="shared" ref="DZ9:DZ72" si="63">IFERROR((AD9*V9/1000),0)</f>
        <v>0</v>
      </c>
      <c r="EA9" s="82">
        <f t="shared" ref="EA9:EA72" si="64">IFERROR((AE9*V9/1000),0)</f>
        <v>0</v>
      </c>
      <c r="EB9" s="82">
        <f t="shared" ref="EB9:EB72" si="65">BX9-EA9</f>
        <v>0</v>
      </c>
      <c r="EC9" s="82">
        <f t="shared" si="30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1"/>
        <v>GWA6063-T5-17x3-H9B15</v>
      </c>
      <c r="H10" s="46" t="str">
        <f t="shared" si="32"/>
        <v>A6063-T5GW170DH9</v>
      </c>
      <c r="I10" s="46" t="str">
        <f t="shared" si="33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4"/>
        <v>22</v>
      </c>
      <c r="T10" s="51">
        <f>'02.02'!BG10</f>
        <v>7</v>
      </c>
      <c r="U10" s="92">
        <v>10</v>
      </c>
      <c r="V10" s="89">
        <v>10.1</v>
      </c>
      <c r="W10" s="93">
        <f t="shared" si="5"/>
        <v>0</v>
      </c>
      <c r="X10" s="93">
        <f t="shared" si="6"/>
        <v>1168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24</v>
      </c>
      <c r="AE10" s="93">
        <f t="shared" si="35"/>
        <v>1168</v>
      </c>
      <c r="AF10" s="54">
        <f>AE10+'02.02'!AF10</f>
        <v>3811</v>
      </c>
      <c r="AG10" s="94">
        <f t="shared" ref="AG10:AG73" si="66">T10</f>
        <v>7</v>
      </c>
      <c r="AH10" s="56">
        <f t="shared" si="13"/>
        <v>0</v>
      </c>
      <c r="AI10" s="89">
        <v>8</v>
      </c>
      <c r="AJ10" s="93">
        <f t="shared" ref="AJ10:AJ73" si="67">$CI10</f>
        <v>0</v>
      </c>
      <c r="AK10" s="95">
        <f t="shared" si="36"/>
        <v>1</v>
      </c>
      <c r="AL10" s="58">
        <f t="shared" si="37"/>
        <v>8</v>
      </c>
      <c r="AM10" s="55">
        <f t="shared" ref="AM10:AM73" si="68">IF(V10="","",AG10+U10-AL10)</f>
        <v>9</v>
      </c>
      <c r="AN10" s="93"/>
      <c r="AO10" s="96"/>
      <c r="AP10" s="96">
        <f t="shared" si="14"/>
        <v>5400</v>
      </c>
      <c r="AQ10" s="96"/>
      <c r="AR10" s="96"/>
      <c r="AS10" s="96"/>
      <c r="AT10" s="96"/>
      <c r="AU10" s="96">
        <f t="shared" si="38"/>
        <v>0</v>
      </c>
      <c r="AV10" s="96">
        <f t="shared" si="38"/>
        <v>60</v>
      </c>
      <c r="AW10" s="96">
        <f t="shared" si="39"/>
        <v>5460</v>
      </c>
      <c r="AX10" s="96">
        <f t="shared" si="40"/>
        <v>540</v>
      </c>
      <c r="AY10" s="94">
        <f t="shared" ref="AY10:AY73" si="69">IF(V10="","",AW10-AL10*$E10*$V10)</f>
        <v>-196</v>
      </c>
      <c r="AZ10" s="94">
        <f t="shared" si="41"/>
        <v>-19.405940594059405</v>
      </c>
      <c r="BA10" s="94">
        <f t="shared" si="42"/>
        <v>9</v>
      </c>
      <c r="BB10" s="97">
        <f t="shared" si="43"/>
        <v>0</v>
      </c>
      <c r="BC10" s="93">
        <v>9</v>
      </c>
      <c r="BD10" s="93">
        <f t="shared" si="44"/>
        <v>0</v>
      </c>
      <c r="BE10" s="95">
        <f t="shared" si="45"/>
        <v>1</v>
      </c>
      <c r="BF10" s="58">
        <f t="shared" si="46"/>
        <v>9</v>
      </c>
      <c r="BG10" s="94">
        <f t="shared" si="47"/>
        <v>0</v>
      </c>
      <c r="BH10" s="89"/>
      <c r="BI10" s="89"/>
      <c r="BJ10" s="92">
        <f t="shared" si="15"/>
        <v>6400</v>
      </c>
      <c r="BK10" s="89"/>
      <c r="BL10" s="89"/>
      <c r="BM10" s="89"/>
      <c r="BN10" s="89"/>
      <c r="BO10" s="92">
        <f t="shared" ref="BO10:BP73" si="70">CO10</f>
        <v>0</v>
      </c>
      <c r="BP10" s="92">
        <f t="shared" si="70"/>
        <v>186</v>
      </c>
      <c r="BQ10" s="96">
        <f t="shared" si="48"/>
        <v>6586</v>
      </c>
      <c r="BR10" s="96">
        <f t="shared" si="49"/>
        <v>652</v>
      </c>
      <c r="BS10" s="96">
        <f t="shared" ref="BS10:BS73" si="71">IF(AA10="","",-BF10*$E10*$V10+BQ10)</f>
        <v>223</v>
      </c>
      <c r="BT10" s="96">
        <f t="shared" si="50"/>
        <v>22.079207920792079</v>
      </c>
      <c r="BU10" s="92">
        <f t="shared" si="16"/>
        <v>1168</v>
      </c>
      <c r="BV10" s="98">
        <f t="shared" si="17"/>
        <v>17</v>
      </c>
      <c r="BW10" s="92">
        <f t="shared" si="18"/>
        <v>2.6732673267326739</v>
      </c>
      <c r="BX10" s="61">
        <f t="shared" si="51"/>
        <v>31.144000000000002</v>
      </c>
      <c r="BY10" s="61">
        <f>IFERROR(BF10+AL10,0)</f>
        <v>17</v>
      </c>
      <c r="BZ10" s="62">
        <f t="shared" si="52"/>
        <v>17</v>
      </c>
      <c r="CA10" s="98">
        <f t="shared" si="53"/>
        <v>12.045999999999999</v>
      </c>
      <c r="CB10" s="92">
        <f t="shared" si="19"/>
        <v>1192</v>
      </c>
      <c r="CC10" s="92">
        <f t="shared" si="19"/>
        <v>27</v>
      </c>
      <c r="CD10" s="92">
        <f t="shared" si="19"/>
        <v>2.6732673267326739</v>
      </c>
      <c r="CE10" s="99"/>
      <c r="CF10" s="99"/>
      <c r="CG10" s="51">
        <f t="shared" si="54"/>
        <v>19.344000000000001</v>
      </c>
      <c r="CH10" s="62">
        <f t="shared" si="55"/>
        <v>19.344000000000001</v>
      </c>
      <c r="CI10" s="89"/>
      <c r="CJ10" s="89">
        <v>5400</v>
      </c>
      <c r="CK10" s="89"/>
      <c r="CL10" s="96">
        <v>60</v>
      </c>
      <c r="CM10" s="89"/>
      <c r="CN10" s="89">
        <v>6400</v>
      </c>
      <c r="CO10" s="92"/>
      <c r="CP10" s="101">
        <v>186</v>
      </c>
      <c r="CQ10" s="102">
        <f t="shared" si="56"/>
        <v>534</v>
      </c>
      <c r="CR10" s="102">
        <f t="shared" si="20"/>
        <v>0</v>
      </c>
      <c r="CS10" s="102">
        <f t="shared" si="20"/>
        <v>5</v>
      </c>
      <c r="CT10" s="92">
        <f t="shared" si="57"/>
        <v>634</v>
      </c>
      <c r="CU10" s="92">
        <f t="shared" si="58"/>
        <v>0</v>
      </c>
      <c r="CV10" s="103">
        <f t="shared" si="58"/>
        <v>19</v>
      </c>
      <c r="CW10" s="104"/>
      <c r="CX10" s="105">
        <v>51</v>
      </c>
      <c r="CY10" s="106">
        <f t="shared" si="59"/>
        <v>770</v>
      </c>
      <c r="CZ10" s="106">
        <f t="shared" si="60"/>
        <v>413.1</v>
      </c>
      <c r="DA10" s="106"/>
      <c r="DB10" s="106"/>
      <c r="DC10" s="105"/>
      <c r="DD10" s="107"/>
      <c r="DE10" s="92">
        <f t="shared" si="21"/>
        <v>534</v>
      </c>
      <c r="DF10" s="108">
        <f t="shared" si="22"/>
        <v>8</v>
      </c>
      <c r="DG10" s="112">
        <f t="shared" si="23"/>
        <v>-19.405940594059405</v>
      </c>
      <c r="DH10" s="110">
        <f t="shared" si="24"/>
        <v>634</v>
      </c>
      <c r="DI10" s="108">
        <f t="shared" si="25"/>
        <v>9</v>
      </c>
      <c r="DJ10" s="115">
        <f t="shared" si="26"/>
        <v>22.079207920792079</v>
      </c>
      <c r="DK10" s="110">
        <f t="shared" si="27"/>
        <v>1168</v>
      </c>
      <c r="DL10" s="108">
        <f t="shared" si="27"/>
        <v>17</v>
      </c>
      <c r="DM10" s="111">
        <f t="shared" si="27"/>
        <v>2.6732673267326739</v>
      </c>
      <c r="DN10" s="76">
        <f t="shared" si="28"/>
        <v>7</v>
      </c>
      <c r="DO10" s="76">
        <f t="shared" si="28"/>
        <v>10</v>
      </c>
      <c r="DP10" s="112"/>
      <c r="DQ10" s="112"/>
      <c r="DR10" s="113" t="s">
        <v>418</v>
      </c>
      <c r="DS10" s="112"/>
      <c r="DT10" s="112"/>
      <c r="DU10" s="111"/>
      <c r="DV10" s="114"/>
      <c r="DW10" s="80">
        <f>IFERROR(AL10+BF10,"")</f>
        <v>17</v>
      </c>
      <c r="DX10" s="81">
        <f t="shared" si="29"/>
        <v>1187.6732673267327</v>
      </c>
      <c r="DY10" s="80">
        <f t="shared" si="62"/>
        <v>1192</v>
      </c>
      <c r="DZ10">
        <f t="shared" si="63"/>
        <v>0.24239999999999998</v>
      </c>
      <c r="EA10" s="82">
        <f t="shared" si="64"/>
        <v>11.796799999999999</v>
      </c>
      <c r="EB10" s="82">
        <f t="shared" si="65"/>
        <v>19.347200000000001</v>
      </c>
      <c r="EC10" s="82">
        <f t="shared" si="30"/>
        <v>19.344000000000001</v>
      </c>
      <c r="EF10" s="83">
        <f t="shared" ref="EF10:EF11" si="72">DG10+DJ10</f>
        <v>2.6732673267326739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1"/>
        <v>TV12L14-11x2.5-H9C14</v>
      </c>
      <c r="H11" s="46" t="str">
        <f t="shared" si="32"/>
        <v>12L14TV110DH9</v>
      </c>
      <c r="I11" s="46" t="str">
        <f t="shared" si="33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4"/>
        <v>12</v>
      </c>
      <c r="T11" s="51">
        <f>'02.02'!BG11</f>
        <v>6.3900000000000006</v>
      </c>
      <c r="U11" s="92">
        <v>14</v>
      </c>
      <c r="V11" s="89">
        <v>2</v>
      </c>
      <c r="W11" s="93">
        <f t="shared" si="5"/>
        <v>0</v>
      </c>
      <c r="X11" s="93">
        <f t="shared" si="6"/>
        <v>4339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0</v>
      </c>
      <c r="AE11" s="93">
        <f t="shared" si="35"/>
        <v>4339</v>
      </c>
      <c r="AF11" s="54">
        <f>AE11+'02.02'!AF11</f>
        <v>9612</v>
      </c>
      <c r="AG11" s="94">
        <f t="shared" si="66"/>
        <v>6.3900000000000006</v>
      </c>
      <c r="AH11" s="56">
        <f t="shared" si="13"/>
        <v>0.39</v>
      </c>
      <c r="AI11" s="89">
        <v>7</v>
      </c>
      <c r="AJ11" s="93">
        <f t="shared" si="67"/>
        <v>0</v>
      </c>
      <c r="AK11" s="95">
        <f t="shared" si="36"/>
        <v>1</v>
      </c>
      <c r="AL11" s="58">
        <f t="shared" si="37"/>
        <v>7.39</v>
      </c>
      <c r="AM11" s="55">
        <f t="shared" si="68"/>
        <v>13</v>
      </c>
      <c r="AN11" s="93"/>
      <c r="AO11" s="96"/>
      <c r="AP11" s="96">
        <f t="shared" si="14"/>
        <v>4329</v>
      </c>
      <c r="AQ11" s="96"/>
      <c r="AR11" s="96"/>
      <c r="AS11" s="96"/>
      <c r="AT11" s="96"/>
      <c r="AU11" s="96">
        <f t="shared" si="38"/>
        <v>0</v>
      </c>
      <c r="AV11" s="96">
        <f t="shared" si="38"/>
        <v>0</v>
      </c>
      <c r="AW11" s="96">
        <f t="shared" si="39"/>
        <v>4329</v>
      </c>
      <c r="AX11" s="96">
        <f t="shared" si="40"/>
        <v>2164</v>
      </c>
      <c r="AY11" s="94">
        <f t="shared" si="69"/>
        <v>146.26000000000022</v>
      </c>
      <c r="AZ11" s="94">
        <f t="shared" si="41"/>
        <v>73.130000000000109</v>
      </c>
      <c r="BA11" s="94">
        <f t="shared" si="42"/>
        <v>13</v>
      </c>
      <c r="BB11" s="97">
        <f t="shared" si="43"/>
        <v>0</v>
      </c>
      <c r="BC11" s="93">
        <v>8</v>
      </c>
      <c r="BD11" s="93">
        <f t="shared" si="44"/>
        <v>0</v>
      </c>
      <c r="BE11" s="95">
        <f t="shared" si="45"/>
        <v>1</v>
      </c>
      <c r="BF11" s="58">
        <f t="shared" si="46"/>
        <v>8</v>
      </c>
      <c r="BG11" s="94">
        <f t="shared" si="47"/>
        <v>5</v>
      </c>
      <c r="BH11" s="89"/>
      <c r="BI11" s="89"/>
      <c r="BJ11" s="92">
        <f t="shared" si="15"/>
        <v>4349</v>
      </c>
      <c r="BK11" s="89"/>
      <c r="BL11" s="89"/>
      <c r="BM11" s="89"/>
      <c r="BN11" s="89"/>
      <c r="BO11" s="92">
        <f t="shared" si="70"/>
        <v>0</v>
      </c>
      <c r="BP11" s="92">
        <f t="shared" si="70"/>
        <v>0</v>
      </c>
      <c r="BQ11" s="96">
        <f t="shared" si="48"/>
        <v>4349</v>
      </c>
      <c r="BR11" s="96">
        <f t="shared" si="49"/>
        <v>2174</v>
      </c>
      <c r="BS11" s="96">
        <f t="shared" si="71"/>
        <v>-179</v>
      </c>
      <c r="BT11" s="96">
        <f t="shared" si="50"/>
        <v>-89.5</v>
      </c>
      <c r="BU11" s="92">
        <f t="shared" si="16"/>
        <v>4339</v>
      </c>
      <c r="BV11" s="98">
        <f t="shared" si="17"/>
        <v>15.39</v>
      </c>
      <c r="BW11" s="92">
        <f t="shared" si="18"/>
        <v>-16.369999999999891</v>
      </c>
      <c r="BX11" s="98" t="str">
        <f t="shared" si="51"/>
        <v/>
      </c>
      <c r="BY11" s="61">
        <f t="shared" ref="BY11:BY73" si="73">IFERROR(BF11+AL11,0)</f>
        <v>15.39</v>
      </c>
      <c r="BZ11" s="62">
        <f t="shared" si="52"/>
        <v>15.39</v>
      </c>
      <c r="CA11" s="98">
        <f t="shared" si="53"/>
        <v>8.6780000000000008</v>
      </c>
      <c r="CB11" s="92">
        <f t="shared" si="19"/>
        <v>4338</v>
      </c>
      <c r="CC11" s="92">
        <f t="shared" si="19"/>
        <v>-32.739999999999782</v>
      </c>
      <c r="CD11" s="92">
        <f t="shared" si="19"/>
        <v>-16.369999999999891</v>
      </c>
      <c r="CE11" s="99"/>
      <c r="CF11" s="99"/>
      <c r="CG11" s="51">
        <f t="shared" si="54"/>
        <v>0</v>
      </c>
      <c r="CH11" s="62">
        <f t="shared" si="55"/>
        <v>0</v>
      </c>
      <c r="CI11" s="89"/>
      <c r="CJ11" s="89">
        <v>4329</v>
      </c>
      <c r="CK11" s="89"/>
      <c r="CL11" s="96"/>
      <c r="CM11" s="89"/>
      <c r="CN11" s="89">
        <v>4349</v>
      </c>
      <c r="CO11" s="92"/>
      <c r="CP11" s="101"/>
      <c r="CQ11" s="102">
        <f t="shared" si="56"/>
        <v>2164</v>
      </c>
      <c r="CR11" s="102">
        <f t="shared" si="20"/>
        <v>0</v>
      </c>
      <c r="CS11" s="102">
        <f t="shared" si="20"/>
        <v>0</v>
      </c>
      <c r="CT11" s="92">
        <f t="shared" si="57"/>
        <v>2175</v>
      </c>
      <c r="CU11" s="92">
        <f t="shared" si="58"/>
        <v>0</v>
      </c>
      <c r="CV11" s="103">
        <f t="shared" si="58"/>
        <v>0</v>
      </c>
      <c r="CW11" s="104"/>
      <c r="CX11" s="105">
        <v>25</v>
      </c>
      <c r="CY11" s="106">
        <f t="shared" si="59"/>
        <v>1644</v>
      </c>
      <c r="CZ11" s="106">
        <f t="shared" si="60"/>
        <v>202.5</v>
      </c>
      <c r="DA11" s="106"/>
      <c r="DB11" s="106"/>
      <c r="DC11" s="105"/>
      <c r="DD11" s="107"/>
      <c r="DE11" s="92">
        <f t="shared" si="21"/>
        <v>2164</v>
      </c>
      <c r="DF11" s="108">
        <f t="shared" si="22"/>
        <v>7.39</v>
      </c>
      <c r="DG11" s="112">
        <f t="shared" si="23"/>
        <v>73.130000000000109</v>
      </c>
      <c r="DH11" s="110">
        <f t="shared" si="24"/>
        <v>2175</v>
      </c>
      <c r="DI11" s="108">
        <f t="shared" si="25"/>
        <v>8</v>
      </c>
      <c r="DJ11" s="112">
        <f t="shared" si="26"/>
        <v>-89.5</v>
      </c>
      <c r="DK11" s="110">
        <f t="shared" si="27"/>
        <v>4339</v>
      </c>
      <c r="DL11" s="108">
        <f t="shared" si="27"/>
        <v>15.39</v>
      </c>
      <c r="DM11" s="111">
        <f t="shared" si="27"/>
        <v>-16.369999999999891</v>
      </c>
      <c r="DN11" s="76">
        <f t="shared" si="28"/>
        <v>6.3900000000000006</v>
      </c>
      <c r="DO11" s="76">
        <f t="shared" si="28"/>
        <v>14</v>
      </c>
      <c r="DP11" s="112"/>
      <c r="DQ11" s="112"/>
      <c r="DR11" s="113" t="s">
        <v>419</v>
      </c>
      <c r="DS11" s="112"/>
      <c r="DT11" s="112"/>
      <c r="DU11" s="111"/>
      <c r="DV11" s="114"/>
      <c r="DW11" s="80">
        <f t="shared" si="61"/>
        <v>4354.3900000000003</v>
      </c>
      <c r="DX11" s="81">
        <f t="shared" si="29"/>
        <v>4338.0200000000004</v>
      </c>
      <c r="DY11" s="80">
        <f t="shared" si="62"/>
        <v>4339</v>
      </c>
      <c r="DZ11" s="82">
        <f t="shared" si="63"/>
        <v>0</v>
      </c>
      <c r="EA11" s="82">
        <f t="shared" si="64"/>
        <v>8.6780000000000008</v>
      </c>
      <c r="EB11" s="82" t="e">
        <f t="shared" si="65"/>
        <v>#VALUE!</v>
      </c>
      <c r="EC11" s="82" t="e">
        <f t="shared" si="30"/>
        <v>#VALUE!</v>
      </c>
      <c r="EF11" s="83">
        <f t="shared" si="72"/>
        <v>-16.369999999999891</v>
      </c>
    </row>
    <row r="12" spans="1:136" ht="15" customHeight="1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1"/>
        <v>DCC3604-10x3-H9B12</v>
      </c>
      <c r="H12" s="46" t="str">
        <f t="shared" si="32"/>
        <v>C3604DC100DH9</v>
      </c>
      <c r="I12" s="46" t="str">
        <f t="shared" si="33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4"/>
        <v>26</v>
      </c>
      <c r="T12" s="51">
        <f>'02.02'!BG12</f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5"/>
        <v>0</v>
      </c>
      <c r="AF12" s="54">
        <f>AE12+'02.02'!AF12</f>
        <v>0</v>
      </c>
      <c r="AG12" s="94">
        <f t="shared" si="66"/>
        <v>0</v>
      </c>
      <c r="AH12" s="56">
        <f t="shared" si="13"/>
        <v>0</v>
      </c>
      <c r="AI12" s="89"/>
      <c r="AJ12" s="93">
        <f t="shared" si="67"/>
        <v>0</v>
      </c>
      <c r="AK12" s="95">
        <f t="shared" si="36"/>
        <v>1</v>
      </c>
      <c r="AL12" s="58">
        <f t="shared" si="37"/>
        <v>0</v>
      </c>
      <c r="AM12" s="55">
        <f t="shared" si="68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8"/>
        <v>0</v>
      </c>
      <c r="AV12" s="96">
        <f t="shared" si="38"/>
        <v>0</v>
      </c>
      <c r="AW12" s="96">
        <f t="shared" si="39"/>
        <v>0</v>
      </c>
      <c r="AX12" s="96">
        <f t="shared" si="40"/>
        <v>0</v>
      </c>
      <c r="AY12" s="94">
        <f t="shared" si="69"/>
        <v>0</v>
      </c>
      <c r="AZ12" s="94">
        <f t="shared" si="41"/>
        <v>0</v>
      </c>
      <c r="BA12" s="94">
        <f t="shared" si="42"/>
        <v>0</v>
      </c>
      <c r="BB12" s="97">
        <f t="shared" si="43"/>
        <v>0</v>
      </c>
      <c r="BC12" s="93"/>
      <c r="BD12" s="93">
        <f t="shared" si="44"/>
        <v>0</v>
      </c>
      <c r="BE12" s="95">
        <f t="shared" si="45"/>
        <v>1</v>
      </c>
      <c r="BF12" s="58">
        <f t="shared" si="46"/>
        <v>0</v>
      </c>
      <c r="BG12" s="94">
        <f t="shared" si="47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0"/>
        <v>0</v>
      </c>
      <c r="BP12" s="92">
        <f t="shared" si="70"/>
        <v>0</v>
      </c>
      <c r="BQ12" s="96">
        <f t="shared" si="48"/>
        <v>0</v>
      </c>
      <c r="BR12" s="96">
        <f t="shared" si="49"/>
        <v>0</v>
      </c>
      <c r="BS12" s="96">
        <f t="shared" si="71"/>
        <v>0</v>
      </c>
      <c r="BT12" s="96">
        <f t="shared" si="50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1"/>
        <v>0</v>
      </c>
      <c r="BY12" s="61">
        <f>IFERROR(BF12+AL12,0)</f>
        <v>0</v>
      </c>
      <c r="BZ12" s="62">
        <f t="shared" si="52"/>
        <v>0</v>
      </c>
      <c r="CA12" s="98">
        <f t="shared" si="53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4"/>
        <v>0</v>
      </c>
      <c r="CH12" s="62">
        <f t="shared" si="55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6"/>
        <v>0</v>
      </c>
      <c r="CR12" s="102">
        <f t="shared" si="20"/>
        <v>0</v>
      </c>
      <c r="CS12" s="102">
        <f t="shared" si="20"/>
        <v>0</v>
      </c>
      <c r="CT12" s="92">
        <f t="shared" si="57"/>
        <v>0</v>
      </c>
      <c r="CU12" s="92">
        <f t="shared" si="58"/>
        <v>0</v>
      </c>
      <c r="CV12" s="103">
        <f t="shared" si="58"/>
        <v>0</v>
      </c>
      <c r="CW12" s="104"/>
      <c r="CX12" s="105">
        <v>24</v>
      </c>
      <c r="CY12" s="106">
        <f t="shared" si="59"/>
        <v>1612</v>
      </c>
      <c r="CZ12" s="106">
        <f t="shared" si="60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28"/>
        <v>0</v>
      </c>
      <c r="DO12" s="76">
        <f t="shared" si="28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1"/>
        <v>0</v>
      </c>
      <c r="DX12" s="81">
        <f t="shared" si="29"/>
        <v>0</v>
      </c>
      <c r="DY12" s="80">
        <f t="shared" si="62"/>
        <v>0</v>
      </c>
      <c r="DZ12" s="82">
        <f t="shared" si="63"/>
        <v>0</v>
      </c>
      <c r="EA12" s="82">
        <f t="shared" si="64"/>
        <v>0</v>
      </c>
      <c r="EB12" s="82">
        <f t="shared" si="65"/>
        <v>0</v>
      </c>
      <c r="EC12" s="82">
        <f t="shared" si="30"/>
        <v>0</v>
      </c>
    </row>
    <row r="13" spans="1:136" ht="15" customHeight="1">
      <c r="A13" s="84">
        <v>6</v>
      </c>
      <c r="B13" s="85" t="s">
        <v>151</v>
      </c>
      <c r="C13" s="86"/>
      <c r="D13" s="117">
        <v>10620</v>
      </c>
      <c r="E13" s="88">
        <v>127</v>
      </c>
      <c r="F13" s="89" t="s">
        <v>128</v>
      </c>
      <c r="G13" s="45" t="str">
        <f t="shared" si="31"/>
        <v>DCC3604-10x3-H9B12</v>
      </c>
      <c r="H13" s="46" t="str">
        <f t="shared" si="32"/>
        <v>C3604DC100DH9</v>
      </c>
      <c r="I13" s="46" t="str">
        <f t="shared" si="33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4"/>
        <v>40</v>
      </c>
      <c r="T13" s="51">
        <f>'02.02'!BG13</f>
        <v>18</v>
      </c>
      <c r="U13" s="92">
        <v>22</v>
      </c>
      <c r="V13" s="89">
        <v>7.64</v>
      </c>
      <c r="W13" s="93">
        <f t="shared" si="5"/>
        <v>0</v>
      </c>
      <c r="X13" s="93">
        <f t="shared" si="6"/>
        <v>1857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32</v>
      </c>
      <c r="AE13" s="93">
        <f t="shared" si="35"/>
        <v>1857</v>
      </c>
      <c r="AF13" s="54">
        <f>AE13+'02.02'!AF13</f>
        <v>4402</v>
      </c>
      <c r="AG13" s="94">
        <f t="shared" si="66"/>
        <v>18</v>
      </c>
      <c r="AH13" s="56">
        <f t="shared" si="13"/>
        <v>0</v>
      </c>
      <c r="AI13" s="89">
        <v>13</v>
      </c>
      <c r="AJ13" s="93">
        <f t="shared" si="67"/>
        <v>0</v>
      </c>
      <c r="AK13" s="95">
        <f t="shared" si="36"/>
        <v>1</v>
      </c>
      <c r="AL13" s="58">
        <f t="shared" si="37"/>
        <v>13</v>
      </c>
      <c r="AM13" s="55">
        <f t="shared" si="68"/>
        <v>27</v>
      </c>
      <c r="AN13" s="93"/>
      <c r="AO13" s="96"/>
      <c r="AP13" s="96">
        <f t="shared" si="14"/>
        <v>11744</v>
      </c>
      <c r="AQ13" s="96"/>
      <c r="AR13" s="96"/>
      <c r="AS13" s="96"/>
      <c r="AT13" s="96"/>
      <c r="AU13" s="96">
        <f t="shared" si="38"/>
        <v>0</v>
      </c>
      <c r="AV13" s="96">
        <f t="shared" si="38"/>
        <v>250</v>
      </c>
      <c r="AW13" s="96">
        <f t="shared" si="39"/>
        <v>11994</v>
      </c>
      <c r="AX13" s="96">
        <f t="shared" si="40"/>
        <v>1569</v>
      </c>
      <c r="AY13" s="94">
        <f t="shared" si="69"/>
        <v>-619.63999999999942</v>
      </c>
      <c r="AZ13" s="94">
        <f t="shared" si="41"/>
        <v>-81.104712041884738</v>
      </c>
      <c r="BA13" s="94">
        <f t="shared" si="42"/>
        <v>27</v>
      </c>
      <c r="BB13" s="97">
        <f t="shared" si="43"/>
        <v>0</v>
      </c>
      <c r="BC13" s="93">
        <v>3</v>
      </c>
      <c r="BD13" s="93">
        <f t="shared" si="44"/>
        <v>0</v>
      </c>
      <c r="BE13" s="95">
        <f t="shared" si="45"/>
        <v>1</v>
      </c>
      <c r="BF13" s="58">
        <f t="shared" si="46"/>
        <v>3</v>
      </c>
      <c r="BG13" s="94">
        <f t="shared" si="47"/>
        <v>24</v>
      </c>
      <c r="BH13" s="89"/>
      <c r="BI13" s="89"/>
      <c r="BJ13" s="92">
        <f t="shared" si="15"/>
        <v>2444</v>
      </c>
      <c r="BK13" s="89"/>
      <c r="BL13" s="89"/>
      <c r="BM13" s="89"/>
      <c r="BN13" s="89"/>
      <c r="BO13" s="92">
        <f t="shared" si="70"/>
        <v>0</v>
      </c>
      <c r="BP13" s="92">
        <f t="shared" si="70"/>
        <v>0</v>
      </c>
      <c r="BQ13" s="96">
        <f t="shared" si="48"/>
        <v>2444</v>
      </c>
      <c r="BR13" s="96">
        <f t="shared" si="49"/>
        <v>319</v>
      </c>
      <c r="BS13" s="96">
        <f t="shared" si="71"/>
        <v>-466.83999999999969</v>
      </c>
      <c r="BT13" s="96">
        <f t="shared" si="50"/>
        <v>-61.104712041884781</v>
      </c>
      <c r="BU13" s="92">
        <f t="shared" si="16"/>
        <v>1857</v>
      </c>
      <c r="BV13" s="98">
        <f t="shared" si="17"/>
        <v>16</v>
      </c>
      <c r="BW13" s="92">
        <f t="shared" si="18"/>
        <v>-142.20942408376953</v>
      </c>
      <c r="BX13" s="98">
        <f t="shared" si="51"/>
        <v>32</v>
      </c>
      <c r="BY13" s="61">
        <f t="shared" si="73"/>
        <v>16</v>
      </c>
      <c r="BZ13" s="62">
        <f t="shared" si="52"/>
        <v>16</v>
      </c>
      <c r="CA13" s="98">
        <f t="shared" si="53"/>
        <v>14.438000000000001</v>
      </c>
      <c r="CB13" s="92">
        <f t="shared" si="19"/>
        <v>1888</v>
      </c>
      <c r="CC13" s="92">
        <f t="shared" si="19"/>
        <v>-1086.4799999999991</v>
      </c>
      <c r="CD13" s="92">
        <f t="shared" si="19"/>
        <v>-142.20942408376953</v>
      </c>
      <c r="CE13" s="99"/>
      <c r="CF13" s="99"/>
      <c r="CG13" s="51">
        <f t="shared" si="54"/>
        <v>17.811999999999998</v>
      </c>
      <c r="CH13" s="62">
        <f t="shared" si="55"/>
        <v>17.811999999999998</v>
      </c>
      <c r="CI13" s="89"/>
      <c r="CJ13" s="89">
        <v>11744</v>
      </c>
      <c r="CK13" s="89"/>
      <c r="CL13" s="96">
        <v>250</v>
      </c>
      <c r="CM13" s="89"/>
      <c r="CN13" s="89">
        <v>2444</v>
      </c>
      <c r="CO13" s="92"/>
      <c r="CP13" s="101"/>
      <c r="CQ13" s="102">
        <f t="shared" si="56"/>
        <v>1537</v>
      </c>
      <c r="CR13" s="102">
        <f t="shared" si="20"/>
        <v>0</v>
      </c>
      <c r="CS13" s="102">
        <f t="shared" si="20"/>
        <v>32</v>
      </c>
      <c r="CT13" s="92">
        <f t="shared" si="57"/>
        <v>320</v>
      </c>
      <c r="CU13" s="92">
        <f t="shared" si="58"/>
        <v>0</v>
      </c>
      <c r="CV13" s="103">
        <f t="shared" si="58"/>
        <v>0</v>
      </c>
      <c r="CW13" s="104"/>
      <c r="CX13" s="105">
        <v>14</v>
      </c>
      <c r="CY13" s="106">
        <f t="shared" si="59"/>
        <v>2550</v>
      </c>
      <c r="CZ13" s="106">
        <f t="shared" si="60"/>
        <v>113.4</v>
      </c>
      <c r="DA13" s="106"/>
      <c r="DB13" s="106"/>
      <c r="DC13" s="105"/>
      <c r="DD13" s="107"/>
      <c r="DE13" s="92">
        <f t="shared" si="21"/>
        <v>1537</v>
      </c>
      <c r="DF13" s="108">
        <f t="shared" si="22"/>
        <v>13</v>
      </c>
      <c r="DG13" s="112">
        <f t="shared" si="23"/>
        <v>-81.104712041884738</v>
      </c>
      <c r="DH13" s="110">
        <f t="shared" si="24"/>
        <v>320</v>
      </c>
      <c r="DI13" s="108">
        <f t="shared" si="25"/>
        <v>3</v>
      </c>
      <c r="DJ13" s="112">
        <f t="shared" si="26"/>
        <v>-61.104712041884781</v>
      </c>
      <c r="DK13" s="110">
        <f t="shared" si="27"/>
        <v>1857</v>
      </c>
      <c r="DL13" s="108">
        <f t="shared" si="27"/>
        <v>16</v>
      </c>
      <c r="DM13" s="111">
        <f t="shared" si="27"/>
        <v>-142.20942408376953</v>
      </c>
      <c r="DN13" s="76">
        <f t="shared" si="28"/>
        <v>18</v>
      </c>
      <c r="DO13" s="76">
        <f t="shared" si="28"/>
        <v>22</v>
      </c>
      <c r="DP13" s="112"/>
      <c r="DQ13" s="112"/>
      <c r="DR13" s="113" t="s">
        <v>420</v>
      </c>
      <c r="DS13" s="112"/>
      <c r="DT13" s="112"/>
      <c r="DU13" s="111"/>
      <c r="DV13" s="114"/>
      <c r="DW13" s="80">
        <f t="shared" si="61"/>
        <v>1873</v>
      </c>
      <c r="DX13" s="81">
        <f t="shared" si="29"/>
        <v>1730.7905759162304</v>
      </c>
      <c r="DY13" s="80">
        <f t="shared" si="62"/>
        <v>1889</v>
      </c>
      <c r="DZ13" s="82">
        <f t="shared" si="63"/>
        <v>0.24448</v>
      </c>
      <c r="EA13" s="82">
        <f t="shared" si="64"/>
        <v>14.187479999999999</v>
      </c>
      <c r="EB13" s="82">
        <f t="shared" si="65"/>
        <v>17.812519999999999</v>
      </c>
      <c r="EC13" s="82">
        <f t="shared" si="30"/>
        <v>17.811999999999998</v>
      </c>
    </row>
    <row r="14" spans="1:136" ht="15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1"/>
        <v>IBC3602-7.5x3-H9A14</v>
      </c>
      <c r="H14" s="46" t="str">
        <f t="shared" si="32"/>
        <v>C3602IB7.50DH9</v>
      </c>
      <c r="I14" s="46" t="str">
        <f t="shared" si="33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4"/>
        <v>100</v>
      </c>
      <c r="T14" s="51">
        <f>'02.02'!BG14</f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5"/>
        <v>0</v>
      </c>
      <c r="AF14" s="54">
        <f>AE14+'02.02'!AF14</f>
        <v>0</v>
      </c>
      <c r="AG14" s="94">
        <f t="shared" si="66"/>
        <v>0</v>
      </c>
      <c r="AH14" s="56">
        <f t="shared" si="13"/>
        <v>0</v>
      </c>
      <c r="AI14" s="89"/>
      <c r="AJ14" s="93">
        <f t="shared" si="67"/>
        <v>0</v>
      </c>
      <c r="AK14" s="95">
        <f t="shared" si="36"/>
        <v>1</v>
      </c>
      <c r="AL14" s="58">
        <f t="shared" si="37"/>
        <v>0</v>
      </c>
      <c r="AM14" s="55">
        <f t="shared" si="68"/>
        <v>0</v>
      </c>
      <c r="AN14" s="93"/>
      <c r="AO14" s="96"/>
      <c r="AP14" s="96"/>
      <c r="AQ14" s="96"/>
      <c r="AR14" s="96"/>
      <c r="AS14" s="96"/>
      <c r="AT14" s="96">
        <f t="shared" ref="AT14" si="74">$CJ14</f>
        <v>0</v>
      </c>
      <c r="AU14" s="96">
        <f t="shared" si="38"/>
        <v>0</v>
      </c>
      <c r="AV14" s="96">
        <f t="shared" si="38"/>
        <v>0</v>
      </c>
      <c r="AW14" s="96">
        <f t="shared" si="39"/>
        <v>0</v>
      </c>
      <c r="AX14" s="96">
        <f t="shared" si="40"/>
        <v>0</v>
      </c>
      <c r="AY14" s="94">
        <f t="shared" si="69"/>
        <v>0</v>
      </c>
      <c r="AZ14" s="94">
        <f t="shared" si="41"/>
        <v>0</v>
      </c>
      <c r="BA14" s="94">
        <f t="shared" si="42"/>
        <v>0</v>
      </c>
      <c r="BB14" s="97">
        <f t="shared" si="43"/>
        <v>0</v>
      </c>
      <c r="BC14" s="93"/>
      <c r="BD14" s="93">
        <f t="shared" si="44"/>
        <v>0</v>
      </c>
      <c r="BE14" s="95">
        <f t="shared" si="45"/>
        <v>1</v>
      </c>
      <c r="BF14" s="58">
        <f t="shared" si="46"/>
        <v>0</v>
      </c>
      <c r="BG14" s="94">
        <f t="shared" si="47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0"/>
        <v>0</v>
      </c>
      <c r="BP14" s="92">
        <f t="shared" si="70"/>
        <v>0</v>
      </c>
      <c r="BQ14" s="96">
        <f t="shared" si="48"/>
        <v>0</v>
      </c>
      <c r="BR14" s="96">
        <f t="shared" si="49"/>
        <v>0</v>
      </c>
      <c r="BS14" s="96">
        <f t="shared" si="71"/>
        <v>0</v>
      </c>
      <c r="BT14" s="96">
        <f t="shared" si="50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1"/>
        <v>0</v>
      </c>
      <c r="BY14" s="61">
        <f t="shared" si="73"/>
        <v>0</v>
      </c>
      <c r="BZ14" s="62">
        <f t="shared" si="52"/>
        <v>0</v>
      </c>
      <c r="CA14" s="98">
        <f t="shared" si="53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4"/>
        <v>0</v>
      </c>
      <c r="CH14" s="62">
        <f t="shared" si="55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6"/>
        <v>0</v>
      </c>
      <c r="CR14" s="102">
        <f t="shared" si="20"/>
        <v>0</v>
      </c>
      <c r="CS14" s="102">
        <f t="shared" si="20"/>
        <v>0</v>
      </c>
      <c r="CT14" s="92">
        <f t="shared" si="57"/>
        <v>0</v>
      </c>
      <c r="CU14" s="92">
        <f t="shared" si="58"/>
        <v>0</v>
      </c>
      <c r="CV14" s="103">
        <f t="shared" si="58"/>
        <v>0</v>
      </c>
      <c r="CW14" s="104" t="s">
        <v>157</v>
      </c>
      <c r="CX14" s="105">
        <v>14</v>
      </c>
      <c r="CY14" s="106">
        <f t="shared" si="59"/>
        <v>2985</v>
      </c>
      <c r="CZ14" s="106">
        <f t="shared" si="60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28"/>
        <v>0</v>
      </c>
      <c r="DO14" s="76">
        <f t="shared" si="28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1"/>
        <v>0</v>
      </c>
      <c r="DX14" s="81">
        <f t="shared" si="29"/>
        <v>0</v>
      </c>
      <c r="DY14" s="80">
        <f t="shared" si="62"/>
        <v>0</v>
      </c>
      <c r="DZ14" s="82">
        <f t="shared" si="63"/>
        <v>0</v>
      </c>
      <c r="EA14" s="82">
        <f t="shared" si="64"/>
        <v>0</v>
      </c>
      <c r="EB14" s="82">
        <f t="shared" si="65"/>
        <v>0</v>
      </c>
      <c r="EC14" s="82">
        <f>(BX14-CA14)+((AV14+BP14)/1000)</f>
        <v>0</v>
      </c>
    </row>
    <row r="15" spans="1:136">
      <c r="A15" s="84">
        <v>8</v>
      </c>
      <c r="B15" s="85" t="s">
        <v>158</v>
      </c>
      <c r="C15" s="86"/>
      <c r="D15" s="163" t="s">
        <v>159</v>
      </c>
      <c r="E15" s="88">
        <v>30</v>
      </c>
      <c r="F15" s="89" t="s">
        <v>136</v>
      </c>
      <c r="G15" s="45" t="str">
        <f t="shared" si="31"/>
        <v>TV12L14-H6x2.5-H11A14</v>
      </c>
      <c r="H15" s="46" t="str">
        <f t="shared" si="32"/>
        <v>12L14TV60HH11</v>
      </c>
      <c r="I15" s="46" t="str">
        <f t="shared" si="33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4"/>
        <v>50</v>
      </c>
      <c r="T15" s="51">
        <f>'02.02'!BG15</f>
        <v>0</v>
      </c>
      <c r="U15" s="92"/>
      <c r="V15" s="89">
        <v>16.149999999999999</v>
      </c>
      <c r="W15" s="93">
        <f t="shared" si="5"/>
        <v>587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33</v>
      </c>
      <c r="AE15" s="93">
        <f t="shared" si="35"/>
        <v>587</v>
      </c>
      <c r="AF15" s="54">
        <f>AE15+'02.02'!AF15</f>
        <v>587</v>
      </c>
      <c r="AG15" s="94">
        <f t="shared" si="66"/>
        <v>0</v>
      </c>
      <c r="AH15" s="56">
        <f t="shared" si="13"/>
        <v>0</v>
      </c>
      <c r="AI15" s="89"/>
      <c r="AJ15" s="93">
        <f t="shared" si="67"/>
        <v>0</v>
      </c>
      <c r="AK15" s="95">
        <f t="shared" si="36"/>
        <v>1</v>
      </c>
      <c r="AL15" s="58">
        <f t="shared" si="37"/>
        <v>0</v>
      </c>
      <c r="AM15" s="55">
        <f t="shared" si="68"/>
        <v>0</v>
      </c>
      <c r="AN15" s="93"/>
      <c r="AO15" s="96">
        <f>$CJ15</f>
        <v>0</v>
      </c>
      <c r="AP15" s="96"/>
      <c r="AQ15" s="96"/>
      <c r="AR15" s="96"/>
      <c r="AS15" s="96"/>
      <c r="AT15" s="96"/>
      <c r="AU15" s="96">
        <f t="shared" si="38"/>
        <v>0</v>
      </c>
      <c r="AV15" s="96">
        <f t="shared" si="38"/>
        <v>0</v>
      </c>
      <c r="AW15" s="96">
        <f t="shared" si="39"/>
        <v>0</v>
      </c>
      <c r="AX15" s="96">
        <f t="shared" si="40"/>
        <v>0</v>
      </c>
      <c r="AY15" s="94">
        <f t="shared" si="69"/>
        <v>0</v>
      </c>
      <c r="AZ15" s="94">
        <f t="shared" si="41"/>
        <v>0</v>
      </c>
      <c r="BA15" s="94">
        <f t="shared" si="42"/>
        <v>0</v>
      </c>
      <c r="BB15" s="97">
        <f t="shared" si="43"/>
        <v>0</v>
      </c>
      <c r="BC15" s="93">
        <v>24</v>
      </c>
      <c r="BD15" s="93">
        <f t="shared" si="44"/>
        <v>0</v>
      </c>
      <c r="BE15" s="95">
        <f t="shared" si="45"/>
        <v>1</v>
      </c>
      <c r="BF15" s="58">
        <f t="shared" si="46"/>
        <v>24</v>
      </c>
      <c r="BG15" s="94">
        <f t="shared" si="47"/>
        <v>-24</v>
      </c>
      <c r="BH15" s="89"/>
      <c r="BI15" s="92">
        <f>$CN15</f>
        <v>9491</v>
      </c>
      <c r="BJ15" s="89"/>
      <c r="BK15" s="89"/>
      <c r="BL15" s="89"/>
      <c r="BM15" s="89"/>
      <c r="BN15" s="89"/>
      <c r="BO15" s="92">
        <f t="shared" si="70"/>
        <v>0</v>
      </c>
      <c r="BP15" s="92">
        <f t="shared" si="70"/>
        <v>533</v>
      </c>
      <c r="BQ15" s="96">
        <f t="shared" si="48"/>
        <v>10024</v>
      </c>
      <c r="BR15" s="96">
        <f t="shared" si="49"/>
        <v>620</v>
      </c>
      <c r="BS15" s="96">
        <f t="shared" si="71"/>
        <v>-1603.9999999999982</v>
      </c>
      <c r="BT15" s="96">
        <f t="shared" si="50"/>
        <v>-99.318885448916305</v>
      </c>
      <c r="BU15" s="92">
        <f t="shared" si="16"/>
        <v>587</v>
      </c>
      <c r="BV15" s="98">
        <f t="shared" si="17"/>
        <v>24</v>
      </c>
      <c r="BW15" s="92">
        <f t="shared" si="18"/>
        <v>-99.318885448916305</v>
      </c>
      <c r="BX15" s="98">
        <f t="shared" si="51"/>
        <v>14.544</v>
      </c>
      <c r="BY15" s="61">
        <f t="shared" si="73"/>
        <v>24</v>
      </c>
      <c r="BZ15" s="62">
        <f t="shared" si="52"/>
        <v>24</v>
      </c>
      <c r="CA15" s="98">
        <f t="shared" si="53"/>
        <v>10.023999999999999</v>
      </c>
      <c r="CB15" s="92">
        <f t="shared" si="19"/>
        <v>620</v>
      </c>
      <c r="CC15" s="92">
        <f t="shared" si="19"/>
        <v>-1603.9999999999982</v>
      </c>
      <c r="CD15" s="92">
        <f t="shared" si="19"/>
        <v>-99.318885448916305</v>
      </c>
      <c r="CE15" s="99"/>
      <c r="CF15" s="99"/>
      <c r="CG15" s="51">
        <f t="shared" si="54"/>
        <v>5.0530000000000017</v>
      </c>
      <c r="CH15" s="62">
        <f t="shared" si="55"/>
        <v>5.0530000000000017</v>
      </c>
      <c r="CI15" s="89"/>
      <c r="CJ15" s="89"/>
      <c r="CK15" s="89"/>
      <c r="CL15" s="96"/>
      <c r="CM15" s="89"/>
      <c r="CN15" s="89">
        <v>9491</v>
      </c>
      <c r="CO15" s="92"/>
      <c r="CP15" s="101">
        <v>533</v>
      </c>
      <c r="CQ15" s="102">
        <f t="shared" si="56"/>
        <v>0</v>
      </c>
      <c r="CR15" s="102">
        <f t="shared" si="20"/>
        <v>0</v>
      </c>
      <c r="CS15" s="102">
        <f t="shared" si="20"/>
        <v>0</v>
      </c>
      <c r="CT15" s="92">
        <f t="shared" si="57"/>
        <v>587</v>
      </c>
      <c r="CU15" s="92">
        <f t="shared" si="58"/>
        <v>0</v>
      </c>
      <c r="CV15" s="103">
        <f t="shared" si="58"/>
        <v>33</v>
      </c>
      <c r="CW15" s="104"/>
      <c r="CX15" s="105">
        <v>45</v>
      </c>
      <c r="CY15" s="106">
        <f t="shared" si="59"/>
        <v>746</v>
      </c>
      <c r="CZ15" s="106">
        <f t="shared" si="60"/>
        <v>364.5</v>
      </c>
      <c r="DA15" s="106"/>
      <c r="DB15" s="106"/>
      <c r="DC15" s="105"/>
      <c r="DD15" s="107"/>
      <c r="DE15" s="92">
        <f t="shared" si="21"/>
        <v>0</v>
      </c>
      <c r="DF15" s="108">
        <f t="shared" si="22"/>
        <v>0</v>
      </c>
      <c r="DG15" s="112">
        <f t="shared" si="23"/>
        <v>0</v>
      </c>
      <c r="DH15" s="110">
        <f t="shared" si="24"/>
        <v>587</v>
      </c>
      <c r="DI15" s="108">
        <f t="shared" si="25"/>
        <v>24</v>
      </c>
      <c r="DJ15" s="115">
        <f t="shared" si="26"/>
        <v>-99.318885448916305</v>
      </c>
      <c r="DK15" s="110">
        <f t="shared" si="27"/>
        <v>587</v>
      </c>
      <c r="DL15" s="108">
        <f t="shared" si="27"/>
        <v>24</v>
      </c>
      <c r="DM15" s="111">
        <f t="shared" si="27"/>
        <v>-99.318885448916305</v>
      </c>
      <c r="DN15" s="76">
        <f t="shared" si="28"/>
        <v>0</v>
      </c>
      <c r="DO15" s="76">
        <f t="shared" si="28"/>
        <v>0</v>
      </c>
      <c r="DP15" s="112"/>
      <c r="DQ15" s="112"/>
      <c r="DR15" s="113"/>
      <c r="DS15" s="112"/>
      <c r="DT15" s="112"/>
      <c r="DU15" s="111"/>
      <c r="DV15" s="114"/>
      <c r="DW15" s="80">
        <f t="shared" si="61"/>
        <v>611</v>
      </c>
      <c r="DX15" s="81">
        <f t="shared" si="29"/>
        <v>511.68111455108368</v>
      </c>
      <c r="DY15" s="80">
        <f t="shared" si="62"/>
        <v>620</v>
      </c>
      <c r="DZ15" s="82">
        <f t="shared" si="63"/>
        <v>0.53294999999999992</v>
      </c>
      <c r="EA15" s="82">
        <f t="shared" si="64"/>
        <v>9.4800499999999985</v>
      </c>
      <c r="EB15" s="82">
        <f t="shared" si="65"/>
        <v>5.0639500000000019</v>
      </c>
      <c r="EC15" s="82">
        <f t="shared" ref="EC15:EC78" si="75">EB15+DZ15</f>
        <v>5.5969000000000015</v>
      </c>
      <c r="EF15" s="83">
        <f t="shared" ref="EF15:EF18" si="76">DG15+DJ15</f>
        <v>-99.318885448916305</v>
      </c>
    </row>
    <row r="16" spans="1:136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1"/>
        <v>GWA6063-T5-T18.15x8.6x3-H9A15</v>
      </c>
      <c r="H16" s="46" t="str">
        <f t="shared" si="32"/>
        <v>A6063-T5GW18.158.6TH9</v>
      </c>
      <c r="I16" s="46" t="str">
        <f t="shared" si="33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4"/>
        <v>14</v>
      </c>
      <c r="T16" s="51">
        <f>'02.02'!BG16</f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5"/>
        <v>0</v>
      </c>
      <c r="AF16" s="54">
        <f>AE16+'02.02'!AF16</f>
        <v>0</v>
      </c>
      <c r="AG16" s="94">
        <f t="shared" si="66"/>
        <v>0</v>
      </c>
      <c r="AH16" s="56">
        <f t="shared" si="13"/>
        <v>0</v>
      </c>
      <c r="AI16" s="89"/>
      <c r="AJ16" s="93">
        <f t="shared" si="67"/>
        <v>0</v>
      </c>
      <c r="AK16" s="95">
        <f t="shared" si="36"/>
        <v>1</v>
      </c>
      <c r="AL16" s="58">
        <f t="shared" si="37"/>
        <v>0</v>
      </c>
      <c r="AM16" s="55">
        <f t="shared" si="68"/>
        <v>0</v>
      </c>
      <c r="AN16" s="93"/>
      <c r="AO16" s="96"/>
      <c r="AP16" s="96">
        <f t="shared" ref="AP16:AP19" si="77">$CJ16</f>
        <v>0</v>
      </c>
      <c r="AQ16" s="96"/>
      <c r="AR16" s="96"/>
      <c r="AS16" s="96"/>
      <c r="AT16" s="96"/>
      <c r="AU16" s="96">
        <f t="shared" si="38"/>
        <v>0</v>
      </c>
      <c r="AV16" s="96">
        <f t="shared" si="38"/>
        <v>0</v>
      </c>
      <c r="AW16" s="96">
        <f t="shared" si="39"/>
        <v>0</v>
      </c>
      <c r="AX16" s="96">
        <f t="shared" si="40"/>
        <v>0</v>
      </c>
      <c r="AY16" s="94">
        <f t="shared" si="69"/>
        <v>0</v>
      </c>
      <c r="AZ16" s="94">
        <f t="shared" si="41"/>
        <v>0</v>
      </c>
      <c r="BA16" s="94">
        <f t="shared" si="42"/>
        <v>0</v>
      </c>
      <c r="BB16" s="97">
        <f t="shared" si="43"/>
        <v>0</v>
      </c>
      <c r="BC16" s="93"/>
      <c r="BD16" s="93">
        <f t="shared" si="44"/>
        <v>0</v>
      </c>
      <c r="BE16" s="95">
        <f t="shared" si="45"/>
        <v>1</v>
      </c>
      <c r="BF16" s="58">
        <f t="shared" si="46"/>
        <v>0</v>
      </c>
      <c r="BG16" s="94">
        <f t="shared" si="47"/>
        <v>0</v>
      </c>
      <c r="BH16" s="89"/>
      <c r="BI16" s="89"/>
      <c r="BJ16" s="92">
        <f t="shared" ref="BJ16:BJ19" si="78">$CN16</f>
        <v>0</v>
      </c>
      <c r="BK16" s="89"/>
      <c r="BL16" s="89"/>
      <c r="BM16" s="89"/>
      <c r="BN16" s="89"/>
      <c r="BO16" s="92">
        <f t="shared" si="70"/>
        <v>0</v>
      </c>
      <c r="BP16" s="92">
        <f t="shared" si="70"/>
        <v>0</v>
      </c>
      <c r="BQ16" s="96">
        <f t="shared" si="48"/>
        <v>0</v>
      </c>
      <c r="BR16" s="96">
        <f t="shared" si="49"/>
        <v>0</v>
      </c>
      <c r="BS16" s="96">
        <f t="shared" si="71"/>
        <v>0</v>
      </c>
      <c r="BT16" s="96">
        <f t="shared" si="50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1"/>
        <v>0</v>
      </c>
      <c r="BY16" s="61">
        <f t="shared" si="73"/>
        <v>0</v>
      </c>
      <c r="BZ16" s="62">
        <f t="shared" si="52"/>
        <v>0</v>
      </c>
      <c r="CA16" s="98">
        <f t="shared" si="53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4"/>
        <v>0</v>
      </c>
      <c r="CH16" s="62">
        <f t="shared" si="55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6"/>
        <v>0</v>
      </c>
      <c r="CR16" s="102">
        <f t="shared" si="20"/>
        <v>0</v>
      </c>
      <c r="CS16" s="102">
        <f t="shared" si="20"/>
        <v>0</v>
      </c>
      <c r="CT16" s="92">
        <f t="shared" si="57"/>
        <v>0</v>
      </c>
      <c r="CU16" s="92">
        <f t="shared" si="58"/>
        <v>0</v>
      </c>
      <c r="CV16" s="103">
        <f t="shared" si="58"/>
        <v>0</v>
      </c>
      <c r="CW16" s="104"/>
      <c r="CX16" s="105">
        <v>83.56</v>
      </c>
      <c r="CY16" s="106">
        <f t="shared" si="59"/>
        <v>488</v>
      </c>
      <c r="CZ16" s="106">
        <f t="shared" si="60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28"/>
        <v>0</v>
      </c>
      <c r="DO16" s="76">
        <f t="shared" si="28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79">IFERROR(AL16+BF16,"")</f>
        <v>0</v>
      </c>
      <c r="DX16" s="81">
        <f t="shared" si="29"/>
        <v>0</v>
      </c>
      <c r="DY16" s="80">
        <f t="shared" si="62"/>
        <v>0</v>
      </c>
      <c r="DZ16" s="82">
        <f t="shared" si="63"/>
        <v>0</v>
      </c>
      <c r="EA16" s="82">
        <f t="shared" si="64"/>
        <v>0</v>
      </c>
      <c r="EB16" s="82">
        <f t="shared" si="65"/>
        <v>0</v>
      </c>
      <c r="EC16" s="82">
        <f t="shared" si="75"/>
        <v>0</v>
      </c>
      <c r="EF16" s="83">
        <f t="shared" si="76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1"/>
        <v>GWA6063-T5-T18.15x8.6x3-H9A15</v>
      </c>
      <c r="H17" s="46" t="str">
        <f t="shared" si="32"/>
        <v>A6063-T5GW18.158.6TH9</v>
      </c>
      <c r="I17" s="46" t="str">
        <f t="shared" si="33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4"/>
        <v>14</v>
      </c>
      <c r="T17" s="51">
        <f>'02.02'!BG17</f>
        <v>4</v>
      </c>
      <c r="U17" s="92">
        <v>20</v>
      </c>
      <c r="V17" s="89">
        <v>7.7</v>
      </c>
      <c r="W17" s="93">
        <f t="shared" si="5"/>
        <v>0</v>
      </c>
      <c r="X17" s="93">
        <f t="shared" si="6"/>
        <v>787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76</v>
      </c>
      <c r="AE17" s="93">
        <f t="shared" si="35"/>
        <v>787</v>
      </c>
      <c r="AF17" s="54">
        <f>AE17+'02.02'!AF17</f>
        <v>2889</v>
      </c>
      <c r="AG17" s="94">
        <f t="shared" si="66"/>
        <v>4</v>
      </c>
      <c r="AH17" s="56">
        <f t="shared" si="13"/>
        <v>0</v>
      </c>
      <c r="AI17" s="89">
        <v>6</v>
      </c>
      <c r="AJ17" s="93">
        <f t="shared" si="67"/>
        <v>0</v>
      </c>
      <c r="AK17" s="95">
        <f t="shared" si="36"/>
        <v>1</v>
      </c>
      <c r="AL17" s="58">
        <f t="shared" si="37"/>
        <v>6</v>
      </c>
      <c r="AM17" s="55">
        <f t="shared" si="68"/>
        <v>18</v>
      </c>
      <c r="AN17" s="93"/>
      <c r="AO17" s="96"/>
      <c r="AP17" s="96">
        <f t="shared" si="77"/>
        <v>4304.3</v>
      </c>
      <c r="AQ17" s="96"/>
      <c r="AR17" s="96"/>
      <c r="AS17" s="96"/>
      <c r="AT17" s="96"/>
      <c r="AU17" s="96">
        <f t="shared" si="38"/>
        <v>0</v>
      </c>
      <c r="AV17" s="96">
        <f t="shared" si="38"/>
        <v>0</v>
      </c>
      <c r="AW17" s="96">
        <f t="shared" si="39"/>
        <v>4304.3</v>
      </c>
      <c r="AX17" s="96">
        <f t="shared" si="40"/>
        <v>559</v>
      </c>
      <c r="AY17" s="94">
        <f t="shared" si="69"/>
        <v>100.10000000000036</v>
      </c>
      <c r="AZ17" s="94">
        <f t="shared" si="41"/>
        <v>13.000000000000046</v>
      </c>
      <c r="BA17" s="94">
        <f t="shared" si="42"/>
        <v>18</v>
      </c>
      <c r="BB17" s="97">
        <f t="shared" si="43"/>
        <v>0</v>
      </c>
      <c r="BC17" s="93">
        <v>3</v>
      </c>
      <c r="BD17" s="93">
        <f t="shared" si="44"/>
        <v>0</v>
      </c>
      <c r="BE17" s="95">
        <f t="shared" si="45"/>
        <v>1</v>
      </c>
      <c r="BF17" s="58">
        <f t="shared" si="46"/>
        <v>3</v>
      </c>
      <c r="BG17" s="94">
        <f t="shared" si="47"/>
        <v>15</v>
      </c>
      <c r="BH17" s="89"/>
      <c r="BI17" s="89"/>
      <c r="BJ17" s="92">
        <f t="shared" si="78"/>
        <v>1755.6000000000001</v>
      </c>
      <c r="BK17" s="89"/>
      <c r="BL17" s="89"/>
      <c r="BM17" s="89"/>
      <c r="BN17" s="89"/>
      <c r="BO17" s="92">
        <f t="shared" si="70"/>
        <v>0</v>
      </c>
      <c r="BP17" s="92">
        <f t="shared" si="70"/>
        <v>590</v>
      </c>
      <c r="BQ17" s="96">
        <f t="shared" si="48"/>
        <v>2345.6000000000004</v>
      </c>
      <c r="BR17" s="96">
        <f t="shared" si="49"/>
        <v>304</v>
      </c>
      <c r="BS17" s="96">
        <f t="shared" si="71"/>
        <v>243.50000000000045</v>
      </c>
      <c r="BT17" s="96">
        <f t="shared" si="50"/>
        <v>31.623376623376682</v>
      </c>
      <c r="BU17" s="92">
        <f t="shared" si="16"/>
        <v>787</v>
      </c>
      <c r="BV17" s="98">
        <f t="shared" si="17"/>
        <v>9</v>
      </c>
      <c r="BW17" s="92">
        <f t="shared" si="18"/>
        <v>44.623376623376728</v>
      </c>
      <c r="BX17" s="98">
        <f t="shared" si="51"/>
        <v>14.769</v>
      </c>
      <c r="BY17" s="61">
        <f t="shared" si="73"/>
        <v>9</v>
      </c>
      <c r="BZ17" s="62">
        <f t="shared" si="52"/>
        <v>9</v>
      </c>
      <c r="CA17" s="98">
        <f t="shared" si="53"/>
        <v>6.6499000000000006</v>
      </c>
      <c r="CB17" s="92">
        <f t="shared" si="19"/>
        <v>863</v>
      </c>
      <c r="CC17" s="92">
        <f t="shared" si="19"/>
        <v>343.60000000000082</v>
      </c>
      <c r="CD17" s="92">
        <f t="shared" si="19"/>
        <v>44.623376623376728</v>
      </c>
      <c r="CE17" s="99"/>
      <c r="CF17" s="99"/>
      <c r="CG17" s="51">
        <f t="shared" si="54"/>
        <v>8.7090999999999994</v>
      </c>
      <c r="CH17" s="62">
        <f t="shared" si="55"/>
        <v>8.7090999999999994</v>
      </c>
      <c r="CI17" s="89"/>
      <c r="CJ17" s="89">
        <f>559*7.7</f>
        <v>4304.3</v>
      </c>
      <c r="CK17" s="89"/>
      <c r="CL17" s="96"/>
      <c r="CM17" s="89"/>
      <c r="CN17" s="89">
        <f>228*7.7</f>
        <v>1755.6000000000001</v>
      </c>
      <c r="CO17" s="92"/>
      <c r="CP17" s="101">
        <v>590</v>
      </c>
      <c r="CQ17" s="102">
        <f t="shared" si="56"/>
        <v>559</v>
      </c>
      <c r="CR17" s="102">
        <f t="shared" si="20"/>
        <v>0</v>
      </c>
      <c r="CS17" s="102">
        <f t="shared" si="20"/>
        <v>0</v>
      </c>
      <c r="CT17" s="92">
        <f t="shared" si="57"/>
        <v>228</v>
      </c>
      <c r="CU17" s="92">
        <f t="shared" si="58"/>
        <v>0</v>
      </c>
      <c r="CV17" s="103">
        <f t="shared" si="58"/>
        <v>76</v>
      </c>
      <c r="CW17" s="104"/>
      <c r="CX17" s="105">
        <v>60</v>
      </c>
      <c r="CY17" s="106">
        <f t="shared" si="59"/>
        <v>680</v>
      </c>
      <c r="CZ17" s="106">
        <f t="shared" si="60"/>
        <v>486.00000000000006</v>
      </c>
      <c r="DA17" s="106"/>
      <c r="DB17" s="106"/>
      <c r="DC17" s="105"/>
      <c r="DD17" s="107"/>
      <c r="DE17" s="92">
        <f t="shared" si="21"/>
        <v>559</v>
      </c>
      <c r="DF17" s="108">
        <f t="shared" si="22"/>
        <v>6</v>
      </c>
      <c r="DG17" s="112">
        <f t="shared" si="23"/>
        <v>13.000000000000046</v>
      </c>
      <c r="DH17" s="110">
        <f t="shared" si="24"/>
        <v>228</v>
      </c>
      <c r="DI17" s="108">
        <f t="shared" si="25"/>
        <v>3</v>
      </c>
      <c r="DJ17" s="112">
        <f t="shared" si="26"/>
        <v>31.623376623376682</v>
      </c>
      <c r="DK17" s="110">
        <f t="shared" si="27"/>
        <v>787</v>
      </c>
      <c r="DL17" s="108">
        <f t="shared" si="27"/>
        <v>9</v>
      </c>
      <c r="DM17" s="111">
        <f t="shared" si="27"/>
        <v>44.623376623376728</v>
      </c>
      <c r="DN17" s="76">
        <f t="shared" si="28"/>
        <v>4</v>
      </c>
      <c r="DO17" s="76">
        <f t="shared" si="28"/>
        <v>20</v>
      </c>
      <c r="DP17" s="112"/>
      <c r="DQ17" s="112"/>
      <c r="DR17" s="113" t="s">
        <v>421</v>
      </c>
      <c r="DS17" s="112"/>
      <c r="DT17" s="112"/>
      <c r="DU17" s="111"/>
      <c r="DV17" s="114"/>
      <c r="DW17" s="80">
        <f t="shared" si="79"/>
        <v>9</v>
      </c>
      <c r="DX17" s="81">
        <f t="shared" si="29"/>
        <v>840.62337662337677</v>
      </c>
      <c r="DY17" s="80">
        <f t="shared" si="62"/>
        <v>863</v>
      </c>
      <c r="DZ17" s="82">
        <f t="shared" si="63"/>
        <v>0.58520000000000005</v>
      </c>
      <c r="EA17" s="82">
        <f t="shared" si="64"/>
        <v>6.0599000000000007</v>
      </c>
      <c r="EB17" s="82">
        <f t="shared" si="65"/>
        <v>8.7090999999999994</v>
      </c>
      <c r="EC17" s="82">
        <f t="shared" si="75"/>
        <v>9.2942999999999998</v>
      </c>
      <c r="EF17" s="83">
        <f t="shared" si="76"/>
        <v>44.623376623376728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1"/>
        <v>GWA6063-T5-T18.15x8.6x3-H9A15</v>
      </c>
      <c r="H18" s="46" t="str">
        <f t="shared" si="32"/>
        <v>A6063-T5GW18.158.6TH9</v>
      </c>
      <c r="I18" s="46" t="str">
        <f t="shared" si="33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4"/>
        <v>16</v>
      </c>
      <c r="T18" s="51">
        <f>'02.02'!BG18</f>
        <v>5</v>
      </c>
      <c r="U18" s="92">
        <v>20</v>
      </c>
      <c r="V18" s="89">
        <v>9.9</v>
      </c>
      <c r="W18" s="93">
        <f t="shared" si="5"/>
        <v>0</v>
      </c>
      <c r="X18" s="93">
        <f t="shared" si="6"/>
        <v>675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26</v>
      </c>
      <c r="AE18" s="93">
        <f t="shared" si="35"/>
        <v>675</v>
      </c>
      <c r="AF18" s="54">
        <f>AE18+'02.02'!AF18</f>
        <v>2021</v>
      </c>
      <c r="AG18" s="94">
        <f t="shared" si="66"/>
        <v>5</v>
      </c>
      <c r="AH18" s="56">
        <f t="shared" si="13"/>
        <v>0</v>
      </c>
      <c r="AI18" s="89">
        <v>5</v>
      </c>
      <c r="AJ18" s="93">
        <f t="shared" si="67"/>
        <v>0</v>
      </c>
      <c r="AK18" s="95">
        <f t="shared" si="36"/>
        <v>1</v>
      </c>
      <c r="AL18" s="58">
        <f t="shared" si="37"/>
        <v>5</v>
      </c>
      <c r="AM18" s="55">
        <f t="shared" si="68"/>
        <v>20</v>
      </c>
      <c r="AN18" s="93"/>
      <c r="AO18" s="96"/>
      <c r="AP18" s="96">
        <f t="shared" si="77"/>
        <v>3168</v>
      </c>
      <c r="AQ18" s="96"/>
      <c r="AR18" s="96"/>
      <c r="AS18" s="96"/>
      <c r="AT18" s="96"/>
      <c r="AU18" s="96">
        <f t="shared" si="38"/>
        <v>0</v>
      </c>
      <c r="AV18" s="96">
        <f t="shared" si="38"/>
        <v>263</v>
      </c>
      <c r="AW18" s="96">
        <f t="shared" si="39"/>
        <v>3431</v>
      </c>
      <c r="AX18" s="96">
        <f t="shared" si="40"/>
        <v>346</v>
      </c>
      <c r="AY18" s="94">
        <f t="shared" si="69"/>
        <v>65</v>
      </c>
      <c r="AZ18" s="94">
        <f t="shared" si="41"/>
        <v>6.5656565656565657</v>
      </c>
      <c r="BA18" s="94">
        <f t="shared" si="42"/>
        <v>20</v>
      </c>
      <c r="BB18" s="97">
        <f t="shared" si="43"/>
        <v>0</v>
      </c>
      <c r="BC18" s="93">
        <v>5</v>
      </c>
      <c r="BD18" s="93">
        <f t="shared" si="44"/>
        <v>0</v>
      </c>
      <c r="BE18" s="95">
        <f t="shared" si="45"/>
        <v>1</v>
      </c>
      <c r="BF18" s="58">
        <f t="shared" si="46"/>
        <v>5</v>
      </c>
      <c r="BG18" s="94">
        <f t="shared" si="47"/>
        <v>15</v>
      </c>
      <c r="BH18" s="89"/>
      <c r="BI18" s="89"/>
      <c r="BJ18" s="92">
        <f t="shared" si="78"/>
        <v>3514.5</v>
      </c>
      <c r="BK18" s="89"/>
      <c r="BL18" s="89"/>
      <c r="BM18" s="89"/>
      <c r="BN18" s="89"/>
      <c r="BO18" s="92">
        <f t="shared" si="70"/>
        <v>0</v>
      </c>
      <c r="BP18" s="92">
        <f t="shared" si="70"/>
        <v>0</v>
      </c>
      <c r="BQ18" s="96">
        <f t="shared" si="48"/>
        <v>3514.5</v>
      </c>
      <c r="BR18" s="96">
        <f t="shared" si="49"/>
        <v>355</v>
      </c>
      <c r="BS18" s="96">
        <f t="shared" si="71"/>
        <v>148.5</v>
      </c>
      <c r="BT18" s="96">
        <f t="shared" si="50"/>
        <v>15</v>
      </c>
      <c r="BU18" s="92">
        <f t="shared" si="16"/>
        <v>675</v>
      </c>
      <c r="BV18" s="98">
        <f t="shared" si="17"/>
        <v>10</v>
      </c>
      <c r="BW18" s="92">
        <f t="shared" si="18"/>
        <v>21.565656565656568</v>
      </c>
      <c r="BX18" s="98">
        <f t="shared" si="51"/>
        <v>16.41</v>
      </c>
      <c r="BY18" s="61">
        <f t="shared" si="73"/>
        <v>10</v>
      </c>
      <c r="BZ18" s="62">
        <f t="shared" si="52"/>
        <v>10</v>
      </c>
      <c r="CA18" s="98">
        <f t="shared" si="53"/>
        <v>6.9455</v>
      </c>
      <c r="CB18" s="92">
        <f t="shared" si="19"/>
        <v>701</v>
      </c>
      <c r="CC18" s="92">
        <f t="shared" si="19"/>
        <v>213.5</v>
      </c>
      <c r="CD18" s="92">
        <f t="shared" si="19"/>
        <v>21.565656565656568</v>
      </c>
      <c r="CE18" s="99"/>
      <c r="CF18" s="99"/>
      <c r="CG18" s="51">
        <f t="shared" si="54"/>
        <v>9.7275000000000009</v>
      </c>
      <c r="CH18" s="62">
        <f t="shared" si="55"/>
        <v>9.7275000000000009</v>
      </c>
      <c r="CI18" s="89"/>
      <c r="CJ18" s="89">
        <f>320*9.9</f>
        <v>3168</v>
      </c>
      <c r="CK18" s="89"/>
      <c r="CL18" s="96">
        <v>263</v>
      </c>
      <c r="CM18" s="89"/>
      <c r="CN18" s="89">
        <f>355*9.9</f>
        <v>3514.5</v>
      </c>
      <c r="CO18" s="92"/>
      <c r="CP18" s="101"/>
      <c r="CQ18" s="102">
        <f t="shared" si="56"/>
        <v>320</v>
      </c>
      <c r="CR18" s="102">
        <f t="shared" si="20"/>
        <v>0</v>
      </c>
      <c r="CS18" s="102">
        <f t="shared" si="20"/>
        <v>26</v>
      </c>
      <c r="CT18" s="92">
        <f t="shared" si="57"/>
        <v>355</v>
      </c>
      <c r="CU18" s="92">
        <f t="shared" si="58"/>
        <v>0</v>
      </c>
      <c r="CV18" s="103">
        <f t="shared" si="58"/>
        <v>0</v>
      </c>
      <c r="CW18" s="104"/>
      <c r="CX18" s="105">
        <v>79.33</v>
      </c>
      <c r="CY18" s="106">
        <f t="shared" si="59"/>
        <v>510</v>
      </c>
      <c r="CZ18" s="106">
        <f t="shared" si="60"/>
        <v>642.57299999999998</v>
      </c>
      <c r="DA18" s="106"/>
      <c r="DB18" s="106"/>
      <c r="DC18" s="105"/>
      <c r="DD18" s="107"/>
      <c r="DE18" s="92">
        <f t="shared" si="21"/>
        <v>320</v>
      </c>
      <c r="DF18" s="108">
        <f t="shared" si="22"/>
        <v>5</v>
      </c>
      <c r="DG18" s="112">
        <f t="shared" si="23"/>
        <v>6.5656565656565657</v>
      </c>
      <c r="DH18" s="110">
        <f t="shared" si="24"/>
        <v>355</v>
      </c>
      <c r="DI18" s="108">
        <f t="shared" si="25"/>
        <v>5</v>
      </c>
      <c r="DJ18" s="112">
        <f t="shared" si="26"/>
        <v>15</v>
      </c>
      <c r="DK18" s="110">
        <f t="shared" si="27"/>
        <v>675</v>
      </c>
      <c r="DL18" s="108">
        <f t="shared" si="27"/>
        <v>10</v>
      </c>
      <c r="DM18" s="111">
        <f t="shared" si="27"/>
        <v>21.565656565656568</v>
      </c>
      <c r="DN18" s="76">
        <f t="shared" si="28"/>
        <v>5</v>
      </c>
      <c r="DO18" s="76">
        <f t="shared" si="28"/>
        <v>20</v>
      </c>
      <c r="DP18" s="112"/>
      <c r="DQ18" s="112"/>
      <c r="DR18" s="113" t="s">
        <v>422</v>
      </c>
      <c r="DS18" s="112"/>
      <c r="DT18" s="112"/>
      <c r="DU18" s="111"/>
      <c r="DV18" s="114"/>
      <c r="DW18" s="80">
        <f t="shared" si="79"/>
        <v>10</v>
      </c>
      <c r="DX18" s="81">
        <f t="shared" si="29"/>
        <v>706.56565656565658</v>
      </c>
      <c r="DY18" s="80">
        <f t="shared" si="62"/>
        <v>701</v>
      </c>
      <c r="DZ18" s="82">
        <f t="shared" si="63"/>
        <v>0.25740000000000002</v>
      </c>
      <c r="EA18" s="82">
        <f t="shared" si="64"/>
        <v>6.6825000000000001</v>
      </c>
      <c r="EB18" s="82">
        <f t="shared" si="65"/>
        <v>9.7274999999999991</v>
      </c>
      <c r="EC18" s="82">
        <f t="shared" si="75"/>
        <v>9.9848999999999997</v>
      </c>
      <c r="EF18" s="83">
        <f t="shared" si="76"/>
        <v>21.565656565656568</v>
      </c>
    </row>
    <row r="19" spans="1:136">
      <c r="A19" s="84">
        <v>12</v>
      </c>
      <c r="B19" s="85" t="s">
        <v>169</v>
      </c>
      <c r="C19" s="86"/>
      <c r="D19" s="236" t="s">
        <v>170</v>
      </c>
      <c r="E19" s="88">
        <v>104</v>
      </c>
      <c r="F19" s="89" t="s">
        <v>136</v>
      </c>
      <c r="G19" s="45" t="str">
        <f t="shared" si="31"/>
        <v>TV12L14-12x3-H9B14</v>
      </c>
      <c r="H19" s="46" t="str">
        <f t="shared" si="32"/>
        <v>12L14TV120DH9</v>
      </c>
      <c r="I19" s="46" t="str">
        <f t="shared" si="33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4"/>
        <v>20</v>
      </c>
      <c r="T19" s="51">
        <f>'02.02'!BG19</f>
        <v>0</v>
      </c>
      <c r="U19" s="92">
        <v>15</v>
      </c>
      <c r="V19" s="89">
        <v>10.6</v>
      </c>
      <c r="W19" s="93">
        <f t="shared" si="5"/>
        <v>0</v>
      </c>
      <c r="X19" s="93">
        <f t="shared" si="6"/>
        <v>1303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26</v>
      </c>
      <c r="AE19" s="93">
        <f t="shared" si="35"/>
        <v>1303</v>
      </c>
      <c r="AF19" s="54">
        <f>AE19+'02.02'!AF19</f>
        <v>1303</v>
      </c>
      <c r="AG19" s="94">
        <f t="shared" si="66"/>
        <v>0</v>
      </c>
      <c r="AH19" s="56">
        <f t="shared" si="13"/>
        <v>0</v>
      </c>
      <c r="AI19" s="89"/>
      <c r="AJ19" s="93">
        <f t="shared" si="67"/>
        <v>0</v>
      </c>
      <c r="AK19" s="95">
        <f t="shared" si="36"/>
        <v>1</v>
      </c>
      <c r="AL19" s="58">
        <f t="shared" si="37"/>
        <v>0</v>
      </c>
      <c r="AM19" s="55">
        <f t="shared" si="68"/>
        <v>15</v>
      </c>
      <c r="AN19" s="93"/>
      <c r="AO19" s="96"/>
      <c r="AP19" s="96">
        <f t="shared" si="77"/>
        <v>0</v>
      </c>
      <c r="AQ19" s="96"/>
      <c r="AR19" s="96"/>
      <c r="AS19" s="96"/>
      <c r="AT19" s="96"/>
      <c r="AU19" s="96">
        <f t="shared" si="38"/>
        <v>0</v>
      </c>
      <c r="AV19" s="96">
        <f t="shared" si="38"/>
        <v>0</v>
      </c>
      <c r="AW19" s="96">
        <f>SUM(AO19:AV19)</f>
        <v>0</v>
      </c>
      <c r="AX19" s="96">
        <f t="shared" si="40"/>
        <v>0</v>
      </c>
      <c r="AY19" s="94">
        <f t="shared" si="69"/>
        <v>0</v>
      </c>
      <c r="AZ19" s="94">
        <f t="shared" si="41"/>
        <v>0</v>
      </c>
      <c r="BA19" s="94">
        <f t="shared" si="42"/>
        <v>15</v>
      </c>
      <c r="BB19" s="97">
        <f t="shared" si="43"/>
        <v>0</v>
      </c>
      <c r="BC19" s="93">
        <v>13</v>
      </c>
      <c r="BD19" s="93">
        <f t="shared" si="44"/>
        <v>260</v>
      </c>
      <c r="BE19" s="95">
        <f t="shared" si="45"/>
        <v>0.23584905660377362</v>
      </c>
      <c r="BF19" s="58">
        <f t="shared" si="46"/>
        <v>12.24</v>
      </c>
      <c r="BG19" s="94">
        <f t="shared" si="47"/>
        <v>2.76</v>
      </c>
      <c r="BH19" s="89"/>
      <c r="BI19" s="89"/>
      <c r="BJ19" s="92">
        <f t="shared" si="78"/>
        <v>13812</v>
      </c>
      <c r="BK19" s="89"/>
      <c r="BL19" s="89"/>
      <c r="BM19" s="89"/>
      <c r="BN19" s="89"/>
      <c r="BO19" s="92">
        <f t="shared" si="70"/>
        <v>0</v>
      </c>
      <c r="BP19" s="92">
        <f t="shared" si="70"/>
        <v>278</v>
      </c>
      <c r="BQ19" s="96">
        <f t="shared" si="48"/>
        <v>14090</v>
      </c>
      <c r="BR19" s="96">
        <f t="shared" si="49"/>
        <v>1329</v>
      </c>
      <c r="BS19" s="96">
        <f t="shared" si="71"/>
        <v>596.6239999999998</v>
      </c>
      <c r="BT19" s="96">
        <f t="shared" si="50"/>
        <v>56.285283018867908</v>
      </c>
      <c r="BU19" s="92">
        <f t="shared" si="16"/>
        <v>1303</v>
      </c>
      <c r="BV19" s="98">
        <f t="shared" si="17"/>
        <v>12.24</v>
      </c>
      <c r="BW19" s="92">
        <f t="shared" si="18"/>
        <v>56.285283018867908</v>
      </c>
      <c r="BX19" s="98">
        <f t="shared" si="51"/>
        <v>32.460480000000004</v>
      </c>
      <c r="BY19" s="61">
        <f t="shared" si="73"/>
        <v>12.24</v>
      </c>
      <c r="BZ19" s="62">
        <f t="shared" si="52"/>
        <v>12.24</v>
      </c>
      <c r="CA19" s="98">
        <f t="shared" si="53"/>
        <v>14.09</v>
      </c>
      <c r="CB19" s="92">
        <f t="shared" si="19"/>
        <v>1329</v>
      </c>
      <c r="CC19" s="92">
        <f t="shared" si="19"/>
        <v>596.6239999999998</v>
      </c>
      <c r="CD19" s="92">
        <f t="shared" si="19"/>
        <v>56.285283018867908</v>
      </c>
      <c r="CE19" s="99"/>
      <c r="CF19" s="99"/>
      <c r="CG19" s="51">
        <f t="shared" si="54"/>
        <v>18.648480000000003</v>
      </c>
      <c r="CH19" s="62">
        <f t="shared" si="55"/>
        <v>18.648480000000003</v>
      </c>
      <c r="CI19" s="89"/>
      <c r="CJ19" s="89"/>
      <c r="CK19" s="89"/>
      <c r="CL19" s="96"/>
      <c r="CM19" s="89">
        <v>260</v>
      </c>
      <c r="CN19" s="89">
        <v>13812</v>
      </c>
      <c r="CO19" s="92"/>
      <c r="CP19" s="101">
        <v>278</v>
      </c>
      <c r="CQ19" s="102">
        <f t="shared" si="56"/>
        <v>0</v>
      </c>
      <c r="CR19" s="102">
        <f t="shared" si="20"/>
        <v>0</v>
      </c>
      <c r="CS19" s="102">
        <f t="shared" si="20"/>
        <v>0</v>
      </c>
      <c r="CT19" s="92">
        <f t="shared" si="57"/>
        <v>1303</v>
      </c>
      <c r="CU19" s="92">
        <f t="shared" si="58"/>
        <v>0</v>
      </c>
      <c r="CV19" s="103">
        <f t="shared" si="58"/>
        <v>26</v>
      </c>
      <c r="CW19" s="104"/>
      <c r="CX19" s="105">
        <v>37.89</v>
      </c>
      <c r="CY19" s="106">
        <f t="shared" si="59"/>
        <v>1053</v>
      </c>
      <c r="CZ19" s="106">
        <f t="shared" si="60"/>
        <v>306.90900000000005</v>
      </c>
      <c r="DA19" s="106"/>
      <c r="DB19" s="106"/>
      <c r="DC19" s="105"/>
      <c r="DD19" s="107"/>
      <c r="DE19" s="92">
        <f t="shared" si="21"/>
        <v>0</v>
      </c>
      <c r="DF19" s="108">
        <f t="shared" si="22"/>
        <v>0</v>
      </c>
      <c r="DG19" s="112">
        <f t="shared" si="23"/>
        <v>0</v>
      </c>
      <c r="DH19" s="110">
        <f t="shared" si="24"/>
        <v>1303</v>
      </c>
      <c r="DI19" s="108">
        <f t="shared" si="25"/>
        <v>12.24</v>
      </c>
      <c r="DJ19" s="112">
        <f t="shared" si="26"/>
        <v>56.285283018867908</v>
      </c>
      <c r="DK19" s="110">
        <f t="shared" si="27"/>
        <v>1303</v>
      </c>
      <c r="DL19" s="108">
        <f t="shared" si="27"/>
        <v>12.24</v>
      </c>
      <c r="DM19" s="111">
        <f t="shared" si="27"/>
        <v>56.285283018867908</v>
      </c>
      <c r="DN19" s="76">
        <f t="shared" si="28"/>
        <v>0</v>
      </c>
      <c r="DO19" s="76">
        <f t="shared" si="28"/>
        <v>15</v>
      </c>
      <c r="DP19" s="112"/>
      <c r="DQ19" s="112"/>
      <c r="DR19" s="113" t="s">
        <v>479</v>
      </c>
      <c r="DS19" s="112"/>
      <c r="DT19" s="112"/>
      <c r="DU19" s="111"/>
      <c r="DV19" s="114"/>
      <c r="DW19" s="80">
        <f t="shared" si="79"/>
        <v>12.24</v>
      </c>
      <c r="DX19" s="81">
        <f t="shared" si="29"/>
        <v>1371.5252830188679</v>
      </c>
      <c r="DY19" s="80">
        <f t="shared" si="62"/>
        <v>1329</v>
      </c>
      <c r="DZ19" s="82">
        <f t="shared" si="63"/>
        <v>0.27559999999999996</v>
      </c>
      <c r="EA19" s="82">
        <f t="shared" si="64"/>
        <v>13.8118</v>
      </c>
      <c r="EB19" s="82">
        <f t="shared" si="65"/>
        <v>18.648680000000006</v>
      </c>
      <c r="EC19" s="82">
        <f t="shared" si="75"/>
        <v>18.924280000000007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1"/>
        <v>GWA6063-T5-8.3x3-H9B14</v>
      </c>
      <c r="H20" s="46" t="str">
        <f t="shared" si="32"/>
        <v>A6063-T5GW8.30DH9</v>
      </c>
      <c r="I20" s="46" t="str">
        <f t="shared" si="33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4"/>
        <v>18</v>
      </c>
      <c r="T20" s="51">
        <f>'02.02'!BG20</f>
        <v>41</v>
      </c>
      <c r="U20" s="92"/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35"/>
        <v>0</v>
      </c>
      <c r="AF20" s="54">
        <f>AE20+'02.02'!AF20</f>
        <v>848</v>
      </c>
      <c r="AG20" s="94">
        <f t="shared" si="66"/>
        <v>41</v>
      </c>
      <c r="AH20" s="56">
        <f t="shared" si="13"/>
        <v>0</v>
      </c>
      <c r="AI20" s="100"/>
      <c r="AJ20" s="93">
        <f t="shared" si="67"/>
        <v>0</v>
      </c>
      <c r="AK20" s="95">
        <f t="shared" si="36"/>
        <v>1</v>
      </c>
      <c r="AL20" s="58">
        <f t="shared" si="37"/>
        <v>0</v>
      </c>
      <c r="AM20" s="55">
        <f t="shared" si="68"/>
        <v>41</v>
      </c>
      <c r="AN20" s="93"/>
      <c r="AO20" s="96"/>
      <c r="AP20" s="96"/>
      <c r="AQ20" s="96"/>
      <c r="AR20" s="96"/>
      <c r="AS20" s="96"/>
      <c r="AT20" s="96">
        <f t="shared" ref="AT20" si="80">$CJ20</f>
        <v>0</v>
      </c>
      <c r="AU20" s="96">
        <f t="shared" si="38"/>
        <v>0</v>
      </c>
      <c r="AV20" s="96">
        <f t="shared" si="38"/>
        <v>0</v>
      </c>
      <c r="AW20" s="96">
        <f t="shared" si="39"/>
        <v>0</v>
      </c>
      <c r="AX20" s="96">
        <f t="shared" si="40"/>
        <v>0</v>
      </c>
      <c r="AY20" s="94">
        <f t="shared" si="69"/>
        <v>0</v>
      </c>
      <c r="AZ20" s="94">
        <f t="shared" si="41"/>
        <v>0</v>
      </c>
      <c r="BA20" s="94">
        <f t="shared" si="42"/>
        <v>41</v>
      </c>
      <c r="BB20" s="97">
        <f t="shared" si="43"/>
        <v>0</v>
      </c>
      <c r="BC20" s="93"/>
      <c r="BD20" s="93">
        <f t="shared" si="44"/>
        <v>0</v>
      </c>
      <c r="BE20" s="95">
        <f t="shared" si="45"/>
        <v>1</v>
      </c>
      <c r="BF20" s="58">
        <f t="shared" si="46"/>
        <v>0</v>
      </c>
      <c r="BG20" s="94">
        <f t="shared" si="47"/>
        <v>41</v>
      </c>
      <c r="BH20" s="89"/>
      <c r="BI20" s="89"/>
      <c r="BJ20" s="92"/>
      <c r="BK20" s="89"/>
      <c r="BL20" s="89"/>
      <c r="BM20" s="89"/>
      <c r="BN20" s="92">
        <f t="shared" ref="BN20" si="81">$CN20</f>
        <v>0</v>
      </c>
      <c r="BO20" s="92">
        <f t="shared" si="70"/>
        <v>0</v>
      </c>
      <c r="BP20" s="92">
        <f t="shared" si="70"/>
        <v>0</v>
      </c>
      <c r="BQ20" s="96">
        <f t="shared" si="48"/>
        <v>0</v>
      </c>
      <c r="BR20" s="96">
        <f t="shared" si="49"/>
        <v>0</v>
      </c>
      <c r="BS20" s="96">
        <f t="shared" si="71"/>
        <v>0</v>
      </c>
      <c r="BT20" s="96">
        <f t="shared" si="50"/>
        <v>0</v>
      </c>
      <c r="BU20" s="92">
        <f t="shared" si="16"/>
        <v>0</v>
      </c>
      <c r="BV20" s="98">
        <f t="shared" si="17"/>
        <v>0</v>
      </c>
      <c r="BW20" s="92">
        <f t="shared" si="18"/>
        <v>0</v>
      </c>
      <c r="BX20" s="98">
        <f t="shared" si="51"/>
        <v>0</v>
      </c>
      <c r="BY20" s="61">
        <f t="shared" si="73"/>
        <v>0</v>
      </c>
      <c r="BZ20" s="62">
        <f t="shared" si="52"/>
        <v>0</v>
      </c>
      <c r="CA20" s="98">
        <f t="shared" si="53"/>
        <v>0</v>
      </c>
      <c r="CB20" s="92">
        <f t="shared" si="19"/>
        <v>0</v>
      </c>
      <c r="CC20" s="92">
        <f t="shared" si="19"/>
        <v>0</v>
      </c>
      <c r="CD20" s="92">
        <f t="shared" si="19"/>
        <v>0</v>
      </c>
      <c r="CE20" s="99"/>
      <c r="CF20" s="99"/>
      <c r="CG20" s="51">
        <f t="shared" si="54"/>
        <v>0</v>
      </c>
      <c r="CH20" s="62">
        <f t="shared" si="55"/>
        <v>0</v>
      </c>
      <c r="CI20" s="89"/>
      <c r="CJ20" s="89"/>
      <c r="CK20" s="89"/>
      <c r="CL20" s="96"/>
      <c r="CM20" s="89"/>
      <c r="CN20" s="89"/>
      <c r="CO20" s="92"/>
      <c r="CP20" s="101"/>
      <c r="CQ20" s="102">
        <f t="shared" si="56"/>
        <v>0</v>
      </c>
      <c r="CR20" s="102">
        <f t="shared" si="20"/>
        <v>0</v>
      </c>
      <c r="CS20" s="102">
        <f t="shared" si="20"/>
        <v>0</v>
      </c>
      <c r="CT20" s="92">
        <f t="shared" si="57"/>
        <v>0</v>
      </c>
      <c r="CU20" s="92">
        <f t="shared" si="58"/>
        <v>0</v>
      </c>
      <c r="CV20" s="103">
        <f t="shared" si="58"/>
        <v>0</v>
      </c>
      <c r="CW20" s="104"/>
      <c r="CX20" s="105">
        <v>15</v>
      </c>
      <c r="CY20" s="106">
        <f t="shared" si="59"/>
        <v>2680</v>
      </c>
      <c r="CZ20" s="106">
        <f t="shared" si="60"/>
        <v>121.50000000000001</v>
      </c>
      <c r="DA20" s="106"/>
      <c r="DB20" s="106"/>
      <c r="DC20" s="105"/>
      <c r="DD20" s="107"/>
      <c r="DE20" s="92">
        <f t="shared" si="21"/>
        <v>0</v>
      </c>
      <c r="DF20" s="108">
        <f t="shared" si="22"/>
        <v>0</v>
      </c>
      <c r="DG20" s="112">
        <f t="shared" si="23"/>
        <v>0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0</v>
      </c>
      <c r="DL20" s="108">
        <f t="shared" si="27"/>
        <v>0</v>
      </c>
      <c r="DM20" s="111">
        <f t="shared" si="27"/>
        <v>0</v>
      </c>
      <c r="DN20" s="76">
        <f t="shared" si="28"/>
        <v>41</v>
      </c>
      <c r="DO20" s="76">
        <f t="shared" si="28"/>
        <v>0</v>
      </c>
      <c r="DP20" s="112"/>
      <c r="DQ20" s="112"/>
      <c r="DR20" s="113" t="s">
        <v>424</v>
      </c>
      <c r="DS20" s="112"/>
      <c r="DT20" s="112"/>
      <c r="DU20" s="111"/>
      <c r="DV20" s="114"/>
      <c r="DW20" s="80">
        <f t="shared" si="61"/>
        <v>0</v>
      </c>
      <c r="DX20" s="81">
        <f t="shared" si="29"/>
        <v>0</v>
      </c>
      <c r="DY20" s="80">
        <f t="shared" si="62"/>
        <v>0</v>
      </c>
      <c r="DZ20" s="82">
        <f t="shared" si="63"/>
        <v>0</v>
      </c>
      <c r="EA20" s="82">
        <f t="shared" si="64"/>
        <v>0</v>
      </c>
      <c r="EB20" s="82">
        <f t="shared" si="65"/>
        <v>0</v>
      </c>
      <c r="EC20" s="82">
        <f t="shared" si="75"/>
        <v>0</v>
      </c>
      <c r="EF20" s="83">
        <f t="shared" ref="EF20:EF25" si="82">DG20+DJ20</f>
        <v>0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1"/>
        <v>TV12L14-11x2.5-H9C14</v>
      </c>
      <c r="H21" s="123" t="str">
        <f t="shared" si="32"/>
        <v>12L14TV110DH9</v>
      </c>
      <c r="I21" s="123" t="str">
        <f t="shared" si="33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4"/>
        <v>10</v>
      </c>
      <c r="T21" s="51">
        <f>'02.02'!BG21</f>
        <v>11</v>
      </c>
      <c r="U21" s="124">
        <v>9</v>
      </c>
      <c r="V21" s="100">
        <v>2</v>
      </c>
      <c r="W21" s="125">
        <f t="shared" si="5"/>
        <v>0</v>
      </c>
      <c r="X21" s="125">
        <f t="shared" si="6"/>
        <v>3478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25</v>
      </c>
      <c r="AE21" s="125">
        <f t="shared" si="35"/>
        <v>3478</v>
      </c>
      <c r="AF21" s="54">
        <f>AE21+'02.02'!AF21</f>
        <v>8989</v>
      </c>
      <c r="AG21" s="94">
        <f t="shared" si="66"/>
        <v>11</v>
      </c>
      <c r="AH21" s="56">
        <f t="shared" si="13"/>
        <v>0</v>
      </c>
      <c r="AI21" s="89">
        <v>7</v>
      </c>
      <c r="AJ21" s="93">
        <f t="shared" si="67"/>
        <v>0</v>
      </c>
      <c r="AK21" s="95">
        <f t="shared" si="36"/>
        <v>1</v>
      </c>
      <c r="AL21" s="58">
        <f t="shared" si="37"/>
        <v>7</v>
      </c>
      <c r="AM21" s="55">
        <f t="shared" si="68"/>
        <v>13</v>
      </c>
      <c r="AN21" s="125"/>
      <c r="AO21" s="126"/>
      <c r="AP21" s="126">
        <f t="shared" ref="AP21" si="83">$CJ21</f>
        <v>3860</v>
      </c>
      <c r="AQ21" s="126"/>
      <c r="AR21" s="126"/>
      <c r="AS21" s="126"/>
      <c r="AT21" s="126"/>
      <c r="AU21" s="126">
        <f t="shared" si="38"/>
        <v>0</v>
      </c>
      <c r="AV21" s="126">
        <f t="shared" si="38"/>
        <v>0</v>
      </c>
      <c r="AW21" s="126">
        <f t="shared" si="39"/>
        <v>3860</v>
      </c>
      <c r="AX21" s="126">
        <f t="shared" si="40"/>
        <v>1930</v>
      </c>
      <c r="AY21" s="94">
        <f t="shared" si="69"/>
        <v>-102</v>
      </c>
      <c r="AZ21" s="94">
        <f t="shared" si="41"/>
        <v>-51</v>
      </c>
      <c r="BA21" s="94">
        <f t="shared" si="42"/>
        <v>13</v>
      </c>
      <c r="BB21" s="97">
        <f t="shared" si="43"/>
        <v>0</v>
      </c>
      <c r="BC21" s="125">
        <v>6</v>
      </c>
      <c r="BD21" s="93">
        <f t="shared" si="44"/>
        <v>220</v>
      </c>
      <c r="BE21" s="127">
        <f t="shared" si="45"/>
        <v>0.38869257950530034</v>
      </c>
      <c r="BF21" s="58">
        <f t="shared" si="46"/>
        <v>5.39</v>
      </c>
      <c r="BG21" s="94">
        <f t="shared" si="47"/>
        <v>7.61</v>
      </c>
      <c r="BH21" s="100"/>
      <c r="BI21" s="100"/>
      <c r="BJ21" s="92">
        <f t="shared" ref="BJ21" si="84">$CN21</f>
        <v>3097</v>
      </c>
      <c r="BK21" s="100"/>
      <c r="BL21" s="100"/>
      <c r="BM21" s="100"/>
      <c r="BN21" s="92"/>
      <c r="BO21" s="124">
        <f t="shared" si="70"/>
        <v>0</v>
      </c>
      <c r="BP21" s="124">
        <f t="shared" si="70"/>
        <v>50</v>
      </c>
      <c r="BQ21" s="126">
        <f t="shared" si="48"/>
        <v>3147</v>
      </c>
      <c r="BR21" s="126">
        <f t="shared" si="49"/>
        <v>1573</v>
      </c>
      <c r="BS21" s="126">
        <f t="shared" si="71"/>
        <v>96.260000000000218</v>
      </c>
      <c r="BT21" s="126">
        <f t="shared" si="50"/>
        <v>48.130000000000109</v>
      </c>
      <c r="BU21" s="124">
        <f t="shared" si="16"/>
        <v>3478</v>
      </c>
      <c r="BV21" s="128">
        <f t="shared" si="17"/>
        <v>12.39</v>
      </c>
      <c r="BW21" s="124">
        <f t="shared" si="18"/>
        <v>-2.8699999999998909</v>
      </c>
      <c r="BX21" s="128" t="str">
        <f t="shared" si="51"/>
        <v/>
      </c>
      <c r="BY21" s="129">
        <f t="shared" si="73"/>
        <v>12.39</v>
      </c>
      <c r="BZ21" s="62">
        <f t="shared" si="52"/>
        <v>12.39</v>
      </c>
      <c r="CA21" s="128">
        <f t="shared" si="53"/>
        <v>7.0069999999999997</v>
      </c>
      <c r="CB21" s="124">
        <f t="shared" si="19"/>
        <v>3503</v>
      </c>
      <c r="CC21" s="124">
        <f t="shared" si="19"/>
        <v>-5.7399999999997817</v>
      </c>
      <c r="CD21" s="124">
        <f t="shared" si="19"/>
        <v>-2.8699999999998909</v>
      </c>
      <c r="CE21" s="100"/>
      <c r="CF21" s="100"/>
      <c r="CG21" s="51">
        <f t="shared" si="54"/>
        <v>0</v>
      </c>
      <c r="CH21" s="62">
        <f t="shared" si="55"/>
        <v>0</v>
      </c>
      <c r="CI21" s="100"/>
      <c r="CJ21" s="100">
        <v>3860</v>
      </c>
      <c r="CK21" s="100"/>
      <c r="CL21" s="126"/>
      <c r="CM21" s="100">
        <v>220</v>
      </c>
      <c r="CN21" s="100">
        <v>3097</v>
      </c>
      <c r="CO21" s="124"/>
      <c r="CP21" s="130">
        <v>50</v>
      </c>
      <c r="CQ21" s="102">
        <f t="shared" si="56"/>
        <v>1930</v>
      </c>
      <c r="CR21" s="102">
        <f t="shared" si="20"/>
        <v>0</v>
      </c>
      <c r="CS21" s="102">
        <f t="shared" si="20"/>
        <v>0</v>
      </c>
      <c r="CT21" s="92">
        <f t="shared" si="57"/>
        <v>1548</v>
      </c>
      <c r="CU21" s="92">
        <f t="shared" si="58"/>
        <v>0</v>
      </c>
      <c r="CV21" s="103">
        <f t="shared" si="58"/>
        <v>25</v>
      </c>
      <c r="CW21" s="131"/>
      <c r="CX21" s="132">
        <v>30</v>
      </c>
      <c r="CY21" s="133">
        <f t="shared" si="59"/>
        <v>1380</v>
      </c>
      <c r="CZ21" s="133">
        <f t="shared" si="60"/>
        <v>243.00000000000003</v>
      </c>
      <c r="DA21" s="133"/>
      <c r="DB21" s="133"/>
      <c r="DC21" s="132"/>
      <c r="DD21" s="134"/>
      <c r="DE21" s="124">
        <f t="shared" si="21"/>
        <v>1930</v>
      </c>
      <c r="DF21" s="135">
        <f t="shared" si="22"/>
        <v>7</v>
      </c>
      <c r="DG21" s="112">
        <f t="shared" si="23"/>
        <v>-51</v>
      </c>
      <c r="DH21" s="136">
        <f t="shared" si="24"/>
        <v>1548</v>
      </c>
      <c r="DI21" s="135">
        <f t="shared" si="25"/>
        <v>5.39</v>
      </c>
      <c r="DJ21" s="115">
        <f t="shared" si="26"/>
        <v>48.130000000000109</v>
      </c>
      <c r="DK21" s="136">
        <f t="shared" si="27"/>
        <v>3478</v>
      </c>
      <c r="DL21" s="135">
        <f t="shared" si="27"/>
        <v>12.39</v>
      </c>
      <c r="DM21" s="137">
        <f t="shared" si="27"/>
        <v>-2.8699999999998909</v>
      </c>
      <c r="DN21" s="76">
        <f t="shared" si="28"/>
        <v>11</v>
      </c>
      <c r="DO21" s="76">
        <f t="shared" si="28"/>
        <v>9</v>
      </c>
      <c r="DP21" s="115"/>
      <c r="DQ21" s="115"/>
      <c r="DR21" s="138" t="s">
        <v>423</v>
      </c>
      <c r="DS21" s="115"/>
      <c r="DT21" s="115"/>
      <c r="DU21" s="137"/>
      <c r="DV21" s="139"/>
      <c r="DW21" s="140">
        <f t="shared" si="61"/>
        <v>3490.39</v>
      </c>
      <c r="DX21" s="141">
        <f t="shared" si="29"/>
        <v>3487.52</v>
      </c>
      <c r="DY21" s="140">
        <f t="shared" si="62"/>
        <v>3503</v>
      </c>
      <c r="DZ21" s="142">
        <f t="shared" si="63"/>
        <v>0.05</v>
      </c>
      <c r="EA21" s="142">
        <f t="shared" si="64"/>
        <v>6.9560000000000004</v>
      </c>
      <c r="EB21" s="142" t="e">
        <f t="shared" si="65"/>
        <v>#VALUE!</v>
      </c>
      <c r="EC21" s="142" t="e">
        <f t="shared" si="75"/>
        <v>#VALUE!</v>
      </c>
      <c r="EF21" s="83">
        <f t="shared" si="82"/>
        <v>-2.8699999999998909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1"/>
        <v>TV12L14-5.97x2.5-H9B14</v>
      </c>
      <c r="H22" s="46" t="str">
        <f t="shared" si="32"/>
        <v>12L14TV5.970DH9</v>
      </c>
      <c r="I22" s="46" t="str">
        <f t="shared" si="33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4"/>
        <v>48</v>
      </c>
      <c r="T22" s="51">
        <f>'02.02'!BG22</f>
        <v>87</v>
      </c>
      <c r="U22" s="92"/>
      <c r="V22" s="89">
        <v>4.45</v>
      </c>
      <c r="W22" s="93">
        <f t="shared" si="5"/>
        <v>0</v>
      </c>
      <c r="X22" s="93">
        <f t="shared" si="6"/>
        <v>1224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0</v>
      </c>
      <c r="AE22" s="93">
        <f t="shared" si="35"/>
        <v>1224</v>
      </c>
      <c r="AF22" s="54">
        <f>AE22+'02.02'!AF22</f>
        <v>3054</v>
      </c>
      <c r="AG22" s="94">
        <f t="shared" si="66"/>
        <v>87</v>
      </c>
      <c r="AH22" s="56">
        <f t="shared" si="13"/>
        <v>0</v>
      </c>
      <c r="AI22" s="93"/>
      <c r="AJ22" s="93">
        <f t="shared" si="67"/>
        <v>0</v>
      </c>
      <c r="AK22" s="95">
        <f t="shared" si="36"/>
        <v>1</v>
      </c>
      <c r="AL22" s="58">
        <f t="shared" si="37"/>
        <v>0</v>
      </c>
      <c r="AM22" s="55">
        <f t="shared" si="68"/>
        <v>87</v>
      </c>
      <c r="AN22" s="93"/>
      <c r="AO22" s="96"/>
      <c r="AP22" s="96">
        <f>$CJ22</f>
        <v>0</v>
      </c>
      <c r="AQ22" s="96"/>
      <c r="AR22" s="96"/>
      <c r="AS22" s="96"/>
      <c r="AT22" s="96"/>
      <c r="AU22" s="96">
        <f t="shared" si="38"/>
        <v>0</v>
      </c>
      <c r="AV22" s="96">
        <f t="shared" si="38"/>
        <v>0</v>
      </c>
      <c r="AW22" s="96">
        <f t="shared" si="39"/>
        <v>0</v>
      </c>
      <c r="AX22" s="96">
        <f t="shared" si="40"/>
        <v>0</v>
      </c>
      <c r="AY22" s="94">
        <f t="shared" si="69"/>
        <v>0</v>
      </c>
      <c r="AZ22" s="94">
        <f t="shared" si="41"/>
        <v>0</v>
      </c>
      <c r="BA22" s="94">
        <f t="shared" si="42"/>
        <v>87</v>
      </c>
      <c r="BB22" s="97">
        <f t="shared" si="43"/>
        <v>0</v>
      </c>
      <c r="BC22" s="93">
        <v>34</v>
      </c>
      <c r="BD22" s="93">
        <f t="shared" si="44"/>
        <v>0</v>
      </c>
      <c r="BE22" s="95">
        <f t="shared" si="45"/>
        <v>1</v>
      </c>
      <c r="BF22" s="58">
        <f t="shared" si="46"/>
        <v>34</v>
      </c>
      <c r="BG22" s="94">
        <f t="shared" si="47"/>
        <v>53</v>
      </c>
      <c r="BH22" s="89"/>
      <c r="BI22" s="89"/>
      <c r="BJ22" s="92">
        <f>$CN22</f>
        <v>5449</v>
      </c>
      <c r="BK22" s="89"/>
      <c r="BL22" s="89"/>
      <c r="BM22" s="89"/>
      <c r="BN22" s="89"/>
      <c r="BO22" s="92">
        <f t="shared" si="70"/>
        <v>0</v>
      </c>
      <c r="BP22" s="92">
        <f t="shared" si="70"/>
        <v>0</v>
      </c>
      <c r="BQ22" s="96">
        <f t="shared" si="48"/>
        <v>5449</v>
      </c>
      <c r="BR22" s="96">
        <f t="shared" si="49"/>
        <v>1224</v>
      </c>
      <c r="BS22" s="96">
        <f t="shared" si="71"/>
        <v>-603</v>
      </c>
      <c r="BT22" s="96">
        <f t="shared" si="50"/>
        <v>-135.50561797752809</v>
      </c>
      <c r="BU22" s="92">
        <f t="shared" si="16"/>
        <v>1224</v>
      </c>
      <c r="BV22" s="98">
        <f t="shared" si="17"/>
        <v>34</v>
      </c>
      <c r="BW22" s="92">
        <f t="shared" si="18"/>
        <v>-135.50561797752809</v>
      </c>
      <c r="BX22" s="98">
        <f t="shared" si="51"/>
        <v>18.598000000000003</v>
      </c>
      <c r="BY22" s="61">
        <f t="shared" si="73"/>
        <v>34</v>
      </c>
      <c r="BZ22" s="62">
        <f t="shared" si="52"/>
        <v>34</v>
      </c>
      <c r="CA22" s="98">
        <f t="shared" si="53"/>
        <v>5.4489999999999998</v>
      </c>
      <c r="CB22" s="92">
        <f t="shared" si="19"/>
        <v>1224</v>
      </c>
      <c r="CC22" s="92">
        <f t="shared" si="19"/>
        <v>-603</v>
      </c>
      <c r="CD22" s="92">
        <f t="shared" si="19"/>
        <v>-135.50561797752809</v>
      </c>
      <c r="CE22" s="99"/>
      <c r="CF22" s="99"/>
      <c r="CG22" s="51">
        <f t="shared" si="54"/>
        <v>13.149000000000003</v>
      </c>
      <c r="CH22" s="62">
        <f t="shared" si="55"/>
        <v>13.149000000000003</v>
      </c>
      <c r="CI22" s="89"/>
      <c r="CJ22" s="89"/>
      <c r="CK22" s="89"/>
      <c r="CL22" s="96"/>
      <c r="CM22" s="89"/>
      <c r="CN22" s="89">
        <v>5449</v>
      </c>
      <c r="CO22" s="92"/>
      <c r="CP22" s="101"/>
      <c r="CQ22" s="102">
        <f t="shared" si="56"/>
        <v>0</v>
      </c>
      <c r="CR22" s="102">
        <f t="shared" si="20"/>
        <v>0</v>
      </c>
      <c r="CS22" s="102">
        <f t="shared" si="20"/>
        <v>0</v>
      </c>
      <c r="CT22" s="92">
        <f t="shared" si="57"/>
        <v>1224</v>
      </c>
      <c r="CU22" s="92">
        <f t="shared" si="58"/>
        <v>0</v>
      </c>
      <c r="CV22" s="103">
        <f t="shared" si="58"/>
        <v>0</v>
      </c>
      <c r="CW22" s="104"/>
      <c r="CX22" s="105">
        <v>36.090000000000003</v>
      </c>
      <c r="CY22" s="106">
        <f t="shared" si="59"/>
        <v>947</v>
      </c>
      <c r="CZ22" s="106">
        <f t="shared" si="60"/>
        <v>292.32900000000006</v>
      </c>
      <c r="DA22" s="106"/>
      <c r="DB22" s="106"/>
      <c r="DC22" s="105"/>
      <c r="DD22" s="107"/>
      <c r="DE22" s="92">
        <f t="shared" si="21"/>
        <v>0</v>
      </c>
      <c r="DF22" s="108">
        <f t="shared" si="22"/>
        <v>0</v>
      </c>
      <c r="DG22" s="112">
        <f t="shared" si="23"/>
        <v>0</v>
      </c>
      <c r="DH22" s="110">
        <f t="shared" si="24"/>
        <v>1224</v>
      </c>
      <c r="DI22" s="108">
        <f t="shared" si="25"/>
        <v>34</v>
      </c>
      <c r="DJ22" s="112">
        <f t="shared" si="26"/>
        <v>-135.50561797752809</v>
      </c>
      <c r="DK22" s="110">
        <f t="shared" si="27"/>
        <v>1224</v>
      </c>
      <c r="DL22" s="108">
        <f t="shared" si="27"/>
        <v>34</v>
      </c>
      <c r="DM22" s="111">
        <f t="shared" si="27"/>
        <v>-135.50561797752809</v>
      </c>
      <c r="DN22" s="76">
        <f t="shared" si="28"/>
        <v>87</v>
      </c>
      <c r="DO22" s="76">
        <f t="shared" si="28"/>
        <v>0</v>
      </c>
      <c r="DP22" s="112"/>
      <c r="DQ22" s="112"/>
      <c r="DR22" s="113" t="s">
        <v>425</v>
      </c>
      <c r="DS22" s="112"/>
      <c r="DT22" s="112"/>
      <c r="DU22" s="111"/>
      <c r="DV22" s="114"/>
      <c r="DW22" s="80">
        <f t="shared" si="61"/>
        <v>1258</v>
      </c>
      <c r="DX22" s="81">
        <f t="shared" si="29"/>
        <v>1122.4943820224719</v>
      </c>
      <c r="DY22" s="80">
        <f t="shared" si="62"/>
        <v>1224</v>
      </c>
      <c r="DZ22" s="82">
        <f t="shared" si="63"/>
        <v>0</v>
      </c>
      <c r="EA22" s="82">
        <f t="shared" si="64"/>
        <v>5.4468000000000005</v>
      </c>
      <c r="EB22" s="82">
        <f t="shared" si="65"/>
        <v>13.151200000000003</v>
      </c>
      <c r="EC22" s="82">
        <f t="shared" si="75"/>
        <v>13.151200000000003</v>
      </c>
      <c r="EF22" s="83">
        <f t="shared" si="82"/>
        <v>-135.50561797752809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1"/>
        <v>YHC3604-10.03x3-H9B12</v>
      </c>
      <c r="H23" s="46" t="str">
        <f t="shared" si="32"/>
        <v>C3604YH10.030DH9</v>
      </c>
      <c r="I23" s="46" t="str">
        <f t="shared" si="33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4"/>
        <v>34</v>
      </c>
      <c r="T23" s="51">
        <f>'02.02'!BG23</f>
        <v>45</v>
      </c>
      <c r="U23" s="92"/>
      <c r="V23" s="89">
        <v>4.05</v>
      </c>
      <c r="W23" s="93">
        <f t="shared" si="5"/>
        <v>0</v>
      </c>
      <c r="X23" s="93">
        <f t="shared" si="6"/>
        <v>0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0</v>
      </c>
      <c r="AE23" s="93">
        <f t="shared" si="35"/>
        <v>0</v>
      </c>
      <c r="AF23" s="54">
        <f>AE23+'02.02'!AF23</f>
        <v>0</v>
      </c>
      <c r="AG23" s="94">
        <f t="shared" si="66"/>
        <v>45</v>
      </c>
      <c r="AH23" s="56">
        <f t="shared" si="13"/>
        <v>0</v>
      </c>
      <c r="AI23" s="93"/>
      <c r="AJ23" s="93">
        <f t="shared" si="67"/>
        <v>0</v>
      </c>
      <c r="AK23" s="95">
        <f t="shared" si="36"/>
        <v>1</v>
      </c>
      <c r="AL23" s="58">
        <f t="shared" si="37"/>
        <v>0</v>
      </c>
      <c r="AM23" s="55">
        <f t="shared" si="68"/>
        <v>45</v>
      </c>
      <c r="AN23" s="93"/>
      <c r="AO23" s="96"/>
      <c r="AP23" s="96">
        <f>$CJ23</f>
        <v>0</v>
      </c>
      <c r="AQ23" s="96"/>
      <c r="AR23" s="96"/>
      <c r="AS23" s="96"/>
      <c r="AT23" s="96"/>
      <c r="AU23" s="96">
        <f t="shared" si="38"/>
        <v>0</v>
      </c>
      <c r="AV23" s="96">
        <f t="shared" si="38"/>
        <v>0</v>
      </c>
      <c r="AW23" s="96">
        <f t="shared" si="39"/>
        <v>0</v>
      </c>
      <c r="AX23" s="96">
        <f t="shared" si="40"/>
        <v>0</v>
      </c>
      <c r="AY23" s="94">
        <f t="shared" si="69"/>
        <v>0</v>
      </c>
      <c r="AZ23" s="94">
        <f t="shared" si="41"/>
        <v>0</v>
      </c>
      <c r="BA23" s="94">
        <f t="shared" si="42"/>
        <v>45</v>
      </c>
      <c r="BB23" s="97">
        <f t="shared" si="43"/>
        <v>0</v>
      </c>
      <c r="BC23" s="93"/>
      <c r="BD23" s="93">
        <f t="shared" si="44"/>
        <v>0</v>
      </c>
      <c r="BE23" s="95">
        <f>IF(AA23="","",IF(BD23=0,1,BD23/$V23/$E23))</f>
        <v>1</v>
      </c>
      <c r="BF23" s="58">
        <f t="shared" si="46"/>
        <v>0</v>
      </c>
      <c r="BG23" s="94">
        <f t="shared" si="47"/>
        <v>45</v>
      </c>
      <c r="BH23" s="89"/>
      <c r="BI23" s="89"/>
      <c r="BJ23" s="92">
        <f>$CN23</f>
        <v>0</v>
      </c>
      <c r="BK23" s="89"/>
      <c r="BL23" s="89"/>
      <c r="BM23" s="89"/>
      <c r="BN23" s="89"/>
      <c r="BO23" s="92">
        <f t="shared" si="70"/>
        <v>0</v>
      </c>
      <c r="BP23" s="92">
        <f t="shared" si="70"/>
        <v>0</v>
      </c>
      <c r="BQ23" s="96">
        <f t="shared" si="48"/>
        <v>0</v>
      </c>
      <c r="BR23" s="96">
        <f t="shared" si="49"/>
        <v>0</v>
      </c>
      <c r="BS23" s="96">
        <f t="shared" si="71"/>
        <v>0</v>
      </c>
      <c r="BT23" s="96">
        <f t="shared" si="50"/>
        <v>0</v>
      </c>
      <c r="BU23" s="92">
        <f t="shared" si="16"/>
        <v>0</v>
      </c>
      <c r="BV23" s="98">
        <f t="shared" si="17"/>
        <v>0</v>
      </c>
      <c r="BW23" s="92">
        <f t="shared" si="18"/>
        <v>0</v>
      </c>
      <c r="BX23" s="98">
        <f t="shared" si="51"/>
        <v>0</v>
      </c>
      <c r="BY23" s="61">
        <f t="shared" si="73"/>
        <v>0</v>
      </c>
      <c r="BZ23" s="62">
        <f t="shared" si="52"/>
        <v>0</v>
      </c>
      <c r="CA23" s="98">
        <f t="shared" si="53"/>
        <v>0</v>
      </c>
      <c r="CB23" s="92">
        <f t="shared" si="19"/>
        <v>0</v>
      </c>
      <c r="CC23" s="92">
        <f t="shared" si="19"/>
        <v>0</v>
      </c>
      <c r="CD23" s="92">
        <f t="shared" si="19"/>
        <v>0</v>
      </c>
      <c r="CE23" s="99"/>
      <c r="CF23" s="99"/>
      <c r="CG23" s="51">
        <f t="shared" si="54"/>
        <v>0</v>
      </c>
      <c r="CH23" s="62">
        <f t="shared" si="55"/>
        <v>0</v>
      </c>
      <c r="CI23" s="89"/>
      <c r="CJ23" s="89"/>
      <c r="CK23" s="89"/>
      <c r="CL23" s="96"/>
      <c r="CM23" s="89"/>
      <c r="CN23" s="89"/>
      <c r="CO23" s="92"/>
      <c r="CP23" s="101"/>
      <c r="CQ23" s="102">
        <f t="shared" si="56"/>
        <v>0</v>
      </c>
      <c r="CR23" s="102">
        <f t="shared" si="20"/>
        <v>0</v>
      </c>
      <c r="CS23" s="102">
        <f t="shared" si="20"/>
        <v>0</v>
      </c>
      <c r="CT23" s="92">
        <f t="shared" si="57"/>
        <v>0</v>
      </c>
      <c r="CU23" s="92">
        <f t="shared" si="58"/>
        <v>0</v>
      </c>
      <c r="CV23" s="103">
        <f t="shared" si="58"/>
        <v>0</v>
      </c>
      <c r="CW23" s="104"/>
      <c r="CX23" s="105">
        <v>17</v>
      </c>
      <c r="CY23" s="106">
        <f t="shared" si="59"/>
        <v>2188</v>
      </c>
      <c r="CZ23" s="106">
        <f t="shared" si="60"/>
        <v>137.70000000000002</v>
      </c>
      <c r="DA23" s="106"/>
      <c r="DB23" s="106"/>
      <c r="DC23" s="105"/>
      <c r="DD23" s="107"/>
      <c r="DE23" s="92">
        <f t="shared" si="21"/>
        <v>0</v>
      </c>
      <c r="DF23" s="108">
        <f t="shared" si="22"/>
        <v>0</v>
      </c>
      <c r="DG23" s="112">
        <f t="shared" si="23"/>
        <v>0</v>
      </c>
      <c r="DH23" s="110">
        <f t="shared" si="24"/>
        <v>0</v>
      </c>
      <c r="DI23" s="108">
        <f t="shared" si="25"/>
        <v>0</v>
      </c>
      <c r="DJ23" s="112">
        <f t="shared" si="26"/>
        <v>0</v>
      </c>
      <c r="DK23" s="110">
        <f t="shared" si="27"/>
        <v>0</v>
      </c>
      <c r="DL23" s="108">
        <f t="shared" si="27"/>
        <v>0</v>
      </c>
      <c r="DM23" s="111">
        <f t="shared" si="27"/>
        <v>0</v>
      </c>
      <c r="DN23" s="76">
        <f t="shared" si="28"/>
        <v>45</v>
      </c>
      <c r="DO23" s="76">
        <f t="shared" si="28"/>
        <v>0</v>
      </c>
      <c r="DP23" s="112"/>
      <c r="DQ23" s="112"/>
      <c r="DR23" s="113" t="s">
        <v>426</v>
      </c>
      <c r="DS23" s="112"/>
      <c r="DT23" s="112"/>
      <c r="DU23" s="111"/>
      <c r="DV23" s="114"/>
      <c r="DW23" s="80">
        <f t="shared" ref="DW23:DW25" si="85">IFERROR(AL23+BF23,"")</f>
        <v>0</v>
      </c>
      <c r="DX23" s="81">
        <f t="shared" si="29"/>
        <v>0</v>
      </c>
      <c r="DY23" s="80">
        <f t="shared" si="62"/>
        <v>0</v>
      </c>
      <c r="DZ23" s="82">
        <f t="shared" si="63"/>
        <v>0</v>
      </c>
      <c r="EA23" s="82">
        <f t="shared" si="64"/>
        <v>0</v>
      </c>
      <c r="EB23" s="82">
        <f t="shared" si="65"/>
        <v>0</v>
      </c>
      <c r="EC23" s="82">
        <f>(BX23-CA23)+((AV23+BP23)/1000)</f>
        <v>0</v>
      </c>
      <c r="EF23" s="83">
        <f t="shared" si="82"/>
        <v>0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1"/>
        <v>GWA6063-T5-T18.15x8.6x3-H9A15</v>
      </c>
      <c r="H24" s="46" t="str">
        <f t="shared" si="32"/>
        <v>A6063-T5GW18.158.6TH9</v>
      </c>
      <c r="I24" s="46" t="str">
        <f t="shared" si="33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4"/>
        <v>14</v>
      </c>
      <c r="T24" s="51">
        <f>'02.02'!BG24</f>
        <v>8</v>
      </c>
      <c r="U24" s="92">
        <v>10</v>
      </c>
      <c r="V24" s="89">
        <v>9.9</v>
      </c>
      <c r="W24" s="93">
        <f t="shared" si="5"/>
        <v>0</v>
      </c>
      <c r="X24" s="93">
        <f t="shared" si="6"/>
        <v>695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0</v>
      </c>
      <c r="AE24" s="93">
        <f t="shared" si="35"/>
        <v>695</v>
      </c>
      <c r="AF24" s="54">
        <f>AE24+'02.02'!AF24</f>
        <v>1660</v>
      </c>
      <c r="AG24" s="94">
        <f t="shared" si="66"/>
        <v>8</v>
      </c>
      <c r="AH24" s="56">
        <f t="shared" si="13"/>
        <v>0</v>
      </c>
      <c r="AI24" s="93">
        <v>5</v>
      </c>
      <c r="AJ24" s="93">
        <f t="shared" si="67"/>
        <v>0</v>
      </c>
      <c r="AK24" s="95">
        <f t="shared" si="36"/>
        <v>1</v>
      </c>
      <c r="AL24" s="58">
        <f t="shared" si="37"/>
        <v>5</v>
      </c>
      <c r="AM24" s="55">
        <f t="shared" si="68"/>
        <v>13</v>
      </c>
      <c r="AN24" s="93"/>
      <c r="AO24" s="96"/>
      <c r="AP24" s="96">
        <f>$CJ24</f>
        <v>3583.8</v>
      </c>
      <c r="AQ24" s="96"/>
      <c r="AR24" s="96"/>
      <c r="AS24" s="96"/>
      <c r="AT24" s="96"/>
      <c r="AU24" s="96">
        <f t="shared" si="38"/>
        <v>0</v>
      </c>
      <c r="AV24" s="96">
        <f t="shared" si="38"/>
        <v>0</v>
      </c>
      <c r="AW24" s="96">
        <f t="shared" si="39"/>
        <v>3583.8</v>
      </c>
      <c r="AX24" s="96">
        <f t="shared" si="40"/>
        <v>362</v>
      </c>
      <c r="AY24" s="94">
        <f t="shared" si="69"/>
        <v>217.80000000000018</v>
      </c>
      <c r="AZ24" s="94">
        <f t="shared" si="41"/>
        <v>22.000000000000018</v>
      </c>
      <c r="BA24" s="94">
        <f t="shared" si="42"/>
        <v>13</v>
      </c>
      <c r="BB24" s="97">
        <f t="shared" si="43"/>
        <v>0</v>
      </c>
      <c r="BC24" s="93">
        <v>5</v>
      </c>
      <c r="BD24" s="93">
        <f t="shared" si="44"/>
        <v>0</v>
      </c>
      <c r="BE24" s="95">
        <f t="shared" si="45"/>
        <v>1</v>
      </c>
      <c r="BF24" s="58">
        <f t="shared" si="46"/>
        <v>5</v>
      </c>
      <c r="BG24" s="94">
        <f t="shared" si="47"/>
        <v>8</v>
      </c>
      <c r="BH24" s="89"/>
      <c r="BI24" s="89"/>
      <c r="BJ24" s="92">
        <f>$CN24</f>
        <v>3296.7000000000003</v>
      </c>
      <c r="BK24" s="89"/>
      <c r="BL24" s="89"/>
      <c r="BM24" s="89"/>
      <c r="BN24" s="89"/>
      <c r="BO24" s="92">
        <f t="shared" si="70"/>
        <v>0</v>
      </c>
      <c r="BP24" s="92">
        <f t="shared" si="70"/>
        <v>0</v>
      </c>
      <c r="BQ24" s="96">
        <f t="shared" si="48"/>
        <v>3296.7000000000003</v>
      </c>
      <c r="BR24" s="96">
        <f t="shared" si="49"/>
        <v>333</v>
      </c>
      <c r="BS24" s="96">
        <f t="shared" si="71"/>
        <v>-69.299999999999727</v>
      </c>
      <c r="BT24" s="96">
        <f t="shared" si="50"/>
        <v>-6.9999999999999725</v>
      </c>
      <c r="BU24" s="92">
        <f t="shared" si="16"/>
        <v>695</v>
      </c>
      <c r="BV24" s="98">
        <f t="shared" si="17"/>
        <v>10</v>
      </c>
      <c r="BW24" s="92">
        <f t="shared" si="18"/>
        <v>15.000000000000046</v>
      </c>
      <c r="BX24" s="98">
        <f t="shared" si="51"/>
        <v>16.41</v>
      </c>
      <c r="BY24" s="61">
        <f t="shared" si="73"/>
        <v>10</v>
      </c>
      <c r="BZ24" s="62">
        <f t="shared" si="52"/>
        <v>10</v>
      </c>
      <c r="CA24" s="98">
        <f t="shared" si="53"/>
        <v>6.8804999999999996</v>
      </c>
      <c r="CB24" s="92">
        <f t="shared" si="19"/>
        <v>695</v>
      </c>
      <c r="CC24" s="92">
        <f t="shared" si="19"/>
        <v>148.50000000000045</v>
      </c>
      <c r="CD24" s="92">
        <f t="shared" si="19"/>
        <v>15.000000000000046</v>
      </c>
      <c r="CE24" s="99"/>
      <c r="CF24" s="99"/>
      <c r="CG24" s="51">
        <f t="shared" si="54"/>
        <v>9.5295000000000005</v>
      </c>
      <c r="CH24" s="62">
        <f t="shared" si="55"/>
        <v>9.5295000000000005</v>
      </c>
      <c r="CI24" s="89"/>
      <c r="CJ24" s="89">
        <f>362*9.9</f>
        <v>3583.8</v>
      </c>
      <c r="CK24" s="89"/>
      <c r="CL24" s="96"/>
      <c r="CM24" s="89"/>
      <c r="CN24" s="89">
        <f>333*9.9</f>
        <v>3296.7000000000003</v>
      </c>
      <c r="CO24" s="92"/>
      <c r="CP24" s="101"/>
      <c r="CQ24" s="102">
        <f t="shared" si="56"/>
        <v>362</v>
      </c>
      <c r="CR24" s="102">
        <f t="shared" si="56"/>
        <v>0</v>
      </c>
      <c r="CS24" s="102">
        <f t="shared" si="56"/>
        <v>0</v>
      </c>
      <c r="CT24" s="92">
        <f t="shared" si="57"/>
        <v>333</v>
      </c>
      <c r="CU24" s="92">
        <f t="shared" si="58"/>
        <v>0</v>
      </c>
      <c r="CV24" s="103">
        <f t="shared" si="58"/>
        <v>0</v>
      </c>
      <c r="CW24" s="104"/>
      <c r="CX24" s="105">
        <v>80.33</v>
      </c>
      <c r="CY24" s="106">
        <f t="shared" si="59"/>
        <v>507</v>
      </c>
      <c r="CZ24" s="106">
        <f t="shared" si="60"/>
        <v>650.673</v>
      </c>
      <c r="DA24" s="106"/>
      <c r="DB24" s="106"/>
      <c r="DC24" s="105"/>
      <c r="DD24" s="107"/>
      <c r="DE24" s="92">
        <f t="shared" si="21"/>
        <v>362</v>
      </c>
      <c r="DF24" s="108">
        <f t="shared" si="22"/>
        <v>5</v>
      </c>
      <c r="DG24" s="112">
        <f t="shared" si="23"/>
        <v>22.000000000000018</v>
      </c>
      <c r="DH24" s="110">
        <f t="shared" si="24"/>
        <v>333</v>
      </c>
      <c r="DI24" s="108">
        <f t="shared" si="25"/>
        <v>5</v>
      </c>
      <c r="DJ24" s="112">
        <f t="shared" si="26"/>
        <v>-6.9999999999999725</v>
      </c>
      <c r="DK24" s="110">
        <f t="shared" ref="DK24:DM87" si="86">IFERROR(DE24+DH24,"")</f>
        <v>695</v>
      </c>
      <c r="DL24" s="108">
        <f t="shared" si="86"/>
        <v>10</v>
      </c>
      <c r="DM24" s="111">
        <f t="shared" si="86"/>
        <v>15.000000000000046</v>
      </c>
      <c r="DN24" s="76">
        <f t="shared" si="28"/>
        <v>8</v>
      </c>
      <c r="DO24" s="76">
        <f t="shared" si="28"/>
        <v>10</v>
      </c>
      <c r="DP24" s="112"/>
      <c r="DQ24" s="112"/>
      <c r="DR24" s="113" t="s">
        <v>427</v>
      </c>
      <c r="DS24" s="112"/>
      <c r="DT24" s="112"/>
      <c r="DU24" s="111"/>
      <c r="DV24" s="114"/>
      <c r="DW24" s="80">
        <f t="shared" si="85"/>
        <v>10</v>
      </c>
      <c r="DX24" s="81">
        <f t="shared" si="29"/>
        <v>720</v>
      </c>
      <c r="DY24" s="80">
        <f t="shared" si="62"/>
        <v>695</v>
      </c>
      <c r="DZ24" s="82">
        <f t="shared" si="63"/>
        <v>0</v>
      </c>
      <c r="EA24" s="82">
        <f t="shared" si="64"/>
        <v>6.8804999999999996</v>
      </c>
      <c r="EB24" s="82">
        <f t="shared" si="65"/>
        <v>9.5295000000000005</v>
      </c>
      <c r="EC24" s="82">
        <f t="shared" si="75"/>
        <v>9.5295000000000005</v>
      </c>
      <c r="EF24" s="83">
        <f t="shared" si="82"/>
        <v>15.000000000000046</v>
      </c>
    </row>
    <row r="25" spans="1:136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1"/>
        <v>GWA6063-T5-17x3-H9B15</v>
      </c>
      <c r="H25" s="46" t="str">
        <f t="shared" si="32"/>
        <v>A6063-T5GW170DH9</v>
      </c>
      <c r="I25" s="46" t="str">
        <f t="shared" si="33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4"/>
        <v>16</v>
      </c>
      <c r="T25" s="51">
        <f>'02.02'!BG25</f>
        <v>20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5"/>
        <v>0</v>
      </c>
      <c r="AF25" s="54">
        <f>AE25+'02.02'!AF25</f>
        <v>0</v>
      </c>
      <c r="AG25" s="94">
        <f t="shared" si="66"/>
        <v>20</v>
      </c>
      <c r="AH25" s="56">
        <f t="shared" si="13"/>
        <v>0</v>
      </c>
      <c r="AI25" s="93"/>
      <c r="AJ25" s="93">
        <f t="shared" si="67"/>
        <v>0</v>
      </c>
      <c r="AK25" s="95">
        <f t="shared" si="36"/>
        <v>1</v>
      </c>
      <c r="AL25" s="58">
        <f t="shared" si="37"/>
        <v>0</v>
      </c>
      <c r="AM25" s="55">
        <f t="shared" si="68"/>
        <v>20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8"/>
        <v>0</v>
      </c>
      <c r="AV25" s="96">
        <f t="shared" si="38"/>
        <v>0</v>
      </c>
      <c r="AW25" s="96">
        <f t="shared" si="39"/>
        <v>0</v>
      </c>
      <c r="AX25" s="96">
        <f t="shared" si="40"/>
        <v>0</v>
      </c>
      <c r="AY25" s="94">
        <f t="shared" si="69"/>
        <v>0</v>
      </c>
      <c r="AZ25" s="94">
        <f t="shared" si="41"/>
        <v>0</v>
      </c>
      <c r="BA25" s="94">
        <f t="shared" si="42"/>
        <v>20</v>
      </c>
      <c r="BB25" s="97">
        <f t="shared" si="43"/>
        <v>0</v>
      </c>
      <c r="BC25" s="93"/>
      <c r="BD25" s="93">
        <f t="shared" si="44"/>
        <v>0</v>
      </c>
      <c r="BE25" s="95">
        <f t="shared" si="45"/>
        <v>1</v>
      </c>
      <c r="BF25" s="58">
        <f t="shared" si="46"/>
        <v>0</v>
      </c>
      <c r="BG25" s="94">
        <f t="shared" si="47"/>
        <v>20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0"/>
        <v>0</v>
      </c>
      <c r="BP25" s="92">
        <f t="shared" si="70"/>
        <v>0</v>
      </c>
      <c r="BQ25" s="96">
        <f t="shared" si="48"/>
        <v>0</v>
      </c>
      <c r="BR25" s="96">
        <f t="shared" si="49"/>
        <v>0</v>
      </c>
      <c r="BS25" s="96">
        <f t="shared" si="71"/>
        <v>0</v>
      </c>
      <c r="BT25" s="96">
        <f t="shared" si="50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1"/>
        <v>0</v>
      </c>
      <c r="BY25" s="61">
        <f t="shared" si="73"/>
        <v>0</v>
      </c>
      <c r="BZ25" s="62">
        <f t="shared" si="52"/>
        <v>0</v>
      </c>
      <c r="CA25" s="98">
        <f t="shared" si="53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4"/>
        <v>0</v>
      </c>
      <c r="CH25" s="62">
        <f t="shared" si="55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7">INT(IFERROR( CJ25/$V25,0))</f>
        <v>0</v>
      </c>
      <c r="CR25" s="102">
        <f t="shared" si="87"/>
        <v>0</v>
      </c>
      <c r="CS25" s="102">
        <f t="shared" si="87"/>
        <v>0</v>
      </c>
      <c r="CT25" s="92">
        <f t="shared" si="57"/>
        <v>0</v>
      </c>
      <c r="CU25" s="92">
        <f t="shared" ref="CU25:CV40" si="88">INT(IFERROR( AC25-CR25,0))</f>
        <v>0</v>
      </c>
      <c r="CV25" s="103">
        <f t="shared" si="88"/>
        <v>0</v>
      </c>
      <c r="CW25" s="104"/>
      <c r="CX25" s="105">
        <v>69.16</v>
      </c>
      <c r="CY25" s="106">
        <f t="shared" si="59"/>
        <v>585</v>
      </c>
      <c r="CZ25" s="106">
        <f t="shared" si="60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6"/>
        <v>0</v>
      </c>
      <c r="DL25" s="108">
        <f t="shared" si="86"/>
        <v>0</v>
      </c>
      <c r="DM25" s="111">
        <f t="shared" si="86"/>
        <v>0</v>
      </c>
      <c r="DN25" s="76">
        <f t="shared" si="28"/>
        <v>20</v>
      </c>
      <c r="DO25" s="76">
        <f t="shared" si="28"/>
        <v>0</v>
      </c>
      <c r="DP25" s="112"/>
      <c r="DQ25" s="112"/>
      <c r="DR25" s="113" t="s">
        <v>428</v>
      </c>
      <c r="DS25" s="112"/>
      <c r="DT25" s="112"/>
      <c r="DU25" s="111"/>
      <c r="DV25" s="114"/>
      <c r="DW25" s="80">
        <f t="shared" si="85"/>
        <v>0</v>
      </c>
      <c r="DX25" s="81">
        <f t="shared" si="29"/>
        <v>0</v>
      </c>
      <c r="DY25" s="80">
        <f t="shared" si="62"/>
        <v>0</v>
      </c>
      <c r="DZ25" s="82">
        <f t="shared" si="63"/>
        <v>0</v>
      </c>
      <c r="EA25" s="82">
        <f t="shared" si="64"/>
        <v>0</v>
      </c>
      <c r="EB25" s="82">
        <f t="shared" si="65"/>
        <v>0</v>
      </c>
      <c r="EC25" s="82">
        <f>(BX25-CA25)+((AV25+BP25)/1000)</f>
        <v>0</v>
      </c>
      <c r="EF25" s="83">
        <f t="shared" si="82"/>
        <v>0</v>
      </c>
    </row>
    <row r="26" spans="1:136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1"/>
        <v>-xx-</v>
      </c>
      <c r="H26" s="46" t="str">
        <f t="shared" si="32"/>
        <v/>
      </c>
      <c r="I26" s="46" t="str">
        <f t="shared" si="33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4"/>
        <v>#DIV/0!</v>
      </c>
      <c r="T26" s="51">
        <f>'02.02'!BG26</f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5"/>
        <v>0</v>
      </c>
      <c r="AF26" s="54">
        <f>AE26+'02.02'!AF26</f>
        <v>0</v>
      </c>
      <c r="AG26" s="94">
        <f t="shared" si="66"/>
        <v>0</v>
      </c>
      <c r="AH26" s="56">
        <f t="shared" si="13"/>
        <v>0</v>
      </c>
      <c r="AI26" s="93"/>
      <c r="AJ26" s="93">
        <f t="shared" si="67"/>
        <v>0</v>
      </c>
      <c r="AK26" s="95">
        <f t="shared" si="36"/>
        <v>1</v>
      </c>
      <c r="AL26" s="58">
        <f t="shared" si="37"/>
        <v>0</v>
      </c>
      <c r="AM26" s="55">
        <f t="shared" si="68"/>
        <v>0</v>
      </c>
      <c r="AN26" s="93"/>
      <c r="AO26" s="96"/>
      <c r="AP26" s="96"/>
      <c r="AQ26" s="96"/>
      <c r="AR26" s="96"/>
      <c r="AS26" s="96"/>
      <c r="AT26" s="96"/>
      <c r="AU26" s="96">
        <f t="shared" si="38"/>
        <v>0</v>
      </c>
      <c r="AV26" s="96">
        <f t="shared" si="38"/>
        <v>0</v>
      </c>
      <c r="AW26" s="96">
        <f t="shared" si="39"/>
        <v>0</v>
      </c>
      <c r="AX26" s="96">
        <f t="shared" si="40"/>
        <v>0</v>
      </c>
      <c r="AY26" s="94">
        <f t="shared" si="69"/>
        <v>0</v>
      </c>
      <c r="AZ26" s="94">
        <f t="shared" si="41"/>
        <v>0</v>
      </c>
      <c r="BA26" s="94">
        <f t="shared" si="42"/>
        <v>0</v>
      </c>
      <c r="BB26" s="97">
        <f t="shared" si="43"/>
        <v>0</v>
      </c>
      <c r="BC26" s="93"/>
      <c r="BD26" s="93">
        <f t="shared" si="44"/>
        <v>0</v>
      </c>
      <c r="BE26" s="95">
        <f t="shared" si="45"/>
        <v>1</v>
      </c>
      <c r="BF26" s="58">
        <f t="shared" si="46"/>
        <v>0</v>
      </c>
      <c r="BG26" s="94">
        <f t="shared" si="47"/>
        <v>0</v>
      </c>
      <c r="BH26" s="89"/>
      <c r="BI26" s="89"/>
      <c r="BJ26" s="89"/>
      <c r="BK26" s="89"/>
      <c r="BL26" s="89"/>
      <c r="BM26" s="89"/>
      <c r="BN26" s="89"/>
      <c r="BO26" s="92">
        <f t="shared" si="70"/>
        <v>0</v>
      </c>
      <c r="BP26" s="92">
        <f t="shared" si="70"/>
        <v>0</v>
      </c>
      <c r="BQ26" s="96">
        <f t="shared" si="48"/>
        <v>0</v>
      </c>
      <c r="BR26" s="96">
        <f t="shared" si="49"/>
        <v>0</v>
      </c>
      <c r="BS26" s="96">
        <f t="shared" si="71"/>
        <v>0</v>
      </c>
      <c r="BT26" s="96">
        <f t="shared" si="50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1"/>
        <v/>
      </c>
      <c r="BY26" s="61">
        <f t="shared" si="73"/>
        <v>0</v>
      </c>
      <c r="BZ26" s="62">
        <f t="shared" si="52"/>
        <v>0</v>
      </c>
      <c r="CA26" s="98">
        <f t="shared" si="53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4"/>
        <v>0</v>
      </c>
      <c r="CH26" s="62">
        <f t="shared" si="55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7"/>
        <v>0</v>
      </c>
      <c r="CR26" s="102">
        <f t="shared" si="87"/>
        <v>0</v>
      </c>
      <c r="CS26" s="102">
        <f t="shared" si="87"/>
        <v>0</v>
      </c>
      <c r="CT26" s="92">
        <f t="shared" si="57"/>
        <v>0</v>
      </c>
      <c r="CU26" s="92">
        <f t="shared" si="88"/>
        <v>0</v>
      </c>
      <c r="CV26" s="103">
        <f t="shared" si="88"/>
        <v>0</v>
      </c>
      <c r="CW26" s="104"/>
      <c r="CX26" s="105"/>
      <c r="CY26" s="106" t="e">
        <f t="shared" si="59"/>
        <v>#DIV/0!</v>
      </c>
      <c r="CZ26" s="106">
        <f t="shared" si="60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6"/>
        <v>0</v>
      </c>
      <c r="DL26" s="108">
        <f t="shared" si="86"/>
        <v>0</v>
      </c>
      <c r="DM26" s="111">
        <f t="shared" si="86"/>
        <v>0</v>
      </c>
      <c r="DN26" s="76">
        <f t="shared" ref="DN26:DO89" si="89">T26</f>
        <v>0</v>
      </c>
      <c r="DO26" s="76">
        <f t="shared" si="89"/>
        <v>0</v>
      </c>
      <c r="DP26" s="112"/>
      <c r="DQ26" s="112"/>
      <c r="DR26" s="113"/>
      <c r="DS26" s="112"/>
      <c r="DT26" s="112"/>
      <c r="DU26" s="111"/>
      <c r="DV26" s="114"/>
      <c r="DW26" s="80">
        <f t="shared" si="61"/>
        <v>0</v>
      </c>
      <c r="DX26" s="81">
        <f t="shared" si="29"/>
        <v>0</v>
      </c>
      <c r="DY26" s="80">
        <f t="shared" si="62"/>
        <v>0</v>
      </c>
      <c r="DZ26" s="82">
        <f t="shared" si="63"/>
        <v>0</v>
      </c>
      <c r="EA26" s="82">
        <f t="shared" si="64"/>
        <v>0</v>
      </c>
      <c r="EB26" s="82" t="e">
        <f t="shared" si="65"/>
        <v>#VALUE!</v>
      </c>
      <c r="EC26" s="82" t="e">
        <f t="shared" si="75"/>
        <v>#VALUE!</v>
      </c>
    </row>
    <row r="27" spans="1:136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1"/>
        <v>TVSUJ2-8.1x3-H9C13</v>
      </c>
      <c r="H27" s="46" t="str">
        <f t="shared" si="32"/>
        <v>SUJ2TV8.10DH9</v>
      </c>
      <c r="I27" s="46" t="str">
        <f t="shared" si="33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4"/>
        <v>52</v>
      </c>
      <c r="T27" s="51">
        <f>'02.02'!BG27</f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5"/>
        <v>0</v>
      </c>
      <c r="AF27" s="54">
        <f>AE27+'02.02'!AF27</f>
        <v>0</v>
      </c>
      <c r="AG27" s="94">
        <f t="shared" si="66"/>
        <v>0</v>
      </c>
      <c r="AH27" s="56">
        <f t="shared" si="13"/>
        <v>0</v>
      </c>
      <c r="AI27" s="93"/>
      <c r="AJ27" s="93">
        <f t="shared" si="67"/>
        <v>0</v>
      </c>
      <c r="AK27" s="95">
        <f t="shared" si="36"/>
        <v>1</v>
      </c>
      <c r="AL27" s="58">
        <f t="shared" si="37"/>
        <v>0</v>
      </c>
      <c r="AM27" s="55">
        <f t="shared" si="68"/>
        <v>0</v>
      </c>
      <c r="AN27" s="93"/>
      <c r="AO27" s="96"/>
      <c r="AP27" s="96">
        <f t="shared" ref="AP27:AP33" si="90">$CJ27</f>
        <v>0</v>
      </c>
      <c r="AQ27" s="96"/>
      <c r="AR27" s="96"/>
      <c r="AS27" s="96"/>
      <c r="AT27" s="96"/>
      <c r="AU27" s="96">
        <f t="shared" si="38"/>
        <v>0</v>
      </c>
      <c r="AV27" s="96">
        <f t="shared" si="38"/>
        <v>0</v>
      </c>
      <c r="AW27" s="96">
        <f t="shared" si="39"/>
        <v>0</v>
      </c>
      <c r="AX27" s="96">
        <f t="shared" si="40"/>
        <v>0</v>
      </c>
      <c r="AY27" s="94">
        <f t="shared" si="69"/>
        <v>0</v>
      </c>
      <c r="AZ27" s="94">
        <f t="shared" si="41"/>
        <v>0</v>
      </c>
      <c r="BA27" s="94">
        <f t="shared" si="42"/>
        <v>0</v>
      </c>
      <c r="BB27" s="97">
        <f t="shared" si="43"/>
        <v>0</v>
      </c>
      <c r="BC27" s="93"/>
      <c r="BD27" s="93">
        <f t="shared" si="44"/>
        <v>0</v>
      </c>
      <c r="BE27" s="95">
        <f t="shared" si="45"/>
        <v>1</v>
      </c>
      <c r="BF27" s="58">
        <f t="shared" si="46"/>
        <v>0</v>
      </c>
      <c r="BG27" s="94">
        <f t="shared" si="47"/>
        <v>0</v>
      </c>
      <c r="BH27" s="89"/>
      <c r="BI27" s="89"/>
      <c r="BJ27" s="92">
        <f t="shared" ref="BJ27:BJ33" si="91">$CN27</f>
        <v>0</v>
      </c>
      <c r="BK27" s="89"/>
      <c r="BL27" s="89"/>
      <c r="BM27" s="89"/>
      <c r="BN27" s="89"/>
      <c r="BO27" s="92">
        <f t="shared" si="70"/>
        <v>0</v>
      </c>
      <c r="BP27" s="92">
        <f t="shared" si="70"/>
        <v>0</v>
      </c>
      <c r="BQ27" s="96">
        <f t="shared" si="48"/>
        <v>0</v>
      </c>
      <c r="BR27" s="96">
        <f t="shared" si="49"/>
        <v>0</v>
      </c>
      <c r="BS27" s="96">
        <f t="shared" si="71"/>
        <v>0</v>
      </c>
      <c r="BT27" s="96">
        <f t="shared" si="50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1"/>
        <v>0</v>
      </c>
      <c r="BY27" s="61">
        <f t="shared" si="73"/>
        <v>0</v>
      </c>
      <c r="BZ27" s="62">
        <f t="shared" si="52"/>
        <v>0</v>
      </c>
      <c r="CA27" s="98">
        <f t="shared" si="53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4"/>
        <v>0</v>
      </c>
      <c r="CH27" s="62">
        <f t="shared" si="55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7"/>
        <v>0</v>
      </c>
      <c r="CR27" s="102">
        <f t="shared" si="87"/>
        <v>0</v>
      </c>
      <c r="CS27" s="102">
        <f t="shared" si="87"/>
        <v>0</v>
      </c>
      <c r="CT27" s="92">
        <f t="shared" si="57"/>
        <v>0</v>
      </c>
      <c r="CU27" s="92">
        <f t="shared" si="88"/>
        <v>0</v>
      </c>
      <c r="CV27" s="103">
        <f t="shared" si="88"/>
        <v>0</v>
      </c>
      <c r="CW27" s="104"/>
      <c r="CX27" s="105">
        <v>17</v>
      </c>
      <c r="CY27" s="106">
        <f t="shared" si="59"/>
        <v>1941</v>
      </c>
      <c r="CZ27" s="106">
        <f t="shared" si="60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6"/>
        <v>0</v>
      </c>
      <c r="DL27" s="108">
        <f t="shared" si="86"/>
        <v>0</v>
      </c>
      <c r="DM27" s="111">
        <f t="shared" si="86"/>
        <v>0</v>
      </c>
      <c r="DN27" s="76">
        <f t="shared" si="89"/>
        <v>0</v>
      </c>
      <c r="DO27" s="76">
        <f t="shared" si="89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1"/>
        <v>0</v>
      </c>
      <c r="DX27" s="81">
        <f t="shared" si="29"/>
        <v>0</v>
      </c>
      <c r="DY27" s="80">
        <f t="shared" si="62"/>
        <v>0</v>
      </c>
      <c r="DZ27" s="82">
        <f t="shared" si="63"/>
        <v>0</v>
      </c>
      <c r="EA27" s="82">
        <f t="shared" si="64"/>
        <v>0</v>
      </c>
      <c r="EB27" s="82">
        <f t="shared" si="65"/>
        <v>0</v>
      </c>
      <c r="EC27" s="82">
        <f t="shared" si="75"/>
        <v>0</v>
      </c>
      <c r="EF27" s="83">
        <f t="shared" ref="EF27:EF58" si="92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1"/>
        <v>GWA6063-T5-T18.15x8.6x3-H9A15</v>
      </c>
      <c r="H28" s="46" t="str">
        <f t="shared" si="32"/>
        <v>A6063-T5GW18.158.6TH9</v>
      </c>
      <c r="I28" s="46" t="str">
        <f t="shared" si="33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4"/>
        <v>18</v>
      </c>
      <c r="T28" s="51">
        <v>7</v>
      </c>
      <c r="U28" s="92">
        <v>10</v>
      </c>
      <c r="V28" s="89">
        <v>7.7</v>
      </c>
      <c r="W28" s="93">
        <f t="shared" si="5"/>
        <v>0</v>
      </c>
      <c r="X28" s="93">
        <f t="shared" si="6"/>
        <v>1133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43</v>
      </c>
      <c r="AE28" s="93">
        <f t="shared" si="35"/>
        <v>1133</v>
      </c>
      <c r="AF28" s="54">
        <f>AE28+'02.02'!AF28</f>
        <v>3163</v>
      </c>
      <c r="AG28" s="94">
        <f t="shared" si="66"/>
        <v>7</v>
      </c>
      <c r="AH28" s="56">
        <f t="shared" si="13"/>
        <v>0</v>
      </c>
      <c r="AI28" s="93">
        <v>7</v>
      </c>
      <c r="AJ28" s="93">
        <f t="shared" si="67"/>
        <v>0</v>
      </c>
      <c r="AK28" s="95">
        <f t="shared" si="36"/>
        <v>1</v>
      </c>
      <c r="AL28" s="58">
        <f t="shared" si="37"/>
        <v>7</v>
      </c>
      <c r="AM28" s="55">
        <f t="shared" si="68"/>
        <v>10</v>
      </c>
      <c r="AN28" s="93"/>
      <c r="AO28" s="96"/>
      <c r="AP28" s="96">
        <f t="shared" si="90"/>
        <v>4643.1000000000004</v>
      </c>
      <c r="AQ28" s="96"/>
      <c r="AR28" s="96"/>
      <c r="AS28" s="96"/>
      <c r="AT28" s="96"/>
      <c r="AU28" s="96">
        <f t="shared" si="38"/>
        <v>0</v>
      </c>
      <c r="AV28" s="96">
        <f t="shared" si="38"/>
        <v>250</v>
      </c>
      <c r="AW28" s="96">
        <f t="shared" si="39"/>
        <v>4893.1000000000004</v>
      </c>
      <c r="AX28" s="96">
        <f t="shared" si="40"/>
        <v>635</v>
      </c>
      <c r="AY28" s="94">
        <f t="shared" si="69"/>
        <v>-11.800000000000182</v>
      </c>
      <c r="AZ28" s="94">
        <f t="shared" si="41"/>
        <v>-1.5324675324675561</v>
      </c>
      <c r="BA28" s="94">
        <f t="shared" si="42"/>
        <v>10</v>
      </c>
      <c r="BB28" s="97">
        <f t="shared" si="43"/>
        <v>0</v>
      </c>
      <c r="BC28" s="93">
        <v>6</v>
      </c>
      <c r="BD28" s="93">
        <f t="shared" si="44"/>
        <v>0</v>
      </c>
      <c r="BE28" s="95">
        <f t="shared" si="45"/>
        <v>1</v>
      </c>
      <c r="BF28" s="58">
        <f t="shared" si="46"/>
        <v>6</v>
      </c>
      <c r="BG28" s="94">
        <f t="shared" si="47"/>
        <v>4</v>
      </c>
      <c r="BH28" s="89"/>
      <c r="BI28" s="89"/>
      <c r="BJ28" s="92">
        <f t="shared" si="91"/>
        <v>4081</v>
      </c>
      <c r="BK28" s="89"/>
      <c r="BL28" s="89"/>
      <c r="BM28" s="89"/>
      <c r="BN28" s="89"/>
      <c r="BO28" s="92">
        <f t="shared" si="70"/>
        <v>0</v>
      </c>
      <c r="BP28" s="92">
        <f t="shared" si="70"/>
        <v>84</v>
      </c>
      <c r="BQ28" s="96">
        <f t="shared" si="48"/>
        <v>4165</v>
      </c>
      <c r="BR28" s="96">
        <f t="shared" si="49"/>
        <v>540</v>
      </c>
      <c r="BS28" s="96">
        <f t="shared" si="71"/>
        <v>-39.199999999999818</v>
      </c>
      <c r="BT28" s="96">
        <f t="shared" si="50"/>
        <v>-5.0909090909090668</v>
      </c>
      <c r="BU28" s="92">
        <f t="shared" si="16"/>
        <v>1133</v>
      </c>
      <c r="BV28" s="98">
        <f t="shared" si="17"/>
        <v>13</v>
      </c>
      <c r="BW28" s="92">
        <f t="shared" si="18"/>
        <v>-6.6233766233766227</v>
      </c>
      <c r="BX28" s="98">
        <f t="shared" si="51"/>
        <v>21.332999999999998</v>
      </c>
      <c r="BY28" s="61">
        <f t="shared" si="73"/>
        <v>13</v>
      </c>
      <c r="BZ28" s="62">
        <f t="shared" si="52"/>
        <v>13</v>
      </c>
      <c r="CA28" s="98">
        <f t="shared" si="53"/>
        <v>9.0580999999999996</v>
      </c>
      <c r="CB28" s="92">
        <f t="shared" si="19"/>
        <v>1175</v>
      </c>
      <c r="CC28" s="92">
        <f t="shared" si="19"/>
        <v>-51</v>
      </c>
      <c r="CD28" s="92">
        <f t="shared" si="19"/>
        <v>-6.6233766233766227</v>
      </c>
      <c r="CE28" s="99"/>
      <c r="CF28" s="99"/>
      <c r="CG28" s="51">
        <f t="shared" si="54"/>
        <v>12.608899999999998</v>
      </c>
      <c r="CH28" s="62">
        <f t="shared" si="55"/>
        <v>12.608899999999998</v>
      </c>
      <c r="CI28" s="89"/>
      <c r="CJ28" s="89">
        <f>603*7.7</f>
        <v>4643.1000000000004</v>
      </c>
      <c r="CK28" s="89"/>
      <c r="CL28" s="96">
        <v>250</v>
      </c>
      <c r="CM28" s="89"/>
      <c r="CN28" s="89">
        <f>530*7.7</f>
        <v>4081</v>
      </c>
      <c r="CO28" s="92"/>
      <c r="CP28" s="101">
        <v>84</v>
      </c>
      <c r="CQ28" s="102">
        <f t="shared" si="87"/>
        <v>603</v>
      </c>
      <c r="CR28" s="102">
        <f t="shared" si="87"/>
        <v>0</v>
      </c>
      <c r="CS28" s="102">
        <f t="shared" si="87"/>
        <v>32</v>
      </c>
      <c r="CT28" s="92">
        <f t="shared" si="57"/>
        <v>530</v>
      </c>
      <c r="CU28" s="92">
        <f t="shared" si="88"/>
        <v>0</v>
      </c>
      <c r="CV28" s="103">
        <f t="shared" si="88"/>
        <v>11</v>
      </c>
      <c r="CW28" s="104"/>
      <c r="CX28" s="105">
        <v>49.97</v>
      </c>
      <c r="CY28" s="106">
        <f t="shared" si="59"/>
        <v>804</v>
      </c>
      <c r="CZ28" s="106">
        <f t="shared" si="60"/>
        <v>404.75700000000001</v>
      </c>
      <c r="DA28" s="106"/>
      <c r="DB28" s="106"/>
      <c r="DC28" s="105"/>
      <c r="DD28" s="107"/>
      <c r="DE28" s="92">
        <f t="shared" si="21"/>
        <v>603</v>
      </c>
      <c r="DF28" s="108">
        <f t="shared" si="22"/>
        <v>7</v>
      </c>
      <c r="DG28" s="112">
        <f t="shared" si="23"/>
        <v>-1.5324675324675561</v>
      </c>
      <c r="DH28" s="110">
        <f t="shared" si="24"/>
        <v>530</v>
      </c>
      <c r="DI28" s="108">
        <f t="shared" si="25"/>
        <v>6</v>
      </c>
      <c r="DJ28" s="112">
        <f t="shared" si="26"/>
        <v>-5.0909090909090668</v>
      </c>
      <c r="DK28" s="110">
        <f t="shared" si="86"/>
        <v>1133</v>
      </c>
      <c r="DL28" s="108">
        <f t="shared" si="86"/>
        <v>13</v>
      </c>
      <c r="DM28" s="111">
        <f t="shared" si="86"/>
        <v>-6.6233766233766227</v>
      </c>
      <c r="DN28" s="76">
        <f t="shared" si="89"/>
        <v>7</v>
      </c>
      <c r="DO28" s="76">
        <f t="shared" si="89"/>
        <v>10</v>
      </c>
      <c r="DP28" s="112"/>
      <c r="DQ28" s="112"/>
      <c r="DR28" s="113" t="s">
        <v>429</v>
      </c>
      <c r="DS28" s="112"/>
      <c r="DT28" s="112"/>
      <c r="DU28" s="111"/>
      <c r="DV28" s="114"/>
      <c r="DW28" s="80">
        <f t="shared" si="61"/>
        <v>1146</v>
      </c>
      <c r="DX28" s="81">
        <f t="shared" si="29"/>
        <v>1139.3766233766235</v>
      </c>
      <c r="DY28" s="80">
        <f t="shared" si="62"/>
        <v>1176</v>
      </c>
      <c r="DZ28" s="82">
        <f t="shared" si="63"/>
        <v>0.33110000000000001</v>
      </c>
      <c r="EA28" s="82">
        <f t="shared" si="64"/>
        <v>8.7241</v>
      </c>
      <c r="EB28" s="82">
        <f t="shared" si="65"/>
        <v>12.608899999999998</v>
      </c>
      <c r="EC28" s="82">
        <f t="shared" si="75"/>
        <v>12.939999999999998</v>
      </c>
      <c r="EF28" s="83">
        <f t="shared" si="92"/>
        <v>-6.6233766233766227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1"/>
        <v>TV12L14-11x2.5-H9C14</v>
      </c>
      <c r="H29" s="46" t="str">
        <f t="shared" si="32"/>
        <v>12L14TV110DH9</v>
      </c>
      <c r="I29" s="46" t="str">
        <f t="shared" si="33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4"/>
        <v>6</v>
      </c>
      <c r="T29" s="51">
        <f>'02.02'!BG29</f>
        <v>5.3800000000000008</v>
      </c>
      <c r="U29" s="92">
        <v>15</v>
      </c>
      <c r="V29" s="89">
        <v>2</v>
      </c>
      <c r="W29" s="93">
        <f t="shared" si="5"/>
        <v>0</v>
      </c>
      <c r="X29" s="93">
        <f t="shared" si="6"/>
        <v>3811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71</v>
      </c>
      <c r="AE29" s="93">
        <f t="shared" si="35"/>
        <v>3811</v>
      </c>
      <c r="AF29" s="54">
        <f>AE29+'02.02'!AF29</f>
        <v>11132</v>
      </c>
      <c r="AG29" s="94">
        <f t="shared" si="66"/>
        <v>5.3800000000000008</v>
      </c>
      <c r="AH29" s="56">
        <f t="shared" si="13"/>
        <v>0.38</v>
      </c>
      <c r="AI29" s="93">
        <v>7</v>
      </c>
      <c r="AJ29" s="93">
        <f t="shared" si="67"/>
        <v>180</v>
      </c>
      <c r="AK29" s="95">
        <f t="shared" si="36"/>
        <v>0.31802120141342755</v>
      </c>
      <c r="AL29" s="58">
        <f t="shared" si="37"/>
        <v>6.7</v>
      </c>
      <c r="AM29" s="55">
        <f t="shared" si="68"/>
        <v>13.680000000000003</v>
      </c>
      <c r="AN29" s="93"/>
      <c r="AO29" s="96"/>
      <c r="AP29" s="96">
        <f t="shared" si="90"/>
        <v>3294</v>
      </c>
      <c r="AQ29" s="96"/>
      <c r="AR29" s="96"/>
      <c r="AS29" s="96"/>
      <c r="AT29" s="96"/>
      <c r="AU29" s="96">
        <f t="shared" si="38"/>
        <v>0</v>
      </c>
      <c r="AV29" s="96">
        <f t="shared" si="38"/>
        <v>100</v>
      </c>
      <c r="AW29" s="96">
        <f t="shared" si="39"/>
        <v>3394</v>
      </c>
      <c r="AX29" s="96">
        <f t="shared" si="40"/>
        <v>1697</v>
      </c>
      <c r="AY29" s="94">
        <f t="shared" si="69"/>
        <v>-398.20000000000027</v>
      </c>
      <c r="AZ29" s="94">
        <f t="shared" si="41"/>
        <v>-199.10000000000014</v>
      </c>
      <c r="BA29" s="94">
        <f t="shared" si="42"/>
        <v>13.680000000000003</v>
      </c>
      <c r="BB29" s="97">
        <f t="shared" si="43"/>
        <v>0.68</v>
      </c>
      <c r="BC29" s="93">
        <v>8</v>
      </c>
      <c r="BD29" s="93">
        <f t="shared" si="44"/>
        <v>290</v>
      </c>
      <c r="BE29" s="95">
        <f t="shared" si="45"/>
        <v>0.51236749116607772</v>
      </c>
      <c r="BF29" s="58">
        <f t="shared" si="46"/>
        <v>8.1999999999999993</v>
      </c>
      <c r="BG29" s="94">
        <f t="shared" si="47"/>
        <v>5.480000000000004</v>
      </c>
      <c r="BH29" s="89"/>
      <c r="BI29" s="89"/>
      <c r="BJ29" s="92">
        <f t="shared" si="91"/>
        <v>4329</v>
      </c>
      <c r="BK29" s="89"/>
      <c r="BL29" s="89"/>
      <c r="BM29" s="89"/>
      <c r="BN29" s="92"/>
      <c r="BO29" s="92">
        <f t="shared" si="70"/>
        <v>0</v>
      </c>
      <c r="BP29" s="92">
        <f t="shared" si="70"/>
        <v>43</v>
      </c>
      <c r="BQ29" s="96">
        <f t="shared" si="48"/>
        <v>4372</v>
      </c>
      <c r="BR29" s="96">
        <f t="shared" si="49"/>
        <v>2186</v>
      </c>
      <c r="BS29" s="96">
        <f t="shared" si="71"/>
        <v>-269.19999999999982</v>
      </c>
      <c r="BT29" s="96">
        <f t="shared" si="50"/>
        <v>-134.59999999999991</v>
      </c>
      <c r="BU29" s="92">
        <f t="shared" si="16"/>
        <v>3811</v>
      </c>
      <c r="BV29" s="98">
        <f t="shared" si="17"/>
        <v>14.899999999999999</v>
      </c>
      <c r="BW29" s="92">
        <f t="shared" si="18"/>
        <v>-333.70000000000005</v>
      </c>
      <c r="BX29" s="98" t="str">
        <f t="shared" si="51"/>
        <v/>
      </c>
      <c r="BY29" s="61">
        <f>IFERROR(BF29+AL29,0)</f>
        <v>14.899999999999999</v>
      </c>
      <c r="BZ29" s="62">
        <f t="shared" si="52"/>
        <v>14.899999999999999</v>
      </c>
      <c r="CA29" s="98">
        <f t="shared" si="53"/>
        <v>7.766</v>
      </c>
      <c r="CB29" s="92">
        <f t="shared" si="19"/>
        <v>3883</v>
      </c>
      <c r="CC29" s="92">
        <f t="shared" si="19"/>
        <v>-667.40000000000009</v>
      </c>
      <c r="CD29" s="92">
        <f t="shared" si="19"/>
        <v>-333.70000000000005</v>
      </c>
      <c r="CE29" s="99"/>
      <c r="CF29" s="99"/>
      <c r="CG29" s="51">
        <f t="shared" si="54"/>
        <v>0</v>
      </c>
      <c r="CH29" s="62">
        <f t="shared" si="55"/>
        <v>0</v>
      </c>
      <c r="CI29" s="89">
        <v>180</v>
      </c>
      <c r="CJ29" s="89">
        <v>3294</v>
      </c>
      <c r="CK29" s="89"/>
      <c r="CL29" s="96">
        <v>100</v>
      </c>
      <c r="CM29" s="89">
        <v>290</v>
      </c>
      <c r="CN29" s="89">
        <v>4329</v>
      </c>
      <c r="CO29" s="92"/>
      <c r="CP29" s="101">
        <v>43</v>
      </c>
      <c r="CQ29" s="102">
        <f t="shared" si="87"/>
        <v>1647</v>
      </c>
      <c r="CR29" s="102">
        <f t="shared" si="87"/>
        <v>0</v>
      </c>
      <c r="CS29" s="102">
        <f t="shared" si="87"/>
        <v>50</v>
      </c>
      <c r="CT29" s="92">
        <f t="shared" si="57"/>
        <v>2164</v>
      </c>
      <c r="CU29" s="92">
        <f t="shared" si="88"/>
        <v>0</v>
      </c>
      <c r="CV29" s="103">
        <f t="shared" si="88"/>
        <v>21</v>
      </c>
      <c r="CW29" s="104"/>
      <c r="CX29" s="105">
        <v>48</v>
      </c>
      <c r="CY29" s="106">
        <f t="shared" si="59"/>
        <v>875</v>
      </c>
      <c r="CZ29" s="106">
        <f t="shared" si="60"/>
        <v>388.8</v>
      </c>
      <c r="DA29" s="106"/>
      <c r="DB29" s="106"/>
      <c r="DC29" s="105"/>
      <c r="DD29" s="107"/>
      <c r="DE29" s="92">
        <f t="shared" si="21"/>
        <v>1647</v>
      </c>
      <c r="DF29" s="108">
        <f t="shared" si="22"/>
        <v>6.7</v>
      </c>
      <c r="DG29" s="112">
        <f t="shared" si="23"/>
        <v>-199.10000000000014</v>
      </c>
      <c r="DH29" s="110">
        <f t="shared" si="24"/>
        <v>2164</v>
      </c>
      <c r="DI29" s="108">
        <f t="shared" si="25"/>
        <v>8.1999999999999993</v>
      </c>
      <c r="DJ29" s="112">
        <f t="shared" si="26"/>
        <v>-134.59999999999991</v>
      </c>
      <c r="DK29" s="110">
        <f t="shared" si="86"/>
        <v>3811</v>
      </c>
      <c r="DL29" s="108">
        <f t="shared" si="86"/>
        <v>14.899999999999999</v>
      </c>
      <c r="DM29" s="111">
        <f t="shared" si="86"/>
        <v>-333.70000000000005</v>
      </c>
      <c r="DN29" s="76">
        <f t="shared" si="89"/>
        <v>5.3800000000000008</v>
      </c>
      <c r="DO29" s="76">
        <f t="shared" si="89"/>
        <v>15</v>
      </c>
      <c r="DP29" s="112"/>
      <c r="DQ29" s="112"/>
      <c r="DR29" s="113" t="s">
        <v>430</v>
      </c>
      <c r="DS29" s="112"/>
      <c r="DT29" s="112"/>
      <c r="DU29" s="111"/>
      <c r="DV29" s="114"/>
      <c r="DW29" s="80">
        <f>IFERROR(AL29+BF29,"")</f>
        <v>14.899999999999999</v>
      </c>
      <c r="DX29" s="81">
        <f t="shared" si="29"/>
        <v>3492.2</v>
      </c>
      <c r="DY29" s="80">
        <f t="shared" si="62"/>
        <v>3882</v>
      </c>
      <c r="DZ29" s="82">
        <f t="shared" si="63"/>
        <v>0.14199999999999999</v>
      </c>
      <c r="EA29" s="82">
        <f t="shared" si="64"/>
        <v>7.6219999999999999</v>
      </c>
      <c r="EB29" s="82" t="e">
        <f t="shared" si="65"/>
        <v>#VALUE!</v>
      </c>
      <c r="EC29" s="82" t="e">
        <f>(BX29-CA29)+((AV29+BP29)/1000)</f>
        <v>#VALUE!</v>
      </c>
      <c r="EF29" s="83">
        <f t="shared" si="92"/>
        <v>-333.70000000000005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1"/>
        <v>GWA6063-T5-T15x8.6x3-H9E14</v>
      </c>
      <c r="H30" s="46" t="str">
        <f t="shared" si="32"/>
        <v>A6063-T5GW158.6TH9</v>
      </c>
      <c r="I30" s="46" t="str">
        <f t="shared" si="33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4"/>
        <v>26</v>
      </c>
      <c r="T30" s="51">
        <f>'02.02'!BG30</f>
        <v>34</v>
      </c>
      <c r="U30" s="92"/>
      <c r="V30" s="108">
        <v>3</v>
      </c>
      <c r="W30" s="93">
        <f t="shared" si="5"/>
        <v>0</v>
      </c>
      <c r="X30" s="93">
        <f t="shared" si="6"/>
        <v>3533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10</v>
      </c>
      <c r="AE30" s="93">
        <f t="shared" si="35"/>
        <v>3533</v>
      </c>
      <c r="AF30" s="54">
        <f>AE30+'02.02'!AF30</f>
        <v>7766</v>
      </c>
      <c r="AG30" s="94">
        <f t="shared" si="66"/>
        <v>34</v>
      </c>
      <c r="AH30" s="56">
        <f t="shared" si="13"/>
        <v>0</v>
      </c>
      <c r="AI30" s="93">
        <v>11</v>
      </c>
      <c r="AJ30" s="93">
        <f t="shared" si="67"/>
        <v>0</v>
      </c>
      <c r="AK30" s="95">
        <f t="shared" si="36"/>
        <v>1</v>
      </c>
      <c r="AL30" s="58">
        <f t="shared" si="37"/>
        <v>11</v>
      </c>
      <c r="AM30" s="55">
        <f t="shared" si="68"/>
        <v>23</v>
      </c>
      <c r="AN30" s="93"/>
      <c r="AO30" s="96"/>
      <c r="AP30" s="96">
        <f t="shared" si="90"/>
        <v>5800</v>
      </c>
      <c r="AQ30" s="96"/>
      <c r="AR30" s="96"/>
      <c r="AS30" s="96"/>
      <c r="AT30" s="96"/>
      <c r="AU30" s="96">
        <f t="shared" si="38"/>
        <v>0</v>
      </c>
      <c r="AV30" s="96">
        <f t="shared" si="38"/>
        <v>31</v>
      </c>
      <c r="AW30" s="96">
        <f t="shared" si="39"/>
        <v>5831</v>
      </c>
      <c r="AX30" s="96">
        <f t="shared" si="40"/>
        <v>1943</v>
      </c>
      <c r="AY30" s="94">
        <f t="shared" si="69"/>
        <v>287</v>
      </c>
      <c r="AZ30" s="94">
        <f t="shared" si="41"/>
        <v>95.666666666666671</v>
      </c>
      <c r="BA30" s="94">
        <f t="shared" si="42"/>
        <v>23</v>
      </c>
      <c r="BB30" s="97">
        <f t="shared" si="43"/>
        <v>0</v>
      </c>
      <c r="BC30" s="93">
        <v>10</v>
      </c>
      <c r="BD30" s="93">
        <f t="shared" si="44"/>
        <v>0</v>
      </c>
      <c r="BE30" s="95">
        <f t="shared" si="45"/>
        <v>1</v>
      </c>
      <c r="BF30" s="58">
        <f t="shared" si="46"/>
        <v>10</v>
      </c>
      <c r="BG30" s="94">
        <f t="shared" si="47"/>
        <v>13</v>
      </c>
      <c r="BH30" s="89"/>
      <c r="BI30" s="89"/>
      <c r="BJ30" s="92">
        <f t="shared" si="91"/>
        <v>4800</v>
      </c>
      <c r="BK30" s="89"/>
      <c r="BL30" s="89"/>
      <c r="BM30" s="89"/>
      <c r="BN30" s="89"/>
      <c r="BO30" s="92">
        <f t="shared" si="70"/>
        <v>0</v>
      </c>
      <c r="BP30" s="92">
        <f t="shared" si="70"/>
        <v>0</v>
      </c>
      <c r="BQ30" s="96">
        <f t="shared" si="48"/>
        <v>4800</v>
      </c>
      <c r="BR30" s="96">
        <f t="shared" si="49"/>
        <v>1600</v>
      </c>
      <c r="BS30" s="96">
        <f t="shared" si="71"/>
        <v>-240</v>
      </c>
      <c r="BT30" s="96">
        <f t="shared" si="50"/>
        <v>-80</v>
      </c>
      <c r="BU30" s="92">
        <f t="shared" si="16"/>
        <v>3533</v>
      </c>
      <c r="BV30" s="98">
        <f t="shared" si="17"/>
        <v>21</v>
      </c>
      <c r="BW30" s="92">
        <f t="shared" si="18"/>
        <v>15.666666666666671</v>
      </c>
      <c r="BX30" s="98">
        <f t="shared" si="51"/>
        <v>15.855</v>
      </c>
      <c r="BY30" s="61">
        <f>IFERROR(BF30+AL30,0)</f>
        <v>21</v>
      </c>
      <c r="BZ30" s="62">
        <f t="shared" si="52"/>
        <v>21</v>
      </c>
      <c r="CA30" s="98">
        <f t="shared" si="53"/>
        <v>10.631</v>
      </c>
      <c r="CB30" s="92">
        <f t="shared" si="19"/>
        <v>3543</v>
      </c>
      <c r="CC30" s="92">
        <f t="shared" si="19"/>
        <v>47</v>
      </c>
      <c r="CD30" s="92">
        <f t="shared" si="19"/>
        <v>15.666666666666671</v>
      </c>
      <c r="CE30" s="99"/>
      <c r="CF30" s="99"/>
      <c r="CG30" s="51">
        <f t="shared" si="54"/>
        <v>5.2549999999999999</v>
      </c>
      <c r="CH30" s="62">
        <f t="shared" si="55"/>
        <v>5.2549999999999999</v>
      </c>
      <c r="CI30" s="89"/>
      <c r="CJ30" s="89">
        <v>5800</v>
      </c>
      <c r="CK30" s="89"/>
      <c r="CL30" s="96">
        <v>31</v>
      </c>
      <c r="CM30" s="89"/>
      <c r="CN30" s="89">
        <v>4800</v>
      </c>
      <c r="CO30" s="92"/>
      <c r="CP30" s="101"/>
      <c r="CQ30" s="102">
        <f t="shared" si="87"/>
        <v>1933</v>
      </c>
      <c r="CR30" s="102">
        <f t="shared" si="87"/>
        <v>0</v>
      </c>
      <c r="CS30" s="102">
        <f t="shared" si="87"/>
        <v>10</v>
      </c>
      <c r="CT30" s="92">
        <f t="shared" si="57"/>
        <v>1600</v>
      </c>
      <c r="CU30" s="92">
        <f t="shared" si="88"/>
        <v>0</v>
      </c>
      <c r="CV30" s="103">
        <f t="shared" si="88"/>
        <v>0</v>
      </c>
      <c r="CW30" s="104"/>
      <c r="CX30" s="105">
        <v>18</v>
      </c>
      <c r="CY30" s="106">
        <f t="shared" si="59"/>
        <v>2150</v>
      </c>
      <c r="CZ30" s="106">
        <f t="shared" si="60"/>
        <v>145.80000000000001</v>
      </c>
      <c r="DA30" s="106"/>
      <c r="DB30" s="106"/>
      <c r="DC30" s="105"/>
      <c r="DD30" s="107"/>
      <c r="DE30" s="92">
        <f t="shared" si="21"/>
        <v>1933</v>
      </c>
      <c r="DF30" s="108">
        <f t="shared" si="22"/>
        <v>11</v>
      </c>
      <c r="DG30" s="112">
        <f>IFERROR(AZ30,"")</f>
        <v>95.666666666666671</v>
      </c>
      <c r="DH30" s="110">
        <f t="shared" si="24"/>
        <v>1600</v>
      </c>
      <c r="DI30" s="108">
        <f t="shared" si="25"/>
        <v>10</v>
      </c>
      <c r="DJ30" s="112">
        <f t="shared" si="26"/>
        <v>-80</v>
      </c>
      <c r="DK30" s="110">
        <f t="shared" si="86"/>
        <v>3533</v>
      </c>
      <c r="DL30" s="108">
        <f t="shared" si="86"/>
        <v>21</v>
      </c>
      <c r="DM30" s="111">
        <f t="shared" si="86"/>
        <v>15.666666666666671</v>
      </c>
      <c r="DN30" s="76">
        <f t="shared" si="89"/>
        <v>34</v>
      </c>
      <c r="DO30" s="76">
        <f t="shared" si="89"/>
        <v>0</v>
      </c>
      <c r="DP30" s="112"/>
      <c r="DQ30" s="112"/>
      <c r="DR30" s="113" t="s">
        <v>431</v>
      </c>
      <c r="DS30" s="112"/>
      <c r="DT30" s="112"/>
      <c r="DU30" s="111"/>
      <c r="DV30" s="114"/>
      <c r="DW30" s="80">
        <f t="shared" si="61"/>
        <v>3554</v>
      </c>
      <c r="DX30" s="81">
        <f t="shared" si="29"/>
        <v>3569.6666666666665</v>
      </c>
      <c r="DY30" s="80">
        <f t="shared" si="62"/>
        <v>3543</v>
      </c>
      <c r="DZ30" s="82">
        <f t="shared" si="63"/>
        <v>0.03</v>
      </c>
      <c r="EA30" s="82">
        <f t="shared" si="64"/>
        <v>10.599</v>
      </c>
      <c r="EB30" s="82">
        <f t="shared" si="65"/>
        <v>5.2560000000000002</v>
      </c>
      <c r="EC30" s="82">
        <f t="shared" si="75"/>
        <v>5.2860000000000005</v>
      </c>
      <c r="EF30" s="83">
        <f t="shared" si="92"/>
        <v>15.666666666666671</v>
      </c>
    </row>
    <row r="31" spans="1:136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1"/>
        <v>YHC3604-4x3-H9A14</v>
      </c>
      <c r="H31" s="46" t="str">
        <f t="shared" si="32"/>
        <v>C3604YH40DH9</v>
      </c>
      <c r="I31" s="46" t="str">
        <f t="shared" si="33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4"/>
        <v>36</v>
      </c>
      <c r="T31" s="51">
        <f>'02.02'!BG31</f>
        <v>41</v>
      </c>
      <c r="U31" s="92"/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339</v>
      </c>
      <c r="AC31" s="93">
        <f t="shared" si="11"/>
        <v>0</v>
      </c>
      <c r="AD31" s="93">
        <f t="shared" si="12"/>
        <v>0</v>
      </c>
      <c r="AE31" s="93">
        <f t="shared" si="35"/>
        <v>339</v>
      </c>
      <c r="AF31" s="54">
        <f>AE31+'02.02'!AF31</f>
        <v>6974</v>
      </c>
      <c r="AG31" s="94">
        <f t="shared" si="66"/>
        <v>41</v>
      </c>
      <c r="AH31" s="56">
        <f t="shared" si="13"/>
        <v>0</v>
      </c>
      <c r="AI31" s="93">
        <v>2</v>
      </c>
      <c r="AJ31" s="93">
        <f t="shared" si="67"/>
        <v>0</v>
      </c>
      <c r="AK31" s="95">
        <f t="shared" si="36"/>
        <v>1</v>
      </c>
      <c r="AL31" s="58">
        <f t="shared" si="37"/>
        <v>2</v>
      </c>
      <c r="AM31" s="55">
        <f t="shared" si="68"/>
        <v>39</v>
      </c>
      <c r="AN31" s="93"/>
      <c r="AO31" s="96"/>
      <c r="AP31" s="96"/>
      <c r="AQ31" s="96"/>
      <c r="AR31" s="96"/>
      <c r="AS31" s="96"/>
      <c r="AT31" s="96">
        <f t="shared" ref="AT31" si="93">$CJ31</f>
        <v>260</v>
      </c>
      <c r="AU31" s="96">
        <f t="shared" si="38"/>
        <v>0</v>
      </c>
      <c r="AV31" s="96">
        <f t="shared" si="38"/>
        <v>0</v>
      </c>
      <c r="AW31" s="96">
        <f t="shared" si="39"/>
        <v>260</v>
      </c>
      <c r="AX31" s="96">
        <f t="shared" si="40"/>
        <v>339</v>
      </c>
      <c r="AY31" s="94">
        <f t="shared" si="69"/>
        <v>-3.160000000000025</v>
      </c>
      <c r="AZ31" s="94">
        <f t="shared" si="41"/>
        <v>-4.1307189542483984</v>
      </c>
      <c r="BA31" s="94">
        <f t="shared" si="42"/>
        <v>39</v>
      </c>
      <c r="BB31" s="97">
        <f t="shared" si="43"/>
        <v>0</v>
      </c>
      <c r="BC31" s="93"/>
      <c r="BD31" s="93">
        <f t="shared" si="44"/>
        <v>0</v>
      </c>
      <c r="BE31" s="95">
        <f t="shared" si="45"/>
        <v>1</v>
      </c>
      <c r="BF31" s="58">
        <f t="shared" si="46"/>
        <v>0</v>
      </c>
      <c r="BG31" s="94">
        <f t="shared" si="47"/>
        <v>39</v>
      </c>
      <c r="BH31" s="89"/>
      <c r="BI31" s="89"/>
      <c r="BJ31" s="92"/>
      <c r="BK31" s="89"/>
      <c r="BL31" s="89"/>
      <c r="BM31" s="92"/>
      <c r="BN31" s="92">
        <f t="shared" ref="BN31" si="94">$CN31</f>
        <v>0</v>
      </c>
      <c r="BO31" s="92">
        <f t="shared" si="70"/>
        <v>0</v>
      </c>
      <c r="BP31" s="92">
        <f t="shared" si="70"/>
        <v>0</v>
      </c>
      <c r="BQ31" s="96">
        <f t="shared" si="48"/>
        <v>0</v>
      </c>
      <c r="BR31" s="96">
        <f t="shared" si="49"/>
        <v>0</v>
      </c>
      <c r="BS31" s="96">
        <f t="shared" si="71"/>
        <v>0</v>
      </c>
      <c r="BT31" s="96">
        <f t="shared" si="50"/>
        <v>0</v>
      </c>
      <c r="BU31" s="92">
        <f t="shared" si="16"/>
        <v>339</v>
      </c>
      <c r="BV31" s="98">
        <f t="shared" si="17"/>
        <v>2</v>
      </c>
      <c r="BW31" s="92">
        <f t="shared" si="18"/>
        <v>-4.1307189542483984</v>
      </c>
      <c r="BX31" s="98">
        <f t="shared" si="51"/>
        <v>0.33400000000000002</v>
      </c>
      <c r="BY31" s="61">
        <f t="shared" si="73"/>
        <v>2</v>
      </c>
      <c r="BZ31" s="62">
        <f t="shared" si="52"/>
        <v>2</v>
      </c>
      <c r="CA31" s="98">
        <f t="shared" si="53"/>
        <v>0.26</v>
      </c>
      <c r="CB31" s="92">
        <f t="shared" si="19"/>
        <v>339</v>
      </c>
      <c r="CC31" s="92">
        <f t="shared" si="19"/>
        <v>-3.160000000000025</v>
      </c>
      <c r="CD31" s="92">
        <f t="shared" si="19"/>
        <v>-4.1307189542483984</v>
      </c>
      <c r="CE31" s="99"/>
      <c r="CF31" s="99"/>
      <c r="CG31" s="51">
        <f t="shared" si="54"/>
        <v>7.400000000000001E-2</v>
      </c>
      <c r="CH31" s="62">
        <f t="shared" si="55"/>
        <v>7.400000000000001E-2</v>
      </c>
      <c r="CI31" s="89"/>
      <c r="CJ31" s="89">
        <v>260</v>
      </c>
      <c r="CK31" s="89"/>
      <c r="CL31" s="96"/>
      <c r="CM31" s="89"/>
      <c r="CN31" s="89"/>
      <c r="CO31" s="92"/>
      <c r="CP31" s="101"/>
      <c r="CQ31" s="102">
        <f t="shared" si="87"/>
        <v>339</v>
      </c>
      <c r="CR31" s="102">
        <f t="shared" si="87"/>
        <v>0</v>
      </c>
      <c r="CS31" s="102">
        <f t="shared" si="87"/>
        <v>0</v>
      </c>
      <c r="CT31" s="92">
        <f t="shared" si="57"/>
        <v>0</v>
      </c>
      <c r="CU31" s="92">
        <f t="shared" si="88"/>
        <v>0</v>
      </c>
      <c r="CV31" s="103">
        <f t="shared" si="88"/>
        <v>0</v>
      </c>
      <c r="CW31" s="104" t="s">
        <v>157</v>
      </c>
      <c r="CX31" s="105">
        <v>14</v>
      </c>
      <c r="CY31" s="106">
        <f t="shared" si="59"/>
        <v>3051</v>
      </c>
      <c r="CZ31" s="106">
        <f t="shared" si="60"/>
        <v>56.7</v>
      </c>
      <c r="DA31" s="106"/>
      <c r="DB31" s="106"/>
      <c r="DC31" s="105"/>
      <c r="DD31" s="107"/>
      <c r="DE31" s="92">
        <f t="shared" si="21"/>
        <v>339</v>
      </c>
      <c r="DF31" s="108">
        <f t="shared" si="22"/>
        <v>2</v>
      </c>
      <c r="DG31" s="112">
        <f t="shared" si="23"/>
        <v>-4.1307189542483984</v>
      </c>
      <c r="DH31" s="110">
        <f t="shared" si="24"/>
        <v>0</v>
      </c>
      <c r="DI31" s="108">
        <f t="shared" si="25"/>
        <v>0</v>
      </c>
      <c r="DJ31" s="112">
        <f t="shared" si="26"/>
        <v>0</v>
      </c>
      <c r="DK31" s="110">
        <f t="shared" si="86"/>
        <v>339</v>
      </c>
      <c r="DL31" s="108">
        <f t="shared" si="86"/>
        <v>2</v>
      </c>
      <c r="DM31" s="111">
        <f t="shared" si="86"/>
        <v>-4.1307189542483984</v>
      </c>
      <c r="DN31" s="76">
        <f t="shared" si="89"/>
        <v>41</v>
      </c>
      <c r="DO31" s="76">
        <f t="shared" si="89"/>
        <v>0</v>
      </c>
      <c r="DP31" s="112"/>
      <c r="DQ31" s="112"/>
      <c r="DR31" s="113" t="s">
        <v>432</v>
      </c>
      <c r="DS31" s="112"/>
      <c r="DT31" s="112"/>
      <c r="DU31" s="111"/>
      <c r="DV31" s="114"/>
      <c r="DW31" s="80">
        <f t="shared" si="61"/>
        <v>341</v>
      </c>
      <c r="DX31" s="81">
        <f t="shared" si="29"/>
        <v>336.86928104575162</v>
      </c>
      <c r="DY31" s="80">
        <f t="shared" si="62"/>
        <v>339</v>
      </c>
      <c r="DZ31" s="82">
        <f t="shared" si="63"/>
        <v>0</v>
      </c>
      <c r="EA31" s="82">
        <f t="shared" si="64"/>
        <v>0.25933499999999998</v>
      </c>
      <c r="EB31" s="82">
        <f t="shared" si="65"/>
        <v>7.4665000000000037E-2</v>
      </c>
      <c r="EC31" s="82">
        <f t="shared" si="75"/>
        <v>7.4665000000000037E-2</v>
      </c>
      <c r="EF31" s="83">
        <f t="shared" si="92"/>
        <v>-4.1307189542483984</v>
      </c>
    </row>
    <row r="32" spans="1:136" ht="14.1" customHeight="1">
      <c r="A32" s="84">
        <v>25</v>
      </c>
      <c r="B32" s="85" t="s">
        <v>205</v>
      </c>
      <c r="C32" s="86"/>
      <c r="D32" s="165" t="s">
        <v>485</v>
      </c>
      <c r="E32" s="88">
        <v>97</v>
      </c>
      <c r="F32" s="89" t="s">
        <v>136</v>
      </c>
      <c r="G32" s="45" t="str">
        <f t="shared" si="31"/>
        <v>IBC3604-H10x3-H11A14</v>
      </c>
      <c r="H32" s="46" t="str">
        <f t="shared" si="32"/>
        <v>C3604IB100HH11</v>
      </c>
      <c r="I32" s="46" t="str">
        <f t="shared" si="33"/>
        <v>C3604IB100HH113A14</v>
      </c>
      <c r="J32" s="90" t="s">
        <v>148</v>
      </c>
      <c r="K32" s="90" t="s">
        <v>156</v>
      </c>
      <c r="L32" s="90">
        <v>10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1.08</v>
      </c>
      <c r="R32" s="90" t="s">
        <v>139</v>
      </c>
      <c r="S32" s="89">
        <f t="shared" si="34"/>
        <v>32</v>
      </c>
      <c r="T32" s="51">
        <v>0</v>
      </c>
      <c r="U32" s="92">
        <v>1</v>
      </c>
      <c r="V32" s="89">
        <v>5.7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68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5"/>
        <v>68</v>
      </c>
      <c r="AF32" s="54">
        <f>AE32+'02.02'!AF32</f>
        <v>68</v>
      </c>
      <c r="AG32" s="94">
        <f t="shared" si="66"/>
        <v>0</v>
      </c>
      <c r="AH32" s="56">
        <f t="shared" si="13"/>
        <v>0</v>
      </c>
      <c r="AI32" s="93">
        <v>1</v>
      </c>
      <c r="AJ32" s="93">
        <f t="shared" si="67"/>
        <v>0</v>
      </c>
      <c r="AK32" s="95">
        <f t="shared" si="36"/>
        <v>1</v>
      </c>
      <c r="AL32" s="58">
        <f t="shared" si="37"/>
        <v>1</v>
      </c>
      <c r="AM32" s="55">
        <f t="shared" si="68"/>
        <v>0</v>
      </c>
      <c r="AN32" s="93"/>
      <c r="AO32" s="96"/>
      <c r="AP32" s="96"/>
      <c r="AQ32" s="96"/>
      <c r="AR32" s="96"/>
      <c r="AS32" s="96">
        <f t="shared" ref="AS32" si="95">$CJ32</f>
        <v>387.6</v>
      </c>
      <c r="AT32" s="96"/>
      <c r="AU32" s="96">
        <f t="shared" si="38"/>
        <v>0</v>
      </c>
      <c r="AV32" s="96">
        <f t="shared" si="38"/>
        <v>0</v>
      </c>
      <c r="AW32" s="96">
        <f t="shared" si="39"/>
        <v>387.6</v>
      </c>
      <c r="AX32" s="96">
        <f t="shared" si="40"/>
        <v>68</v>
      </c>
      <c r="AY32" s="94">
        <f t="shared" si="69"/>
        <v>-165.29999999999995</v>
      </c>
      <c r="AZ32" s="94">
        <f t="shared" si="41"/>
        <v>-28.999999999999993</v>
      </c>
      <c r="BA32" s="94">
        <f t="shared" si="42"/>
        <v>0</v>
      </c>
      <c r="BB32" s="97">
        <f t="shared" si="43"/>
        <v>0</v>
      </c>
      <c r="BC32" s="93"/>
      <c r="BD32" s="93">
        <f t="shared" si="44"/>
        <v>0</v>
      </c>
      <c r="BE32" s="95">
        <f t="shared" si="45"/>
        <v>1</v>
      </c>
      <c r="BF32" s="58">
        <f t="shared" si="46"/>
        <v>0</v>
      </c>
      <c r="BG32" s="94">
        <f t="shared" si="47"/>
        <v>0</v>
      </c>
      <c r="BH32" s="89"/>
      <c r="BI32" s="89"/>
      <c r="BJ32" s="92"/>
      <c r="BK32" s="89"/>
      <c r="BL32" s="89"/>
      <c r="BM32" s="92">
        <f t="shared" ref="BM32" si="96">$CN32</f>
        <v>0</v>
      </c>
      <c r="BN32" s="89"/>
      <c r="BO32" s="92">
        <f t="shared" si="70"/>
        <v>0</v>
      </c>
      <c r="BP32" s="92">
        <f t="shared" si="70"/>
        <v>0</v>
      </c>
      <c r="BQ32" s="96">
        <f t="shared" si="48"/>
        <v>0</v>
      </c>
      <c r="BR32" s="96">
        <f t="shared" si="49"/>
        <v>0</v>
      </c>
      <c r="BS32" s="96">
        <f t="shared" si="71"/>
        <v>0</v>
      </c>
      <c r="BT32" s="96">
        <f t="shared" si="50"/>
        <v>0</v>
      </c>
      <c r="BU32" s="92">
        <f t="shared" si="16"/>
        <v>68</v>
      </c>
      <c r="BV32" s="98">
        <f t="shared" si="17"/>
        <v>1</v>
      </c>
      <c r="BW32" s="92">
        <f t="shared" si="18"/>
        <v>-28.999999999999993</v>
      </c>
      <c r="BX32" s="98">
        <f t="shared" si="51"/>
        <v>1.08</v>
      </c>
      <c r="BY32" s="61">
        <f t="shared" si="73"/>
        <v>1</v>
      </c>
      <c r="BZ32" s="62">
        <f t="shared" si="52"/>
        <v>1</v>
      </c>
      <c r="CA32" s="98">
        <f t="shared" si="53"/>
        <v>0.3876</v>
      </c>
      <c r="CB32" s="92">
        <f t="shared" si="19"/>
        <v>68</v>
      </c>
      <c r="CC32" s="92">
        <f t="shared" si="19"/>
        <v>-165.29999999999995</v>
      </c>
      <c r="CD32" s="92">
        <f t="shared" si="19"/>
        <v>-28.999999999999993</v>
      </c>
      <c r="CE32" s="99"/>
      <c r="CF32" s="99"/>
      <c r="CG32" s="51">
        <f t="shared" si="54"/>
        <v>0.69240000000000013</v>
      </c>
      <c r="CH32" s="62">
        <f t="shared" si="55"/>
        <v>0.69240000000000013</v>
      </c>
      <c r="CI32" s="89"/>
      <c r="CJ32" s="89">
        <f>68*5.7</f>
        <v>387.6</v>
      </c>
      <c r="CK32" s="89"/>
      <c r="CL32" s="96"/>
      <c r="CM32" s="89"/>
      <c r="CN32" s="89"/>
      <c r="CO32" s="92"/>
      <c r="CP32" s="101"/>
      <c r="CQ32" s="102">
        <f t="shared" si="87"/>
        <v>68</v>
      </c>
      <c r="CR32" s="102">
        <f t="shared" si="87"/>
        <v>0</v>
      </c>
      <c r="CS32" s="102">
        <f t="shared" si="87"/>
        <v>0</v>
      </c>
      <c r="CT32" s="92">
        <f t="shared" si="57"/>
        <v>0</v>
      </c>
      <c r="CU32" s="92">
        <f t="shared" si="88"/>
        <v>0</v>
      </c>
      <c r="CV32" s="103">
        <f t="shared" si="88"/>
        <v>0</v>
      </c>
      <c r="CW32" s="104"/>
      <c r="CX32" s="105">
        <v>24</v>
      </c>
      <c r="CY32" s="106">
        <f t="shared" si="59"/>
        <v>1562</v>
      </c>
      <c r="CZ32" s="106">
        <f t="shared" si="60"/>
        <v>194.4</v>
      </c>
      <c r="DA32" s="106"/>
      <c r="DB32" s="106"/>
      <c r="DC32" s="105"/>
      <c r="DD32" s="107"/>
      <c r="DE32" s="92">
        <f t="shared" si="21"/>
        <v>68</v>
      </c>
      <c r="DF32" s="108">
        <f t="shared" si="22"/>
        <v>1</v>
      </c>
      <c r="DG32" s="112">
        <f t="shared" si="23"/>
        <v>-28.999999999999993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6"/>
        <v>68</v>
      </c>
      <c r="DL32" s="108">
        <f t="shared" si="86"/>
        <v>1</v>
      </c>
      <c r="DM32" s="111">
        <f t="shared" si="86"/>
        <v>-28.999999999999993</v>
      </c>
      <c r="DN32" s="76">
        <f t="shared" si="89"/>
        <v>0</v>
      </c>
      <c r="DO32" s="76">
        <f t="shared" si="89"/>
        <v>1</v>
      </c>
      <c r="DP32" s="112"/>
      <c r="DQ32" s="112"/>
      <c r="DR32" s="113" t="s">
        <v>433</v>
      </c>
      <c r="DS32" s="112"/>
      <c r="DT32" s="112"/>
      <c r="DU32" s="111"/>
      <c r="DV32" s="114"/>
      <c r="DW32" s="80">
        <f t="shared" si="61"/>
        <v>69</v>
      </c>
      <c r="DX32" s="81">
        <f t="shared" si="29"/>
        <v>40.000000000000007</v>
      </c>
      <c r="DY32" s="80">
        <f t="shared" si="62"/>
        <v>68</v>
      </c>
      <c r="DZ32" s="82">
        <f t="shared" si="63"/>
        <v>0</v>
      </c>
      <c r="EA32" s="82">
        <f t="shared" si="64"/>
        <v>0.3876</v>
      </c>
      <c r="EB32" s="82">
        <f t="shared" si="65"/>
        <v>0.69240000000000013</v>
      </c>
      <c r="EC32" s="82">
        <f t="shared" si="75"/>
        <v>0.69240000000000013</v>
      </c>
      <c r="EF32" s="83">
        <f t="shared" si="92"/>
        <v>-28.999999999999993</v>
      </c>
    </row>
    <row r="33" spans="1:136" ht="15" customHeight="1">
      <c r="A33" s="84">
        <v>26</v>
      </c>
      <c r="B33" s="85" t="s">
        <v>210</v>
      </c>
      <c r="C33" s="86"/>
      <c r="D33" s="116" t="s">
        <v>211</v>
      </c>
      <c r="E33" s="88">
        <v>24</v>
      </c>
      <c r="F33" s="89" t="s">
        <v>147</v>
      </c>
      <c r="G33" s="45" t="str">
        <f t="shared" si="31"/>
        <v>YHC3604-4x3-H9A14</v>
      </c>
      <c r="H33" s="46" t="str">
        <f t="shared" si="32"/>
        <v>C3604YH40DH9</v>
      </c>
      <c r="I33" s="46" t="str">
        <f t="shared" si="33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4"/>
        <v>272</v>
      </c>
      <c r="T33" s="51">
        <f>'02.02'!BG33</f>
        <v>0</v>
      </c>
      <c r="U33" s="92"/>
      <c r="V33" s="89">
        <v>11.6</v>
      </c>
      <c r="W33" s="93">
        <f t="shared" si="5"/>
        <v>0</v>
      </c>
      <c r="X33" s="93">
        <f t="shared" si="6"/>
        <v>0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0</v>
      </c>
      <c r="AE33" s="93">
        <f t="shared" si="35"/>
        <v>0</v>
      </c>
      <c r="AF33" s="54">
        <f>AE33+'02.02'!AF33</f>
        <v>0</v>
      </c>
      <c r="AG33" s="94">
        <f t="shared" si="66"/>
        <v>0</v>
      </c>
      <c r="AH33" s="56">
        <f t="shared" si="13"/>
        <v>0</v>
      </c>
      <c r="AI33" s="93"/>
      <c r="AJ33" s="93">
        <f t="shared" si="67"/>
        <v>0</v>
      </c>
      <c r="AK33" s="95">
        <f t="shared" si="36"/>
        <v>1</v>
      </c>
      <c r="AL33" s="58">
        <f t="shared" si="37"/>
        <v>0</v>
      </c>
      <c r="AM33" s="55">
        <f t="shared" si="68"/>
        <v>0</v>
      </c>
      <c r="AN33" s="93"/>
      <c r="AO33" s="96"/>
      <c r="AP33" s="96">
        <f t="shared" si="90"/>
        <v>0</v>
      </c>
      <c r="AQ33" s="96"/>
      <c r="AR33" s="96"/>
      <c r="AS33" s="96"/>
      <c r="AT33" s="96"/>
      <c r="AU33" s="96">
        <f t="shared" si="38"/>
        <v>0</v>
      </c>
      <c r="AV33" s="96">
        <f t="shared" si="38"/>
        <v>0</v>
      </c>
      <c r="AW33" s="96">
        <f t="shared" si="39"/>
        <v>0</v>
      </c>
      <c r="AX33" s="96">
        <f t="shared" si="40"/>
        <v>0</v>
      </c>
      <c r="AY33" s="94">
        <f t="shared" si="69"/>
        <v>0</v>
      </c>
      <c r="AZ33" s="94">
        <f t="shared" si="41"/>
        <v>0</v>
      </c>
      <c r="BA33" s="94">
        <f t="shared" si="42"/>
        <v>0</v>
      </c>
      <c r="BB33" s="97">
        <f t="shared" si="43"/>
        <v>0</v>
      </c>
      <c r="BC33" s="93"/>
      <c r="BD33" s="93">
        <f t="shared" si="44"/>
        <v>0</v>
      </c>
      <c r="BE33" s="95">
        <f t="shared" si="45"/>
        <v>1</v>
      </c>
      <c r="BF33" s="58">
        <f t="shared" si="46"/>
        <v>0</v>
      </c>
      <c r="BG33" s="94">
        <f t="shared" si="47"/>
        <v>0</v>
      </c>
      <c r="BH33" s="89"/>
      <c r="BI33" s="89"/>
      <c r="BJ33" s="92">
        <f t="shared" si="91"/>
        <v>0</v>
      </c>
      <c r="BK33" s="89"/>
      <c r="BL33" s="89"/>
      <c r="BM33" s="89"/>
      <c r="BN33" s="89"/>
      <c r="BO33" s="92">
        <f t="shared" si="70"/>
        <v>0</v>
      </c>
      <c r="BP33" s="92">
        <f t="shared" si="70"/>
        <v>0</v>
      </c>
      <c r="BQ33" s="96">
        <f t="shared" si="48"/>
        <v>0</v>
      </c>
      <c r="BR33" s="96">
        <f t="shared" si="49"/>
        <v>0</v>
      </c>
      <c r="BS33" s="96">
        <f t="shared" si="71"/>
        <v>0</v>
      </c>
      <c r="BT33" s="96">
        <f t="shared" si="50"/>
        <v>0</v>
      </c>
      <c r="BU33" s="92">
        <f t="shared" si="16"/>
        <v>0</v>
      </c>
      <c r="BV33" s="98">
        <f t="shared" si="17"/>
        <v>0</v>
      </c>
      <c r="BW33" s="92">
        <f t="shared" si="18"/>
        <v>0</v>
      </c>
      <c r="BX33" s="98">
        <f t="shared" si="51"/>
        <v>0</v>
      </c>
      <c r="BY33" s="61">
        <f t="shared" si="73"/>
        <v>0</v>
      </c>
      <c r="BZ33" s="62">
        <f t="shared" si="52"/>
        <v>0</v>
      </c>
      <c r="CA33" s="98">
        <f t="shared" si="53"/>
        <v>0</v>
      </c>
      <c r="CB33" s="92">
        <f t="shared" si="19"/>
        <v>0</v>
      </c>
      <c r="CC33" s="92">
        <f t="shared" si="19"/>
        <v>0</v>
      </c>
      <c r="CD33" s="92">
        <f t="shared" si="19"/>
        <v>0</v>
      </c>
      <c r="CE33" s="99"/>
      <c r="CF33" s="99"/>
      <c r="CG33" s="51">
        <f t="shared" si="54"/>
        <v>0</v>
      </c>
      <c r="CH33" s="62">
        <f t="shared" si="55"/>
        <v>0</v>
      </c>
      <c r="CI33" s="89"/>
      <c r="CJ33" s="89"/>
      <c r="CK33" s="89"/>
      <c r="CL33" s="96"/>
      <c r="CM33" s="89"/>
      <c r="CN33" s="89"/>
      <c r="CO33" s="92"/>
      <c r="CP33" s="101"/>
      <c r="CQ33" s="102">
        <f t="shared" si="87"/>
        <v>0</v>
      </c>
      <c r="CR33" s="102">
        <f t="shared" si="87"/>
        <v>0</v>
      </c>
      <c r="CS33" s="102">
        <f t="shared" si="87"/>
        <v>0</v>
      </c>
      <c r="CT33" s="92">
        <f t="shared" si="57"/>
        <v>0</v>
      </c>
      <c r="CU33" s="92">
        <f t="shared" si="88"/>
        <v>0</v>
      </c>
      <c r="CV33" s="103">
        <f t="shared" si="88"/>
        <v>0</v>
      </c>
      <c r="CW33" s="104" t="s">
        <v>157</v>
      </c>
      <c r="CX33" s="105">
        <v>12</v>
      </c>
      <c r="CY33" s="106">
        <f t="shared" si="59"/>
        <v>3262</v>
      </c>
      <c r="CZ33" s="106">
        <f t="shared" si="60"/>
        <v>48.6</v>
      </c>
      <c r="DA33" s="106"/>
      <c r="DB33" s="106"/>
      <c r="DC33" s="105"/>
      <c r="DD33" s="107"/>
      <c r="DE33" s="92">
        <f t="shared" si="21"/>
        <v>0</v>
      </c>
      <c r="DF33" s="108">
        <f t="shared" si="22"/>
        <v>0</v>
      </c>
      <c r="DG33" s="112">
        <f t="shared" si="23"/>
        <v>0</v>
      </c>
      <c r="DH33" s="110">
        <f t="shared" si="24"/>
        <v>0</v>
      </c>
      <c r="DI33" s="108">
        <f t="shared" si="25"/>
        <v>0</v>
      </c>
      <c r="DJ33" s="112">
        <f t="shared" si="26"/>
        <v>0</v>
      </c>
      <c r="DK33" s="110">
        <f t="shared" si="86"/>
        <v>0</v>
      </c>
      <c r="DL33" s="108">
        <f t="shared" si="86"/>
        <v>0</v>
      </c>
      <c r="DM33" s="111">
        <f t="shared" si="86"/>
        <v>0</v>
      </c>
      <c r="DN33" s="76">
        <f t="shared" si="89"/>
        <v>0</v>
      </c>
      <c r="DO33" s="76">
        <f t="shared" si="89"/>
        <v>0</v>
      </c>
      <c r="DP33" s="112"/>
      <c r="DQ33" s="112"/>
      <c r="DR33" s="113"/>
      <c r="DS33" s="112"/>
      <c r="DT33" s="112"/>
      <c r="DU33" s="111"/>
      <c r="DV33" s="114"/>
      <c r="DW33" s="80">
        <f t="shared" si="61"/>
        <v>0</v>
      </c>
      <c r="DX33" s="81">
        <f t="shared" si="29"/>
        <v>0</v>
      </c>
      <c r="DY33" s="80">
        <f t="shared" si="62"/>
        <v>0</v>
      </c>
      <c r="DZ33" s="82">
        <f t="shared" si="63"/>
        <v>0</v>
      </c>
      <c r="EA33" s="82">
        <f t="shared" si="64"/>
        <v>0</v>
      </c>
      <c r="EB33" s="82">
        <f t="shared" si="65"/>
        <v>0</v>
      </c>
      <c r="EC33" s="82">
        <f t="shared" si="75"/>
        <v>0</v>
      </c>
      <c r="EF33" s="83">
        <f t="shared" si="92"/>
        <v>0</v>
      </c>
    </row>
    <row r="34" spans="1:136" ht="14.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1"/>
        <v>SSSUS304K-4x3-H9A08</v>
      </c>
      <c r="H34" s="46" t="str">
        <f t="shared" si="32"/>
        <v>SUS304KSS40DH9</v>
      </c>
      <c r="I34" s="46" t="str">
        <f t="shared" si="33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4"/>
        <v>46</v>
      </c>
      <c r="T34" s="51">
        <f>'02.02'!BG34</f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5"/>
        <v>0</v>
      </c>
      <c r="AF34" s="54">
        <f>AE34+'02.02'!AF34</f>
        <v>0</v>
      </c>
      <c r="AG34" s="94">
        <f t="shared" si="66"/>
        <v>0</v>
      </c>
      <c r="AH34" s="56">
        <f t="shared" si="13"/>
        <v>0</v>
      </c>
      <c r="AI34" s="93"/>
      <c r="AJ34" s="93">
        <f t="shared" si="67"/>
        <v>0</v>
      </c>
      <c r="AK34" s="95">
        <f t="shared" si="36"/>
        <v>1</v>
      </c>
      <c r="AL34" s="58">
        <f t="shared" si="37"/>
        <v>0</v>
      </c>
      <c r="AM34" s="55">
        <f t="shared" si="68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8"/>
        <v>0</v>
      </c>
      <c r="AV34" s="96">
        <f t="shared" si="38"/>
        <v>0</v>
      </c>
      <c r="AW34" s="96">
        <f t="shared" si="39"/>
        <v>0</v>
      </c>
      <c r="AX34" s="96">
        <f t="shared" si="40"/>
        <v>0</v>
      </c>
      <c r="AY34" s="94">
        <f t="shared" si="69"/>
        <v>0</v>
      </c>
      <c r="AZ34" s="94">
        <f t="shared" si="41"/>
        <v>0</v>
      </c>
      <c r="BA34" s="94">
        <f t="shared" si="42"/>
        <v>0</v>
      </c>
      <c r="BB34" s="97">
        <f t="shared" si="43"/>
        <v>0</v>
      </c>
      <c r="BC34" s="93"/>
      <c r="BD34" s="93">
        <f t="shared" si="44"/>
        <v>0</v>
      </c>
      <c r="BE34" s="95">
        <f t="shared" si="45"/>
        <v>1</v>
      </c>
      <c r="BF34" s="58">
        <f t="shared" si="46"/>
        <v>0</v>
      </c>
      <c r="BG34" s="94">
        <f t="shared" si="47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0"/>
        <v>0</v>
      </c>
      <c r="BP34" s="92">
        <f t="shared" si="70"/>
        <v>0</v>
      </c>
      <c r="BQ34" s="96">
        <f t="shared" si="48"/>
        <v>0</v>
      </c>
      <c r="BR34" s="96">
        <f t="shared" si="49"/>
        <v>0</v>
      </c>
      <c r="BS34" s="96">
        <f t="shared" si="71"/>
        <v>0</v>
      </c>
      <c r="BT34" s="96">
        <f t="shared" si="50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1"/>
        <v>0</v>
      </c>
      <c r="BY34" s="61">
        <f>IFERROR(BF34+AL34,0)</f>
        <v>0</v>
      </c>
      <c r="BZ34" s="62">
        <f t="shared" si="52"/>
        <v>0</v>
      </c>
      <c r="CA34" s="98">
        <f t="shared" si="53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4"/>
        <v>0</v>
      </c>
      <c r="CH34" s="62">
        <f t="shared" si="55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7"/>
        <v>0</v>
      </c>
      <c r="CR34" s="102">
        <f t="shared" si="87"/>
        <v>0</v>
      </c>
      <c r="CS34" s="102">
        <f t="shared" si="87"/>
        <v>0</v>
      </c>
      <c r="CT34" s="92">
        <f t="shared" si="57"/>
        <v>0</v>
      </c>
      <c r="CU34" s="92">
        <f t="shared" si="88"/>
        <v>0</v>
      </c>
      <c r="CV34" s="103">
        <f t="shared" si="88"/>
        <v>0</v>
      </c>
      <c r="CW34" s="104"/>
      <c r="CX34" s="105">
        <v>8</v>
      </c>
      <c r="CY34" s="106">
        <f t="shared" si="59"/>
        <v>4312</v>
      </c>
      <c r="CZ34" s="106">
        <f t="shared" si="60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6"/>
        <v>0</v>
      </c>
      <c r="DL34" s="108">
        <f t="shared" si="86"/>
        <v>0</v>
      </c>
      <c r="DM34" s="111">
        <f t="shared" si="86"/>
        <v>0</v>
      </c>
      <c r="DN34" s="76">
        <f t="shared" si="89"/>
        <v>0</v>
      </c>
      <c r="DO34" s="76">
        <f t="shared" si="89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1"/>
        <v>0</v>
      </c>
      <c r="DX34" s="81">
        <f t="shared" si="29"/>
        <v>0</v>
      </c>
      <c r="DY34" s="80">
        <f t="shared" si="62"/>
        <v>0</v>
      </c>
      <c r="DZ34" s="82">
        <f t="shared" si="63"/>
        <v>0</v>
      </c>
      <c r="EA34" s="82">
        <f t="shared" si="64"/>
        <v>0</v>
      </c>
      <c r="EB34" s="82">
        <f t="shared" si="65"/>
        <v>0</v>
      </c>
      <c r="EC34" s="82">
        <f t="shared" ref="EC34:EC35" si="97">(BX34-CA34)+((AV34+BP34)/1000)</f>
        <v>0</v>
      </c>
      <c r="EF34" s="83">
        <f t="shared" si="92"/>
        <v>0</v>
      </c>
    </row>
    <row r="35" spans="1:136" ht="14.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1"/>
        <v>IBC3604-6.5x3-H9A14</v>
      </c>
      <c r="H35" s="46" t="str">
        <f t="shared" si="32"/>
        <v>C3604IB6.50DH9</v>
      </c>
      <c r="I35" s="46" t="str">
        <f t="shared" si="33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4"/>
        <v>34</v>
      </c>
      <c r="T35" s="51">
        <f>'02.02'!BG35</f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5"/>
        <v>0</v>
      </c>
      <c r="AF35" s="54">
        <f>AE35+'02.02'!AF35</f>
        <v>0</v>
      </c>
      <c r="AG35" s="94">
        <f t="shared" si="66"/>
        <v>0</v>
      </c>
      <c r="AH35" s="56">
        <f t="shared" si="13"/>
        <v>0</v>
      </c>
      <c r="AI35" s="93"/>
      <c r="AJ35" s="93">
        <f t="shared" si="67"/>
        <v>0</v>
      </c>
      <c r="AK35" s="95">
        <f t="shared" si="36"/>
        <v>1</v>
      </c>
      <c r="AL35" s="58">
        <f t="shared" si="37"/>
        <v>0</v>
      </c>
      <c r="AM35" s="55">
        <f t="shared" si="68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8"/>
        <v>0</v>
      </c>
      <c r="AV35" s="96">
        <f t="shared" si="38"/>
        <v>0</v>
      </c>
      <c r="AW35" s="96">
        <f t="shared" si="39"/>
        <v>0</v>
      </c>
      <c r="AX35" s="96">
        <f t="shared" si="40"/>
        <v>0</v>
      </c>
      <c r="AY35" s="94">
        <f t="shared" si="69"/>
        <v>0</v>
      </c>
      <c r="AZ35" s="94">
        <f t="shared" si="41"/>
        <v>0</v>
      </c>
      <c r="BA35" s="94">
        <f t="shared" si="42"/>
        <v>0</v>
      </c>
      <c r="BB35" s="97">
        <f t="shared" si="43"/>
        <v>0</v>
      </c>
      <c r="BC35" s="93"/>
      <c r="BD35" s="93">
        <f t="shared" si="44"/>
        <v>0</v>
      </c>
      <c r="BE35" s="95">
        <f t="shared" si="45"/>
        <v>1</v>
      </c>
      <c r="BF35" s="58">
        <f t="shared" si="46"/>
        <v>0</v>
      </c>
      <c r="BG35" s="94">
        <f t="shared" si="47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0"/>
        <v>0</v>
      </c>
      <c r="BP35" s="92">
        <f t="shared" si="70"/>
        <v>0</v>
      </c>
      <c r="BQ35" s="96">
        <f t="shared" si="48"/>
        <v>0</v>
      </c>
      <c r="BR35" s="96">
        <f t="shared" si="49"/>
        <v>0</v>
      </c>
      <c r="BS35" s="96">
        <f t="shared" si="71"/>
        <v>0</v>
      </c>
      <c r="BT35" s="96">
        <f t="shared" si="50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1"/>
        <v>0</v>
      </c>
      <c r="BY35" s="61">
        <f t="shared" si="73"/>
        <v>0</v>
      </c>
      <c r="BZ35" s="62">
        <f t="shared" si="52"/>
        <v>0</v>
      </c>
      <c r="CA35" s="98">
        <f t="shared" si="53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4"/>
        <v>0</v>
      </c>
      <c r="CH35" s="62">
        <f t="shared" si="55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7"/>
        <v>0</v>
      </c>
      <c r="CR35" s="102">
        <f t="shared" si="87"/>
        <v>0</v>
      </c>
      <c r="CS35" s="102">
        <f t="shared" si="87"/>
        <v>0</v>
      </c>
      <c r="CT35" s="92">
        <f t="shared" si="57"/>
        <v>0</v>
      </c>
      <c r="CU35" s="92">
        <f t="shared" si="88"/>
        <v>0</v>
      </c>
      <c r="CV35" s="103">
        <f t="shared" si="88"/>
        <v>0</v>
      </c>
      <c r="CW35" s="104" t="s">
        <v>147</v>
      </c>
      <c r="CX35" s="105">
        <v>13</v>
      </c>
      <c r="CY35" s="106">
        <f t="shared" si="59"/>
        <v>3073</v>
      </c>
      <c r="CZ35" s="106">
        <f t="shared" si="60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6"/>
        <v>0</v>
      </c>
      <c r="DL35" s="108">
        <f t="shared" si="86"/>
        <v>0</v>
      </c>
      <c r="DM35" s="111">
        <f t="shared" si="86"/>
        <v>0</v>
      </c>
      <c r="DN35" s="76">
        <f t="shared" si="89"/>
        <v>0</v>
      </c>
      <c r="DO35" s="76">
        <f t="shared" si="89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1"/>
        <v>0</v>
      </c>
      <c r="DX35" s="81">
        <f t="shared" si="29"/>
        <v>0</v>
      </c>
      <c r="DY35" s="80">
        <f t="shared" si="62"/>
        <v>0</v>
      </c>
      <c r="DZ35" s="82">
        <f t="shared" si="63"/>
        <v>0</v>
      </c>
      <c r="EA35" s="82">
        <f t="shared" si="64"/>
        <v>0</v>
      </c>
      <c r="EB35" s="82">
        <f t="shared" si="65"/>
        <v>0</v>
      </c>
      <c r="EC35" s="82">
        <f t="shared" si="97"/>
        <v>0</v>
      </c>
      <c r="EF35" s="83">
        <f t="shared" si="92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1"/>
        <v>TV12L14-5.97x2.5-H9B14</v>
      </c>
      <c r="H36" s="46" t="str">
        <f t="shared" si="32"/>
        <v>12L14TV5.970DH9</v>
      </c>
      <c r="I36" s="46" t="str">
        <f t="shared" si="33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4"/>
        <v>76</v>
      </c>
      <c r="T36" s="51">
        <f>'02.02'!BG36</f>
        <v>25</v>
      </c>
      <c r="U36" s="146">
        <v>75</v>
      </c>
      <c r="V36" s="135">
        <v>4.45</v>
      </c>
      <c r="W36" s="151">
        <f t="shared" si="5"/>
        <v>0</v>
      </c>
      <c r="X36" s="151">
        <f t="shared" si="6"/>
        <v>2634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62</v>
      </c>
      <c r="AE36" s="151">
        <f t="shared" si="35"/>
        <v>2634</v>
      </c>
      <c r="AF36" s="54">
        <f>AE36+'02.02'!AF36</f>
        <v>8743</v>
      </c>
      <c r="AG36" s="94">
        <f t="shared" si="66"/>
        <v>25</v>
      </c>
      <c r="AH36" s="56">
        <f t="shared" si="13"/>
        <v>0</v>
      </c>
      <c r="AI36" s="151">
        <v>37</v>
      </c>
      <c r="AJ36" s="93">
        <f t="shared" si="67"/>
        <v>0</v>
      </c>
      <c r="AK36" s="95">
        <f t="shared" si="36"/>
        <v>1</v>
      </c>
      <c r="AL36" s="58">
        <f t="shared" si="37"/>
        <v>37</v>
      </c>
      <c r="AM36" s="55">
        <f t="shared" si="68"/>
        <v>63</v>
      </c>
      <c r="AN36" s="151"/>
      <c r="AO36" s="145"/>
      <c r="AP36" s="145">
        <f>$CJ36</f>
        <v>6653</v>
      </c>
      <c r="AQ36" s="145"/>
      <c r="AR36" s="145"/>
      <c r="AS36" s="145"/>
      <c r="AT36" s="145"/>
      <c r="AU36" s="145">
        <f t="shared" si="38"/>
        <v>0</v>
      </c>
      <c r="AV36" s="145">
        <f t="shared" si="38"/>
        <v>0</v>
      </c>
      <c r="AW36" s="145">
        <f t="shared" si="39"/>
        <v>6653</v>
      </c>
      <c r="AX36" s="145">
        <f t="shared" si="40"/>
        <v>1495</v>
      </c>
      <c r="AY36" s="94">
        <f t="shared" si="69"/>
        <v>67</v>
      </c>
      <c r="AZ36" s="94">
        <f t="shared" si="41"/>
        <v>15.056179775280897</v>
      </c>
      <c r="BA36" s="94">
        <f t="shared" si="42"/>
        <v>63</v>
      </c>
      <c r="BB36" s="97">
        <f t="shared" si="43"/>
        <v>0</v>
      </c>
      <c r="BC36" s="151">
        <v>28</v>
      </c>
      <c r="BD36" s="93">
        <f t="shared" si="44"/>
        <v>0</v>
      </c>
      <c r="BE36" s="152">
        <f t="shared" si="45"/>
        <v>1</v>
      </c>
      <c r="BF36" s="58">
        <f t="shared" si="46"/>
        <v>28</v>
      </c>
      <c r="BG36" s="94">
        <f t="shared" si="47"/>
        <v>35</v>
      </c>
      <c r="BH36" s="150"/>
      <c r="BI36" s="150"/>
      <c r="BJ36" s="146">
        <f>$CN36</f>
        <v>5071</v>
      </c>
      <c r="BK36" s="150"/>
      <c r="BL36" s="150"/>
      <c r="BM36" s="150"/>
      <c r="BN36" s="146"/>
      <c r="BO36" s="146">
        <f t="shared" si="70"/>
        <v>0</v>
      </c>
      <c r="BP36" s="146">
        <f t="shared" si="70"/>
        <v>276</v>
      </c>
      <c r="BQ36" s="145">
        <f t="shared" si="48"/>
        <v>5347</v>
      </c>
      <c r="BR36" s="145">
        <f t="shared" si="49"/>
        <v>1201</v>
      </c>
      <c r="BS36" s="96">
        <f t="shared" si="71"/>
        <v>363</v>
      </c>
      <c r="BT36" s="145">
        <f t="shared" si="50"/>
        <v>81.573033707865164</v>
      </c>
      <c r="BU36" s="146">
        <f t="shared" si="16"/>
        <v>2634</v>
      </c>
      <c r="BV36" s="98">
        <f t="shared" si="17"/>
        <v>65</v>
      </c>
      <c r="BW36" s="146">
        <f t="shared" si="18"/>
        <v>96.62921348314606</v>
      </c>
      <c r="BX36" s="153">
        <f t="shared" si="51"/>
        <v>35.555</v>
      </c>
      <c r="BY36" s="61">
        <f t="shared" si="73"/>
        <v>65</v>
      </c>
      <c r="BZ36" s="62">
        <f t="shared" si="52"/>
        <v>65</v>
      </c>
      <c r="CA36" s="98">
        <f t="shared" si="53"/>
        <v>12</v>
      </c>
      <c r="CB36" s="146">
        <f t="shared" si="19"/>
        <v>2696</v>
      </c>
      <c r="CC36" s="146">
        <f t="shared" si="19"/>
        <v>430</v>
      </c>
      <c r="CD36" s="146">
        <f t="shared" si="19"/>
        <v>96.62921348314606</v>
      </c>
      <c r="CE36" s="99"/>
      <c r="CF36" s="99"/>
      <c r="CG36" s="51">
        <f t="shared" si="54"/>
        <v>23.831</v>
      </c>
      <c r="CH36" s="62">
        <f t="shared" si="55"/>
        <v>23.831</v>
      </c>
      <c r="CI36" s="150"/>
      <c r="CJ36" s="150">
        <v>6653</v>
      </c>
      <c r="CK36" s="150"/>
      <c r="CL36" s="145"/>
      <c r="CM36" s="150"/>
      <c r="CN36" s="150">
        <v>5071</v>
      </c>
      <c r="CO36" s="146"/>
      <c r="CP36" s="154">
        <v>276</v>
      </c>
      <c r="CQ36" s="102">
        <f t="shared" si="87"/>
        <v>1495</v>
      </c>
      <c r="CR36" s="102">
        <f t="shared" si="87"/>
        <v>0</v>
      </c>
      <c r="CS36" s="102">
        <f t="shared" si="87"/>
        <v>0</v>
      </c>
      <c r="CT36" s="92">
        <f t="shared" si="57"/>
        <v>1139</v>
      </c>
      <c r="CU36" s="92">
        <f t="shared" si="88"/>
        <v>0</v>
      </c>
      <c r="CV36" s="103">
        <f t="shared" si="88"/>
        <v>62</v>
      </c>
      <c r="CW36" s="155" t="s">
        <v>147</v>
      </c>
      <c r="CX36" s="156">
        <v>23</v>
      </c>
      <c r="CY36" s="157">
        <f t="shared" si="59"/>
        <v>1510</v>
      </c>
      <c r="CZ36" s="157">
        <f t="shared" si="60"/>
        <v>93.15</v>
      </c>
      <c r="DA36" s="157"/>
      <c r="DB36" s="157"/>
      <c r="DC36" s="156"/>
      <c r="DD36" s="158"/>
      <c r="DE36" s="92">
        <f t="shared" si="21"/>
        <v>1495</v>
      </c>
      <c r="DF36" s="108">
        <f t="shared" si="22"/>
        <v>37</v>
      </c>
      <c r="DG36" s="112">
        <f t="shared" si="23"/>
        <v>15.056179775280897</v>
      </c>
      <c r="DH36" s="110">
        <f t="shared" si="24"/>
        <v>1139</v>
      </c>
      <c r="DI36" s="108">
        <f t="shared" si="25"/>
        <v>28</v>
      </c>
      <c r="DJ36" s="112">
        <f t="shared" si="26"/>
        <v>81.573033707865164</v>
      </c>
      <c r="DK36" s="110">
        <f t="shared" si="86"/>
        <v>2634</v>
      </c>
      <c r="DL36" s="108">
        <f t="shared" si="86"/>
        <v>65</v>
      </c>
      <c r="DM36" s="111">
        <f t="shared" si="86"/>
        <v>96.62921348314606</v>
      </c>
      <c r="DN36" s="76">
        <f t="shared" si="89"/>
        <v>25</v>
      </c>
      <c r="DO36" s="76">
        <f t="shared" si="89"/>
        <v>75</v>
      </c>
      <c r="DP36" s="112"/>
      <c r="DQ36" s="112"/>
      <c r="DR36" s="113" t="s">
        <v>434</v>
      </c>
      <c r="DS36" s="112"/>
      <c r="DT36" s="112"/>
      <c r="DU36" s="111"/>
      <c r="DV36" s="114"/>
      <c r="DW36" s="80">
        <f>IFERROR(AL36+BF36,"")</f>
        <v>65</v>
      </c>
      <c r="DX36" s="159">
        <f t="shared" si="29"/>
        <v>2795.629213483146</v>
      </c>
      <c r="DY36" s="80">
        <f t="shared" si="62"/>
        <v>2696</v>
      </c>
      <c r="DZ36" s="82">
        <f t="shared" si="63"/>
        <v>0.27590000000000003</v>
      </c>
      <c r="EA36" s="82">
        <f t="shared" si="64"/>
        <v>11.721300000000001</v>
      </c>
      <c r="EB36" s="82">
        <f t="shared" si="65"/>
        <v>23.8337</v>
      </c>
      <c r="EC36" s="82">
        <f t="shared" si="75"/>
        <v>24.1096</v>
      </c>
      <c r="EF36" s="83">
        <f t="shared" si="92"/>
        <v>96.62921348314606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1"/>
        <v>GAA5052-5.7x3-H9A14</v>
      </c>
      <c r="H37" s="46" t="str">
        <f t="shared" si="32"/>
        <v>A5052GA5.70DH9</v>
      </c>
      <c r="I37" s="46" t="str">
        <f t="shared" si="33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4"/>
        <v>18</v>
      </c>
      <c r="T37" s="51">
        <f>'02.02'!BG37</f>
        <v>20</v>
      </c>
      <c r="U37" s="92"/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2000</v>
      </c>
      <c r="AC37" s="93">
        <f t="shared" si="11"/>
        <v>0</v>
      </c>
      <c r="AD37" s="93">
        <f t="shared" si="12"/>
        <v>0</v>
      </c>
      <c r="AE37" s="93">
        <f t="shared" si="35"/>
        <v>2000</v>
      </c>
      <c r="AF37" s="54">
        <f>AE37+'02.02'!AF37</f>
        <v>2000</v>
      </c>
      <c r="AG37" s="94">
        <f t="shared" si="66"/>
        <v>20</v>
      </c>
      <c r="AH37" s="56">
        <f t="shared" si="13"/>
        <v>0</v>
      </c>
      <c r="AI37" s="93">
        <v>8</v>
      </c>
      <c r="AJ37" s="93">
        <f t="shared" si="67"/>
        <v>0</v>
      </c>
      <c r="AK37" s="95">
        <f t="shared" si="36"/>
        <v>1</v>
      </c>
      <c r="AL37" s="58">
        <f t="shared" si="37"/>
        <v>8</v>
      </c>
      <c r="AM37" s="55">
        <f t="shared" si="68"/>
        <v>12</v>
      </c>
      <c r="AN37" s="93"/>
      <c r="AO37" s="96"/>
      <c r="AP37" s="96"/>
      <c r="AQ37" s="96"/>
      <c r="AR37" s="96"/>
      <c r="AS37" s="96"/>
      <c r="AT37" s="96">
        <f>$CJ37</f>
        <v>220</v>
      </c>
      <c r="AU37" s="96">
        <f t="shared" si="38"/>
        <v>0</v>
      </c>
      <c r="AV37" s="96">
        <f t="shared" si="38"/>
        <v>0</v>
      </c>
      <c r="AW37" s="96">
        <f t="shared" si="39"/>
        <v>220</v>
      </c>
      <c r="AX37" s="96">
        <f t="shared" si="40"/>
        <v>2000</v>
      </c>
      <c r="AY37" s="94">
        <f t="shared" si="69"/>
        <v>6.1599999999999966</v>
      </c>
      <c r="AZ37" s="94">
        <f t="shared" si="41"/>
        <v>55.999999999999972</v>
      </c>
      <c r="BA37" s="94">
        <f t="shared" si="42"/>
        <v>12</v>
      </c>
      <c r="BB37" s="97">
        <f t="shared" si="43"/>
        <v>0</v>
      </c>
      <c r="BC37" s="93"/>
      <c r="BD37" s="93">
        <f t="shared" si="44"/>
        <v>0</v>
      </c>
      <c r="BE37" s="95">
        <f t="shared" si="45"/>
        <v>1</v>
      </c>
      <c r="BF37" s="58">
        <f t="shared" si="46"/>
        <v>0</v>
      </c>
      <c r="BG37" s="94">
        <f t="shared" si="47"/>
        <v>12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0"/>
        <v>0</v>
      </c>
      <c r="BP37" s="92">
        <f t="shared" si="70"/>
        <v>0</v>
      </c>
      <c r="BQ37" s="96">
        <f t="shared" si="48"/>
        <v>0</v>
      </c>
      <c r="BR37" s="96">
        <f t="shared" si="49"/>
        <v>0</v>
      </c>
      <c r="BS37" s="96">
        <f t="shared" si="71"/>
        <v>0</v>
      </c>
      <c r="BT37" s="96">
        <f t="shared" si="50"/>
        <v>0</v>
      </c>
      <c r="BU37" s="92">
        <f t="shared" si="16"/>
        <v>2000</v>
      </c>
      <c r="BV37" s="98">
        <f t="shared" si="17"/>
        <v>8</v>
      </c>
      <c r="BW37" s="92">
        <f t="shared" si="18"/>
        <v>55.999999999999972</v>
      </c>
      <c r="BX37" s="98">
        <f t="shared" si="51"/>
        <v>1.6319999999999999</v>
      </c>
      <c r="BY37" s="61">
        <f t="shared" si="73"/>
        <v>8</v>
      </c>
      <c r="BZ37" s="62">
        <f t="shared" si="52"/>
        <v>8</v>
      </c>
      <c r="CA37" s="98">
        <f t="shared" si="53"/>
        <v>0.22</v>
      </c>
      <c r="CB37" s="92">
        <f t="shared" si="19"/>
        <v>2000</v>
      </c>
      <c r="CC37" s="92">
        <f t="shared" si="19"/>
        <v>6.1599999999999966</v>
      </c>
      <c r="CD37" s="92">
        <f t="shared" si="19"/>
        <v>55.999999999999972</v>
      </c>
      <c r="CE37" s="99"/>
      <c r="CF37" s="99"/>
      <c r="CG37" s="51">
        <f t="shared" si="54"/>
        <v>1.4119999999999999</v>
      </c>
      <c r="CH37" s="62">
        <f t="shared" si="55"/>
        <v>1.4119999999999999</v>
      </c>
      <c r="CI37" s="89"/>
      <c r="CJ37" s="89">
        <v>220</v>
      </c>
      <c r="CK37" s="89"/>
      <c r="CL37" s="96"/>
      <c r="CM37" s="89"/>
      <c r="CN37" s="89"/>
      <c r="CO37" s="92"/>
      <c r="CP37" s="101"/>
      <c r="CQ37" s="102">
        <f t="shared" si="87"/>
        <v>2000</v>
      </c>
      <c r="CR37" s="102">
        <f t="shared" si="87"/>
        <v>0</v>
      </c>
      <c r="CS37" s="102">
        <f t="shared" si="87"/>
        <v>0</v>
      </c>
      <c r="CT37" s="92">
        <f t="shared" si="57"/>
        <v>0</v>
      </c>
      <c r="CU37" s="92">
        <f t="shared" si="88"/>
        <v>0</v>
      </c>
      <c r="CV37" s="103">
        <f t="shared" si="88"/>
        <v>0</v>
      </c>
      <c r="CW37" s="104" t="s">
        <v>147</v>
      </c>
      <c r="CX37" s="105">
        <v>18</v>
      </c>
      <c r="CY37" s="106">
        <f t="shared" si="59"/>
        <v>2300</v>
      </c>
      <c r="CZ37" s="106">
        <f t="shared" si="60"/>
        <v>72.900000000000006</v>
      </c>
      <c r="DA37" s="106"/>
      <c r="DB37" s="106"/>
      <c r="DC37" s="105"/>
      <c r="DD37" s="107"/>
      <c r="DE37" s="92">
        <f t="shared" si="21"/>
        <v>2000</v>
      </c>
      <c r="DF37" s="108">
        <f t="shared" si="22"/>
        <v>8</v>
      </c>
      <c r="DG37" s="112">
        <f t="shared" si="23"/>
        <v>55.999999999999972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6"/>
        <v>2000</v>
      </c>
      <c r="DL37" s="108">
        <f t="shared" si="86"/>
        <v>8</v>
      </c>
      <c r="DM37" s="111">
        <f t="shared" si="86"/>
        <v>55.999999999999972</v>
      </c>
      <c r="DN37" s="76">
        <f t="shared" si="89"/>
        <v>20</v>
      </c>
      <c r="DO37" s="76">
        <f t="shared" si="89"/>
        <v>0</v>
      </c>
      <c r="DP37" s="112"/>
      <c r="DQ37" s="112"/>
      <c r="DR37" s="113" t="s">
        <v>435</v>
      </c>
      <c r="DS37" s="112"/>
      <c r="DT37" s="112"/>
      <c r="DU37" s="111"/>
      <c r="DV37" s="114"/>
      <c r="DW37" s="80">
        <f t="shared" si="61"/>
        <v>2008</v>
      </c>
      <c r="DX37" s="81">
        <f t="shared" si="29"/>
        <v>2064</v>
      </c>
      <c r="DY37" s="80">
        <f t="shared" si="62"/>
        <v>2000</v>
      </c>
      <c r="DZ37" s="82">
        <f t="shared" si="63"/>
        <v>0</v>
      </c>
      <c r="EA37" s="82">
        <f t="shared" si="64"/>
        <v>0.22</v>
      </c>
      <c r="EB37" s="82">
        <f t="shared" si="65"/>
        <v>1.4119999999999999</v>
      </c>
      <c r="EC37" s="82">
        <f t="shared" si="75"/>
        <v>1.4119999999999999</v>
      </c>
      <c r="EF37" s="83">
        <f t="shared" si="92"/>
        <v>55.999999999999972</v>
      </c>
    </row>
    <row r="38" spans="1:136" s="143" customFormat="1" ht="14.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1"/>
        <v>MESUS303-5x3-H7B13</v>
      </c>
      <c r="H38" s="123" t="str">
        <f t="shared" si="32"/>
        <v>SUS303ME50DH7</v>
      </c>
      <c r="I38" s="123" t="str">
        <f t="shared" si="33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4"/>
        <v>4</v>
      </c>
      <c r="T38" s="51">
        <f>'02.02'!BG38</f>
        <v>19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5"/>
        <v>0</v>
      </c>
      <c r="AF38" s="54">
        <f>AE38+'02.02'!AF38</f>
        <v>0</v>
      </c>
      <c r="AG38" s="94">
        <f t="shared" si="66"/>
        <v>19</v>
      </c>
      <c r="AH38" s="56">
        <f t="shared" si="13"/>
        <v>0</v>
      </c>
      <c r="AI38" s="125"/>
      <c r="AJ38" s="93">
        <f t="shared" si="67"/>
        <v>0</v>
      </c>
      <c r="AK38" s="95">
        <f t="shared" si="36"/>
        <v>1</v>
      </c>
      <c r="AL38" s="58">
        <f t="shared" si="37"/>
        <v>0</v>
      </c>
      <c r="AM38" s="55">
        <f t="shared" si="68"/>
        <v>19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8"/>
        <v>0</v>
      </c>
      <c r="AV38" s="126">
        <f t="shared" si="38"/>
        <v>0</v>
      </c>
      <c r="AW38" s="126">
        <f t="shared" si="39"/>
        <v>0</v>
      </c>
      <c r="AX38" s="126">
        <f t="shared" si="40"/>
        <v>0</v>
      </c>
      <c r="AY38" s="162">
        <f t="shared" si="69"/>
        <v>0</v>
      </c>
      <c r="AZ38" s="94">
        <f t="shared" si="41"/>
        <v>0</v>
      </c>
      <c r="BA38" s="94">
        <f t="shared" si="42"/>
        <v>19</v>
      </c>
      <c r="BB38" s="97">
        <f t="shared" si="43"/>
        <v>0</v>
      </c>
      <c r="BC38" s="125"/>
      <c r="BD38" s="93">
        <f t="shared" si="44"/>
        <v>0</v>
      </c>
      <c r="BE38" s="127">
        <f t="shared" si="45"/>
        <v>1</v>
      </c>
      <c r="BF38" s="58">
        <f t="shared" si="46"/>
        <v>0</v>
      </c>
      <c r="BG38" s="94">
        <f t="shared" si="47"/>
        <v>19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0"/>
        <v>0</v>
      </c>
      <c r="BP38" s="124">
        <f t="shared" si="70"/>
        <v>0</v>
      </c>
      <c r="BQ38" s="126">
        <f t="shared" si="48"/>
        <v>0</v>
      </c>
      <c r="BR38" s="126">
        <f t="shared" si="49"/>
        <v>0</v>
      </c>
      <c r="BS38" s="126">
        <f t="shared" si="71"/>
        <v>0</v>
      </c>
      <c r="BT38" s="126">
        <f t="shared" si="50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1"/>
        <v>0</v>
      </c>
      <c r="BY38" s="129">
        <f t="shared" si="73"/>
        <v>0</v>
      </c>
      <c r="BZ38" s="62">
        <f t="shared" si="52"/>
        <v>0</v>
      </c>
      <c r="CA38" s="128">
        <f t="shared" si="53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4"/>
        <v>0</v>
      </c>
      <c r="CH38" s="62">
        <f t="shared" si="55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7"/>
        <v>0</v>
      </c>
      <c r="CR38" s="102">
        <f t="shared" si="87"/>
        <v>0</v>
      </c>
      <c r="CS38" s="102">
        <f t="shared" si="87"/>
        <v>0</v>
      </c>
      <c r="CT38" s="92">
        <f t="shared" si="57"/>
        <v>0</v>
      </c>
      <c r="CU38" s="92">
        <f t="shared" si="88"/>
        <v>0</v>
      </c>
      <c r="CV38" s="103">
        <f t="shared" si="88"/>
        <v>0</v>
      </c>
      <c r="CW38" s="131" t="s">
        <v>147</v>
      </c>
      <c r="CX38" s="132">
        <v>60</v>
      </c>
      <c r="CY38" s="133">
        <f t="shared" si="59"/>
        <v>714</v>
      </c>
      <c r="CZ38" s="133">
        <f t="shared" si="60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6"/>
        <v>0</v>
      </c>
      <c r="DL38" s="135">
        <f t="shared" si="86"/>
        <v>0</v>
      </c>
      <c r="DM38" s="137">
        <f t="shared" si="86"/>
        <v>0</v>
      </c>
      <c r="DN38" s="76">
        <f t="shared" si="89"/>
        <v>19</v>
      </c>
      <c r="DO38" s="76">
        <f t="shared" si="89"/>
        <v>0</v>
      </c>
      <c r="DP38" s="115"/>
      <c r="DQ38" s="115"/>
      <c r="DR38" s="138" t="s">
        <v>436</v>
      </c>
      <c r="DS38" s="115"/>
      <c r="DT38" s="115"/>
      <c r="DU38" s="137"/>
      <c r="DV38" s="139"/>
      <c r="DW38" s="140">
        <f t="shared" si="61"/>
        <v>0</v>
      </c>
      <c r="DX38" s="141">
        <f t="shared" si="29"/>
        <v>0</v>
      </c>
      <c r="DY38" s="140">
        <f t="shared" si="62"/>
        <v>0</v>
      </c>
      <c r="DZ38" s="142">
        <f t="shared" si="63"/>
        <v>0</v>
      </c>
      <c r="EA38" s="142">
        <f t="shared" si="64"/>
        <v>0</v>
      </c>
      <c r="EB38" s="142">
        <f t="shared" si="65"/>
        <v>0</v>
      </c>
      <c r="EC38" s="142">
        <f t="shared" si="75"/>
        <v>0</v>
      </c>
      <c r="EF38" s="83">
        <f t="shared" si="92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1"/>
        <v>GAA5052-5.7x3-H9A14</v>
      </c>
      <c r="H39" s="46" t="str">
        <f t="shared" si="32"/>
        <v>A5052GA5.70DH9</v>
      </c>
      <c r="I39" s="46" t="str">
        <f t="shared" si="33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4"/>
        <v>10</v>
      </c>
      <c r="T39" s="51">
        <f>'02.02'!BG39</f>
        <v>16</v>
      </c>
      <c r="U39" s="92"/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5"/>
        <v>0</v>
      </c>
      <c r="AF39" s="54">
        <f>AE39+'02.02'!AF39</f>
        <v>0</v>
      </c>
      <c r="AG39" s="94">
        <f t="shared" si="66"/>
        <v>16</v>
      </c>
      <c r="AH39" s="56">
        <f t="shared" si="13"/>
        <v>0</v>
      </c>
      <c r="AI39" s="93"/>
      <c r="AJ39" s="93">
        <f t="shared" si="67"/>
        <v>0</v>
      </c>
      <c r="AK39" s="95">
        <f t="shared" si="36"/>
        <v>1</v>
      </c>
      <c r="AL39" s="58">
        <f t="shared" si="37"/>
        <v>0</v>
      </c>
      <c r="AM39" s="55">
        <f t="shared" si="68"/>
        <v>16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8"/>
        <v>0</v>
      </c>
      <c r="AV39" s="96">
        <f t="shared" si="38"/>
        <v>0</v>
      </c>
      <c r="AW39" s="96">
        <f t="shared" si="39"/>
        <v>0</v>
      </c>
      <c r="AX39" s="96">
        <f t="shared" si="40"/>
        <v>0</v>
      </c>
      <c r="AY39" s="94">
        <f t="shared" si="69"/>
        <v>0</v>
      </c>
      <c r="AZ39" s="94">
        <f t="shared" si="41"/>
        <v>0</v>
      </c>
      <c r="BA39" s="94">
        <f t="shared" si="42"/>
        <v>16</v>
      </c>
      <c r="BB39" s="97">
        <f t="shared" si="43"/>
        <v>0</v>
      </c>
      <c r="BC39" s="93"/>
      <c r="BD39" s="93">
        <f t="shared" si="44"/>
        <v>0</v>
      </c>
      <c r="BE39" s="95">
        <f t="shared" si="45"/>
        <v>1</v>
      </c>
      <c r="BF39" s="58">
        <f t="shared" si="46"/>
        <v>0</v>
      </c>
      <c r="BG39" s="94">
        <f t="shared" si="47"/>
        <v>16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0"/>
        <v>0</v>
      </c>
      <c r="BP39" s="92">
        <f t="shared" si="70"/>
        <v>0</v>
      </c>
      <c r="BQ39" s="96">
        <f t="shared" si="48"/>
        <v>0</v>
      </c>
      <c r="BR39" s="96">
        <f t="shared" si="49"/>
        <v>0</v>
      </c>
      <c r="BS39" s="96">
        <f t="shared" si="71"/>
        <v>0</v>
      </c>
      <c r="BT39" s="96">
        <f t="shared" si="50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1"/>
        <v>0</v>
      </c>
      <c r="BY39" s="61">
        <f t="shared" si="73"/>
        <v>0</v>
      </c>
      <c r="BZ39" s="62">
        <f t="shared" si="52"/>
        <v>0</v>
      </c>
      <c r="CA39" s="98">
        <f t="shared" si="53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4"/>
        <v>0</v>
      </c>
      <c r="CH39" s="62">
        <f t="shared" si="55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7"/>
        <v>0</v>
      </c>
      <c r="CR39" s="102">
        <f t="shared" si="87"/>
        <v>0</v>
      </c>
      <c r="CS39" s="102">
        <f t="shared" si="87"/>
        <v>0</v>
      </c>
      <c r="CT39" s="92">
        <f t="shared" si="57"/>
        <v>0</v>
      </c>
      <c r="CU39" s="92">
        <f t="shared" si="88"/>
        <v>0</v>
      </c>
      <c r="CV39" s="103">
        <f t="shared" si="88"/>
        <v>0</v>
      </c>
      <c r="CW39" s="104" t="s">
        <v>147</v>
      </c>
      <c r="CX39" s="105">
        <v>35</v>
      </c>
      <c r="CY39" s="106">
        <f t="shared" si="59"/>
        <v>1203</v>
      </c>
      <c r="CZ39" s="106">
        <f t="shared" si="60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6"/>
        <v>0</v>
      </c>
      <c r="DL39" s="108">
        <f t="shared" si="86"/>
        <v>0</v>
      </c>
      <c r="DM39" s="111">
        <f t="shared" si="86"/>
        <v>0</v>
      </c>
      <c r="DN39" s="76">
        <f t="shared" si="89"/>
        <v>16</v>
      </c>
      <c r="DO39" s="76">
        <f t="shared" si="89"/>
        <v>0</v>
      </c>
      <c r="DP39" s="112"/>
      <c r="DQ39" s="112"/>
      <c r="DR39" s="113" t="s">
        <v>437</v>
      </c>
      <c r="DS39" s="112"/>
      <c r="DT39" s="112"/>
      <c r="DU39" s="111"/>
      <c r="DV39" s="114"/>
      <c r="DW39" s="80">
        <f t="shared" si="61"/>
        <v>0</v>
      </c>
      <c r="DX39" s="81">
        <f t="shared" si="29"/>
        <v>0</v>
      </c>
      <c r="DY39" s="80">
        <f t="shared" si="62"/>
        <v>0</v>
      </c>
      <c r="DZ39" s="82">
        <f t="shared" si="63"/>
        <v>0</v>
      </c>
      <c r="EA39" s="82">
        <f t="shared" si="64"/>
        <v>0</v>
      </c>
      <c r="EB39" s="82">
        <f t="shared" si="65"/>
        <v>0</v>
      </c>
      <c r="EC39" s="82">
        <f t="shared" si="75"/>
        <v>0</v>
      </c>
      <c r="EF39" s="83">
        <f t="shared" si="92"/>
        <v>0</v>
      </c>
    </row>
    <row r="40" spans="1:136" ht="14.1" customHeight="1">
      <c r="A40" s="84">
        <v>33</v>
      </c>
      <c r="B40" s="85" t="s">
        <v>232</v>
      </c>
      <c r="C40" s="86"/>
      <c r="D40" s="87" t="s">
        <v>233</v>
      </c>
      <c r="E40" s="88">
        <v>1166</v>
      </c>
      <c r="F40" s="89" t="s">
        <v>147</v>
      </c>
      <c r="G40" s="45" t="str">
        <f t="shared" si="31"/>
        <v>MIC3602-3x2.5-H9A14</v>
      </c>
      <c r="H40" s="46" t="str">
        <f t="shared" si="32"/>
        <v>C3602MI30DH9</v>
      </c>
      <c r="I40" s="46" t="str">
        <f t="shared" si="33"/>
        <v>C3602MI30DH92.5A14</v>
      </c>
      <c r="J40" s="90" t="s">
        <v>155</v>
      </c>
      <c r="K40" s="90" t="s">
        <v>234</v>
      </c>
      <c r="L40" s="90">
        <v>3</v>
      </c>
      <c r="M40" s="90">
        <v>0</v>
      </c>
      <c r="N40" s="90" t="s">
        <v>128</v>
      </c>
      <c r="O40" s="90" t="s">
        <v>131</v>
      </c>
      <c r="P40" s="90">
        <v>2.5</v>
      </c>
      <c r="Q40" s="164">
        <v>0.14799999999999999</v>
      </c>
      <c r="R40" s="90" t="s">
        <v>139</v>
      </c>
      <c r="S40" s="89">
        <f t="shared" si="34"/>
        <v>6</v>
      </c>
      <c r="T40" s="51">
        <v>3</v>
      </c>
      <c r="U40" s="92">
        <v>17</v>
      </c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7200</v>
      </c>
      <c r="AC40" s="93">
        <f t="shared" si="11"/>
        <v>0</v>
      </c>
      <c r="AD40" s="93">
        <f t="shared" si="12"/>
        <v>0</v>
      </c>
      <c r="AE40" s="93">
        <f t="shared" si="35"/>
        <v>7200</v>
      </c>
      <c r="AF40" s="54">
        <f>AE40+'02.02'!AF40</f>
        <v>15688</v>
      </c>
      <c r="AG40" s="94">
        <f t="shared" si="66"/>
        <v>3</v>
      </c>
      <c r="AH40" s="56">
        <f t="shared" si="13"/>
        <v>0</v>
      </c>
      <c r="AI40" s="93">
        <v>3</v>
      </c>
      <c r="AJ40" s="93">
        <f t="shared" si="67"/>
        <v>0</v>
      </c>
      <c r="AK40" s="95">
        <f t="shared" si="36"/>
        <v>1</v>
      </c>
      <c r="AL40" s="58">
        <f t="shared" si="37"/>
        <v>3</v>
      </c>
      <c r="AM40" s="55">
        <f t="shared" si="68"/>
        <v>17</v>
      </c>
      <c r="AN40" s="93"/>
      <c r="AO40" s="96"/>
      <c r="AP40" s="96"/>
      <c r="AQ40" s="96"/>
      <c r="AR40" s="96"/>
      <c r="AS40" s="96"/>
      <c r="AT40" s="96">
        <f>$CJ40</f>
        <v>450</v>
      </c>
      <c r="AU40" s="96">
        <f t="shared" si="38"/>
        <v>0</v>
      </c>
      <c r="AV40" s="96">
        <f t="shared" si="38"/>
        <v>0</v>
      </c>
      <c r="AW40" s="96">
        <f>SUM(AO40:AV40)</f>
        <v>450</v>
      </c>
      <c r="AX40" s="96">
        <f>IF(V40="","",INT(AW40/$V40))</f>
        <v>3600</v>
      </c>
      <c r="AY40" s="94">
        <f t="shared" si="69"/>
        <v>12.75</v>
      </c>
      <c r="AZ40" s="94">
        <f t="shared" si="41"/>
        <v>102</v>
      </c>
      <c r="BA40" s="94">
        <f t="shared" si="42"/>
        <v>17</v>
      </c>
      <c r="BB40" s="97">
        <f t="shared" si="43"/>
        <v>0</v>
      </c>
      <c r="BC40" s="93">
        <v>3</v>
      </c>
      <c r="BD40" s="93">
        <f t="shared" si="44"/>
        <v>0</v>
      </c>
      <c r="BE40" s="95">
        <f t="shared" si="45"/>
        <v>1</v>
      </c>
      <c r="BF40" s="58">
        <f t="shared" si="46"/>
        <v>3</v>
      </c>
      <c r="BG40" s="94">
        <f t="shared" si="47"/>
        <v>14</v>
      </c>
      <c r="BH40" s="89"/>
      <c r="BI40" s="89"/>
      <c r="BJ40" s="89"/>
      <c r="BK40" s="89"/>
      <c r="BL40" s="92"/>
      <c r="BM40" s="92"/>
      <c r="BN40" s="92">
        <f>$CN40</f>
        <v>450</v>
      </c>
      <c r="BO40" s="92">
        <f t="shared" si="70"/>
        <v>0</v>
      </c>
      <c r="BP40" s="92">
        <f t="shared" si="70"/>
        <v>0</v>
      </c>
      <c r="BQ40" s="96">
        <f t="shared" si="48"/>
        <v>450</v>
      </c>
      <c r="BR40" s="96">
        <f t="shared" si="49"/>
        <v>3600</v>
      </c>
      <c r="BS40" s="96">
        <f t="shared" si="71"/>
        <v>12.75</v>
      </c>
      <c r="BT40" s="96">
        <f t="shared" si="50"/>
        <v>102</v>
      </c>
      <c r="BU40" s="92">
        <f t="shared" si="16"/>
        <v>7200</v>
      </c>
      <c r="BV40" s="98">
        <f t="shared" si="17"/>
        <v>6</v>
      </c>
      <c r="BW40" s="92">
        <f t="shared" si="18"/>
        <v>204</v>
      </c>
      <c r="BX40" s="98">
        <f t="shared" si="51"/>
        <v>0.8879999999999999</v>
      </c>
      <c r="BY40" s="61">
        <f t="shared" si="73"/>
        <v>6</v>
      </c>
      <c r="BZ40" s="62">
        <f t="shared" si="52"/>
        <v>6</v>
      </c>
      <c r="CA40" s="98">
        <f t="shared" si="53"/>
        <v>0.9</v>
      </c>
      <c r="CB40" s="92">
        <f t="shared" ref="CB40:CD71" si="98">IFERROR(BR40+AX40,"")</f>
        <v>7200</v>
      </c>
      <c r="CC40" s="92">
        <f t="shared" si="98"/>
        <v>25.5</v>
      </c>
      <c r="CD40" s="92">
        <f t="shared" si="98"/>
        <v>204</v>
      </c>
      <c r="CE40" s="99"/>
      <c r="CF40" s="99"/>
      <c r="CG40" s="51">
        <f t="shared" si="54"/>
        <v>-1.2000000000000122E-2</v>
      </c>
      <c r="CH40" s="62">
        <f t="shared" si="55"/>
        <v>-1.2000000000000122E-2</v>
      </c>
      <c r="CI40" s="89"/>
      <c r="CJ40" s="89">
        <v>450</v>
      </c>
      <c r="CK40" s="89"/>
      <c r="CL40" s="96"/>
      <c r="CM40" s="89"/>
      <c r="CN40" s="89">
        <v>450</v>
      </c>
      <c r="CO40" s="92"/>
      <c r="CP40" s="101"/>
      <c r="CQ40" s="102">
        <f t="shared" si="87"/>
        <v>3600</v>
      </c>
      <c r="CR40" s="102">
        <f t="shared" si="87"/>
        <v>0</v>
      </c>
      <c r="CS40" s="102">
        <f t="shared" si="87"/>
        <v>0</v>
      </c>
      <c r="CT40" s="92">
        <f t="shared" si="57"/>
        <v>3600</v>
      </c>
      <c r="CU40" s="92">
        <f t="shared" si="88"/>
        <v>0</v>
      </c>
      <c r="CV40" s="103">
        <f t="shared" si="88"/>
        <v>0</v>
      </c>
      <c r="CW40" s="104" t="s">
        <v>147</v>
      </c>
      <c r="CX40" s="105">
        <v>11</v>
      </c>
      <c r="CY40" s="106">
        <f t="shared" si="59"/>
        <v>3861</v>
      </c>
      <c r="CZ40" s="106">
        <f t="shared" si="60"/>
        <v>44.550000000000004</v>
      </c>
      <c r="DA40" s="106"/>
      <c r="DB40" s="106"/>
      <c r="DC40" s="105"/>
      <c r="DD40" s="107"/>
      <c r="DE40" s="92">
        <f t="shared" si="21"/>
        <v>3600</v>
      </c>
      <c r="DF40" s="108">
        <f t="shared" si="22"/>
        <v>3</v>
      </c>
      <c r="DG40" s="112">
        <f t="shared" si="23"/>
        <v>102</v>
      </c>
      <c r="DH40" s="110">
        <f t="shared" si="24"/>
        <v>3600</v>
      </c>
      <c r="DI40" s="108">
        <f t="shared" si="25"/>
        <v>3</v>
      </c>
      <c r="DJ40" s="112">
        <f t="shared" si="26"/>
        <v>102</v>
      </c>
      <c r="DK40" s="110">
        <f t="shared" si="86"/>
        <v>7200</v>
      </c>
      <c r="DL40" s="108">
        <f t="shared" si="86"/>
        <v>6</v>
      </c>
      <c r="DM40" s="111">
        <f t="shared" si="86"/>
        <v>204</v>
      </c>
      <c r="DN40" s="76">
        <f t="shared" si="89"/>
        <v>3</v>
      </c>
      <c r="DO40" s="76">
        <f t="shared" si="89"/>
        <v>17</v>
      </c>
      <c r="DP40" s="112"/>
      <c r="DQ40" s="112"/>
      <c r="DR40" s="113" t="s">
        <v>438</v>
      </c>
      <c r="DS40" s="112"/>
      <c r="DT40" s="112"/>
      <c r="DU40" s="111"/>
      <c r="DV40" s="114"/>
      <c r="DW40" s="80">
        <f t="shared" ref="DW40:DW42" si="99">IFERROR(AL40+BF40,"")</f>
        <v>6</v>
      </c>
      <c r="DX40" s="81">
        <f t="shared" si="29"/>
        <v>7410</v>
      </c>
      <c r="DY40" s="80">
        <f t="shared" si="62"/>
        <v>7200</v>
      </c>
      <c r="DZ40" s="82">
        <f t="shared" si="63"/>
        <v>0</v>
      </c>
      <c r="EA40" s="82">
        <f t="shared" si="64"/>
        <v>0.9</v>
      </c>
      <c r="EB40" s="82">
        <f t="shared" si="65"/>
        <v>-1.2000000000000122E-2</v>
      </c>
      <c r="EC40" s="82">
        <f t="shared" ref="EC40:EC42" si="100">(BX40-CA40)+((AV40+BP40)/1000)</f>
        <v>-1.2000000000000122E-2</v>
      </c>
      <c r="EF40" s="83">
        <f t="shared" si="92"/>
        <v>204</v>
      </c>
    </row>
    <row r="41" spans="1:136" ht="13.5" customHeight="1">
      <c r="A41" s="84">
        <v>34</v>
      </c>
      <c r="B41" s="85" t="s">
        <v>236</v>
      </c>
      <c r="C41" s="86"/>
      <c r="D41" s="165" t="s">
        <v>237</v>
      </c>
      <c r="E41" s="88">
        <v>394</v>
      </c>
      <c r="F41" s="89" t="s">
        <v>147</v>
      </c>
      <c r="G41" s="45" t="str">
        <f t="shared" si="31"/>
        <v>MESUS303Cu-3x3-H9A14</v>
      </c>
      <c r="H41" s="46" t="str">
        <f t="shared" si="32"/>
        <v>SUS303CuME30DH9</v>
      </c>
      <c r="I41" s="46" t="str">
        <f t="shared" si="33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4"/>
        <v>18</v>
      </c>
      <c r="T41" s="51">
        <f>'02.02'!BG41</f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5"/>
        <v>0</v>
      </c>
      <c r="AF41" s="54">
        <f>AE41+'02.02'!AF41</f>
        <v>0</v>
      </c>
      <c r="AG41" s="94">
        <f t="shared" si="66"/>
        <v>10</v>
      </c>
      <c r="AH41" s="56">
        <f t="shared" si="13"/>
        <v>0</v>
      </c>
      <c r="AI41" s="93"/>
      <c r="AJ41" s="93">
        <f t="shared" si="67"/>
        <v>0</v>
      </c>
      <c r="AK41" s="95">
        <f t="shared" si="36"/>
        <v>1</v>
      </c>
      <c r="AL41" s="58">
        <f t="shared" si="37"/>
        <v>0</v>
      </c>
      <c r="AM41" s="55">
        <f t="shared" si="68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8"/>
        <v>0</v>
      </c>
      <c r="AV41" s="96">
        <f t="shared" si="38"/>
        <v>0</v>
      </c>
      <c r="AW41" s="96">
        <f>SUM(AO41:AV41)</f>
        <v>0</v>
      </c>
      <c r="AX41" s="96">
        <f>IF(V41="","",INT(AW41/$V41))</f>
        <v>0</v>
      </c>
      <c r="AY41" s="94">
        <f t="shared" si="69"/>
        <v>0</v>
      </c>
      <c r="AZ41" s="94">
        <f t="shared" si="41"/>
        <v>0</v>
      </c>
      <c r="BA41" s="94">
        <f t="shared" si="42"/>
        <v>10</v>
      </c>
      <c r="BB41" s="97">
        <f t="shared" si="43"/>
        <v>0</v>
      </c>
      <c r="BC41" s="93"/>
      <c r="BD41" s="93">
        <f t="shared" si="44"/>
        <v>0</v>
      </c>
      <c r="BE41" s="95">
        <f t="shared" si="45"/>
        <v>1</v>
      </c>
      <c r="BF41" s="58">
        <f t="shared" si="46"/>
        <v>0</v>
      </c>
      <c r="BG41" s="94">
        <f t="shared" si="47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0"/>
        <v>0</v>
      </c>
      <c r="BP41" s="92">
        <f t="shared" si="70"/>
        <v>0</v>
      </c>
      <c r="BQ41" s="96">
        <f t="shared" si="48"/>
        <v>0</v>
      </c>
      <c r="BR41" s="96">
        <f>IF(AA41="","",INT(BQ41/$V41))</f>
        <v>0</v>
      </c>
      <c r="BS41" s="96">
        <f t="shared" si="71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1"/>
        <v>0</v>
      </c>
      <c r="BY41" s="61">
        <f t="shared" si="73"/>
        <v>0</v>
      </c>
      <c r="BZ41" s="62">
        <f t="shared" si="52"/>
        <v>0</v>
      </c>
      <c r="CA41" s="98">
        <f t="shared" si="53"/>
        <v>0</v>
      </c>
      <c r="CB41" s="92">
        <f t="shared" si="98"/>
        <v>0</v>
      </c>
      <c r="CC41" s="92">
        <f t="shared" si="98"/>
        <v>0</v>
      </c>
      <c r="CD41" s="92">
        <f t="shared" si="98"/>
        <v>0</v>
      </c>
      <c r="CE41" s="99"/>
      <c r="CF41" s="99"/>
      <c r="CG41" s="51">
        <f t="shared" si="54"/>
        <v>0</v>
      </c>
      <c r="CH41" s="62">
        <f t="shared" si="55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101">INT(IFERROR( CJ41/$V41,0))</f>
        <v>0</v>
      </c>
      <c r="CR41" s="102">
        <f t="shared" si="101"/>
        <v>0</v>
      </c>
      <c r="CS41" s="102">
        <f t="shared" si="101"/>
        <v>0</v>
      </c>
      <c r="CT41" s="92">
        <f t="shared" si="57"/>
        <v>0</v>
      </c>
      <c r="CU41" s="92">
        <f t="shared" ref="CU41:CV103" si="102">INT(IFERROR( AC41-CR41,0))</f>
        <v>0</v>
      </c>
      <c r="CV41" s="103">
        <f t="shared" si="102"/>
        <v>0</v>
      </c>
      <c r="CW41" s="104" t="s">
        <v>147</v>
      </c>
      <c r="CX41" s="105">
        <v>12</v>
      </c>
      <c r="CY41" s="106">
        <f t="shared" si="59"/>
        <v>3450</v>
      </c>
      <c r="CZ41" s="106">
        <f t="shared" si="60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6"/>
        <v>0</v>
      </c>
      <c r="DL41" s="108">
        <f t="shared" si="86"/>
        <v>0</v>
      </c>
      <c r="DM41" s="111">
        <f t="shared" si="86"/>
        <v>0</v>
      </c>
      <c r="DN41" s="76">
        <f t="shared" si="89"/>
        <v>10</v>
      </c>
      <c r="DO41" s="76">
        <f t="shared" si="89"/>
        <v>0</v>
      </c>
      <c r="DP41" s="112"/>
      <c r="DQ41" s="112"/>
      <c r="DR41" s="113" t="s">
        <v>439</v>
      </c>
      <c r="DS41" s="112"/>
      <c r="DT41" s="112"/>
      <c r="DU41" s="111"/>
      <c r="DV41" s="114"/>
      <c r="DW41" s="80">
        <f t="shared" si="99"/>
        <v>0</v>
      </c>
      <c r="DX41" s="81">
        <f t="shared" si="29"/>
        <v>0</v>
      </c>
      <c r="DY41" s="80">
        <f t="shared" si="62"/>
        <v>0</v>
      </c>
      <c r="DZ41" s="82">
        <f t="shared" si="63"/>
        <v>0</v>
      </c>
      <c r="EA41" s="82">
        <f t="shared" si="64"/>
        <v>0</v>
      </c>
      <c r="EB41" s="82">
        <f t="shared" si="65"/>
        <v>0</v>
      </c>
      <c r="EC41" s="82">
        <f t="shared" si="100"/>
        <v>0</v>
      </c>
      <c r="EF41" s="83">
        <f t="shared" si="92"/>
        <v>0</v>
      </c>
    </row>
    <row r="42" spans="1:136" ht="15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1"/>
        <v>IBC3604-6x3-H9C13</v>
      </c>
      <c r="H42" s="46" t="str">
        <f t="shared" si="32"/>
        <v>C3604IB60DH9</v>
      </c>
      <c r="I42" s="46" t="str">
        <f t="shared" si="33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4"/>
        <v>42</v>
      </c>
      <c r="T42" s="51">
        <f>'02.02'!BG42</f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5"/>
        <v>0</v>
      </c>
      <c r="AF42" s="54">
        <f>AE42+'02.02'!AF42</f>
        <v>0</v>
      </c>
      <c r="AG42" s="94">
        <f t="shared" si="66"/>
        <v>0</v>
      </c>
      <c r="AH42" s="56">
        <f t="shared" si="13"/>
        <v>0</v>
      </c>
      <c r="AI42" s="93"/>
      <c r="AJ42" s="93">
        <f t="shared" si="67"/>
        <v>0</v>
      </c>
      <c r="AK42" s="95">
        <f t="shared" si="36"/>
        <v>1</v>
      </c>
      <c r="AL42" s="58">
        <f t="shared" si="37"/>
        <v>0</v>
      </c>
      <c r="AM42" s="55">
        <f t="shared" si="68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8"/>
        <v>0</v>
      </c>
      <c r="AV42" s="96">
        <f t="shared" si="38"/>
        <v>0</v>
      </c>
      <c r="AW42" s="96">
        <f t="shared" si="39"/>
        <v>0</v>
      </c>
      <c r="AX42" s="96">
        <f t="shared" si="40"/>
        <v>0</v>
      </c>
      <c r="AY42" s="94">
        <f t="shared" si="69"/>
        <v>0</v>
      </c>
      <c r="AZ42" s="94">
        <f t="shared" si="41"/>
        <v>0</v>
      </c>
      <c r="BA42" s="94">
        <f t="shared" si="42"/>
        <v>0</v>
      </c>
      <c r="BB42" s="97">
        <f t="shared" si="43"/>
        <v>0</v>
      </c>
      <c r="BC42" s="93"/>
      <c r="BD42" s="93">
        <f t="shared" si="44"/>
        <v>0</v>
      </c>
      <c r="BE42" s="95">
        <f t="shared" si="45"/>
        <v>1</v>
      </c>
      <c r="BF42" s="58">
        <f t="shared" si="46"/>
        <v>0</v>
      </c>
      <c r="BG42" s="94">
        <f t="shared" si="47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0"/>
        <v>0</v>
      </c>
      <c r="BP42" s="92">
        <f t="shared" si="70"/>
        <v>0</v>
      </c>
      <c r="BQ42" s="96">
        <f t="shared" si="48"/>
        <v>0</v>
      </c>
      <c r="BR42" s="96">
        <f t="shared" si="49"/>
        <v>0</v>
      </c>
      <c r="BS42" s="96">
        <f t="shared" si="71"/>
        <v>0</v>
      </c>
      <c r="BT42" s="96">
        <f t="shared" si="50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1"/>
        <v>0</v>
      </c>
      <c r="BY42" s="61">
        <f t="shared" si="73"/>
        <v>0</v>
      </c>
      <c r="BZ42" s="62">
        <f t="shared" si="52"/>
        <v>0</v>
      </c>
      <c r="CA42" s="98">
        <f t="shared" si="53"/>
        <v>0</v>
      </c>
      <c r="CB42" s="92">
        <f t="shared" si="98"/>
        <v>0</v>
      </c>
      <c r="CC42" s="92">
        <f t="shared" si="98"/>
        <v>0</v>
      </c>
      <c r="CD42" s="92">
        <f t="shared" si="98"/>
        <v>0</v>
      </c>
      <c r="CE42" s="99"/>
      <c r="CF42" s="99"/>
      <c r="CG42" s="51">
        <f t="shared" si="54"/>
        <v>0</v>
      </c>
      <c r="CH42" s="62">
        <f t="shared" si="55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101"/>
        <v>0</v>
      </c>
      <c r="CR42" s="102">
        <f t="shared" si="101"/>
        <v>0</v>
      </c>
      <c r="CS42" s="102">
        <f t="shared" si="101"/>
        <v>0</v>
      </c>
      <c r="CT42" s="92">
        <f t="shared" si="57"/>
        <v>0</v>
      </c>
      <c r="CU42" s="92">
        <f t="shared" si="102"/>
        <v>0</v>
      </c>
      <c r="CV42" s="103">
        <f t="shared" si="102"/>
        <v>0</v>
      </c>
      <c r="CW42" s="104" t="s">
        <v>147</v>
      </c>
      <c r="CX42" s="105">
        <v>24</v>
      </c>
      <c r="CY42" s="106">
        <f t="shared" si="59"/>
        <v>1620</v>
      </c>
      <c r="CZ42" s="106">
        <f t="shared" si="60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6"/>
        <v>0</v>
      </c>
      <c r="DL42" s="108">
        <f t="shared" si="86"/>
        <v>0</v>
      </c>
      <c r="DM42" s="111">
        <f t="shared" si="86"/>
        <v>0</v>
      </c>
      <c r="DN42" s="76">
        <f t="shared" si="89"/>
        <v>0</v>
      </c>
      <c r="DO42" s="76">
        <f t="shared" si="89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99"/>
        <v>0</v>
      </c>
      <c r="DX42" s="81">
        <f t="shared" si="29"/>
        <v>0</v>
      </c>
      <c r="DY42" s="80">
        <f t="shared" si="62"/>
        <v>0</v>
      </c>
      <c r="DZ42" s="82">
        <f t="shared" si="63"/>
        <v>0</v>
      </c>
      <c r="EA42" s="82">
        <f t="shared" si="64"/>
        <v>0</v>
      </c>
      <c r="EB42" s="82">
        <f t="shared" si="65"/>
        <v>0</v>
      </c>
      <c r="EC42" s="82">
        <f t="shared" si="100"/>
        <v>0</v>
      </c>
      <c r="EF42" s="83">
        <f t="shared" si="92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1"/>
        <v>IBC3604-5.5x3-H9A14</v>
      </c>
      <c r="H43" s="46" t="str">
        <f t="shared" si="32"/>
        <v>C3604IB5.50DH9</v>
      </c>
      <c r="I43" s="46" t="str">
        <f t="shared" si="33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4"/>
        <v>16</v>
      </c>
      <c r="T43" s="51">
        <f>'02.02'!BG43</f>
        <v>37</v>
      </c>
      <c r="U43" s="92">
        <v>33</v>
      </c>
      <c r="V43" s="100">
        <v>1.1000000000000001</v>
      </c>
      <c r="W43" s="93">
        <f t="shared" si="5"/>
        <v>0</v>
      </c>
      <c r="X43" s="93">
        <f t="shared" si="6"/>
        <v>1826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0</v>
      </c>
      <c r="AE43" s="93">
        <f t="shared" si="35"/>
        <v>1826</v>
      </c>
      <c r="AF43" s="54">
        <f>AE43+'02.02'!AF43</f>
        <v>16146</v>
      </c>
      <c r="AG43" s="94">
        <f t="shared" si="66"/>
        <v>37</v>
      </c>
      <c r="AH43" s="56">
        <f t="shared" si="13"/>
        <v>0</v>
      </c>
      <c r="AI43" s="93">
        <v>11</v>
      </c>
      <c r="AJ43" s="93">
        <f t="shared" si="67"/>
        <v>0</v>
      </c>
      <c r="AK43" s="95">
        <f t="shared" si="36"/>
        <v>1</v>
      </c>
      <c r="AL43" s="58">
        <f t="shared" si="37"/>
        <v>11</v>
      </c>
      <c r="AM43" s="55">
        <f t="shared" si="68"/>
        <v>59</v>
      </c>
      <c r="AN43" s="93"/>
      <c r="AO43" s="96"/>
      <c r="AP43" s="96">
        <f>$CJ43</f>
        <v>2009</v>
      </c>
      <c r="AQ43" s="96"/>
      <c r="AR43" s="96"/>
      <c r="AS43" s="96"/>
      <c r="AT43" s="96"/>
      <c r="AU43" s="96">
        <f>CK43</f>
        <v>0</v>
      </c>
      <c r="AV43" s="96">
        <f>CL43</f>
        <v>0</v>
      </c>
      <c r="AW43" s="96">
        <f>SUM(AO43:AV43)</f>
        <v>2009</v>
      </c>
      <c r="AX43" s="96">
        <f>IF(V43="","",INT(AW43/$V43))</f>
        <v>1826</v>
      </c>
      <c r="AY43" s="94">
        <f t="shared" si="69"/>
        <v>36.699999999999818</v>
      </c>
      <c r="AZ43" s="94">
        <f t="shared" si="41"/>
        <v>33.363636363636196</v>
      </c>
      <c r="BA43" s="94">
        <f t="shared" si="42"/>
        <v>59</v>
      </c>
      <c r="BB43" s="97">
        <f t="shared" si="43"/>
        <v>0</v>
      </c>
      <c r="BC43" s="93"/>
      <c r="BD43" s="93">
        <f t="shared" si="44"/>
        <v>0</v>
      </c>
      <c r="BE43" s="95">
        <f t="shared" si="45"/>
        <v>1</v>
      </c>
      <c r="BF43" s="58">
        <f t="shared" si="46"/>
        <v>0</v>
      </c>
      <c r="BG43" s="94">
        <f t="shared" si="47"/>
        <v>59</v>
      </c>
      <c r="BH43" s="89"/>
      <c r="BI43" s="89"/>
      <c r="BJ43" s="92">
        <f>$CN43</f>
        <v>0</v>
      </c>
      <c r="BK43" s="89"/>
      <c r="BL43" s="89"/>
      <c r="BM43" s="92"/>
      <c r="BN43" s="89"/>
      <c r="BO43" s="92">
        <f t="shared" si="70"/>
        <v>0</v>
      </c>
      <c r="BP43" s="92">
        <f t="shared" si="70"/>
        <v>0</v>
      </c>
      <c r="BQ43" s="96">
        <f t="shared" si="48"/>
        <v>0</v>
      </c>
      <c r="BR43" s="96">
        <f>IF(AA43="","",INT(BQ43/$V43))</f>
        <v>0</v>
      </c>
      <c r="BS43" s="96">
        <f t="shared" si="71"/>
        <v>0</v>
      </c>
      <c r="BT43" s="96">
        <f t="shared" si="50"/>
        <v>0</v>
      </c>
      <c r="BU43" s="92">
        <f t="shared" si="16"/>
        <v>1826</v>
      </c>
      <c r="BV43" s="98">
        <f t="shared" si="17"/>
        <v>11</v>
      </c>
      <c r="BW43" s="92">
        <f t="shared" si="18"/>
        <v>33.363636363636196</v>
      </c>
      <c r="BX43" s="98">
        <f t="shared" si="51"/>
        <v>6.6440000000000001</v>
      </c>
      <c r="BY43" s="61">
        <f t="shared" si="73"/>
        <v>11</v>
      </c>
      <c r="BZ43" s="62">
        <f t="shared" si="52"/>
        <v>11</v>
      </c>
      <c r="CA43" s="98">
        <f t="shared" si="53"/>
        <v>2.0089999999999999</v>
      </c>
      <c r="CB43" s="92">
        <f t="shared" si="98"/>
        <v>1826</v>
      </c>
      <c r="CC43" s="92">
        <f t="shared" si="98"/>
        <v>36.699999999999818</v>
      </c>
      <c r="CD43" s="92">
        <f t="shared" si="98"/>
        <v>33.363636363636196</v>
      </c>
      <c r="CE43" s="99"/>
      <c r="CF43" s="99"/>
      <c r="CG43" s="51">
        <f t="shared" si="54"/>
        <v>4.6349999999999998</v>
      </c>
      <c r="CH43" s="62">
        <f t="shared" si="55"/>
        <v>4.6349999999999998</v>
      </c>
      <c r="CI43" s="89"/>
      <c r="CJ43" s="89">
        <v>2009</v>
      </c>
      <c r="CK43" s="89"/>
      <c r="CL43" s="96"/>
      <c r="CM43" s="89"/>
      <c r="CN43" s="89"/>
      <c r="CO43" s="92"/>
      <c r="CP43" s="101"/>
      <c r="CQ43" s="102">
        <f t="shared" si="101"/>
        <v>1826</v>
      </c>
      <c r="CR43" s="102">
        <f t="shared" si="101"/>
        <v>0</v>
      </c>
      <c r="CS43" s="102">
        <f t="shared" si="101"/>
        <v>0</v>
      </c>
      <c r="CT43" s="92">
        <f t="shared" si="57"/>
        <v>0</v>
      </c>
      <c r="CU43" s="92">
        <f t="shared" si="102"/>
        <v>0</v>
      </c>
      <c r="CV43" s="103">
        <f t="shared" si="102"/>
        <v>0</v>
      </c>
      <c r="CW43" s="104" t="s">
        <v>147</v>
      </c>
      <c r="CX43" s="105">
        <v>32</v>
      </c>
      <c r="CY43" s="106">
        <f t="shared" si="59"/>
        <v>1299</v>
      </c>
      <c r="CZ43" s="106">
        <f t="shared" si="60"/>
        <v>129.60000000000002</v>
      </c>
      <c r="DA43" s="106"/>
      <c r="DB43" s="106"/>
      <c r="DC43" s="105"/>
      <c r="DD43" s="107"/>
      <c r="DE43" s="92">
        <f t="shared" si="21"/>
        <v>1826</v>
      </c>
      <c r="DF43" s="108">
        <f t="shared" si="22"/>
        <v>11</v>
      </c>
      <c r="DG43" s="115">
        <f t="shared" si="23"/>
        <v>33.363636363636196</v>
      </c>
      <c r="DH43" s="110">
        <f t="shared" si="24"/>
        <v>0</v>
      </c>
      <c r="DI43" s="108">
        <f t="shared" si="25"/>
        <v>0</v>
      </c>
      <c r="DJ43" s="112">
        <f t="shared" si="26"/>
        <v>0</v>
      </c>
      <c r="DK43" s="110">
        <f t="shared" si="86"/>
        <v>1826</v>
      </c>
      <c r="DL43" s="108">
        <f t="shared" si="86"/>
        <v>11</v>
      </c>
      <c r="DM43" s="111">
        <f t="shared" si="86"/>
        <v>33.363636363636196</v>
      </c>
      <c r="DN43" s="76">
        <f t="shared" si="89"/>
        <v>37</v>
      </c>
      <c r="DO43" s="76">
        <f t="shared" si="89"/>
        <v>33</v>
      </c>
      <c r="DP43" s="112"/>
      <c r="DQ43" s="112"/>
      <c r="DR43" s="113" t="s">
        <v>440</v>
      </c>
      <c r="DS43" s="112"/>
      <c r="DT43" s="112"/>
      <c r="DU43" s="111"/>
      <c r="DV43" s="114"/>
      <c r="DW43" s="80">
        <f t="shared" si="61"/>
        <v>1837</v>
      </c>
      <c r="DX43" s="81">
        <f t="shared" si="29"/>
        <v>1870.3636363636363</v>
      </c>
      <c r="DY43" s="80">
        <f t="shared" si="62"/>
        <v>1826</v>
      </c>
      <c r="DZ43" s="82">
        <f t="shared" si="63"/>
        <v>0</v>
      </c>
      <c r="EA43" s="82">
        <f t="shared" si="64"/>
        <v>2.0085999999999999</v>
      </c>
      <c r="EB43" s="82">
        <f t="shared" si="65"/>
        <v>4.6354000000000006</v>
      </c>
      <c r="EC43" s="82">
        <f t="shared" si="75"/>
        <v>4.6354000000000006</v>
      </c>
      <c r="EF43" s="83">
        <f t="shared" si="92"/>
        <v>33.363636363636196</v>
      </c>
    </row>
    <row r="44" spans="1:136" ht="14.1" customHeight="1">
      <c r="A44" s="84">
        <v>37</v>
      </c>
      <c r="B44" s="147" t="s">
        <v>244</v>
      </c>
      <c r="C44" s="148"/>
      <c r="D44" s="236" t="s">
        <v>213</v>
      </c>
      <c r="E44" s="149">
        <v>189</v>
      </c>
      <c r="F44" s="89" t="s">
        <v>136</v>
      </c>
      <c r="G44" s="45" t="str">
        <f t="shared" si="31"/>
        <v>SSSUS304K-4x3-H9A10</v>
      </c>
      <c r="H44" s="46" t="str">
        <f t="shared" si="32"/>
        <v>SUS304KSS40DH9</v>
      </c>
      <c r="I44" s="46" t="str">
        <f t="shared" si="33"/>
        <v>SUS304KSS40DH93A10</v>
      </c>
      <c r="J44" s="90" t="s">
        <v>214</v>
      </c>
      <c r="K44" s="90" t="s">
        <v>215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246</v>
      </c>
      <c r="S44" s="89">
        <f t="shared" si="34"/>
        <v>34</v>
      </c>
      <c r="T44" s="51">
        <v>24</v>
      </c>
      <c r="U44" s="146"/>
      <c r="V44" s="100">
        <v>0.45</v>
      </c>
      <c r="W44" s="151">
        <f t="shared" si="5"/>
        <v>0</v>
      </c>
      <c r="X44" s="151">
        <f t="shared" si="6"/>
        <v>235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231</v>
      </c>
      <c r="AE44" s="151">
        <f>IF(V44="","",SUM(W44:AC44))</f>
        <v>235</v>
      </c>
      <c r="AF44" s="54">
        <f>AE44</f>
        <v>235</v>
      </c>
      <c r="AG44" s="94">
        <f t="shared" si="66"/>
        <v>24</v>
      </c>
      <c r="AH44" s="56">
        <f t="shared" si="13"/>
        <v>0</v>
      </c>
      <c r="AI44" s="151">
        <v>2</v>
      </c>
      <c r="AJ44" s="93">
        <f t="shared" si="67"/>
        <v>0</v>
      </c>
      <c r="AK44" s="95">
        <f t="shared" si="36"/>
        <v>1</v>
      </c>
      <c r="AL44" s="58">
        <f t="shared" si="37"/>
        <v>2</v>
      </c>
      <c r="AM44" s="55">
        <f t="shared" si="68"/>
        <v>22</v>
      </c>
      <c r="AN44" s="151"/>
      <c r="AO44" s="145"/>
      <c r="AP44" s="145">
        <f>$CJ44</f>
        <v>83</v>
      </c>
      <c r="AQ44" s="145"/>
      <c r="AR44" s="145"/>
      <c r="AS44" s="145"/>
      <c r="AT44" s="145"/>
      <c r="AU44" s="145">
        <f t="shared" si="38"/>
        <v>0</v>
      </c>
      <c r="AV44" s="145">
        <f t="shared" si="38"/>
        <v>50</v>
      </c>
      <c r="AW44" s="145">
        <f t="shared" si="39"/>
        <v>133</v>
      </c>
      <c r="AX44" s="145">
        <f t="shared" si="40"/>
        <v>295</v>
      </c>
      <c r="AY44" s="94">
        <f t="shared" si="69"/>
        <v>-37.099999999999994</v>
      </c>
      <c r="AZ44" s="94">
        <f t="shared" si="41"/>
        <v>-82.444444444444429</v>
      </c>
      <c r="BA44" s="94">
        <f t="shared" si="42"/>
        <v>22</v>
      </c>
      <c r="BB44" s="97">
        <f t="shared" si="43"/>
        <v>0</v>
      </c>
      <c r="BC44" s="151">
        <v>1</v>
      </c>
      <c r="BD44" s="93">
        <f t="shared" si="44"/>
        <v>0</v>
      </c>
      <c r="BE44" s="152">
        <f t="shared" si="45"/>
        <v>1</v>
      </c>
      <c r="BF44" s="58">
        <f t="shared" si="46"/>
        <v>1</v>
      </c>
      <c r="BG44" s="94">
        <f t="shared" si="47"/>
        <v>21</v>
      </c>
      <c r="BH44" s="150"/>
      <c r="BI44" s="150"/>
      <c r="BJ44" s="146">
        <f>$CN44</f>
        <v>23</v>
      </c>
      <c r="BK44" s="150"/>
      <c r="BL44" s="150"/>
      <c r="BM44" s="146"/>
      <c r="BN44" s="146"/>
      <c r="BO44" s="146">
        <f t="shared" si="70"/>
        <v>0</v>
      </c>
      <c r="BP44" s="146">
        <f t="shared" si="70"/>
        <v>54</v>
      </c>
      <c r="BQ44" s="145">
        <f>SUM(BI44:BP44)</f>
        <v>77</v>
      </c>
      <c r="BR44" s="145">
        <f>IF(AA44="","",INT(BQ44/$V44))</f>
        <v>171</v>
      </c>
      <c r="BS44" s="96">
        <f t="shared" si="71"/>
        <v>-8.0499999999999972</v>
      </c>
      <c r="BT44" s="145">
        <f t="shared" si="50"/>
        <v>-17.888888888888882</v>
      </c>
      <c r="BU44" s="146">
        <f t="shared" si="16"/>
        <v>235</v>
      </c>
      <c r="BV44" s="98">
        <f t="shared" si="17"/>
        <v>3</v>
      </c>
      <c r="BW44" s="146">
        <f t="shared" si="18"/>
        <v>-100.33333333333331</v>
      </c>
      <c r="BX44" s="153">
        <f t="shared" si="51"/>
        <v>0.8879999999999999</v>
      </c>
      <c r="BY44" s="61">
        <f>IFERROR(BF44+AL44,0)</f>
        <v>3</v>
      </c>
      <c r="BZ44" s="62">
        <f t="shared" si="52"/>
        <v>3</v>
      </c>
      <c r="CA44" s="98">
        <f t="shared" si="53"/>
        <v>0.21</v>
      </c>
      <c r="CB44" s="146">
        <f t="shared" si="98"/>
        <v>466</v>
      </c>
      <c r="CC44" s="146">
        <f t="shared" si="98"/>
        <v>-45.149999999999991</v>
      </c>
      <c r="CD44" s="146">
        <f t="shared" si="98"/>
        <v>-100.33333333333331</v>
      </c>
      <c r="CE44" s="99"/>
      <c r="CF44" s="99"/>
      <c r="CG44" s="51">
        <f t="shared" si="54"/>
        <v>0.78199999999999992</v>
      </c>
      <c r="CH44" s="62">
        <f t="shared" si="55"/>
        <v>0.78199999999999992</v>
      </c>
      <c r="CI44" s="150"/>
      <c r="CJ44" s="150">
        <v>83</v>
      </c>
      <c r="CK44" s="150"/>
      <c r="CL44" s="145">
        <v>50</v>
      </c>
      <c r="CM44" s="150"/>
      <c r="CN44" s="150">
        <v>23</v>
      </c>
      <c r="CO44" s="146"/>
      <c r="CP44" s="154">
        <v>54</v>
      </c>
      <c r="CQ44" s="102">
        <f t="shared" si="101"/>
        <v>184</v>
      </c>
      <c r="CR44" s="102">
        <f t="shared" si="101"/>
        <v>0</v>
      </c>
      <c r="CS44" s="102">
        <f t="shared" si="101"/>
        <v>111</v>
      </c>
      <c r="CT44" s="92">
        <f t="shared" si="57"/>
        <v>51</v>
      </c>
      <c r="CU44" s="92">
        <f t="shared" si="102"/>
        <v>0</v>
      </c>
      <c r="CV44" s="103">
        <f t="shared" si="102"/>
        <v>120</v>
      </c>
      <c r="CW44" s="155" t="s">
        <v>147</v>
      </c>
      <c r="CX44" s="156">
        <v>12</v>
      </c>
      <c r="CY44" s="157">
        <f t="shared" si="59"/>
        <v>3300</v>
      </c>
      <c r="CZ44" s="157">
        <f t="shared" si="60"/>
        <v>48.6</v>
      </c>
      <c r="DA44" s="157"/>
      <c r="DB44" s="157"/>
      <c r="DC44" s="156"/>
      <c r="DD44" s="158"/>
      <c r="DE44" s="92">
        <f t="shared" si="21"/>
        <v>184</v>
      </c>
      <c r="DF44" s="108">
        <f t="shared" si="22"/>
        <v>2</v>
      </c>
      <c r="DG44" s="112">
        <f t="shared" si="23"/>
        <v>-82.444444444444429</v>
      </c>
      <c r="DH44" s="110">
        <f t="shared" si="24"/>
        <v>51</v>
      </c>
      <c r="DI44" s="108">
        <f t="shared" si="25"/>
        <v>1</v>
      </c>
      <c r="DJ44" s="112">
        <f t="shared" si="26"/>
        <v>-17.888888888888882</v>
      </c>
      <c r="DK44" s="110">
        <f t="shared" si="86"/>
        <v>235</v>
      </c>
      <c r="DL44" s="108">
        <f t="shared" si="86"/>
        <v>3</v>
      </c>
      <c r="DM44" s="111">
        <f t="shared" si="86"/>
        <v>-100.33333333333331</v>
      </c>
      <c r="DN44" s="76">
        <f t="shared" si="89"/>
        <v>24</v>
      </c>
      <c r="DO44" s="76">
        <f t="shared" si="89"/>
        <v>0</v>
      </c>
      <c r="DP44" s="112"/>
      <c r="DQ44" s="112"/>
      <c r="DR44" s="113" t="s">
        <v>441</v>
      </c>
      <c r="DS44" s="112"/>
      <c r="DT44" s="112"/>
      <c r="DU44" s="111"/>
      <c r="DV44" s="114"/>
      <c r="DW44" s="80">
        <f>IFERROR(AL44+BF44,"")</f>
        <v>3</v>
      </c>
      <c r="DX44" s="159">
        <f t="shared" si="29"/>
        <v>137.66666666666669</v>
      </c>
      <c r="DY44" s="80">
        <f t="shared" si="62"/>
        <v>466</v>
      </c>
      <c r="DZ44" s="82">
        <f t="shared" si="63"/>
        <v>0.10395</v>
      </c>
      <c r="EA44" s="82">
        <f t="shared" si="64"/>
        <v>0.10575</v>
      </c>
      <c r="EB44" s="82">
        <f t="shared" si="65"/>
        <v>0.78224999999999989</v>
      </c>
      <c r="EC44" s="82">
        <f t="shared" si="75"/>
        <v>0.88619999999999988</v>
      </c>
      <c r="EF44" s="83">
        <f t="shared" si="92"/>
        <v>-100.33333333333331</v>
      </c>
    </row>
    <row r="45" spans="1:136" ht="14.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1"/>
        <v>IBC3604-6.2x3-H9A14</v>
      </c>
      <c r="H45" s="46" t="str">
        <f t="shared" si="32"/>
        <v>C3604IB6.20DH9</v>
      </c>
      <c r="I45" s="46" t="str">
        <f t="shared" si="33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4"/>
        <v>54</v>
      </c>
      <c r="T45" s="51">
        <f>'02.02'!BG45</f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5"/>
        <v>0</v>
      </c>
      <c r="AF45" s="54">
        <f>AE45+'02.02'!AF45</f>
        <v>0</v>
      </c>
      <c r="AG45" s="94">
        <f t="shared" si="66"/>
        <v>0</v>
      </c>
      <c r="AH45" s="56">
        <f t="shared" si="13"/>
        <v>0</v>
      </c>
      <c r="AI45" s="93"/>
      <c r="AJ45" s="93">
        <f t="shared" si="67"/>
        <v>0</v>
      </c>
      <c r="AK45" s="95">
        <f t="shared" si="36"/>
        <v>1</v>
      </c>
      <c r="AL45" s="58">
        <f t="shared" si="37"/>
        <v>0</v>
      </c>
      <c r="AM45" s="55">
        <f t="shared" si="68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8"/>
        <v>0</v>
      </c>
      <c r="AV45" s="96">
        <f t="shared" si="38"/>
        <v>0</v>
      </c>
      <c r="AW45" s="96">
        <f t="shared" si="39"/>
        <v>0</v>
      </c>
      <c r="AX45" s="96">
        <f t="shared" si="40"/>
        <v>0</v>
      </c>
      <c r="AY45" s="94">
        <f t="shared" si="69"/>
        <v>0</v>
      </c>
      <c r="AZ45" s="94">
        <f t="shared" si="41"/>
        <v>0</v>
      </c>
      <c r="BA45" s="94">
        <f t="shared" si="42"/>
        <v>0</v>
      </c>
      <c r="BB45" s="97">
        <f t="shared" si="43"/>
        <v>0</v>
      </c>
      <c r="BC45" s="93"/>
      <c r="BD45" s="93">
        <f t="shared" si="44"/>
        <v>0</v>
      </c>
      <c r="BE45" s="95">
        <f t="shared" si="45"/>
        <v>1</v>
      </c>
      <c r="BF45" s="58">
        <f t="shared" si="46"/>
        <v>0</v>
      </c>
      <c r="BG45" s="94">
        <f t="shared" si="47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0"/>
        <v>0</v>
      </c>
      <c r="BP45" s="92">
        <f t="shared" si="70"/>
        <v>0</v>
      </c>
      <c r="BQ45" s="96">
        <f t="shared" si="48"/>
        <v>0</v>
      </c>
      <c r="BR45" s="96">
        <f t="shared" si="49"/>
        <v>0</v>
      </c>
      <c r="BS45" s="96">
        <f t="shared" si="71"/>
        <v>0</v>
      </c>
      <c r="BT45" s="96">
        <f t="shared" si="50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1"/>
        <v>0</v>
      </c>
      <c r="BY45" s="61">
        <f t="shared" si="73"/>
        <v>0</v>
      </c>
      <c r="BZ45" s="62">
        <f t="shared" si="52"/>
        <v>0</v>
      </c>
      <c r="CA45" s="98">
        <f t="shared" si="53"/>
        <v>0</v>
      </c>
      <c r="CB45" s="92">
        <f t="shared" si="98"/>
        <v>0</v>
      </c>
      <c r="CC45" s="92">
        <f t="shared" si="98"/>
        <v>0</v>
      </c>
      <c r="CD45" s="92">
        <f t="shared" si="98"/>
        <v>0</v>
      </c>
      <c r="CE45" s="99"/>
      <c r="CF45" s="99"/>
      <c r="CG45" s="51">
        <f t="shared" si="54"/>
        <v>0</v>
      </c>
      <c r="CH45" s="62">
        <f t="shared" si="55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101"/>
        <v>0</v>
      </c>
      <c r="CR45" s="102">
        <f t="shared" si="101"/>
        <v>0</v>
      </c>
      <c r="CS45" s="102">
        <f t="shared" si="101"/>
        <v>0</v>
      </c>
      <c r="CT45" s="92">
        <f t="shared" si="57"/>
        <v>0</v>
      </c>
      <c r="CU45" s="92">
        <f t="shared" si="102"/>
        <v>0</v>
      </c>
      <c r="CV45" s="103">
        <f t="shared" si="102"/>
        <v>0</v>
      </c>
      <c r="CW45" s="104" t="s">
        <v>147</v>
      </c>
      <c r="CX45" s="105">
        <v>15</v>
      </c>
      <c r="CY45" s="106">
        <f t="shared" si="59"/>
        <v>2496</v>
      </c>
      <c r="CZ45" s="106">
        <f t="shared" si="60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6"/>
        <v>0</v>
      </c>
      <c r="DL45" s="108">
        <f t="shared" si="86"/>
        <v>0</v>
      </c>
      <c r="DM45" s="111">
        <f t="shared" si="86"/>
        <v>0</v>
      </c>
      <c r="DN45" s="76">
        <f t="shared" si="89"/>
        <v>0</v>
      </c>
      <c r="DO45" s="76">
        <f t="shared" si="89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1"/>
        <v>0</v>
      </c>
      <c r="DX45" s="81">
        <f t="shared" si="29"/>
        <v>0</v>
      </c>
      <c r="DY45" s="80">
        <f t="shared" si="62"/>
        <v>0</v>
      </c>
      <c r="DZ45" s="82">
        <f t="shared" si="63"/>
        <v>0</v>
      </c>
      <c r="EA45" s="82">
        <f t="shared" si="64"/>
        <v>0</v>
      </c>
      <c r="EB45" s="82">
        <f t="shared" si="65"/>
        <v>0</v>
      </c>
      <c r="EC45" s="82">
        <f t="shared" si="75"/>
        <v>0</v>
      </c>
      <c r="EF45" s="83">
        <f t="shared" si="92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1"/>
        <v>TV12L14-4.76x2.5-H9B14</v>
      </c>
      <c r="H46" s="46" t="str">
        <f t="shared" si="32"/>
        <v>12L14TV4.760DH9</v>
      </c>
      <c r="I46" s="46" t="str">
        <f t="shared" si="33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4"/>
        <v>44</v>
      </c>
      <c r="T46" s="51">
        <v>19</v>
      </c>
      <c r="U46" s="92">
        <v>41</v>
      </c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3453</v>
      </c>
      <c r="AB46" s="93">
        <f t="shared" si="10"/>
        <v>0</v>
      </c>
      <c r="AC46" s="93">
        <f t="shared" si="11"/>
        <v>0</v>
      </c>
      <c r="AD46" s="93">
        <f t="shared" si="12"/>
        <v>51</v>
      </c>
      <c r="AE46" s="93">
        <f t="shared" si="35"/>
        <v>3453</v>
      </c>
      <c r="AF46" s="54">
        <f>AE46+'02.02'!AF46</f>
        <v>8913</v>
      </c>
      <c r="AG46" s="94">
        <f t="shared" si="66"/>
        <v>19</v>
      </c>
      <c r="AH46" s="56">
        <f t="shared" si="13"/>
        <v>0</v>
      </c>
      <c r="AI46" s="93">
        <v>19</v>
      </c>
      <c r="AJ46" s="93">
        <f t="shared" si="67"/>
        <v>0</v>
      </c>
      <c r="AK46" s="95">
        <f t="shared" si="36"/>
        <v>1</v>
      </c>
      <c r="AL46" s="58">
        <f t="shared" si="37"/>
        <v>19</v>
      </c>
      <c r="AM46" s="55">
        <f t="shared" si="68"/>
        <v>41</v>
      </c>
      <c r="AN46" s="93"/>
      <c r="AO46" s="96"/>
      <c r="AP46" s="96"/>
      <c r="AQ46" s="96"/>
      <c r="AR46" s="96"/>
      <c r="AS46" s="96">
        <f>$CJ46</f>
        <v>3630</v>
      </c>
      <c r="AT46" s="96"/>
      <c r="AU46" s="96">
        <f t="shared" si="38"/>
        <v>0</v>
      </c>
      <c r="AV46" s="96">
        <f t="shared" si="38"/>
        <v>65</v>
      </c>
      <c r="AW46" s="96">
        <f t="shared" si="39"/>
        <v>3695</v>
      </c>
      <c r="AX46" s="96">
        <f t="shared" si="40"/>
        <v>1642</v>
      </c>
      <c r="AY46" s="94">
        <f t="shared" si="69"/>
        <v>-67</v>
      </c>
      <c r="AZ46" s="94">
        <f t="shared" si="41"/>
        <v>-29.777777777777779</v>
      </c>
      <c r="BA46" s="94">
        <f t="shared" si="42"/>
        <v>41</v>
      </c>
      <c r="BB46" s="97">
        <f t="shared" si="43"/>
        <v>0</v>
      </c>
      <c r="BC46" s="93">
        <v>22</v>
      </c>
      <c r="BD46" s="93">
        <f t="shared" si="44"/>
        <v>0</v>
      </c>
      <c r="BE46" s="95">
        <f t="shared" si="45"/>
        <v>1</v>
      </c>
      <c r="BF46" s="58">
        <f t="shared" si="46"/>
        <v>22</v>
      </c>
      <c r="BG46" s="94">
        <f t="shared" si="47"/>
        <v>19</v>
      </c>
      <c r="BH46" s="89"/>
      <c r="BI46" s="89"/>
      <c r="BJ46" s="89"/>
      <c r="BK46" s="89"/>
      <c r="BL46" s="89"/>
      <c r="BM46" s="92">
        <f>$CN46</f>
        <v>4141</v>
      </c>
      <c r="BN46" s="89"/>
      <c r="BO46" s="92">
        <f t="shared" si="70"/>
        <v>0</v>
      </c>
      <c r="BP46" s="92">
        <f t="shared" si="70"/>
        <v>50</v>
      </c>
      <c r="BQ46" s="96">
        <f t="shared" si="48"/>
        <v>4191</v>
      </c>
      <c r="BR46" s="96">
        <f t="shared" si="49"/>
        <v>1862</v>
      </c>
      <c r="BS46" s="96">
        <f t="shared" si="71"/>
        <v>-165</v>
      </c>
      <c r="BT46" s="96">
        <f t="shared" si="50"/>
        <v>-73.333333333333329</v>
      </c>
      <c r="BU46" s="92">
        <f t="shared" si="16"/>
        <v>3453</v>
      </c>
      <c r="BV46" s="98">
        <f t="shared" si="17"/>
        <v>41</v>
      </c>
      <c r="BW46" s="92">
        <f t="shared" si="18"/>
        <v>-103.11111111111111</v>
      </c>
      <c r="BX46" s="98">
        <f t="shared" si="51"/>
        <v>14.226999999999999</v>
      </c>
      <c r="BY46" s="61">
        <f t="shared" si="73"/>
        <v>41</v>
      </c>
      <c r="BZ46" s="62">
        <f t="shared" si="52"/>
        <v>41</v>
      </c>
      <c r="CA46" s="98">
        <f t="shared" si="53"/>
        <v>7.8860000000000001</v>
      </c>
      <c r="CB46" s="92">
        <f t="shared" si="98"/>
        <v>3504</v>
      </c>
      <c r="CC46" s="92">
        <f t="shared" si="98"/>
        <v>-232</v>
      </c>
      <c r="CD46" s="92">
        <f t="shared" si="98"/>
        <v>-103.11111111111111</v>
      </c>
      <c r="CE46" s="99"/>
      <c r="CF46" s="99"/>
      <c r="CG46" s="51">
        <f t="shared" si="54"/>
        <v>6.4559999999999986</v>
      </c>
      <c r="CH46" s="62">
        <f t="shared" si="55"/>
        <v>6.4559999999999986</v>
      </c>
      <c r="CI46" s="89"/>
      <c r="CJ46" s="89">
        <v>3630</v>
      </c>
      <c r="CK46" s="89"/>
      <c r="CL46" s="96">
        <v>65</v>
      </c>
      <c r="CM46" s="89"/>
      <c r="CN46" s="89">
        <v>4141</v>
      </c>
      <c r="CO46" s="92"/>
      <c r="CP46" s="101">
        <v>50</v>
      </c>
      <c r="CQ46" s="102">
        <f t="shared" si="101"/>
        <v>1613</v>
      </c>
      <c r="CR46" s="102">
        <f t="shared" si="101"/>
        <v>0</v>
      </c>
      <c r="CS46" s="102">
        <f t="shared" si="101"/>
        <v>28</v>
      </c>
      <c r="CT46" s="92">
        <f t="shared" si="57"/>
        <v>1840</v>
      </c>
      <c r="CU46" s="92">
        <f t="shared" si="102"/>
        <v>0</v>
      </c>
      <c r="CV46" s="103">
        <f t="shared" si="102"/>
        <v>23</v>
      </c>
      <c r="CW46" s="104" t="s">
        <v>147</v>
      </c>
      <c r="CX46" s="105">
        <v>20</v>
      </c>
      <c r="CY46" s="106">
        <f t="shared" si="59"/>
        <v>1935</v>
      </c>
      <c r="CZ46" s="106">
        <f t="shared" si="60"/>
        <v>81</v>
      </c>
      <c r="DA46" s="106"/>
      <c r="DB46" s="106"/>
      <c r="DC46" s="105"/>
      <c r="DD46" s="107"/>
      <c r="DE46" s="92">
        <f t="shared" si="21"/>
        <v>1613</v>
      </c>
      <c r="DF46" s="108">
        <f t="shared" si="22"/>
        <v>19</v>
      </c>
      <c r="DG46" s="112">
        <f t="shared" si="23"/>
        <v>-29.777777777777779</v>
      </c>
      <c r="DH46" s="110">
        <f t="shared" si="24"/>
        <v>1840</v>
      </c>
      <c r="DI46" s="108">
        <f t="shared" si="25"/>
        <v>22</v>
      </c>
      <c r="DJ46" s="112">
        <f t="shared" si="26"/>
        <v>-73.333333333333329</v>
      </c>
      <c r="DK46" s="110">
        <f t="shared" si="86"/>
        <v>3453</v>
      </c>
      <c r="DL46" s="108">
        <f t="shared" si="86"/>
        <v>41</v>
      </c>
      <c r="DM46" s="111">
        <f t="shared" si="86"/>
        <v>-103.11111111111111</v>
      </c>
      <c r="DN46" s="76">
        <f t="shared" si="89"/>
        <v>19</v>
      </c>
      <c r="DO46" s="76">
        <f t="shared" si="89"/>
        <v>41</v>
      </c>
      <c r="DP46" s="112"/>
      <c r="DQ46" s="112"/>
      <c r="DR46" s="113" t="s">
        <v>442</v>
      </c>
      <c r="DS46" s="112"/>
      <c r="DT46" s="112"/>
      <c r="DU46" s="111"/>
      <c r="DV46" s="114"/>
      <c r="DW46" s="80">
        <f>IFERROR(AL46+BF46,"")</f>
        <v>41</v>
      </c>
      <c r="DX46" s="81">
        <f t="shared" si="29"/>
        <v>3390.8888888888887</v>
      </c>
      <c r="DY46" s="80">
        <f t="shared" si="62"/>
        <v>3504</v>
      </c>
      <c r="DZ46" s="82">
        <f t="shared" si="63"/>
        <v>0.11475</v>
      </c>
      <c r="EA46" s="82">
        <f t="shared" si="64"/>
        <v>7.7692500000000004</v>
      </c>
      <c r="EB46" s="82">
        <f t="shared" si="65"/>
        <v>6.4577499999999981</v>
      </c>
      <c r="EC46" s="82">
        <f t="shared" si="75"/>
        <v>6.572499999999998</v>
      </c>
      <c r="EF46" s="83">
        <f t="shared" si="92"/>
        <v>-103.11111111111111</v>
      </c>
    </row>
    <row r="47" spans="1:136" ht="14.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1"/>
        <v>MESUS303-2.5x3-H9B14</v>
      </c>
      <c r="H47" s="46" t="str">
        <f t="shared" si="32"/>
        <v>SUS303ME2.50DH9</v>
      </c>
      <c r="I47" s="46" t="str">
        <f t="shared" si="33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4"/>
        <v>62</v>
      </c>
      <c r="T47" s="51">
        <f>'02.02'!BG47</f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5"/>
        <v>0</v>
      </c>
      <c r="AF47" s="54">
        <f>AE47+'02.02'!AF47</f>
        <v>0</v>
      </c>
      <c r="AG47" s="94">
        <f t="shared" si="66"/>
        <v>0</v>
      </c>
      <c r="AH47" s="56">
        <f t="shared" si="13"/>
        <v>0</v>
      </c>
      <c r="AI47" s="93"/>
      <c r="AJ47" s="93">
        <f t="shared" si="67"/>
        <v>0</v>
      </c>
      <c r="AK47" s="95">
        <f t="shared" si="36"/>
        <v>1</v>
      </c>
      <c r="AL47" s="58">
        <f t="shared" si="37"/>
        <v>0</v>
      </c>
      <c r="AM47" s="55">
        <f t="shared" si="68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8"/>
        <v>0</v>
      </c>
      <c r="AV47" s="96">
        <f t="shared" si="38"/>
        <v>0</v>
      </c>
      <c r="AW47" s="96">
        <f t="shared" si="39"/>
        <v>0</v>
      </c>
      <c r="AX47" s="96">
        <f t="shared" si="40"/>
        <v>0</v>
      </c>
      <c r="AY47" s="94">
        <f t="shared" si="69"/>
        <v>0</v>
      </c>
      <c r="AZ47" s="94">
        <f t="shared" si="41"/>
        <v>0</v>
      </c>
      <c r="BA47" s="94">
        <f t="shared" si="42"/>
        <v>0</v>
      </c>
      <c r="BB47" s="97">
        <f t="shared" si="43"/>
        <v>0</v>
      </c>
      <c r="BC47" s="93"/>
      <c r="BD47" s="93">
        <f t="shared" si="44"/>
        <v>0</v>
      </c>
      <c r="BE47" s="95">
        <f t="shared" si="45"/>
        <v>1</v>
      </c>
      <c r="BF47" s="58">
        <f t="shared" si="46"/>
        <v>0</v>
      </c>
      <c r="BG47" s="94">
        <f t="shared" si="47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0"/>
        <v>0</v>
      </c>
      <c r="BP47" s="92">
        <f t="shared" si="70"/>
        <v>0</v>
      </c>
      <c r="BQ47" s="96">
        <f t="shared" si="48"/>
        <v>0</v>
      </c>
      <c r="BR47" s="96">
        <f t="shared" si="49"/>
        <v>0</v>
      </c>
      <c r="BS47" s="96">
        <f t="shared" si="71"/>
        <v>0</v>
      </c>
      <c r="BT47" s="96">
        <f t="shared" si="50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1"/>
        <v>0</v>
      </c>
      <c r="BY47" s="61">
        <f t="shared" si="73"/>
        <v>0</v>
      </c>
      <c r="BZ47" s="62">
        <f t="shared" si="52"/>
        <v>0</v>
      </c>
      <c r="CA47" s="98">
        <f t="shared" si="53"/>
        <v>0</v>
      </c>
      <c r="CB47" s="92">
        <f t="shared" si="98"/>
        <v>0</v>
      </c>
      <c r="CC47" s="92">
        <f t="shared" si="98"/>
        <v>0</v>
      </c>
      <c r="CD47" s="92">
        <f t="shared" si="98"/>
        <v>0</v>
      </c>
      <c r="CE47" s="99"/>
      <c r="CF47" s="99"/>
      <c r="CG47" s="51">
        <f t="shared" si="54"/>
        <v>0</v>
      </c>
      <c r="CH47" s="62">
        <f t="shared" si="55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101"/>
        <v>0</v>
      </c>
      <c r="CR47" s="102">
        <f t="shared" si="101"/>
        <v>0</v>
      </c>
      <c r="CS47" s="102">
        <f t="shared" si="101"/>
        <v>0</v>
      </c>
      <c r="CT47" s="92">
        <f t="shared" si="57"/>
        <v>0</v>
      </c>
      <c r="CU47" s="92">
        <f t="shared" si="102"/>
        <v>0</v>
      </c>
      <c r="CV47" s="103">
        <f t="shared" si="102"/>
        <v>0</v>
      </c>
      <c r="CW47" s="104" t="s">
        <v>147</v>
      </c>
      <c r="CX47" s="105">
        <v>17</v>
      </c>
      <c r="CY47" s="106">
        <f t="shared" si="59"/>
        <v>2149</v>
      </c>
      <c r="CZ47" s="106">
        <f t="shared" si="60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6"/>
        <v>0</v>
      </c>
      <c r="DL47" s="108">
        <f t="shared" si="86"/>
        <v>0</v>
      </c>
      <c r="DM47" s="111">
        <f t="shared" si="86"/>
        <v>0</v>
      </c>
      <c r="DN47" s="76">
        <f t="shared" si="89"/>
        <v>0</v>
      </c>
      <c r="DO47" s="76">
        <f t="shared" si="89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1"/>
        <v>0</v>
      </c>
      <c r="DX47" s="81">
        <f t="shared" si="29"/>
        <v>0</v>
      </c>
      <c r="DY47" s="80">
        <f t="shared" si="62"/>
        <v>0</v>
      </c>
      <c r="DZ47" s="82">
        <f t="shared" si="63"/>
        <v>0</v>
      </c>
      <c r="EA47" s="82">
        <f t="shared" si="64"/>
        <v>0</v>
      </c>
      <c r="EB47" s="82">
        <f t="shared" si="65"/>
        <v>0</v>
      </c>
      <c r="EC47" s="82">
        <f t="shared" si="75"/>
        <v>0</v>
      </c>
      <c r="EF47" s="83">
        <f t="shared" si="92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1"/>
        <v>TV12L14-3.975x2.5-H7A12</v>
      </c>
      <c r="H48" s="46" t="str">
        <f t="shared" si="32"/>
        <v>12L14TV3.9750DH7</v>
      </c>
      <c r="I48" s="46" t="str">
        <f t="shared" si="33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4"/>
        <v>16</v>
      </c>
      <c r="T48" s="51">
        <v>24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5"/>
        <v>0</v>
      </c>
      <c r="AF48" s="54">
        <f>AE48+'02.02'!AF48</f>
        <v>0</v>
      </c>
      <c r="AG48" s="94">
        <f t="shared" si="66"/>
        <v>24</v>
      </c>
      <c r="AH48" s="56">
        <f t="shared" si="13"/>
        <v>0</v>
      </c>
      <c r="AI48" s="93"/>
      <c r="AJ48" s="93">
        <f t="shared" si="67"/>
        <v>0</v>
      </c>
      <c r="AK48" s="95">
        <f t="shared" si="36"/>
        <v>1</v>
      </c>
      <c r="AL48" s="58">
        <f t="shared" si="37"/>
        <v>0</v>
      </c>
      <c r="AM48" s="55">
        <f t="shared" si="68"/>
        <v>24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8"/>
        <v>0</v>
      </c>
      <c r="AV48" s="96">
        <f t="shared" si="38"/>
        <v>0</v>
      </c>
      <c r="AW48" s="96">
        <f t="shared" si="39"/>
        <v>0</v>
      </c>
      <c r="AX48" s="96">
        <f t="shared" si="40"/>
        <v>0</v>
      </c>
      <c r="AY48" s="94">
        <f t="shared" si="69"/>
        <v>0</v>
      </c>
      <c r="AZ48" s="94">
        <f t="shared" si="41"/>
        <v>0</v>
      </c>
      <c r="BA48" s="94">
        <f t="shared" si="42"/>
        <v>24</v>
      </c>
      <c r="BB48" s="97">
        <f t="shared" si="43"/>
        <v>0</v>
      </c>
      <c r="BC48" s="93"/>
      <c r="BD48" s="93">
        <f t="shared" si="44"/>
        <v>0</v>
      </c>
      <c r="BE48" s="95">
        <f t="shared" si="45"/>
        <v>1</v>
      </c>
      <c r="BF48" s="58">
        <f t="shared" si="46"/>
        <v>0</v>
      </c>
      <c r="BG48" s="94">
        <f t="shared" si="47"/>
        <v>24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0"/>
        <v>0</v>
      </c>
      <c r="BP48" s="92">
        <f t="shared" si="70"/>
        <v>0</v>
      </c>
      <c r="BQ48" s="96">
        <f t="shared" si="48"/>
        <v>0</v>
      </c>
      <c r="BR48" s="96">
        <f t="shared" si="49"/>
        <v>0</v>
      </c>
      <c r="BS48" s="96">
        <f t="shared" si="71"/>
        <v>0</v>
      </c>
      <c r="BT48" s="96">
        <f t="shared" si="50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1"/>
        <v>0</v>
      </c>
      <c r="BY48" s="61">
        <f t="shared" si="73"/>
        <v>0</v>
      </c>
      <c r="BZ48" s="62">
        <f t="shared" si="52"/>
        <v>0</v>
      </c>
      <c r="CA48" s="98">
        <f t="shared" si="53"/>
        <v>0</v>
      </c>
      <c r="CB48" s="92">
        <f t="shared" si="98"/>
        <v>0</v>
      </c>
      <c r="CC48" s="92">
        <f t="shared" si="98"/>
        <v>0</v>
      </c>
      <c r="CD48" s="92">
        <f t="shared" si="98"/>
        <v>0</v>
      </c>
      <c r="CE48" s="99"/>
      <c r="CF48" s="99"/>
      <c r="CG48" s="51">
        <f t="shared" si="54"/>
        <v>0</v>
      </c>
      <c r="CH48" s="62">
        <f t="shared" si="55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101"/>
        <v>0</v>
      </c>
      <c r="CR48" s="102">
        <f t="shared" si="101"/>
        <v>0</v>
      </c>
      <c r="CS48" s="102">
        <f t="shared" si="101"/>
        <v>0</v>
      </c>
      <c r="CT48" s="92">
        <f t="shared" si="57"/>
        <v>0</v>
      </c>
      <c r="CU48" s="92">
        <f t="shared" si="102"/>
        <v>0</v>
      </c>
      <c r="CV48" s="103">
        <f t="shared" si="102"/>
        <v>0</v>
      </c>
      <c r="CW48" s="104" t="s">
        <v>147</v>
      </c>
      <c r="CX48" s="105">
        <v>21</v>
      </c>
      <c r="CY48" s="106">
        <f t="shared" si="59"/>
        <v>1988</v>
      </c>
      <c r="CZ48" s="106">
        <f t="shared" si="60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6"/>
        <v>0</v>
      </c>
      <c r="DL48" s="108">
        <f t="shared" si="86"/>
        <v>0</v>
      </c>
      <c r="DM48" s="111">
        <f t="shared" si="86"/>
        <v>0</v>
      </c>
      <c r="DN48" s="76">
        <f t="shared" si="89"/>
        <v>24</v>
      </c>
      <c r="DO48" s="76">
        <f t="shared" si="89"/>
        <v>0</v>
      </c>
      <c r="DP48" s="112"/>
      <c r="DQ48" s="112"/>
      <c r="DR48" s="113" t="s">
        <v>443</v>
      </c>
      <c r="DS48" s="112"/>
      <c r="DT48" s="112"/>
      <c r="DU48" s="111"/>
      <c r="DV48" s="114"/>
      <c r="DW48" s="80">
        <f t="shared" si="61"/>
        <v>0</v>
      </c>
      <c r="DX48" s="81">
        <f t="shared" si="29"/>
        <v>0</v>
      </c>
      <c r="DY48" s="80">
        <f t="shared" si="62"/>
        <v>0</v>
      </c>
      <c r="DZ48" s="82">
        <f t="shared" si="63"/>
        <v>0</v>
      </c>
      <c r="EA48" s="82">
        <f t="shared" si="64"/>
        <v>0</v>
      </c>
      <c r="EB48" s="82">
        <f t="shared" si="65"/>
        <v>0</v>
      </c>
      <c r="EC48" s="82">
        <f t="shared" si="75"/>
        <v>0</v>
      </c>
      <c r="EF48" s="83">
        <f t="shared" si="92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1"/>
        <v>GAA5052-5.7x3-H9A14</v>
      </c>
      <c r="H49" s="46" t="str">
        <f t="shared" si="32"/>
        <v>A5052GA5.70DH9</v>
      </c>
      <c r="I49" s="46" t="str">
        <f t="shared" si="33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4"/>
        <v>14</v>
      </c>
      <c r="T49" s="51">
        <f>'02.02'!BG49</f>
        <v>17.77</v>
      </c>
      <c r="U49" s="92"/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2253</v>
      </c>
      <c r="AC49" s="93">
        <f t="shared" si="11"/>
        <v>0</v>
      </c>
      <c r="AD49" s="93">
        <f t="shared" si="12"/>
        <v>240</v>
      </c>
      <c r="AE49" s="93">
        <f t="shared" si="35"/>
        <v>2253</v>
      </c>
      <c r="AF49" s="54">
        <f>AE49+'02.02'!AF49</f>
        <v>6192</v>
      </c>
      <c r="AG49" s="94">
        <f t="shared" si="66"/>
        <v>17.77</v>
      </c>
      <c r="AH49" s="56">
        <f t="shared" si="13"/>
        <v>0.77</v>
      </c>
      <c r="AI49" s="93">
        <v>5</v>
      </c>
      <c r="AJ49" s="93">
        <f t="shared" si="67"/>
        <v>0</v>
      </c>
      <c r="AK49" s="95">
        <f t="shared" si="36"/>
        <v>1</v>
      </c>
      <c r="AL49" s="58">
        <f t="shared" si="37"/>
        <v>5.77</v>
      </c>
      <c r="AM49" s="55">
        <f t="shared" si="68"/>
        <v>12</v>
      </c>
      <c r="AN49" s="93"/>
      <c r="AO49" s="96"/>
      <c r="AP49" s="96"/>
      <c r="AQ49" s="96"/>
      <c r="AR49" s="96"/>
      <c r="AS49" s="96"/>
      <c r="AT49" s="96">
        <f>$CJ49</f>
        <v>153</v>
      </c>
      <c r="AU49" s="96">
        <f t="shared" si="38"/>
        <v>0</v>
      </c>
      <c r="AV49" s="96">
        <f t="shared" si="38"/>
        <v>26</v>
      </c>
      <c r="AW49" s="96">
        <f t="shared" si="39"/>
        <v>179</v>
      </c>
      <c r="AX49" s="96">
        <f t="shared" si="40"/>
        <v>1193</v>
      </c>
      <c r="AY49" s="94">
        <f t="shared" si="69"/>
        <v>-28.72</v>
      </c>
      <c r="AZ49" s="94">
        <f t="shared" si="41"/>
        <v>-191.46666666666667</v>
      </c>
      <c r="BA49" s="94">
        <f t="shared" si="42"/>
        <v>12</v>
      </c>
      <c r="BB49" s="97">
        <f t="shared" si="43"/>
        <v>0</v>
      </c>
      <c r="BC49" s="93">
        <v>6</v>
      </c>
      <c r="BD49" s="93">
        <f t="shared" si="44"/>
        <v>22</v>
      </c>
      <c r="BE49" s="95">
        <f t="shared" si="45"/>
        <v>0.61111111111111116</v>
      </c>
      <c r="BF49" s="58">
        <f t="shared" si="46"/>
        <v>5.62</v>
      </c>
      <c r="BG49" s="94">
        <f t="shared" si="47"/>
        <v>6.38</v>
      </c>
      <c r="BH49" s="89"/>
      <c r="BI49" s="89"/>
      <c r="BJ49" s="89"/>
      <c r="BK49" s="89"/>
      <c r="BL49" s="89"/>
      <c r="BM49" s="89"/>
      <c r="BN49" s="146">
        <f>$CN49</f>
        <v>185</v>
      </c>
      <c r="BO49" s="92">
        <f t="shared" si="70"/>
        <v>0</v>
      </c>
      <c r="BP49" s="92">
        <f t="shared" si="70"/>
        <v>10</v>
      </c>
      <c r="BQ49" s="96">
        <f t="shared" si="48"/>
        <v>195</v>
      </c>
      <c r="BR49" s="96">
        <f t="shared" si="49"/>
        <v>1300</v>
      </c>
      <c r="BS49" s="96">
        <f t="shared" si="71"/>
        <v>-7.3199999999999932</v>
      </c>
      <c r="BT49" s="96">
        <f t="shared" si="50"/>
        <v>-48.799999999999955</v>
      </c>
      <c r="BU49" s="92">
        <f t="shared" si="16"/>
        <v>2253</v>
      </c>
      <c r="BV49" s="98">
        <f t="shared" si="17"/>
        <v>11.39</v>
      </c>
      <c r="BW49" s="92">
        <f t="shared" si="18"/>
        <v>-240.26666666666662</v>
      </c>
      <c r="BX49" s="98">
        <f t="shared" si="51"/>
        <v>2.3235600000000001</v>
      </c>
      <c r="BY49" s="61">
        <f t="shared" si="73"/>
        <v>11.39</v>
      </c>
      <c r="BZ49" s="62">
        <f t="shared" si="52"/>
        <v>11.39</v>
      </c>
      <c r="CA49" s="98">
        <f t="shared" si="53"/>
        <v>0.374</v>
      </c>
      <c r="CB49" s="92">
        <f t="shared" si="98"/>
        <v>2493</v>
      </c>
      <c r="CC49" s="92">
        <f t="shared" si="98"/>
        <v>-36.039999999999992</v>
      </c>
      <c r="CD49" s="92">
        <f t="shared" si="98"/>
        <v>-240.26666666666662</v>
      </c>
      <c r="CE49" s="99"/>
      <c r="CF49" s="99"/>
      <c r="CG49" s="51">
        <f t="shared" si="54"/>
        <v>1.98556</v>
      </c>
      <c r="CH49" s="62">
        <f t="shared" si="55"/>
        <v>1.98556</v>
      </c>
      <c r="CI49" s="89"/>
      <c r="CJ49" s="89">
        <v>153</v>
      </c>
      <c r="CK49" s="89"/>
      <c r="CL49" s="96">
        <v>26</v>
      </c>
      <c r="CM49" s="89">
        <v>22</v>
      </c>
      <c r="CN49" s="89">
        <v>185</v>
      </c>
      <c r="CO49" s="92"/>
      <c r="CP49" s="101">
        <v>10</v>
      </c>
      <c r="CQ49" s="102">
        <f t="shared" si="101"/>
        <v>1020</v>
      </c>
      <c r="CR49" s="102">
        <f t="shared" si="101"/>
        <v>0</v>
      </c>
      <c r="CS49" s="102">
        <f t="shared" si="101"/>
        <v>173</v>
      </c>
      <c r="CT49" s="92">
        <f t="shared" si="57"/>
        <v>1233</v>
      </c>
      <c r="CU49" s="92">
        <f t="shared" si="102"/>
        <v>0</v>
      </c>
      <c r="CV49" s="103">
        <f t="shared" si="102"/>
        <v>67</v>
      </c>
      <c r="CW49" s="104" t="s">
        <v>147</v>
      </c>
      <c r="CX49" s="105">
        <v>26</v>
      </c>
      <c r="CY49" s="106">
        <f t="shared" si="59"/>
        <v>1613</v>
      </c>
      <c r="CZ49" s="106">
        <f t="shared" si="60"/>
        <v>105.30000000000001</v>
      </c>
      <c r="DA49" s="106"/>
      <c r="DB49" s="106"/>
      <c r="DC49" s="105"/>
      <c r="DD49" s="107"/>
      <c r="DE49" s="92">
        <f t="shared" si="21"/>
        <v>1020</v>
      </c>
      <c r="DF49" s="108">
        <f t="shared" si="22"/>
        <v>5.77</v>
      </c>
      <c r="DG49" s="112">
        <f t="shared" si="23"/>
        <v>-191.46666666666667</v>
      </c>
      <c r="DH49" s="110">
        <f t="shared" si="24"/>
        <v>1233</v>
      </c>
      <c r="DI49" s="108">
        <f t="shared" si="25"/>
        <v>5.62</v>
      </c>
      <c r="DJ49" s="112">
        <f t="shared" si="26"/>
        <v>-48.799999999999955</v>
      </c>
      <c r="DK49" s="110">
        <f t="shared" si="86"/>
        <v>2253</v>
      </c>
      <c r="DL49" s="108">
        <f t="shared" si="86"/>
        <v>11.39</v>
      </c>
      <c r="DM49" s="111">
        <f t="shared" si="86"/>
        <v>-240.26666666666662</v>
      </c>
      <c r="DN49" s="76">
        <f t="shared" si="89"/>
        <v>17.77</v>
      </c>
      <c r="DO49" s="76">
        <f t="shared" si="89"/>
        <v>0</v>
      </c>
      <c r="DP49" s="112"/>
      <c r="DQ49" s="112"/>
      <c r="DR49" s="113" t="s">
        <v>444</v>
      </c>
      <c r="DS49" s="112"/>
      <c r="DT49" s="112"/>
      <c r="DU49" s="111"/>
      <c r="DV49" s="114"/>
      <c r="DW49" s="80">
        <f t="shared" si="61"/>
        <v>2264.39</v>
      </c>
      <c r="DX49" s="81">
        <f t="shared" si="29"/>
        <v>2024.1233333333332</v>
      </c>
      <c r="DY49" s="80">
        <f t="shared" si="62"/>
        <v>2493</v>
      </c>
      <c r="DZ49" s="82">
        <f t="shared" si="63"/>
        <v>3.5999999999999997E-2</v>
      </c>
      <c r="EA49" s="82">
        <f t="shared" si="64"/>
        <v>0.33794999999999997</v>
      </c>
      <c r="EB49" s="82">
        <f t="shared" si="65"/>
        <v>1.9856100000000001</v>
      </c>
      <c r="EC49" s="82">
        <f t="shared" si="75"/>
        <v>2.0216099999999999</v>
      </c>
      <c r="EF49" s="83">
        <f t="shared" si="92"/>
        <v>-240.26666666666662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1"/>
        <v>MESUS303CU-3.5x3-H9B14</v>
      </c>
      <c r="H50" s="46" t="str">
        <f t="shared" si="32"/>
        <v>SUS303CUME3.50DH9</v>
      </c>
      <c r="I50" s="46" t="str">
        <f t="shared" si="33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4"/>
        <v>8</v>
      </c>
      <c r="T50" s="51">
        <f>'02.02'!BG50</f>
        <v>12.000000000000002</v>
      </c>
      <c r="U50" s="92">
        <v>8</v>
      </c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0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5"/>
        <v>0</v>
      </c>
      <c r="AF50" s="54">
        <f>AE50+'02.02'!AF50</f>
        <v>7791</v>
      </c>
      <c r="AG50" s="94">
        <f t="shared" si="66"/>
        <v>12.000000000000002</v>
      </c>
      <c r="AH50" s="56">
        <f t="shared" si="13"/>
        <v>0</v>
      </c>
      <c r="AI50" s="93"/>
      <c r="AJ50" s="93">
        <f t="shared" si="67"/>
        <v>0</v>
      </c>
      <c r="AK50" s="95">
        <f t="shared" si="36"/>
        <v>1</v>
      </c>
      <c r="AL50" s="58">
        <f t="shared" si="37"/>
        <v>0</v>
      </c>
      <c r="AM50" s="55">
        <f t="shared" si="68"/>
        <v>20</v>
      </c>
      <c r="AN50" s="93"/>
      <c r="AO50" s="96"/>
      <c r="AP50" s="96"/>
      <c r="AQ50" s="96"/>
      <c r="AR50" s="96">
        <f>$CJ50</f>
        <v>0</v>
      </c>
      <c r="AS50" s="96"/>
      <c r="AT50" s="96"/>
      <c r="AU50" s="96">
        <f t="shared" si="38"/>
        <v>0</v>
      </c>
      <c r="AV50" s="96">
        <f t="shared" si="38"/>
        <v>0</v>
      </c>
      <c r="AW50" s="96">
        <f t="shared" si="39"/>
        <v>0</v>
      </c>
      <c r="AX50" s="96">
        <f t="shared" si="40"/>
        <v>0</v>
      </c>
      <c r="AY50" s="94">
        <f t="shared" si="69"/>
        <v>0</v>
      </c>
      <c r="AZ50" s="94">
        <f t="shared" si="41"/>
        <v>0</v>
      </c>
      <c r="BA50" s="94">
        <f t="shared" si="42"/>
        <v>20</v>
      </c>
      <c r="BB50" s="97">
        <f t="shared" si="43"/>
        <v>0</v>
      </c>
      <c r="BC50" s="93"/>
      <c r="BD50" s="93">
        <f t="shared" si="44"/>
        <v>0</v>
      </c>
      <c r="BE50" s="95">
        <f t="shared" si="45"/>
        <v>1</v>
      </c>
      <c r="BF50" s="58">
        <f t="shared" si="46"/>
        <v>0</v>
      </c>
      <c r="BG50" s="94">
        <f t="shared" si="47"/>
        <v>20</v>
      </c>
      <c r="BH50" s="89"/>
      <c r="BI50" s="89"/>
      <c r="BJ50" s="89"/>
      <c r="BK50" s="89"/>
      <c r="BL50" s="92">
        <f>$CN50</f>
        <v>0</v>
      </c>
      <c r="BM50" s="92"/>
      <c r="BN50" s="89"/>
      <c r="BO50" s="92">
        <f t="shared" si="70"/>
        <v>0</v>
      </c>
      <c r="BP50" s="92">
        <f t="shared" si="70"/>
        <v>0</v>
      </c>
      <c r="BQ50" s="96">
        <f t="shared" si="48"/>
        <v>0</v>
      </c>
      <c r="BR50" s="96">
        <f t="shared" si="49"/>
        <v>0</v>
      </c>
      <c r="BS50" s="96">
        <f t="shared" si="71"/>
        <v>0</v>
      </c>
      <c r="BT50" s="96">
        <f t="shared" si="50"/>
        <v>0</v>
      </c>
      <c r="BU50" s="92">
        <f t="shared" si="16"/>
        <v>0</v>
      </c>
      <c r="BV50" s="98">
        <f t="shared" si="17"/>
        <v>0</v>
      </c>
      <c r="BW50" s="92">
        <f t="shared" si="18"/>
        <v>0</v>
      </c>
      <c r="BX50" s="98">
        <f t="shared" si="51"/>
        <v>0</v>
      </c>
      <c r="BY50" s="61">
        <f t="shared" si="73"/>
        <v>0</v>
      </c>
      <c r="BZ50" s="62">
        <f t="shared" si="52"/>
        <v>0</v>
      </c>
      <c r="CA50" s="98">
        <f t="shared" si="53"/>
        <v>0</v>
      </c>
      <c r="CB50" s="92">
        <f t="shared" si="98"/>
        <v>0</v>
      </c>
      <c r="CC50" s="92">
        <f t="shared" si="98"/>
        <v>0</v>
      </c>
      <c r="CD50" s="92">
        <f t="shared" si="98"/>
        <v>0</v>
      </c>
      <c r="CE50" s="99"/>
      <c r="CF50" s="99"/>
      <c r="CG50" s="51">
        <f t="shared" si="54"/>
        <v>0</v>
      </c>
      <c r="CH50" s="62">
        <f t="shared" si="55"/>
        <v>0</v>
      </c>
      <c r="CI50" s="89"/>
      <c r="CJ50" s="89"/>
      <c r="CK50" s="89"/>
      <c r="CL50" s="96"/>
      <c r="CM50" s="89"/>
      <c r="CN50" s="89"/>
      <c r="CO50" s="92"/>
      <c r="CP50" s="101"/>
      <c r="CQ50" s="102">
        <f t="shared" si="101"/>
        <v>0</v>
      </c>
      <c r="CR50" s="102">
        <f t="shared" si="101"/>
        <v>0</v>
      </c>
      <c r="CS50" s="102">
        <f t="shared" si="101"/>
        <v>0</v>
      </c>
      <c r="CT50" s="92">
        <f t="shared" si="57"/>
        <v>0</v>
      </c>
      <c r="CU50" s="92">
        <f t="shared" si="102"/>
        <v>0</v>
      </c>
      <c r="CV50" s="103">
        <f t="shared" si="102"/>
        <v>0</v>
      </c>
      <c r="CW50" s="104" t="s">
        <v>147</v>
      </c>
      <c r="CX50" s="105">
        <v>23</v>
      </c>
      <c r="CY50" s="106">
        <f t="shared" si="59"/>
        <v>1846</v>
      </c>
      <c r="CZ50" s="106">
        <f t="shared" si="60"/>
        <v>93.15</v>
      </c>
      <c r="DA50" s="106"/>
      <c r="DB50" s="106"/>
      <c r="DC50" s="105"/>
      <c r="DD50" s="107"/>
      <c r="DE50" s="92">
        <f t="shared" si="21"/>
        <v>0</v>
      </c>
      <c r="DF50" s="108">
        <f t="shared" si="22"/>
        <v>0</v>
      </c>
      <c r="DG50" s="112">
        <f t="shared" si="23"/>
        <v>0</v>
      </c>
      <c r="DH50" s="110">
        <f t="shared" si="24"/>
        <v>0</v>
      </c>
      <c r="DI50" s="108">
        <f t="shared" si="25"/>
        <v>0</v>
      </c>
      <c r="DJ50" s="112">
        <f t="shared" si="26"/>
        <v>0</v>
      </c>
      <c r="DK50" s="110">
        <f t="shared" si="86"/>
        <v>0</v>
      </c>
      <c r="DL50" s="108">
        <f t="shared" si="86"/>
        <v>0</v>
      </c>
      <c r="DM50" s="111">
        <f t="shared" si="86"/>
        <v>0</v>
      </c>
      <c r="DN50" s="76">
        <f t="shared" si="89"/>
        <v>12.000000000000002</v>
      </c>
      <c r="DO50" s="76">
        <f t="shared" si="89"/>
        <v>8</v>
      </c>
      <c r="DP50" s="112"/>
      <c r="DQ50" s="112"/>
      <c r="DR50" s="113" t="s">
        <v>445</v>
      </c>
      <c r="DS50" s="112"/>
      <c r="DT50" s="112"/>
      <c r="DU50" s="111"/>
      <c r="DV50" s="114"/>
      <c r="DW50" s="80">
        <f t="shared" ref="DW50:DW52" si="103">IFERROR(AL50+BF50,"")</f>
        <v>0</v>
      </c>
      <c r="DX50" s="81">
        <f t="shared" si="29"/>
        <v>0</v>
      </c>
      <c r="DY50" s="80">
        <f t="shared" si="62"/>
        <v>0</v>
      </c>
      <c r="DZ50" s="82">
        <f t="shared" si="63"/>
        <v>0</v>
      </c>
      <c r="EA50" s="82">
        <f t="shared" si="64"/>
        <v>0</v>
      </c>
      <c r="EB50" s="82">
        <f t="shared" si="65"/>
        <v>0</v>
      </c>
      <c r="EC50" s="82">
        <f t="shared" si="75"/>
        <v>0</v>
      </c>
      <c r="EF50" s="83">
        <f t="shared" si="92"/>
        <v>0</v>
      </c>
    </row>
    <row r="51" spans="1:136" ht="14.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1"/>
        <v>MESUS303-2.5x3-H9B14</v>
      </c>
      <c r="H51" s="46" t="str">
        <f t="shared" si="32"/>
        <v>SUS303ME2.50DH9</v>
      </c>
      <c r="I51" s="46" t="str">
        <f t="shared" si="33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4"/>
        <v>38</v>
      </c>
      <c r="T51" s="51">
        <f>'02.02'!BG51</f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5"/>
        <v>0</v>
      </c>
      <c r="AF51" s="54">
        <f>AE51+'02.02'!AF51</f>
        <v>0</v>
      </c>
      <c r="AG51" s="94">
        <f t="shared" si="66"/>
        <v>0</v>
      </c>
      <c r="AH51" s="56">
        <f t="shared" si="13"/>
        <v>0</v>
      </c>
      <c r="AI51" s="93"/>
      <c r="AJ51" s="93">
        <f t="shared" si="67"/>
        <v>0</v>
      </c>
      <c r="AK51" s="95">
        <f t="shared" si="36"/>
        <v>1</v>
      </c>
      <c r="AL51" s="58">
        <f t="shared" si="37"/>
        <v>0</v>
      </c>
      <c r="AM51" s="55">
        <f t="shared" si="68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8"/>
        <v>0</v>
      </c>
      <c r="AV51" s="96">
        <f t="shared" si="38"/>
        <v>0</v>
      </c>
      <c r="AW51" s="96">
        <f t="shared" si="39"/>
        <v>0</v>
      </c>
      <c r="AX51" s="96">
        <f t="shared" si="40"/>
        <v>0</v>
      </c>
      <c r="AY51" s="94">
        <f t="shared" si="69"/>
        <v>0</v>
      </c>
      <c r="AZ51" s="94">
        <f t="shared" si="41"/>
        <v>0</v>
      </c>
      <c r="BA51" s="94">
        <f t="shared" si="42"/>
        <v>0</v>
      </c>
      <c r="BB51" s="97">
        <f t="shared" si="43"/>
        <v>0</v>
      </c>
      <c r="BC51" s="93"/>
      <c r="BD51" s="93">
        <f t="shared" si="44"/>
        <v>0</v>
      </c>
      <c r="BE51" s="95">
        <f t="shared" si="45"/>
        <v>1</v>
      </c>
      <c r="BF51" s="58">
        <f t="shared" si="46"/>
        <v>0</v>
      </c>
      <c r="BG51" s="94">
        <f t="shared" si="47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0"/>
        <v>0</v>
      </c>
      <c r="BP51" s="92">
        <f t="shared" si="70"/>
        <v>0</v>
      </c>
      <c r="BQ51" s="96">
        <f t="shared" si="48"/>
        <v>0</v>
      </c>
      <c r="BR51" s="96">
        <f t="shared" si="49"/>
        <v>0</v>
      </c>
      <c r="BS51" s="96">
        <f t="shared" si="71"/>
        <v>0</v>
      </c>
      <c r="BT51" s="96">
        <f t="shared" si="50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1"/>
        <v>0</v>
      </c>
      <c r="BY51" s="61">
        <f t="shared" si="73"/>
        <v>0</v>
      </c>
      <c r="BZ51" s="62">
        <f t="shared" si="52"/>
        <v>0</v>
      </c>
      <c r="CA51" s="98">
        <f t="shared" si="53"/>
        <v>0</v>
      </c>
      <c r="CB51" s="92">
        <f t="shared" si="98"/>
        <v>0</v>
      </c>
      <c r="CC51" s="92">
        <f t="shared" si="98"/>
        <v>0</v>
      </c>
      <c r="CD51" s="92">
        <f t="shared" si="98"/>
        <v>0</v>
      </c>
      <c r="CE51" s="99"/>
      <c r="CF51" s="99"/>
      <c r="CG51" s="51">
        <f t="shared" si="54"/>
        <v>0</v>
      </c>
      <c r="CH51" s="62">
        <f t="shared" si="55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101"/>
        <v>0</v>
      </c>
      <c r="CR51" s="102">
        <f t="shared" si="101"/>
        <v>0</v>
      </c>
      <c r="CS51" s="102">
        <f t="shared" si="101"/>
        <v>0</v>
      </c>
      <c r="CT51" s="92">
        <f t="shared" si="57"/>
        <v>0</v>
      </c>
      <c r="CU51" s="92">
        <f t="shared" si="102"/>
        <v>0</v>
      </c>
      <c r="CV51" s="103">
        <f t="shared" si="102"/>
        <v>0</v>
      </c>
      <c r="CW51" s="104" t="s">
        <v>147</v>
      </c>
      <c r="CX51" s="105">
        <v>20</v>
      </c>
      <c r="CY51" s="106">
        <f t="shared" si="59"/>
        <v>1971</v>
      </c>
      <c r="CZ51" s="106">
        <f t="shared" si="60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6"/>
        <v>0</v>
      </c>
      <c r="DL51" s="108">
        <f t="shared" si="86"/>
        <v>0</v>
      </c>
      <c r="DM51" s="111">
        <f t="shared" si="86"/>
        <v>0</v>
      </c>
      <c r="DN51" s="76">
        <f t="shared" si="89"/>
        <v>0</v>
      </c>
      <c r="DO51" s="76">
        <f t="shared" si="89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3"/>
        <v>0</v>
      </c>
      <c r="DX51" s="81">
        <f t="shared" si="29"/>
        <v>0</v>
      </c>
      <c r="DY51" s="80">
        <f t="shared" si="62"/>
        <v>0</v>
      </c>
      <c r="DZ51" s="82">
        <f t="shared" si="63"/>
        <v>0</v>
      </c>
      <c r="EA51" s="82">
        <f t="shared" si="64"/>
        <v>0</v>
      </c>
      <c r="EB51" s="82">
        <f t="shared" si="65"/>
        <v>0</v>
      </c>
      <c r="EC51" s="82">
        <f t="shared" si="75"/>
        <v>0</v>
      </c>
      <c r="EF51" s="83">
        <f t="shared" si="92"/>
        <v>0</v>
      </c>
    </row>
    <row r="52" spans="1:136" ht="14.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1"/>
        <v>MESUS303CU-3.5x3-H9B14</v>
      </c>
      <c r="H52" s="46" t="str">
        <f t="shared" si="32"/>
        <v>SUS303CUME3.50DH9</v>
      </c>
      <c r="I52" s="46" t="str">
        <f t="shared" si="33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4"/>
        <v>14</v>
      </c>
      <c r="T52" s="51">
        <f>'02.02'!BG52</f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5"/>
        <v>0</v>
      </c>
      <c r="AF52" s="54">
        <f>AE52+'02.02'!AF52</f>
        <v>0</v>
      </c>
      <c r="AG52" s="94">
        <f t="shared" si="66"/>
        <v>0</v>
      </c>
      <c r="AH52" s="56">
        <f t="shared" si="13"/>
        <v>0</v>
      </c>
      <c r="AI52" s="93"/>
      <c r="AJ52" s="93">
        <f t="shared" si="67"/>
        <v>0</v>
      </c>
      <c r="AK52" s="95">
        <f t="shared" si="36"/>
        <v>1</v>
      </c>
      <c r="AL52" s="58">
        <f t="shared" si="37"/>
        <v>0</v>
      </c>
      <c r="AM52" s="55">
        <f t="shared" si="68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8"/>
        <v>0</v>
      </c>
      <c r="AV52" s="96">
        <f t="shared" si="38"/>
        <v>0</v>
      </c>
      <c r="AW52" s="96">
        <f t="shared" si="39"/>
        <v>0</v>
      </c>
      <c r="AX52" s="96">
        <f t="shared" si="40"/>
        <v>0</v>
      </c>
      <c r="AY52" s="94">
        <f t="shared" si="69"/>
        <v>0</v>
      </c>
      <c r="AZ52" s="94">
        <f t="shared" si="41"/>
        <v>0</v>
      </c>
      <c r="BA52" s="94">
        <f t="shared" si="42"/>
        <v>0</v>
      </c>
      <c r="BB52" s="97">
        <f t="shared" si="43"/>
        <v>0</v>
      </c>
      <c r="BC52" s="93"/>
      <c r="BD52" s="93">
        <f t="shared" si="44"/>
        <v>0</v>
      </c>
      <c r="BE52" s="95">
        <f t="shared" si="45"/>
        <v>1</v>
      </c>
      <c r="BF52" s="58">
        <f t="shared" si="46"/>
        <v>0</v>
      </c>
      <c r="BG52" s="94">
        <f t="shared" si="47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0"/>
        <v>0</v>
      </c>
      <c r="BP52" s="92">
        <f t="shared" si="70"/>
        <v>0</v>
      </c>
      <c r="BQ52" s="96">
        <f t="shared" si="48"/>
        <v>0</v>
      </c>
      <c r="BR52" s="96">
        <f t="shared" si="49"/>
        <v>0</v>
      </c>
      <c r="BS52" s="96">
        <f t="shared" si="71"/>
        <v>0</v>
      </c>
      <c r="BT52" s="96">
        <f t="shared" si="50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1"/>
        <v>0</v>
      </c>
      <c r="BY52" s="61">
        <f t="shared" si="73"/>
        <v>0</v>
      </c>
      <c r="BZ52" s="62">
        <f t="shared" si="52"/>
        <v>0</v>
      </c>
      <c r="CA52" s="98">
        <f t="shared" si="53"/>
        <v>0</v>
      </c>
      <c r="CB52" s="92">
        <f t="shared" si="98"/>
        <v>0</v>
      </c>
      <c r="CC52" s="92">
        <f t="shared" si="98"/>
        <v>0</v>
      </c>
      <c r="CD52" s="92">
        <f t="shared" si="98"/>
        <v>0</v>
      </c>
      <c r="CE52" s="99"/>
      <c r="CF52" s="99"/>
      <c r="CG52" s="51">
        <f t="shared" si="54"/>
        <v>0</v>
      </c>
      <c r="CH52" s="62">
        <f t="shared" si="55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101"/>
        <v>0</v>
      </c>
      <c r="CR52" s="102">
        <f t="shared" si="101"/>
        <v>0</v>
      </c>
      <c r="CS52" s="102">
        <f t="shared" si="101"/>
        <v>0</v>
      </c>
      <c r="CT52" s="92">
        <f t="shared" si="57"/>
        <v>0</v>
      </c>
      <c r="CU52" s="92">
        <f t="shared" si="102"/>
        <v>0</v>
      </c>
      <c r="CV52" s="103">
        <f t="shared" si="102"/>
        <v>0</v>
      </c>
      <c r="CW52" s="104" t="s">
        <v>147</v>
      </c>
      <c r="CX52" s="105">
        <v>12</v>
      </c>
      <c r="CY52" s="106">
        <f t="shared" si="59"/>
        <v>3480</v>
      </c>
      <c r="CZ52" s="106">
        <f t="shared" si="60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6"/>
        <v>0</v>
      </c>
      <c r="DL52" s="108">
        <f t="shared" si="86"/>
        <v>0</v>
      </c>
      <c r="DM52" s="111">
        <f t="shared" si="86"/>
        <v>0</v>
      </c>
      <c r="DN52" s="76">
        <f t="shared" si="89"/>
        <v>0</v>
      </c>
      <c r="DO52" s="76">
        <f t="shared" si="89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3"/>
        <v>0</v>
      </c>
      <c r="DX52" s="81">
        <f t="shared" si="29"/>
        <v>0</v>
      </c>
      <c r="DY52" s="80">
        <f t="shared" si="62"/>
        <v>0</v>
      </c>
      <c r="DZ52" s="82">
        <f t="shared" si="63"/>
        <v>0</v>
      </c>
      <c r="EA52" s="82">
        <f t="shared" si="64"/>
        <v>0</v>
      </c>
      <c r="EB52" s="82">
        <f t="shared" si="65"/>
        <v>0</v>
      </c>
      <c r="EC52" s="82">
        <f t="shared" si="75"/>
        <v>0</v>
      </c>
      <c r="EF52" s="83">
        <f t="shared" si="92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1"/>
        <v>MESUS420J2-2x2.5-H9A14</v>
      </c>
      <c r="H53" s="46" t="str">
        <f t="shared" si="32"/>
        <v>SUS420J2ME20DH9</v>
      </c>
      <c r="I53" s="46" t="str">
        <f t="shared" si="33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4"/>
        <v>42</v>
      </c>
      <c r="T53" s="51">
        <v>20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5"/>
        <v>0</v>
      </c>
      <c r="AF53" s="54">
        <f>AE53+'02.02'!AF53</f>
        <v>0</v>
      </c>
      <c r="AG53" s="94">
        <f t="shared" si="66"/>
        <v>20</v>
      </c>
      <c r="AH53" s="56">
        <f t="shared" si="13"/>
        <v>0</v>
      </c>
      <c r="AI53" s="93"/>
      <c r="AJ53" s="93">
        <f t="shared" si="67"/>
        <v>0</v>
      </c>
      <c r="AK53" s="95">
        <f t="shared" si="36"/>
        <v>1</v>
      </c>
      <c r="AL53" s="58">
        <f t="shared" si="37"/>
        <v>0</v>
      </c>
      <c r="AM53" s="55">
        <f t="shared" si="68"/>
        <v>20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8"/>
        <v>0</v>
      </c>
      <c r="AV53" s="96">
        <f t="shared" si="38"/>
        <v>0</v>
      </c>
      <c r="AW53" s="96">
        <f t="shared" si="39"/>
        <v>0</v>
      </c>
      <c r="AX53" s="96">
        <f t="shared" si="40"/>
        <v>0</v>
      </c>
      <c r="AY53" s="94">
        <f t="shared" si="69"/>
        <v>0</v>
      </c>
      <c r="AZ53" s="94">
        <f t="shared" si="41"/>
        <v>0</v>
      </c>
      <c r="BA53" s="94">
        <f t="shared" si="42"/>
        <v>20</v>
      </c>
      <c r="BB53" s="97">
        <f t="shared" si="43"/>
        <v>0</v>
      </c>
      <c r="BC53" s="93"/>
      <c r="BD53" s="93">
        <f t="shared" si="44"/>
        <v>0</v>
      </c>
      <c r="BE53" s="95">
        <f t="shared" si="45"/>
        <v>1</v>
      </c>
      <c r="BF53" s="58">
        <f t="shared" si="46"/>
        <v>0</v>
      </c>
      <c r="BG53" s="94">
        <f t="shared" si="47"/>
        <v>20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0"/>
        <v>0</v>
      </c>
      <c r="BP53" s="92">
        <f t="shared" si="70"/>
        <v>0</v>
      </c>
      <c r="BQ53" s="96">
        <f t="shared" si="48"/>
        <v>0</v>
      </c>
      <c r="BR53" s="96">
        <f t="shared" si="49"/>
        <v>0</v>
      </c>
      <c r="BS53" s="96">
        <f t="shared" si="71"/>
        <v>0</v>
      </c>
      <c r="BT53" s="96">
        <f t="shared" si="50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1"/>
        <v>0</v>
      </c>
      <c r="BY53" s="61">
        <f t="shared" si="73"/>
        <v>0</v>
      </c>
      <c r="BZ53" s="62">
        <f t="shared" si="52"/>
        <v>0</v>
      </c>
      <c r="CA53" s="98">
        <f t="shared" si="53"/>
        <v>0</v>
      </c>
      <c r="CB53" s="92">
        <f t="shared" si="98"/>
        <v>0</v>
      </c>
      <c r="CC53" s="92">
        <f t="shared" si="98"/>
        <v>0</v>
      </c>
      <c r="CD53" s="92">
        <f t="shared" si="98"/>
        <v>0</v>
      </c>
      <c r="CE53" s="99"/>
      <c r="CF53" s="99"/>
      <c r="CG53" s="51">
        <f t="shared" si="54"/>
        <v>0</v>
      </c>
      <c r="CH53" s="62">
        <f t="shared" si="55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101"/>
        <v>0</v>
      </c>
      <c r="CR53" s="102">
        <f t="shared" si="101"/>
        <v>0</v>
      </c>
      <c r="CS53" s="102">
        <f t="shared" si="101"/>
        <v>0</v>
      </c>
      <c r="CT53" s="92">
        <f t="shared" si="57"/>
        <v>0</v>
      </c>
      <c r="CU53" s="92">
        <f t="shared" si="102"/>
        <v>0</v>
      </c>
      <c r="CV53" s="103">
        <f t="shared" si="102"/>
        <v>0</v>
      </c>
      <c r="CW53" s="104" t="s">
        <v>147</v>
      </c>
      <c r="CX53" s="105">
        <v>8.0500000000000007</v>
      </c>
      <c r="CY53" s="106">
        <f t="shared" si="59"/>
        <v>4829</v>
      </c>
      <c r="CZ53" s="106">
        <f t="shared" si="60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6"/>
        <v>0</v>
      </c>
      <c r="DL53" s="108">
        <f t="shared" si="86"/>
        <v>0</v>
      </c>
      <c r="DM53" s="111">
        <f t="shared" si="86"/>
        <v>0</v>
      </c>
      <c r="DN53" s="76">
        <f t="shared" si="89"/>
        <v>20</v>
      </c>
      <c r="DO53" s="76">
        <f t="shared" si="89"/>
        <v>0</v>
      </c>
      <c r="DP53" s="112"/>
      <c r="DQ53" s="112"/>
      <c r="DR53" s="113" t="s">
        <v>446</v>
      </c>
      <c r="DS53" s="112"/>
      <c r="DT53" s="112"/>
      <c r="DU53" s="111"/>
      <c r="DV53" s="114"/>
      <c r="DW53" s="80">
        <f t="shared" si="61"/>
        <v>0</v>
      </c>
      <c r="DX53" s="81">
        <f t="shared" si="29"/>
        <v>0</v>
      </c>
      <c r="DY53" s="80">
        <f t="shared" si="62"/>
        <v>0</v>
      </c>
      <c r="DZ53" s="82">
        <f t="shared" si="63"/>
        <v>0</v>
      </c>
      <c r="EA53" s="82">
        <f t="shared" si="64"/>
        <v>0</v>
      </c>
      <c r="EB53" s="82">
        <f t="shared" si="65"/>
        <v>0</v>
      </c>
      <c r="EC53" s="82">
        <f t="shared" si="75"/>
        <v>0</v>
      </c>
      <c r="EF53" s="83">
        <f t="shared" si="92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1"/>
        <v>MESUS303CU-3.5x3-H9B14</v>
      </c>
      <c r="H54" s="46" t="str">
        <f t="shared" si="32"/>
        <v>SUS303CUME3.50DH9</v>
      </c>
      <c r="I54" s="46" t="str">
        <f t="shared" si="33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4"/>
        <v>12</v>
      </c>
      <c r="T54" s="51">
        <v>19</v>
      </c>
      <c r="U54" s="92"/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5"/>
        <v>0</v>
      </c>
      <c r="AF54" s="54">
        <f>AE54+'02.02'!AF54</f>
        <v>0</v>
      </c>
      <c r="AG54" s="94">
        <f t="shared" si="66"/>
        <v>19</v>
      </c>
      <c r="AH54" s="56">
        <f t="shared" si="13"/>
        <v>0</v>
      </c>
      <c r="AI54" s="93"/>
      <c r="AJ54" s="93">
        <f t="shared" si="67"/>
        <v>0</v>
      </c>
      <c r="AK54" s="95">
        <f t="shared" si="36"/>
        <v>1</v>
      </c>
      <c r="AL54" s="58">
        <f t="shared" si="37"/>
        <v>0</v>
      </c>
      <c r="AM54" s="55">
        <f t="shared" si="68"/>
        <v>19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8"/>
        <v>0</v>
      </c>
      <c r="AV54" s="96">
        <f t="shared" si="38"/>
        <v>0</v>
      </c>
      <c r="AW54" s="96">
        <f t="shared" si="39"/>
        <v>0</v>
      </c>
      <c r="AX54" s="96">
        <f t="shared" si="40"/>
        <v>0</v>
      </c>
      <c r="AY54" s="94">
        <f t="shared" si="69"/>
        <v>0</v>
      </c>
      <c r="AZ54" s="94">
        <f t="shared" si="41"/>
        <v>0</v>
      </c>
      <c r="BA54" s="94">
        <f t="shared" si="42"/>
        <v>19</v>
      </c>
      <c r="BB54" s="97">
        <f t="shared" si="43"/>
        <v>0</v>
      </c>
      <c r="BC54" s="93"/>
      <c r="BD54" s="93">
        <f t="shared" si="44"/>
        <v>0</v>
      </c>
      <c r="BE54" s="95">
        <f t="shared" si="45"/>
        <v>1</v>
      </c>
      <c r="BF54" s="58">
        <f t="shared" si="46"/>
        <v>0</v>
      </c>
      <c r="BG54" s="94">
        <f t="shared" si="47"/>
        <v>19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0"/>
        <v>0</v>
      </c>
      <c r="BP54" s="92">
        <f t="shared" si="70"/>
        <v>0</v>
      </c>
      <c r="BQ54" s="96">
        <f t="shared" si="48"/>
        <v>0</v>
      </c>
      <c r="BR54" s="96">
        <f t="shared" si="49"/>
        <v>0</v>
      </c>
      <c r="BS54" s="96">
        <f t="shared" si="71"/>
        <v>0</v>
      </c>
      <c r="BT54" s="96">
        <f t="shared" si="50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1"/>
        <v>0</v>
      </c>
      <c r="BY54" s="61">
        <f t="shared" si="73"/>
        <v>0</v>
      </c>
      <c r="BZ54" s="62">
        <f t="shared" si="52"/>
        <v>0</v>
      </c>
      <c r="CA54" s="98">
        <f t="shared" si="53"/>
        <v>0</v>
      </c>
      <c r="CB54" s="92">
        <f t="shared" si="98"/>
        <v>0</v>
      </c>
      <c r="CC54" s="92">
        <f t="shared" si="98"/>
        <v>0</v>
      </c>
      <c r="CD54" s="92">
        <f t="shared" si="98"/>
        <v>0</v>
      </c>
      <c r="CE54" s="99"/>
      <c r="CF54" s="99"/>
      <c r="CG54" s="51">
        <f t="shared" si="54"/>
        <v>0</v>
      </c>
      <c r="CH54" s="62">
        <f t="shared" si="55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101"/>
        <v>0</v>
      </c>
      <c r="CR54" s="102">
        <f t="shared" si="101"/>
        <v>0</v>
      </c>
      <c r="CS54" s="102">
        <f t="shared" si="101"/>
        <v>0</v>
      </c>
      <c r="CT54" s="92">
        <f t="shared" si="57"/>
        <v>0</v>
      </c>
      <c r="CU54" s="92">
        <f t="shared" si="102"/>
        <v>0</v>
      </c>
      <c r="CV54" s="103">
        <f t="shared" si="102"/>
        <v>0</v>
      </c>
      <c r="CW54" s="104" t="s">
        <v>147</v>
      </c>
      <c r="CX54" s="105">
        <v>15</v>
      </c>
      <c r="CY54" s="106">
        <f t="shared" si="59"/>
        <v>2808</v>
      </c>
      <c r="CZ54" s="106">
        <f t="shared" si="60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6"/>
        <v>0</v>
      </c>
      <c r="DL54" s="108">
        <f t="shared" si="86"/>
        <v>0</v>
      </c>
      <c r="DM54" s="111">
        <f t="shared" si="86"/>
        <v>0</v>
      </c>
      <c r="DN54" s="76">
        <f t="shared" si="89"/>
        <v>19</v>
      </c>
      <c r="DO54" s="76">
        <f t="shared" si="89"/>
        <v>0</v>
      </c>
      <c r="DP54" s="112"/>
      <c r="DQ54" s="112"/>
      <c r="DR54" s="113" t="s">
        <v>447</v>
      </c>
      <c r="DS54" s="112"/>
      <c r="DT54" s="112"/>
      <c r="DU54" s="111"/>
      <c r="DV54" s="114"/>
      <c r="DW54" s="80">
        <f t="shared" ref="DW54:DW58" si="104">IFERROR(AL54+BF54,"")</f>
        <v>0</v>
      </c>
      <c r="DX54" s="81">
        <f t="shared" si="29"/>
        <v>0</v>
      </c>
      <c r="DY54" s="80">
        <f t="shared" si="62"/>
        <v>0</v>
      </c>
      <c r="DZ54" s="82">
        <f t="shared" si="63"/>
        <v>0</v>
      </c>
      <c r="EA54" s="82">
        <f t="shared" si="64"/>
        <v>0</v>
      </c>
      <c r="EB54" s="82">
        <f t="shared" si="65"/>
        <v>0</v>
      </c>
      <c r="EC54" s="82">
        <f t="shared" si="75"/>
        <v>0</v>
      </c>
      <c r="EF54" s="83">
        <f t="shared" si="92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1"/>
        <v>YHC3604-4.03x3-H9A14</v>
      </c>
      <c r="H55" s="46" t="str">
        <f t="shared" si="32"/>
        <v>C3604YH4.030DH9</v>
      </c>
      <c r="I55" s="46" t="str">
        <f t="shared" si="33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4"/>
        <v>60</v>
      </c>
      <c r="T55" s="51">
        <f>'02.02'!BG55</f>
        <v>26</v>
      </c>
      <c r="U55" s="92">
        <v>54</v>
      </c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8778</v>
      </c>
      <c r="AC55" s="93">
        <f t="shared" si="11"/>
        <v>0</v>
      </c>
      <c r="AD55" s="93">
        <f t="shared" si="12"/>
        <v>31</v>
      </c>
      <c r="AE55" s="93">
        <f t="shared" si="35"/>
        <v>8778</v>
      </c>
      <c r="AF55" s="54">
        <f>AE55+'02.02'!AF55</f>
        <v>26492</v>
      </c>
      <c r="AG55" s="94">
        <f t="shared" si="66"/>
        <v>26</v>
      </c>
      <c r="AH55" s="56">
        <f t="shared" si="13"/>
        <v>0</v>
      </c>
      <c r="AI55" s="93">
        <v>27</v>
      </c>
      <c r="AJ55" s="93">
        <f t="shared" si="67"/>
        <v>0</v>
      </c>
      <c r="AK55" s="95">
        <f t="shared" si="36"/>
        <v>1</v>
      </c>
      <c r="AL55" s="58">
        <f t="shared" si="37"/>
        <v>27</v>
      </c>
      <c r="AM55" s="55">
        <f t="shared" si="68"/>
        <v>53</v>
      </c>
      <c r="AN55" s="93"/>
      <c r="AO55" s="96"/>
      <c r="AP55" s="96"/>
      <c r="AQ55" s="96"/>
      <c r="AR55" s="96"/>
      <c r="AS55" s="96"/>
      <c r="AT55" s="96">
        <f>$CJ55</f>
        <v>3008</v>
      </c>
      <c r="AU55" s="96">
        <f t="shared" si="38"/>
        <v>0</v>
      </c>
      <c r="AV55" s="96">
        <f t="shared" si="38"/>
        <v>20</v>
      </c>
      <c r="AW55" s="96">
        <f t="shared" si="39"/>
        <v>3028</v>
      </c>
      <c r="AX55" s="96">
        <f t="shared" si="40"/>
        <v>4731</v>
      </c>
      <c r="AY55" s="94">
        <f t="shared" si="69"/>
        <v>-30.559999999999945</v>
      </c>
      <c r="AZ55" s="94">
        <f t="shared" si="41"/>
        <v>-47.749999999999915</v>
      </c>
      <c r="BA55" s="94">
        <f t="shared" si="42"/>
        <v>53</v>
      </c>
      <c r="BB55" s="97">
        <f t="shared" si="43"/>
        <v>0</v>
      </c>
      <c r="BC55" s="93">
        <v>24</v>
      </c>
      <c r="BD55" s="93">
        <f t="shared" si="44"/>
        <v>0</v>
      </c>
      <c r="BE55" s="95">
        <f t="shared" si="45"/>
        <v>1</v>
      </c>
      <c r="BF55" s="58">
        <f t="shared" si="46"/>
        <v>24</v>
      </c>
      <c r="BG55" s="94">
        <f t="shared" si="47"/>
        <v>29</v>
      </c>
      <c r="BH55" s="89"/>
      <c r="BI55" s="89"/>
      <c r="BJ55" s="89"/>
      <c r="BK55" s="89"/>
      <c r="BL55" s="89"/>
      <c r="BM55" s="89"/>
      <c r="BN55" s="92">
        <f>$CN55</f>
        <v>2610</v>
      </c>
      <c r="BO55" s="92">
        <f t="shared" si="70"/>
        <v>0</v>
      </c>
      <c r="BP55" s="92">
        <f t="shared" si="70"/>
        <v>0</v>
      </c>
      <c r="BQ55" s="96">
        <f t="shared" si="48"/>
        <v>2610</v>
      </c>
      <c r="BR55" s="96">
        <f t="shared" si="49"/>
        <v>4078</v>
      </c>
      <c r="BS55" s="96">
        <f t="shared" si="71"/>
        <v>-108.72000000000025</v>
      </c>
      <c r="BT55" s="96">
        <f t="shared" si="50"/>
        <v>-169.8750000000004</v>
      </c>
      <c r="BU55" s="92">
        <f t="shared" si="16"/>
        <v>8778</v>
      </c>
      <c r="BV55" s="98">
        <f t="shared" si="17"/>
        <v>51</v>
      </c>
      <c r="BW55" s="92">
        <f t="shared" si="18"/>
        <v>-217.62500000000031</v>
      </c>
      <c r="BX55" s="98">
        <f t="shared" si="51"/>
        <v>16.472999999999999</v>
      </c>
      <c r="BY55" s="61">
        <f t="shared" si="73"/>
        <v>51</v>
      </c>
      <c r="BZ55" s="62">
        <f t="shared" si="52"/>
        <v>51</v>
      </c>
      <c r="CA55" s="98">
        <f t="shared" si="53"/>
        <v>5.6379999999999999</v>
      </c>
      <c r="CB55" s="92">
        <f t="shared" si="98"/>
        <v>8809</v>
      </c>
      <c r="CC55" s="92">
        <f t="shared" si="98"/>
        <v>-139.2800000000002</v>
      </c>
      <c r="CD55" s="92">
        <f t="shared" si="98"/>
        <v>-217.62500000000031</v>
      </c>
      <c r="CE55" s="99"/>
      <c r="CF55" s="99"/>
      <c r="CG55" s="51">
        <f t="shared" si="54"/>
        <v>10.854999999999999</v>
      </c>
      <c r="CH55" s="62">
        <f t="shared" si="55"/>
        <v>10.854999999999999</v>
      </c>
      <c r="CI55" s="89"/>
      <c r="CJ55" s="89">
        <v>3008</v>
      </c>
      <c r="CK55" s="89"/>
      <c r="CL55" s="96">
        <v>20</v>
      </c>
      <c r="CM55" s="89"/>
      <c r="CN55" s="89">
        <v>2610</v>
      </c>
      <c r="CO55" s="92"/>
      <c r="CP55" s="101"/>
      <c r="CQ55" s="102">
        <f t="shared" si="101"/>
        <v>4700</v>
      </c>
      <c r="CR55" s="102">
        <f t="shared" si="101"/>
        <v>0</v>
      </c>
      <c r="CS55" s="102">
        <f t="shared" si="101"/>
        <v>31</v>
      </c>
      <c r="CT55" s="92">
        <f t="shared" si="57"/>
        <v>4078</v>
      </c>
      <c r="CU55" s="92">
        <f t="shared" si="102"/>
        <v>0</v>
      </c>
      <c r="CV55" s="103">
        <f t="shared" si="102"/>
        <v>0</v>
      </c>
      <c r="CW55" s="104" t="s">
        <v>147</v>
      </c>
      <c r="CX55" s="105">
        <v>7</v>
      </c>
      <c r="CY55" s="106">
        <f t="shared" si="59"/>
        <v>5271</v>
      </c>
      <c r="CZ55" s="106">
        <f t="shared" si="60"/>
        <v>28.35</v>
      </c>
      <c r="DA55" s="106"/>
      <c r="DB55" s="106"/>
      <c r="DC55" s="105"/>
      <c r="DD55" s="107"/>
      <c r="DE55" s="92">
        <f t="shared" si="21"/>
        <v>4700</v>
      </c>
      <c r="DF55" s="108">
        <f t="shared" si="22"/>
        <v>27</v>
      </c>
      <c r="DG55" s="112">
        <f t="shared" si="23"/>
        <v>-47.749999999999915</v>
      </c>
      <c r="DH55" s="110">
        <f t="shared" si="24"/>
        <v>4078</v>
      </c>
      <c r="DI55" s="108">
        <f t="shared" si="25"/>
        <v>24</v>
      </c>
      <c r="DJ55" s="112">
        <f t="shared" si="26"/>
        <v>-169.8750000000004</v>
      </c>
      <c r="DK55" s="110">
        <f t="shared" si="86"/>
        <v>8778</v>
      </c>
      <c r="DL55" s="108">
        <f t="shared" si="86"/>
        <v>51</v>
      </c>
      <c r="DM55" s="111">
        <f t="shared" si="86"/>
        <v>-217.62500000000031</v>
      </c>
      <c r="DN55" s="76">
        <f t="shared" si="89"/>
        <v>26</v>
      </c>
      <c r="DO55" s="76">
        <f t="shared" si="89"/>
        <v>54</v>
      </c>
      <c r="DP55" s="112"/>
      <c r="DQ55" s="112"/>
      <c r="DR55" s="113" t="s">
        <v>448</v>
      </c>
      <c r="DS55" s="112"/>
      <c r="DT55" s="112"/>
      <c r="DU55" s="111"/>
      <c r="DV55" s="114"/>
      <c r="DW55" s="80">
        <f t="shared" si="104"/>
        <v>51</v>
      </c>
      <c r="DX55" s="81">
        <f t="shared" si="29"/>
        <v>8611.375</v>
      </c>
      <c r="DY55" s="80">
        <f t="shared" si="62"/>
        <v>8809</v>
      </c>
      <c r="DZ55" s="82">
        <f t="shared" si="63"/>
        <v>1.984E-2</v>
      </c>
      <c r="EA55" s="82">
        <f t="shared" si="64"/>
        <v>5.6179199999999998</v>
      </c>
      <c r="EB55" s="82">
        <f t="shared" si="65"/>
        <v>10.855079999999999</v>
      </c>
      <c r="EC55" s="82">
        <f t="shared" ref="EC55:EC56" si="105">(BX55-CA55)+((AV55+BP55)/1000)</f>
        <v>10.854999999999999</v>
      </c>
      <c r="EF55" s="83">
        <f t="shared" si="92"/>
        <v>-217.62500000000031</v>
      </c>
    </row>
    <row r="56" spans="1:136" ht="14.1" customHeight="1">
      <c r="A56" s="84">
        <v>49</v>
      </c>
      <c r="B56" s="85" t="s">
        <v>278</v>
      </c>
      <c r="C56" s="86"/>
      <c r="D56" s="240" t="s">
        <v>279</v>
      </c>
      <c r="E56" s="88">
        <v>51</v>
      </c>
      <c r="F56" s="89" t="s">
        <v>147</v>
      </c>
      <c r="G56" s="45" t="str">
        <f t="shared" si="31"/>
        <v>TVSUS303-6x2.5-H9A14</v>
      </c>
      <c r="H56" s="46" t="str">
        <f t="shared" si="32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4"/>
        <v>110</v>
      </c>
      <c r="T56" s="51">
        <f>'02.02'!BG56</f>
        <v>16</v>
      </c>
      <c r="U56" s="92">
        <v>14</v>
      </c>
      <c r="V56" s="100">
        <v>7</v>
      </c>
      <c r="W56" s="93">
        <f t="shared" si="5"/>
        <v>0</v>
      </c>
      <c r="X56" s="93">
        <f t="shared" si="6"/>
        <v>373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71</v>
      </c>
      <c r="AD56" s="93">
        <f t="shared" si="12"/>
        <v>67</v>
      </c>
      <c r="AE56" s="93">
        <f t="shared" si="35"/>
        <v>444</v>
      </c>
      <c r="AF56" s="54">
        <f>AE56+'02.02'!AF56</f>
        <v>1582</v>
      </c>
      <c r="AG56" s="94">
        <f t="shared" si="66"/>
        <v>16</v>
      </c>
      <c r="AH56" s="56">
        <f t="shared" si="13"/>
        <v>0</v>
      </c>
      <c r="AI56" s="93">
        <v>10</v>
      </c>
      <c r="AJ56" s="93">
        <f t="shared" si="67"/>
        <v>0</v>
      </c>
      <c r="AK56" s="95">
        <f t="shared" si="36"/>
        <v>1</v>
      </c>
      <c r="AL56" s="58">
        <f t="shared" si="37"/>
        <v>10</v>
      </c>
      <c r="AM56" s="55">
        <f t="shared" si="68"/>
        <v>20</v>
      </c>
      <c r="AN56" s="93"/>
      <c r="AO56" s="96"/>
      <c r="AP56" s="96">
        <f>$CJ56</f>
        <v>2614</v>
      </c>
      <c r="AQ56" s="96"/>
      <c r="AR56" s="96"/>
      <c r="AS56" s="96"/>
      <c r="AT56" s="96"/>
      <c r="AU56" s="96">
        <f t="shared" si="38"/>
        <v>500</v>
      </c>
      <c r="AV56" s="96">
        <f t="shared" si="38"/>
        <v>470</v>
      </c>
      <c r="AW56" s="96">
        <f t="shared" si="39"/>
        <v>3584</v>
      </c>
      <c r="AX56" s="96">
        <f t="shared" si="40"/>
        <v>512</v>
      </c>
      <c r="AY56" s="94">
        <f t="shared" si="69"/>
        <v>14</v>
      </c>
      <c r="AZ56" s="94">
        <f t="shared" si="41"/>
        <v>2</v>
      </c>
      <c r="BA56" s="94">
        <f t="shared" si="42"/>
        <v>20</v>
      </c>
      <c r="BB56" s="97">
        <f t="shared" si="43"/>
        <v>0</v>
      </c>
      <c r="BC56" s="93"/>
      <c r="BD56" s="93">
        <f t="shared" si="44"/>
        <v>0</v>
      </c>
      <c r="BE56" s="95">
        <f t="shared" si="45"/>
        <v>1</v>
      </c>
      <c r="BF56" s="58">
        <f t="shared" si="46"/>
        <v>0</v>
      </c>
      <c r="BG56" s="94">
        <f t="shared" si="47"/>
        <v>20</v>
      </c>
      <c r="BH56" s="89"/>
      <c r="BI56" s="89"/>
      <c r="BJ56" s="92">
        <f>$CN56</f>
        <v>0</v>
      </c>
      <c r="BK56" s="92"/>
      <c r="BL56" s="92"/>
      <c r="BM56" s="92"/>
      <c r="BN56" s="92"/>
      <c r="BO56" s="92">
        <f t="shared" si="70"/>
        <v>0</v>
      </c>
      <c r="BP56" s="92">
        <f t="shared" si="70"/>
        <v>0</v>
      </c>
      <c r="BQ56" s="96">
        <f t="shared" si="48"/>
        <v>0</v>
      </c>
      <c r="BR56" s="96">
        <f t="shared" si="49"/>
        <v>0</v>
      </c>
      <c r="BS56" s="96">
        <f t="shared" si="71"/>
        <v>0</v>
      </c>
      <c r="BT56" s="96">
        <f t="shared" si="50"/>
        <v>0</v>
      </c>
      <c r="BU56" s="92">
        <f t="shared" si="16"/>
        <v>444</v>
      </c>
      <c r="BV56" s="98">
        <f t="shared" si="17"/>
        <v>10</v>
      </c>
      <c r="BW56" s="92">
        <f t="shared" si="18"/>
        <v>2</v>
      </c>
      <c r="BX56" s="98">
        <f t="shared" si="51"/>
        <v>5.5400000000000009</v>
      </c>
      <c r="BY56" s="61">
        <f t="shared" si="73"/>
        <v>10</v>
      </c>
      <c r="BZ56" s="62">
        <f t="shared" si="52"/>
        <v>10</v>
      </c>
      <c r="CA56" s="98">
        <f t="shared" si="53"/>
        <v>3.5840000000000001</v>
      </c>
      <c r="CB56" s="92">
        <f t="shared" si="98"/>
        <v>512</v>
      </c>
      <c r="CC56" s="92">
        <f t="shared" si="98"/>
        <v>14</v>
      </c>
      <c r="CD56" s="92">
        <f t="shared" si="98"/>
        <v>2</v>
      </c>
      <c r="CE56" s="99"/>
      <c r="CF56" s="99"/>
      <c r="CG56" s="51">
        <f t="shared" si="54"/>
        <v>2.426000000000001</v>
      </c>
      <c r="CH56" s="62">
        <f t="shared" si="55"/>
        <v>2.426000000000001</v>
      </c>
      <c r="CI56" s="89"/>
      <c r="CJ56" s="89">
        <v>2614</v>
      </c>
      <c r="CK56" s="89">
        <v>500</v>
      </c>
      <c r="CL56" s="96">
        <v>470</v>
      </c>
      <c r="CM56" s="89"/>
      <c r="CN56" s="89"/>
      <c r="CO56" s="92"/>
      <c r="CP56" s="101"/>
      <c r="CQ56" s="102">
        <f t="shared" si="101"/>
        <v>373</v>
      </c>
      <c r="CR56" s="102">
        <f t="shared" si="101"/>
        <v>71</v>
      </c>
      <c r="CS56" s="102">
        <f t="shared" si="101"/>
        <v>67</v>
      </c>
      <c r="CT56" s="92">
        <f t="shared" si="57"/>
        <v>0</v>
      </c>
      <c r="CU56" s="92">
        <f t="shared" si="102"/>
        <v>0</v>
      </c>
      <c r="CV56" s="103">
        <f t="shared" si="102"/>
        <v>0</v>
      </c>
      <c r="CW56" s="104" t="s">
        <v>147</v>
      </c>
      <c r="CX56" s="105">
        <v>10</v>
      </c>
      <c r="CY56" s="106">
        <f t="shared" si="59"/>
        <v>2790</v>
      </c>
      <c r="CZ56" s="106">
        <f t="shared" si="60"/>
        <v>40.5</v>
      </c>
      <c r="DA56" s="106"/>
      <c r="DB56" s="106"/>
      <c r="DC56" s="105"/>
      <c r="DD56" s="107"/>
      <c r="DE56" s="92">
        <f t="shared" si="21"/>
        <v>444</v>
      </c>
      <c r="DF56" s="108">
        <f t="shared" si="22"/>
        <v>10</v>
      </c>
      <c r="DG56" s="112">
        <f t="shared" si="23"/>
        <v>2</v>
      </c>
      <c r="DH56" s="136">
        <f t="shared" si="24"/>
        <v>0</v>
      </c>
      <c r="DI56" s="135">
        <f t="shared" si="25"/>
        <v>0</v>
      </c>
      <c r="DJ56" s="115">
        <f t="shared" si="26"/>
        <v>0</v>
      </c>
      <c r="DK56" s="110">
        <f t="shared" si="86"/>
        <v>444</v>
      </c>
      <c r="DL56" s="108">
        <f t="shared" si="86"/>
        <v>10</v>
      </c>
      <c r="DM56" s="111">
        <f t="shared" si="86"/>
        <v>2</v>
      </c>
      <c r="DN56" s="76">
        <f t="shared" si="89"/>
        <v>16</v>
      </c>
      <c r="DO56" s="76">
        <f t="shared" si="89"/>
        <v>14</v>
      </c>
      <c r="DP56" s="112"/>
      <c r="DQ56" s="112"/>
      <c r="DR56" s="113" t="s">
        <v>449</v>
      </c>
      <c r="DS56" s="112"/>
      <c r="DT56" s="112"/>
      <c r="DU56" s="111"/>
      <c r="DV56" s="114"/>
      <c r="DW56" s="80">
        <f t="shared" si="104"/>
        <v>10</v>
      </c>
      <c r="DX56" s="81">
        <f t="shared" si="29"/>
        <v>456</v>
      </c>
      <c r="DY56" s="80">
        <f t="shared" si="62"/>
        <v>511</v>
      </c>
      <c r="DZ56" s="82">
        <f t="shared" si="63"/>
        <v>0.46899999999999997</v>
      </c>
      <c r="EA56" s="82">
        <f t="shared" si="64"/>
        <v>3.1080000000000001</v>
      </c>
      <c r="EB56" s="82">
        <f t="shared" si="65"/>
        <v>2.4320000000000008</v>
      </c>
      <c r="EC56" s="82">
        <f t="shared" si="105"/>
        <v>2.426000000000001</v>
      </c>
      <c r="EF56" s="83">
        <f t="shared" si="92"/>
        <v>2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1"/>
        <v>GWA6063-T5-8.3x3-H9B14</v>
      </c>
      <c r="H57" s="46" t="str">
        <f t="shared" si="32"/>
        <v>A6063-T5GW8.30DH9</v>
      </c>
      <c r="I57" s="46" t="str">
        <f t="shared" si="33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4"/>
        <v>12</v>
      </c>
      <c r="T57" s="51">
        <f>'02.02'!BG57</f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5"/>
        <v>0</v>
      </c>
      <c r="AF57" s="54">
        <f>AE57+'02.02'!AF57</f>
        <v>0</v>
      </c>
      <c r="AG57" s="94">
        <f t="shared" si="66"/>
        <v>47</v>
      </c>
      <c r="AH57" s="56">
        <f t="shared" si="13"/>
        <v>0</v>
      </c>
      <c r="AI57" s="93"/>
      <c r="AJ57" s="93">
        <f t="shared" si="67"/>
        <v>0</v>
      </c>
      <c r="AK57" s="95">
        <f t="shared" si="36"/>
        <v>1</v>
      </c>
      <c r="AL57" s="58">
        <f t="shared" si="37"/>
        <v>0</v>
      </c>
      <c r="AM57" s="55">
        <f t="shared" si="68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8"/>
        <v>0</v>
      </c>
      <c r="AV57" s="96">
        <f t="shared" si="38"/>
        <v>0</v>
      </c>
      <c r="AW57" s="96">
        <f t="shared" si="39"/>
        <v>0</v>
      </c>
      <c r="AX57" s="96">
        <f t="shared" si="40"/>
        <v>0</v>
      </c>
      <c r="AY57" s="94">
        <f t="shared" si="69"/>
        <v>0</v>
      </c>
      <c r="AZ57" s="94">
        <f t="shared" si="41"/>
        <v>0</v>
      </c>
      <c r="BA57" s="94">
        <f t="shared" si="42"/>
        <v>47</v>
      </c>
      <c r="BB57" s="97">
        <f t="shared" si="43"/>
        <v>0</v>
      </c>
      <c r="BC57" s="93"/>
      <c r="BD57" s="93">
        <f t="shared" si="44"/>
        <v>0</v>
      </c>
      <c r="BE57" s="95">
        <f t="shared" si="45"/>
        <v>1</v>
      </c>
      <c r="BF57" s="58">
        <f t="shared" si="46"/>
        <v>0</v>
      </c>
      <c r="BG57" s="94">
        <f t="shared" si="47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0"/>
        <v>0</v>
      </c>
      <c r="BP57" s="92">
        <f t="shared" si="70"/>
        <v>0</v>
      </c>
      <c r="BQ57" s="96">
        <f t="shared" si="48"/>
        <v>0</v>
      </c>
      <c r="BR57" s="96">
        <f t="shared" si="49"/>
        <v>0</v>
      </c>
      <c r="BS57" s="96">
        <f t="shared" si="71"/>
        <v>0</v>
      </c>
      <c r="BT57" s="96">
        <f t="shared" si="50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1"/>
        <v>0</v>
      </c>
      <c r="BY57" s="61">
        <f t="shared" si="73"/>
        <v>0</v>
      </c>
      <c r="BZ57" s="62">
        <f t="shared" si="52"/>
        <v>0</v>
      </c>
      <c r="CA57" s="98">
        <f t="shared" si="53"/>
        <v>0</v>
      </c>
      <c r="CB57" s="92">
        <f t="shared" si="98"/>
        <v>0</v>
      </c>
      <c r="CC57" s="92">
        <f t="shared" si="98"/>
        <v>0</v>
      </c>
      <c r="CD57" s="92">
        <f t="shared" si="98"/>
        <v>0</v>
      </c>
      <c r="CE57" s="99"/>
      <c r="CF57" s="99"/>
      <c r="CG57" s="51">
        <f t="shared" si="54"/>
        <v>0</v>
      </c>
      <c r="CH57" s="62">
        <f t="shared" si="55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101"/>
        <v>0</v>
      </c>
      <c r="CR57" s="102">
        <f t="shared" si="101"/>
        <v>0</v>
      </c>
      <c r="CS57" s="102">
        <f t="shared" si="101"/>
        <v>0</v>
      </c>
      <c r="CT57" s="92">
        <f t="shared" si="57"/>
        <v>0</v>
      </c>
      <c r="CU57" s="92">
        <f t="shared" si="102"/>
        <v>0</v>
      </c>
      <c r="CV57" s="103">
        <f t="shared" si="102"/>
        <v>0</v>
      </c>
      <c r="CW57" s="104" t="s">
        <v>147</v>
      </c>
      <c r="CX57" s="105">
        <v>22</v>
      </c>
      <c r="CY57" s="106">
        <f t="shared" si="59"/>
        <v>1914</v>
      </c>
      <c r="CZ57" s="106">
        <f t="shared" si="60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6"/>
        <v>0</v>
      </c>
      <c r="DL57" s="108">
        <f t="shared" si="86"/>
        <v>0</v>
      </c>
      <c r="DM57" s="111">
        <f t="shared" si="86"/>
        <v>0</v>
      </c>
      <c r="DN57" s="76">
        <f t="shared" si="89"/>
        <v>47</v>
      </c>
      <c r="DO57" s="76">
        <f t="shared" si="89"/>
        <v>0</v>
      </c>
      <c r="DP57" s="112"/>
      <c r="DQ57" s="112"/>
      <c r="DR57" s="113" t="s">
        <v>450</v>
      </c>
      <c r="DS57" s="112"/>
      <c r="DT57" s="112"/>
      <c r="DU57" s="111"/>
      <c r="DV57" s="114"/>
      <c r="DW57" s="80">
        <f t="shared" si="104"/>
        <v>0</v>
      </c>
      <c r="DX57" s="81">
        <f t="shared" si="29"/>
        <v>0</v>
      </c>
      <c r="DY57" s="80">
        <f t="shared" si="62"/>
        <v>0</v>
      </c>
      <c r="DZ57" s="82">
        <f t="shared" si="63"/>
        <v>0</v>
      </c>
      <c r="EA57" s="82">
        <f t="shared" si="64"/>
        <v>0</v>
      </c>
      <c r="EB57" s="82">
        <f t="shared" si="65"/>
        <v>0</v>
      </c>
      <c r="EC57" s="82">
        <f t="shared" si="75"/>
        <v>0</v>
      </c>
      <c r="EF57" s="83">
        <f t="shared" si="92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1"/>
        <v>IBC3604-6.5x3-H9A15</v>
      </c>
      <c r="H58" s="46" t="str">
        <f t="shared" si="32"/>
        <v>C3604IB6.50DH9</v>
      </c>
      <c r="I58" s="46" t="str">
        <f t="shared" si="33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4"/>
        <v>20</v>
      </c>
      <c r="T58" s="51">
        <f>'02.02'!BG58</f>
        <v>8.0500000000000007</v>
      </c>
      <c r="U58" s="92">
        <v>22</v>
      </c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6559</v>
      </c>
      <c r="AC58" s="93">
        <f t="shared" si="11"/>
        <v>0</v>
      </c>
      <c r="AD58" s="93">
        <f t="shared" si="12"/>
        <v>32</v>
      </c>
      <c r="AE58" s="93">
        <f t="shared" si="35"/>
        <v>6559</v>
      </c>
      <c r="AF58" s="54">
        <f>AE58+'02.02'!AF58</f>
        <v>20137</v>
      </c>
      <c r="AG58" s="94">
        <f t="shared" si="66"/>
        <v>8.0500000000000007</v>
      </c>
      <c r="AH58" s="56">
        <f t="shared" si="13"/>
        <v>0.05</v>
      </c>
      <c r="AI58" s="93">
        <v>11</v>
      </c>
      <c r="AJ58" s="93">
        <f t="shared" si="67"/>
        <v>0</v>
      </c>
      <c r="AK58" s="95">
        <f t="shared" si="36"/>
        <v>1</v>
      </c>
      <c r="AL58" s="58">
        <f t="shared" si="37"/>
        <v>11.05</v>
      </c>
      <c r="AM58" s="55">
        <f t="shared" si="68"/>
        <v>19</v>
      </c>
      <c r="AN58" s="93"/>
      <c r="AO58" s="96"/>
      <c r="AP58" s="96"/>
      <c r="AQ58" s="96"/>
      <c r="AR58" s="96"/>
      <c r="AS58" s="96"/>
      <c r="AT58" s="96">
        <f>$CJ58</f>
        <v>1998</v>
      </c>
      <c r="AU58" s="96">
        <f t="shared" si="38"/>
        <v>0</v>
      </c>
      <c r="AV58" s="96">
        <f t="shared" si="38"/>
        <v>10</v>
      </c>
      <c r="AW58" s="96">
        <f t="shared" si="39"/>
        <v>2008</v>
      </c>
      <c r="AX58" s="96">
        <f t="shared" si="40"/>
        <v>3291</v>
      </c>
      <c r="AY58" s="94">
        <f t="shared" si="69"/>
        <v>-88.295500000000175</v>
      </c>
      <c r="AZ58" s="94">
        <f t="shared" si="41"/>
        <v>-144.74672131147571</v>
      </c>
      <c r="BA58" s="94">
        <f t="shared" si="42"/>
        <v>19</v>
      </c>
      <c r="BB58" s="97">
        <f t="shared" si="43"/>
        <v>0</v>
      </c>
      <c r="BC58" s="93">
        <v>11</v>
      </c>
      <c r="BD58" s="93">
        <f t="shared" si="44"/>
        <v>0</v>
      </c>
      <c r="BE58" s="95">
        <f t="shared" si="45"/>
        <v>1</v>
      </c>
      <c r="BF58" s="58">
        <f t="shared" si="46"/>
        <v>11</v>
      </c>
      <c r="BG58" s="94">
        <f t="shared" si="47"/>
        <v>8</v>
      </c>
      <c r="BH58" s="89"/>
      <c r="BI58" s="89"/>
      <c r="BJ58" s="89"/>
      <c r="BK58" s="89"/>
      <c r="BL58" s="89"/>
      <c r="BM58" s="89"/>
      <c r="BN58" s="92">
        <f>$CN58</f>
        <v>2003</v>
      </c>
      <c r="BO58" s="92">
        <f t="shared" si="70"/>
        <v>0</v>
      </c>
      <c r="BP58" s="92">
        <f t="shared" si="70"/>
        <v>10</v>
      </c>
      <c r="BQ58" s="96">
        <f t="shared" si="48"/>
        <v>2013</v>
      </c>
      <c r="BR58" s="96">
        <f t="shared" si="49"/>
        <v>3300</v>
      </c>
      <c r="BS58" s="96">
        <f t="shared" si="71"/>
        <v>-73.809999999999945</v>
      </c>
      <c r="BT58" s="96">
        <f t="shared" si="50"/>
        <v>-120.99999999999991</v>
      </c>
      <c r="BU58" s="92">
        <f t="shared" si="16"/>
        <v>6559</v>
      </c>
      <c r="BV58" s="98">
        <f t="shared" si="17"/>
        <v>22.05</v>
      </c>
      <c r="BW58" s="92">
        <f t="shared" si="18"/>
        <v>-265.74672131147565</v>
      </c>
      <c r="BX58" s="98">
        <f t="shared" si="51"/>
        <v>18.544049999999999</v>
      </c>
      <c r="BY58" s="61">
        <f t="shared" si="73"/>
        <v>22.05</v>
      </c>
      <c r="BZ58" s="62">
        <f t="shared" si="52"/>
        <v>22.05</v>
      </c>
      <c r="CA58" s="98">
        <f t="shared" si="53"/>
        <v>4.0209999999999999</v>
      </c>
      <c r="CB58" s="92">
        <f t="shared" si="98"/>
        <v>6591</v>
      </c>
      <c r="CC58" s="92">
        <f t="shared" si="98"/>
        <v>-162.10550000000012</v>
      </c>
      <c r="CD58" s="92">
        <f t="shared" si="98"/>
        <v>-265.74672131147565</v>
      </c>
      <c r="CE58" s="99"/>
      <c r="CF58" s="99"/>
      <c r="CG58" s="51">
        <f t="shared" si="54"/>
        <v>14.543049999999997</v>
      </c>
      <c r="CH58" s="62">
        <f t="shared" si="55"/>
        <v>14.543049999999997</v>
      </c>
      <c r="CI58" s="89"/>
      <c r="CJ58" s="89">
        <v>1998</v>
      </c>
      <c r="CK58" s="89"/>
      <c r="CL58" s="96">
        <v>10</v>
      </c>
      <c r="CM58" s="89"/>
      <c r="CN58" s="89">
        <v>2003</v>
      </c>
      <c r="CO58" s="92"/>
      <c r="CP58" s="101">
        <v>10</v>
      </c>
      <c r="CQ58" s="102">
        <f t="shared" si="101"/>
        <v>3275</v>
      </c>
      <c r="CR58" s="102">
        <f t="shared" si="101"/>
        <v>0</v>
      </c>
      <c r="CS58" s="102">
        <f t="shared" si="101"/>
        <v>16</v>
      </c>
      <c r="CT58" s="92">
        <f t="shared" si="57"/>
        <v>3284</v>
      </c>
      <c r="CU58" s="92">
        <f t="shared" si="102"/>
        <v>0</v>
      </c>
      <c r="CV58" s="103">
        <f t="shared" si="102"/>
        <v>16</v>
      </c>
      <c r="CW58" s="104" t="s">
        <v>147</v>
      </c>
      <c r="CX58" s="105">
        <v>13</v>
      </c>
      <c r="CY58" s="106">
        <f t="shared" si="59"/>
        <v>3170</v>
      </c>
      <c r="CZ58" s="106">
        <f t="shared" si="60"/>
        <v>52.650000000000006</v>
      </c>
      <c r="DA58" s="106"/>
      <c r="DB58" s="106"/>
      <c r="DC58" s="105"/>
      <c r="DD58" s="107"/>
      <c r="DE58" s="92">
        <f t="shared" si="21"/>
        <v>3275</v>
      </c>
      <c r="DF58" s="108">
        <f t="shared" si="22"/>
        <v>11.05</v>
      </c>
      <c r="DG58" s="112">
        <f t="shared" si="23"/>
        <v>-144.74672131147571</v>
      </c>
      <c r="DH58" s="110">
        <f t="shared" si="24"/>
        <v>3284</v>
      </c>
      <c r="DI58" s="108">
        <f t="shared" si="25"/>
        <v>11</v>
      </c>
      <c r="DJ58" s="112">
        <f t="shared" si="26"/>
        <v>-120.99999999999991</v>
      </c>
      <c r="DK58" s="110">
        <f t="shared" si="86"/>
        <v>6559</v>
      </c>
      <c r="DL58" s="108">
        <f t="shared" si="86"/>
        <v>22.05</v>
      </c>
      <c r="DM58" s="111">
        <f t="shared" si="86"/>
        <v>-265.74672131147565</v>
      </c>
      <c r="DN58" s="76">
        <f t="shared" si="89"/>
        <v>8.0500000000000007</v>
      </c>
      <c r="DO58" s="76">
        <f t="shared" si="89"/>
        <v>22</v>
      </c>
      <c r="DP58" s="112"/>
      <c r="DQ58" s="112"/>
      <c r="DR58" s="113" t="s">
        <v>451</v>
      </c>
      <c r="DS58" s="112"/>
      <c r="DT58" s="112"/>
      <c r="DU58" s="111"/>
      <c r="DV58" s="114"/>
      <c r="DW58" s="80">
        <f t="shared" si="104"/>
        <v>22.05</v>
      </c>
      <c r="DX58" s="81">
        <f t="shared" si="29"/>
        <v>6315.3032786885242</v>
      </c>
      <c r="DY58" s="80">
        <f t="shared" si="62"/>
        <v>6591</v>
      </c>
      <c r="DZ58" s="82">
        <f t="shared" si="63"/>
        <v>1.9519999999999999E-2</v>
      </c>
      <c r="EA58" s="82">
        <f t="shared" si="64"/>
        <v>4.0009899999999998</v>
      </c>
      <c r="EB58" s="82">
        <f t="shared" si="65"/>
        <v>14.543059999999999</v>
      </c>
      <c r="EC58" s="82">
        <f>(BX58-CA58)+((AV58+BP58)/1000)</f>
        <v>14.543049999999997</v>
      </c>
      <c r="EF58" s="83">
        <f t="shared" si="92"/>
        <v>-265.74672131147565</v>
      </c>
    </row>
    <row r="59" spans="1:136" ht="14.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1"/>
        <v>GWA6063-T5-7.5x3-H9B14</v>
      </c>
      <c r="H59" s="46" t="str">
        <f t="shared" si="32"/>
        <v>A6063-T5GW7.50DH9</v>
      </c>
      <c r="I59" s="46" t="str">
        <f t="shared" si="33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4"/>
        <v>22</v>
      </c>
      <c r="T59" s="51">
        <f>'02.02'!BG59</f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5"/>
        <v>0</v>
      </c>
      <c r="AF59" s="54">
        <f>AE59+'02.02'!AF59</f>
        <v>0</v>
      </c>
      <c r="AG59" s="94">
        <f t="shared" si="66"/>
        <v>0</v>
      </c>
      <c r="AH59" s="56">
        <f t="shared" si="13"/>
        <v>0</v>
      </c>
      <c r="AI59" s="93"/>
      <c r="AJ59" s="93">
        <f t="shared" si="67"/>
        <v>0</v>
      </c>
      <c r="AK59" s="95">
        <f t="shared" si="36"/>
        <v>1</v>
      </c>
      <c r="AL59" s="58">
        <f t="shared" si="37"/>
        <v>0</v>
      </c>
      <c r="AM59" s="55">
        <f t="shared" si="68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8"/>
        <v>0</v>
      </c>
      <c r="AV59" s="96">
        <f t="shared" si="38"/>
        <v>0</v>
      </c>
      <c r="AW59" s="96">
        <f t="shared" si="39"/>
        <v>0</v>
      </c>
      <c r="AX59" s="96">
        <f t="shared" si="40"/>
        <v>0</v>
      </c>
      <c r="AY59" s="94">
        <f t="shared" si="69"/>
        <v>0</v>
      </c>
      <c r="AZ59" s="94">
        <f t="shared" si="41"/>
        <v>0</v>
      </c>
      <c r="BA59" s="94">
        <f t="shared" si="42"/>
        <v>0</v>
      </c>
      <c r="BB59" s="97">
        <f t="shared" si="43"/>
        <v>0</v>
      </c>
      <c r="BC59" s="93"/>
      <c r="BD59" s="93">
        <f t="shared" si="44"/>
        <v>0</v>
      </c>
      <c r="BE59" s="95">
        <f t="shared" si="45"/>
        <v>1</v>
      </c>
      <c r="BF59" s="58">
        <f t="shared" si="46"/>
        <v>0</v>
      </c>
      <c r="BG59" s="94">
        <f t="shared" si="47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0"/>
        <v>0</v>
      </c>
      <c r="BP59" s="92">
        <f t="shared" si="70"/>
        <v>0</v>
      </c>
      <c r="BQ59" s="96">
        <f t="shared" si="48"/>
        <v>0</v>
      </c>
      <c r="BR59" s="96">
        <f t="shared" si="49"/>
        <v>0</v>
      </c>
      <c r="BS59" s="96">
        <f t="shared" si="71"/>
        <v>0</v>
      </c>
      <c r="BT59" s="96">
        <f t="shared" si="50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1"/>
        <v>0</v>
      </c>
      <c r="BY59" s="61">
        <f t="shared" si="73"/>
        <v>0</v>
      </c>
      <c r="BZ59" s="62">
        <f t="shared" si="52"/>
        <v>0</v>
      </c>
      <c r="CA59" s="98">
        <f t="shared" si="53"/>
        <v>0</v>
      </c>
      <c r="CB59" s="92">
        <f t="shared" si="98"/>
        <v>0</v>
      </c>
      <c r="CC59" s="92">
        <f t="shared" si="98"/>
        <v>0</v>
      </c>
      <c r="CD59" s="92">
        <f t="shared" si="98"/>
        <v>0</v>
      </c>
      <c r="CE59" s="99"/>
      <c r="CF59" s="99"/>
      <c r="CG59" s="51">
        <f t="shared" si="54"/>
        <v>0</v>
      </c>
      <c r="CH59" s="62">
        <f t="shared" si="55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101"/>
        <v>0</v>
      </c>
      <c r="CR59" s="102">
        <f t="shared" si="101"/>
        <v>0</v>
      </c>
      <c r="CS59" s="102">
        <f t="shared" si="101"/>
        <v>0</v>
      </c>
      <c r="CT59" s="92">
        <f t="shared" si="57"/>
        <v>0</v>
      </c>
      <c r="CU59" s="92">
        <f t="shared" si="102"/>
        <v>0</v>
      </c>
      <c r="CV59" s="103">
        <f t="shared" si="102"/>
        <v>0</v>
      </c>
      <c r="CW59" s="104" t="s">
        <v>147</v>
      </c>
      <c r="CX59" s="105">
        <v>15.56</v>
      </c>
      <c r="CY59" s="106">
        <f t="shared" si="59"/>
        <v>2637</v>
      </c>
      <c r="CZ59" s="106">
        <f t="shared" si="60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6"/>
        <v>0</v>
      </c>
      <c r="DL59" s="108">
        <f t="shared" si="86"/>
        <v>0</v>
      </c>
      <c r="DM59" s="111">
        <f t="shared" si="86"/>
        <v>0</v>
      </c>
      <c r="DN59" s="76">
        <f t="shared" si="89"/>
        <v>0</v>
      </c>
      <c r="DO59" s="76">
        <f t="shared" si="89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1"/>
        <v>0</v>
      </c>
      <c r="DX59" s="81">
        <f t="shared" si="29"/>
        <v>0</v>
      </c>
      <c r="DY59" s="80">
        <f t="shared" si="62"/>
        <v>0</v>
      </c>
      <c r="DZ59" s="82">
        <f t="shared" si="63"/>
        <v>0</v>
      </c>
      <c r="EA59" s="82">
        <f t="shared" si="64"/>
        <v>0</v>
      </c>
      <c r="EB59" s="82">
        <f t="shared" si="65"/>
        <v>0</v>
      </c>
      <c r="EC59" s="82">
        <f t="shared" si="75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1"/>
        <v>TVSUS303-5x3-H7B13</v>
      </c>
      <c r="H60" s="46" t="str">
        <f t="shared" si="32"/>
        <v>SUS303TV50DH7</v>
      </c>
      <c r="I60" s="46" t="str">
        <f t="shared" si="33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4"/>
        <v>6</v>
      </c>
      <c r="T60" s="51">
        <f>'02.02'!BG60</f>
        <v>7</v>
      </c>
      <c r="U60" s="92"/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0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0</v>
      </c>
      <c r="AE60" s="93">
        <f t="shared" si="35"/>
        <v>0</v>
      </c>
      <c r="AF60" s="54">
        <f>AE60+'02.02'!AF60</f>
        <v>0</v>
      </c>
      <c r="AG60" s="94">
        <f t="shared" si="66"/>
        <v>7</v>
      </c>
      <c r="AH60" s="56">
        <f t="shared" si="13"/>
        <v>0</v>
      </c>
      <c r="AI60" s="93"/>
      <c r="AJ60" s="93">
        <f t="shared" si="67"/>
        <v>0</v>
      </c>
      <c r="AK60" s="95">
        <f t="shared" si="36"/>
        <v>1</v>
      </c>
      <c r="AL60" s="58">
        <f t="shared" si="37"/>
        <v>0</v>
      </c>
      <c r="AM60" s="55">
        <f t="shared" si="68"/>
        <v>7</v>
      </c>
      <c r="AN60" s="93"/>
      <c r="AO60" s="96"/>
      <c r="AP60" s="96"/>
      <c r="AQ60" s="96"/>
      <c r="AR60" s="96">
        <f t="shared" ref="AP60:AR61" si="106">$CJ60</f>
        <v>0</v>
      </c>
      <c r="AS60" s="96"/>
      <c r="AT60" s="96"/>
      <c r="AU60" s="96">
        <f t="shared" si="38"/>
        <v>0</v>
      </c>
      <c r="AV60" s="96">
        <f t="shared" si="38"/>
        <v>0</v>
      </c>
      <c r="AW60" s="96">
        <f t="shared" si="39"/>
        <v>0</v>
      </c>
      <c r="AX60" s="96">
        <f t="shared" si="40"/>
        <v>0</v>
      </c>
      <c r="AY60" s="94">
        <f t="shared" si="69"/>
        <v>0</v>
      </c>
      <c r="AZ60" s="94">
        <f t="shared" si="41"/>
        <v>0</v>
      </c>
      <c r="BA60" s="94">
        <f t="shared" si="42"/>
        <v>7</v>
      </c>
      <c r="BB60" s="97">
        <f t="shared" si="43"/>
        <v>0</v>
      </c>
      <c r="BC60" s="93"/>
      <c r="BD60" s="93">
        <f t="shared" si="44"/>
        <v>0</v>
      </c>
      <c r="BE60" s="95">
        <f t="shared" si="45"/>
        <v>1</v>
      </c>
      <c r="BF60" s="58">
        <f t="shared" si="46"/>
        <v>0</v>
      </c>
      <c r="BG60" s="94">
        <f t="shared" si="47"/>
        <v>7</v>
      </c>
      <c r="BH60" s="89"/>
      <c r="BI60" s="89"/>
      <c r="BJ60" s="92"/>
      <c r="BK60" s="89"/>
      <c r="BL60" s="92">
        <f>$CN60</f>
        <v>0</v>
      </c>
      <c r="BM60" s="92"/>
      <c r="BN60" s="92"/>
      <c r="BO60" s="92">
        <f t="shared" si="70"/>
        <v>0</v>
      </c>
      <c r="BP60" s="92">
        <f t="shared" si="70"/>
        <v>0</v>
      </c>
      <c r="BQ60" s="96">
        <f t="shared" si="48"/>
        <v>0</v>
      </c>
      <c r="BR60" s="96">
        <f t="shared" si="49"/>
        <v>0</v>
      </c>
      <c r="BS60" s="96">
        <f t="shared" si="71"/>
        <v>0</v>
      </c>
      <c r="BT60" s="96">
        <f t="shared" si="50"/>
        <v>0</v>
      </c>
      <c r="BU60" s="92">
        <f t="shared" si="16"/>
        <v>0</v>
      </c>
      <c r="BV60" s="98">
        <f t="shared" si="17"/>
        <v>0</v>
      </c>
      <c r="BW60" s="92">
        <f t="shared" si="18"/>
        <v>0</v>
      </c>
      <c r="BX60" s="98">
        <f t="shared" si="51"/>
        <v>0</v>
      </c>
      <c r="BY60" s="61">
        <f t="shared" si="73"/>
        <v>0</v>
      </c>
      <c r="BZ60" s="62">
        <f t="shared" si="52"/>
        <v>0</v>
      </c>
      <c r="CA60" s="98">
        <f t="shared" si="53"/>
        <v>0</v>
      </c>
      <c r="CB60" s="92">
        <f t="shared" si="98"/>
        <v>0</v>
      </c>
      <c r="CC60" s="92">
        <f t="shared" si="98"/>
        <v>0</v>
      </c>
      <c r="CD60" s="92">
        <f t="shared" si="98"/>
        <v>0</v>
      </c>
      <c r="CE60" s="99"/>
      <c r="CF60" s="99"/>
      <c r="CG60" s="51">
        <f t="shared" si="54"/>
        <v>0</v>
      </c>
      <c r="CH60" s="62">
        <f t="shared" si="55"/>
        <v>0</v>
      </c>
      <c r="CI60" s="89"/>
      <c r="CJ60" s="89"/>
      <c r="CK60" s="89"/>
      <c r="CL60" s="96"/>
      <c r="CM60" s="89"/>
      <c r="CN60" s="89"/>
      <c r="CO60" s="92"/>
      <c r="CP60" s="101"/>
      <c r="CQ60" s="102">
        <f t="shared" si="101"/>
        <v>0</v>
      </c>
      <c r="CR60" s="102">
        <f t="shared" si="101"/>
        <v>0</v>
      </c>
      <c r="CS60" s="102">
        <f t="shared" si="101"/>
        <v>0</v>
      </c>
      <c r="CT60" s="92">
        <f t="shared" si="57"/>
        <v>0</v>
      </c>
      <c r="CU60" s="92">
        <f t="shared" si="102"/>
        <v>0</v>
      </c>
      <c r="CV60" s="103">
        <f t="shared" si="102"/>
        <v>0</v>
      </c>
      <c r="CW60" s="104" t="s">
        <v>147</v>
      </c>
      <c r="CX60" s="105">
        <v>30</v>
      </c>
      <c r="CY60" s="106">
        <f t="shared" si="59"/>
        <v>1422</v>
      </c>
      <c r="CZ60" s="106">
        <f t="shared" si="60"/>
        <v>121.50000000000001</v>
      </c>
      <c r="DA60" s="106"/>
      <c r="DB60" s="106"/>
      <c r="DC60" s="105"/>
      <c r="DD60" s="107"/>
      <c r="DE60" s="92">
        <f t="shared" si="21"/>
        <v>0</v>
      </c>
      <c r="DF60" s="108">
        <f t="shared" si="22"/>
        <v>0</v>
      </c>
      <c r="DG60" s="115">
        <f t="shared" si="23"/>
        <v>0</v>
      </c>
      <c r="DH60" s="110">
        <f t="shared" si="24"/>
        <v>0</v>
      </c>
      <c r="DI60" s="108">
        <f t="shared" si="25"/>
        <v>0</v>
      </c>
      <c r="DJ60" s="115">
        <f t="shared" si="26"/>
        <v>0</v>
      </c>
      <c r="DK60" s="110">
        <f t="shared" si="86"/>
        <v>0</v>
      </c>
      <c r="DL60" s="108">
        <f t="shared" si="86"/>
        <v>0</v>
      </c>
      <c r="DM60" s="111">
        <f t="shared" si="86"/>
        <v>0</v>
      </c>
      <c r="DN60" s="76">
        <f t="shared" si="89"/>
        <v>7</v>
      </c>
      <c r="DO60" s="76">
        <f t="shared" si="89"/>
        <v>0</v>
      </c>
      <c r="DP60" s="112"/>
      <c r="DQ60" s="112"/>
      <c r="DR60" s="113" t="s">
        <v>452</v>
      </c>
      <c r="DS60" s="112"/>
      <c r="DT60" s="112"/>
      <c r="DU60" s="111"/>
      <c r="DV60" s="114"/>
      <c r="DW60" s="80">
        <f>IFERROR(AL60+BF60,"")</f>
        <v>0</v>
      </c>
      <c r="DX60" s="81">
        <f t="shared" si="29"/>
        <v>0</v>
      </c>
      <c r="DY60" s="80">
        <f t="shared" si="62"/>
        <v>0</v>
      </c>
      <c r="DZ60" s="82">
        <f t="shared" si="63"/>
        <v>0</v>
      </c>
      <c r="EA60" s="82">
        <f t="shared" si="64"/>
        <v>0</v>
      </c>
      <c r="EB60" s="82">
        <f t="shared" si="65"/>
        <v>0</v>
      </c>
      <c r="EC60" s="82">
        <f t="shared" si="75"/>
        <v>0</v>
      </c>
      <c r="EF60" s="83">
        <f t="shared" ref="EF60:EF88" si="107">DG60+DJ60</f>
        <v>0</v>
      </c>
    </row>
    <row r="61" spans="1:136" ht="14.1" customHeight="1">
      <c r="A61" s="84">
        <v>54</v>
      </c>
      <c r="B61" s="85" t="s">
        <v>290</v>
      </c>
      <c r="C61" s="86"/>
      <c r="D61" s="171" t="s">
        <v>291</v>
      </c>
      <c r="E61" s="88">
        <v>160</v>
      </c>
      <c r="F61" s="89" t="s">
        <v>147</v>
      </c>
      <c r="G61" s="45" t="str">
        <f t="shared" si="31"/>
        <v>IBC3604-9x3-H9B14</v>
      </c>
      <c r="H61" s="46" t="str">
        <f t="shared" si="32"/>
        <v>C3604IB90DH9</v>
      </c>
      <c r="I61" s="46" t="str">
        <f t="shared" si="33"/>
        <v>C3604IB90DH93B14</v>
      </c>
      <c r="J61" s="90" t="s">
        <v>148</v>
      </c>
      <c r="K61" s="90" t="s">
        <v>156</v>
      </c>
      <c r="L61" s="90">
        <v>9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171</v>
      </c>
      <c r="S61" s="89">
        <f t="shared" si="34"/>
        <v>38</v>
      </c>
      <c r="T61" s="51">
        <f>'02.02'!BG61</f>
        <v>32</v>
      </c>
      <c r="U61" s="92"/>
      <c r="V61" s="100">
        <v>4.18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35"/>
        <v>0</v>
      </c>
      <c r="AF61" s="54">
        <f>AE61+'02.02'!AF61</f>
        <v>0</v>
      </c>
      <c r="AG61" s="94">
        <f t="shared" si="66"/>
        <v>32</v>
      </c>
      <c r="AH61" s="56">
        <f t="shared" si="13"/>
        <v>0</v>
      </c>
      <c r="AI61" s="93"/>
      <c r="AJ61" s="93">
        <f t="shared" si="67"/>
        <v>0</v>
      </c>
      <c r="AK61" s="95">
        <f t="shared" si="36"/>
        <v>1</v>
      </c>
      <c r="AL61" s="58">
        <f t="shared" si="37"/>
        <v>0</v>
      </c>
      <c r="AM61" s="55">
        <f t="shared" si="68"/>
        <v>32</v>
      </c>
      <c r="AN61" s="93"/>
      <c r="AO61" s="96"/>
      <c r="AP61" s="96">
        <f t="shared" si="106"/>
        <v>0</v>
      </c>
      <c r="AQ61" s="96"/>
      <c r="AR61" s="96"/>
      <c r="AS61" s="96"/>
      <c r="AT61" s="96"/>
      <c r="AU61" s="96">
        <f t="shared" si="38"/>
        <v>0</v>
      </c>
      <c r="AV61" s="96">
        <f t="shared" si="38"/>
        <v>0</v>
      </c>
      <c r="AW61" s="96">
        <f t="shared" si="39"/>
        <v>0</v>
      </c>
      <c r="AX61" s="96">
        <f t="shared" si="40"/>
        <v>0</v>
      </c>
      <c r="AY61" s="94">
        <f t="shared" si="69"/>
        <v>0</v>
      </c>
      <c r="AZ61" s="94">
        <f t="shared" si="41"/>
        <v>0</v>
      </c>
      <c r="BA61" s="94">
        <f t="shared" si="42"/>
        <v>32</v>
      </c>
      <c r="BB61" s="97">
        <f t="shared" si="43"/>
        <v>0</v>
      </c>
      <c r="BC61" s="93"/>
      <c r="BD61" s="93">
        <f t="shared" si="44"/>
        <v>0</v>
      </c>
      <c r="BE61" s="95">
        <f t="shared" si="45"/>
        <v>1</v>
      </c>
      <c r="BF61" s="58">
        <f t="shared" si="46"/>
        <v>0</v>
      </c>
      <c r="BG61" s="94">
        <f t="shared" si="47"/>
        <v>32</v>
      </c>
      <c r="BH61" s="89"/>
      <c r="BI61" s="89"/>
      <c r="BJ61" s="92">
        <f>$CN61</f>
        <v>0</v>
      </c>
      <c r="BK61" s="89"/>
      <c r="BL61" s="89"/>
      <c r="BM61" s="89"/>
      <c r="BN61" s="92"/>
      <c r="BO61" s="92">
        <f t="shared" si="70"/>
        <v>0</v>
      </c>
      <c r="BP61" s="92">
        <f t="shared" si="70"/>
        <v>0</v>
      </c>
      <c r="BQ61" s="96">
        <f t="shared" si="48"/>
        <v>0</v>
      </c>
      <c r="BR61" s="96">
        <f t="shared" si="49"/>
        <v>0</v>
      </c>
      <c r="BS61" s="96">
        <f t="shared" si="71"/>
        <v>0</v>
      </c>
      <c r="BT61" s="96">
        <f>IF($V61="","",BS61/$V61)</f>
        <v>0</v>
      </c>
      <c r="BU61" s="92">
        <f t="shared" si="16"/>
        <v>0</v>
      </c>
      <c r="BV61" s="98">
        <f t="shared" si="17"/>
        <v>0</v>
      </c>
      <c r="BW61" s="92">
        <f t="shared" si="18"/>
        <v>0</v>
      </c>
      <c r="BX61" s="98">
        <f t="shared" si="51"/>
        <v>0</v>
      </c>
      <c r="BY61" s="61">
        <f t="shared" si="73"/>
        <v>0</v>
      </c>
      <c r="BZ61" s="62">
        <f t="shared" si="52"/>
        <v>0</v>
      </c>
      <c r="CA61" s="98">
        <f t="shared" si="53"/>
        <v>0</v>
      </c>
      <c r="CB61" s="92">
        <f t="shared" si="98"/>
        <v>0</v>
      </c>
      <c r="CC61" s="92">
        <f t="shared" si="98"/>
        <v>0</v>
      </c>
      <c r="CD61" s="92">
        <f t="shared" si="98"/>
        <v>0</v>
      </c>
      <c r="CE61" s="99"/>
      <c r="CF61" s="99"/>
      <c r="CG61" s="51">
        <f t="shared" si="54"/>
        <v>0</v>
      </c>
      <c r="CH61" s="62">
        <f t="shared" si="55"/>
        <v>0</v>
      </c>
      <c r="CI61" s="89"/>
      <c r="CJ61" s="89"/>
      <c r="CK61" s="89"/>
      <c r="CL61" s="96"/>
      <c r="CM61" s="89"/>
      <c r="CN61" s="89"/>
      <c r="CO61" s="92"/>
      <c r="CP61" s="101"/>
      <c r="CQ61" s="102">
        <f t="shared" si="101"/>
        <v>0</v>
      </c>
      <c r="CR61" s="102">
        <f t="shared" si="101"/>
        <v>0</v>
      </c>
      <c r="CS61" s="102">
        <f t="shared" si="101"/>
        <v>0</v>
      </c>
      <c r="CT61" s="92">
        <f t="shared" si="57"/>
        <v>0</v>
      </c>
      <c r="CU61" s="92">
        <f t="shared" si="102"/>
        <v>0</v>
      </c>
      <c r="CV61" s="103">
        <f t="shared" si="102"/>
        <v>0</v>
      </c>
      <c r="CW61" s="104" t="s">
        <v>147</v>
      </c>
      <c r="CX61" s="105">
        <v>13</v>
      </c>
      <c r="CY61" s="106">
        <f t="shared" si="59"/>
        <v>3032</v>
      </c>
      <c r="CZ61" s="106">
        <f t="shared" si="60"/>
        <v>52.650000000000006</v>
      </c>
      <c r="DA61" s="106"/>
      <c r="DB61" s="106"/>
      <c r="DC61" s="105"/>
      <c r="DD61" s="107"/>
      <c r="DE61" s="92">
        <f t="shared" si="21"/>
        <v>0</v>
      </c>
      <c r="DF61" s="108">
        <f t="shared" si="22"/>
        <v>0</v>
      </c>
      <c r="DG61" s="112">
        <f t="shared" si="23"/>
        <v>0</v>
      </c>
      <c r="DH61" s="110">
        <f t="shared" si="24"/>
        <v>0</v>
      </c>
      <c r="DI61" s="108">
        <f t="shared" si="25"/>
        <v>0</v>
      </c>
      <c r="DJ61" s="112">
        <f t="shared" si="26"/>
        <v>0</v>
      </c>
      <c r="DK61" s="110">
        <f t="shared" si="86"/>
        <v>0</v>
      </c>
      <c r="DL61" s="108">
        <f t="shared" si="86"/>
        <v>0</v>
      </c>
      <c r="DM61" s="111">
        <f t="shared" si="86"/>
        <v>0</v>
      </c>
      <c r="DN61" s="76">
        <f t="shared" si="89"/>
        <v>32</v>
      </c>
      <c r="DO61" s="76">
        <f t="shared" si="89"/>
        <v>0</v>
      </c>
      <c r="DP61" s="112"/>
      <c r="DQ61" s="112"/>
      <c r="DR61" s="113" t="s">
        <v>453</v>
      </c>
      <c r="DS61" s="112"/>
      <c r="DT61" s="112"/>
      <c r="DU61" s="111"/>
      <c r="DV61" s="114"/>
      <c r="DW61" s="80">
        <f t="shared" si="61"/>
        <v>0</v>
      </c>
      <c r="DX61" s="81">
        <f t="shared" si="29"/>
        <v>0</v>
      </c>
      <c r="DY61" s="80">
        <f t="shared" si="62"/>
        <v>0</v>
      </c>
      <c r="DZ61" s="82">
        <f t="shared" si="63"/>
        <v>0</v>
      </c>
      <c r="EA61" s="82">
        <f t="shared" si="64"/>
        <v>0</v>
      </c>
      <c r="EB61" s="82">
        <f t="shared" si="65"/>
        <v>0</v>
      </c>
      <c r="EC61" s="82">
        <f t="shared" ref="EC61:EC65" si="108">(BX61-CA61)+((AV61+BP61)/1000)</f>
        <v>0</v>
      </c>
      <c r="EF61" s="83">
        <f t="shared" si="107"/>
        <v>0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1"/>
        <v>MIC3602-3x2.5-H9A14</v>
      </c>
      <c r="H62" s="46" t="str">
        <f t="shared" si="32"/>
        <v>C3602MI30DH9</v>
      </c>
      <c r="I62" s="46" t="str">
        <f t="shared" si="33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4"/>
        <v>34</v>
      </c>
      <c r="T62" s="51">
        <f>'02.02'!BG62</f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5"/>
        <v>0</v>
      </c>
      <c r="AF62" s="54">
        <f>AE62+'02.02'!AF62</f>
        <v>0</v>
      </c>
      <c r="AG62" s="94">
        <f t="shared" si="66"/>
        <v>47</v>
      </c>
      <c r="AH62" s="56">
        <f t="shared" si="13"/>
        <v>0</v>
      </c>
      <c r="AI62" s="93"/>
      <c r="AJ62" s="93">
        <f t="shared" si="67"/>
        <v>0</v>
      </c>
      <c r="AK62" s="95">
        <f t="shared" si="36"/>
        <v>1</v>
      </c>
      <c r="AL62" s="58">
        <f t="shared" si="37"/>
        <v>0</v>
      </c>
      <c r="AM62" s="55">
        <f t="shared" si="68"/>
        <v>47</v>
      </c>
      <c r="AN62" s="93"/>
      <c r="AO62" s="96"/>
      <c r="AP62" s="96"/>
      <c r="AQ62" s="96"/>
      <c r="AR62" s="96"/>
      <c r="AS62" s="96"/>
      <c r="AT62" s="96">
        <f t="shared" ref="AT62:AT64" si="109">$CJ62</f>
        <v>0</v>
      </c>
      <c r="AU62" s="96">
        <f t="shared" si="38"/>
        <v>0</v>
      </c>
      <c r="AV62" s="96">
        <f t="shared" si="38"/>
        <v>0</v>
      </c>
      <c r="AW62" s="96">
        <f t="shared" si="39"/>
        <v>0</v>
      </c>
      <c r="AX62" s="96">
        <f t="shared" si="40"/>
        <v>0</v>
      </c>
      <c r="AY62" s="94">
        <f t="shared" si="69"/>
        <v>0</v>
      </c>
      <c r="AZ62" s="94">
        <f t="shared" si="41"/>
        <v>0</v>
      </c>
      <c r="BA62" s="94">
        <f t="shared" si="42"/>
        <v>47</v>
      </c>
      <c r="BB62" s="97">
        <f t="shared" si="43"/>
        <v>0</v>
      </c>
      <c r="BC62" s="93"/>
      <c r="BD62" s="93">
        <f t="shared" si="44"/>
        <v>0</v>
      </c>
      <c r="BE62" s="95">
        <f t="shared" si="45"/>
        <v>1</v>
      </c>
      <c r="BF62" s="58">
        <f t="shared" si="46"/>
        <v>0</v>
      </c>
      <c r="BG62" s="94">
        <f t="shared" si="47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0"/>
        <v>0</v>
      </c>
      <c r="BP62" s="92">
        <f t="shared" si="70"/>
        <v>0</v>
      </c>
      <c r="BQ62" s="96">
        <f t="shared" si="48"/>
        <v>0</v>
      </c>
      <c r="BR62" s="96">
        <f t="shared" si="49"/>
        <v>0</v>
      </c>
      <c r="BS62" s="96">
        <f t="shared" si="71"/>
        <v>0</v>
      </c>
      <c r="BT62" s="96">
        <f t="shared" si="50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1"/>
        <v>0</v>
      </c>
      <c r="BY62" s="61">
        <f t="shared" si="73"/>
        <v>0</v>
      </c>
      <c r="BZ62" s="62">
        <f t="shared" si="52"/>
        <v>0</v>
      </c>
      <c r="CA62" s="98">
        <f t="shared" si="53"/>
        <v>0</v>
      </c>
      <c r="CB62" s="92">
        <f t="shared" si="98"/>
        <v>0</v>
      </c>
      <c r="CC62" s="92">
        <f t="shared" si="98"/>
        <v>0</v>
      </c>
      <c r="CD62" s="92">
        <f t="shared" si="98"/>
        <v>0</v>
      </c>
      <c r="CE62" s="99"/>
      <c r="CF62" s="99"/>
      <c r="CG62" s="51">
        <f t="shared" si="54"/>
        <v>0</v>
      </c>
      <c r="CH62" s="62">
        <f t="shared" si="55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101"/>
        <v>0</v>
      </c>
      <c r="CR62" s="102">
        <f t="shared" si="101"/>
        <v>0</v>
      </c>
      <c r="CS62" s="102">
        <f t="shared" si="101"/>
        <v>0</v>
      </c>
      <c r="CT62" s="92">
        <f t="shared" si="57"/>
        <v>0</v>
      </c>
      <c r="CU62" s="92">
        <f t="shared" si="102"/>
        <v>0</v>
      </c>
      <c r="CV62" s="103">
        <f t="shared" si="102"/>
        <v>0</v>
      </c>
      <c r="CW62" s="104" t="s">
        <v>147</v>
      </c>
      <c r="CX62" s="105">
        <v>6</v>
      </c>
      <c r="CY62" s="106">
        <f t="shared" si="59"/>
        <v>6630</v>
      </c>
      <c r="CZ62" s="106">
        <f t="shared" si="60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6"/>
        <v>0</v>
      </c>
      <c r="DL62" s="108">
        <f t="shared" si="86"/>
        <v>0</v>
      </c>
      <c r="DM62" s="111">
        <f t="shared" si="86"/>
        <v>0</v>
      </c>
      <c r="DN62" s="76">
        <f t="shared" si="89"/>
        <v>47</v>
      </c>
      <c r="DO62" s="76">
        <f t="shared" si="89"/>
        <v>0</v>
      </c>
      <c r="DP62" s="112"/>
      <c r="DQ62" s="112"/>
      <c r="DR62" s="113" t="s">
        <v>454</v>
      </c>
      <c r="DS62" s="112"/>
      <c r="DT62" s="112"/>
      <c r="DU62" s="111"/>
      <c r="DV62" s="114"/>
      <c r="DW62" s="80">
        <f t="shared" ref="DW62:DW65" si="110">IFERROR(AL62+BF62,"")</f>
        <v>0</v>
      </c>
      <c r="DX62" s="81">
        <f t="shared" si="29"/>
        <v>0</v>
      </c>
      <c r="DY62" s="80">
        <f t="shared" si="62"/>
        <v>0</v>
      </c>
      <c r="DZ62" s="82">
        <f t="shared" si="63"/>
        <v>0</v>
      </c>
      <c r="EA62" s="82">
        <f t="shared" si="64"/>
        <v>0</v>
      </c>
      <c r="EB62" s="82">
        <f t="shared" si="65"/>
        <v>0</v>
      </c>
      <c r="EC62" s="82">
        <f t="shared" si="108"/>
        <v>0</v>
      </c>
      <c r="EF62" s="83">
        <f t="shared" si="107"/>
        <v>0</v>
      </c>
    </row>
    <row r="63" spans="1:136" ht="11.25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1"/>
        <v>FRCuBe2Pb-3.15x3-H9A08</v>
      </c>
      <c r="H63" s="46" t="str">
        <f t="shared" si="32"/>
        <v>CuBe2PbFR3.150DH9</v>
      </c>
      <c r="I63" s="46" t="str">
        <f t="shared" si="33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4"/>
        <v>16</v>
      </c>
      <c r="T63" s="51">
        <f>'02.02'!BG63</f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5"/>
        <v>0</v>
      </c>
      <c r="AF63" s="54">
        <f>AE63+'02.02'!AF63</f>
        <v>0</v>
      </c>
      <c r="AG63" s="94">
        <f t="shared" si="66"/>
        <v>0</v>
      </c>
      <c r="AH63" s="56">
        <f t="shared" si="13"/>
        <v>0</v>
      </c>
      <c r="AI63" s="93"/>
      <c r="AJ63" s="93">
        <f t="shared" si="67"/>
        <v>0</v>
      </c>
      <c r="AK63" s="95">
        <f t="shared" si="36"/>
        <v>1</v>
      </c>
      <c r="AL63" s="58">
        <f t="shared" si="37"/>
        <v>0</v>
      </c>
      <c r="AM63" s="55">
        <f t="shared" si="68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8"/>
        <v>0</v>
      </c>
      <c r="AV63" s="96">
        <f t="shared" si="38"/>
        <v>0</v>
      </c>
      <c r="AW63" s="96">
        <f t="shared" si="39"/>
        <v>0</v>
      </c>
      <c r="AX63" s="96">
        <f t="shared" si="40"/>
        <v>0</v>
      </c>
      <c r="AY63" s="94">
        <f t="shared" si="69"/>
        <v>0</v>
      </c>
      <c r="AZ63" s="94">
        <f t="shared" si="41"/>
        <v>0</v>
      </c>
      <c r="BA63" s="94">
        <f t="shared" si="42"/>
        <v>0</v>
      </c>
      <c r="BB63" s="97">
        <f t="shared" si="43"/>
        <v>0</v>
      </c>
      <c r="BC63" s="93"/>
      <c r="BD63" s="93">
        <f t="shared" si="44"/>
        <v>0</v>
      </c>
      <c r="BE63" s="95">
        <f t="shared" si="45"/>
        <v>1</v>
      </c>
      <c r="BF63" s="58">
        <f t="shared" si="46"/>
        <v>0</v>
      </c>
      <c r="BG63" s="94">
        <f t="shared" si="47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0"/>
        <v>0</v>
      </c>
      <c r="BP63" s="92">
        <f t="shared" si="70"/>
        <v>0</v>
      </c>
      <c r="BQ63" s="96">
        <f t="shared" si="48"/>
        <v>0</v>
      </c>
      <c r="BR63" s="96">
        <f>IF(AA63="","",INT(BQ63/$V63))</f>
        <v>0</v>
      </c>
      <c r="BS63" s="96">
        <f t="shared" si="71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1"/>
        <v>0</v>
      </c>
      <c r="BY63" s="61">
        <f t="shared" si="73"/>
        <v>0</v>
      </c>
      <c r="BZ63" s="62">
        <f t="shared" si="52"/>
        <v>0</v>
      </c>
      <c r="CA63" s="98">
        <f t="shared" si="53"/>
        <v>0</v>
      </c>
      <c r="CB63" s="92">
        <f t="shared" si="98"/>
        <v>0</v>
      </c>
      <c r="CC63" s="92">
        <f t="shared" si="98"/>
        <v>0</v>
      </c>
      <c r="CD63" s="92">
        <f t="shared" si="98"/>
        <v>0</v>
      </c>
      <c r="CE63" s="99"/>
      <c r="CF63" s="99"/>
      <c r="CG63" s="51">
        <f t="shared" si="54"/>
        <v>0</v>
      </c>
      <c r="CH63" s="62">
        <f t="shared" si="55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101"/>
        <v>0</v>
      </c>
      <c r="CR63" s="102">
        <f t="shared" si="101"/>
        <v>0</v>
      </c>
      <c r="CS63" s="102">
        <f t="shared" si="101"/>
        <v>0</v>
      </c>
      <c r="CT63" s="92">
        <f t="shared" si="57"/>
        <v>0</v>
      </c>
      <c r="CU63" s="92">
        <f t="shared" si="102"/>
        <v>0</v>
      </c>
      <c r="CV63" s="103">
        <f t="shared" si="102"/>
        <v>0</v>
      </c>
      <c r="CW63" s="104" t="s">
        <v>147</v>
      </c>
      <c r="CX63" s="105">
        <v>6</v>
      </c>
      <c r="CY63" s="106">
        <f t="shared" si="59"/>
        <v>6960</v>
      </c>
      <c r="CZ63" s="106">
        <f t="shared" si="60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6"/>
        <v>0</v>
      </c>
      <c r="DL63" s="108">
        <f t="shared" si="86"/>
        <v>0</v>
      </c>
      <c r="DM63" s="111">
        <f t="shared" si="86"/>
        <v>0</v>
      </c>
      <c r="DN63" s="76">
        <f t="shared" si="89"/>
        <v>0</v>
      </c>
      <c r="DO63" s="76">
        <f t="shared" si="89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10"/>
        <v>0</v>
      </c>
      <c r="DX63" s="81">
        <f t="shared" si="29"/>
        <v>0</v>
      </c>
      <c r="DY63" s="80">
        <f t="shared" si="62"/>
        <v>0</v>
      </c>
      <c r="DZ63" s="82">
        <f t="shared" si="63"/>
        <v>0</v>
      </c>
      <c r="EA63" s="82">
        <f t="shared" si="64"/>
        <v>0</v>
      </c>
      <c r="EB63" s="82">
        <f t="shared" si="65"/>
        <v>0</v>
      </c>
      <c r="EC63" s="82">
        <f t="shared" si="108"/>
        <v>0</v>
      </c>
      <c r="EF63" s="83">
        <f t="shared" si="107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1"/>
        <v>IBC3604-5x3-H9B14</v>
      </c>
      <c r="H64" s="46" t="str">
        <f t="shared" si="32"/>
        <v>C3604IB50DH9</v>
      </c>
      <c r="I64" s="46" t="str">
        <f t="shared" si="33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4"/>
        <v>22</v>
      </c>
      <c r="T64" s="51">
        <f>'02.02'!BG64</f>
        <v>9</v>
      </c>
      <c r="U64" s="92">
        <v>21</v>
      </c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9108</v>
      </c>
      <c r="AC64" s="93">
        <f t="shared" si="11"/>
        <v>0</v>
      </c>
      <c r="AD64" s="93">
        <f t="shared" si="12"/>
        <v>0</v>
      </c>
      <c r="AE64" s="93">
        <f t="shared" si="35"/>
        <v>9108</v>
      </c>
      <c r="AF64" s="54">
        <f>AE64+'02.02'!AF64</f>
        <v>26861</v>
      </c>
      <c r="AG64" s="94">
        <f t="shared" si="66"/>
        <v>9</v>
      </c>
      <c r="AH64" s="56">
        <f t="shared" si="13"/>
        <v>0</v>
      </c>
      <c r="AI64" s="93">
        <v>9</v>
      </c>
      <c r="AJ64" s="93">
        <f t="shared" si="67"/>
        <v>0</v>
      </c>
      <c r="AK64" s="95">
        <f t="shared" si="36"/>
        <v>1</v>
      </c>
      <c r="AL64" s="58">
        <f t="shared" si="37"/>
        <v>9</v>
      </c>
      <c r="AM64" s="55">
        <f t="shared" si="68"/>
        <v>21</v>
      </c>
      <c r="AN64" s="93"/>
      <c r="AO64" s="96"/>
      <c r="AP64" s="96"/>
      <c r="AQ64" s="96"/>
      <c r="AR64" s="96"/>
      <c r="AS64" s="96"/>
      <c r="AT64" s="96">
        <f t="shared" si="109"/>
        <v>1982</v>
      </c>
      <c r="AU64" s="96">
        <f t="shared" si="38"/>
        <v>0</v>
      </c>
      <c r="AV64" s="96">
        <f t="shared" si="38"/>
        <v>0</v>
      </c>
      <c r="AW64" s="96">
        <f t="shared" si="39"/>
        <v>1982</v>
      </c>
      <c r="AX64" s="96">
        <f t="shared" si="40"/>
        <v>4308</v>
      </c>
      <c r="AY64" s="94">
        <f t="shared" si="69"/>
        <v>19.639999999999873</v>
      </c>
      <c r="AZ64" s="94">
        <f t="shared" si="41"/>
        <v>42.695652173912762</v>
      </c>
      <c r="BA64" s="94">
        <f t="shared" si="42"/>
        <v>21</v>
      </c>
      <c r="BB64" s="97">
        <f t="shared" si="43"/>
        <v>0</v>
      </c>
      <c r="BC64" s="93">
        <v>11</v>
      </c>
      <c r="BD64" s="93">
        <f t="shared" si="44"/>
        <v>100</v>
      </c>
      <c r="BE64" s="95">
        <f t="shared" si="45"/>
        <v>0.45863144377178494</v>
      </c>
      <c r="BF64" s="58">
        <f t="shared" si="46"/>
        <v>10.459999999999999</v>
      </c>
      <c r="BG64" s="94">
        <f t="shared" si="47"/>
        <v>10.540000000000001</v>
      </c>
      <c r="BH64" s="89"/>
      <c r="BI64" s="89"/>
      <c r="BJ64" s="89"/>
      <c r="BK64" s="89"/>
      <c r="BL64" s="89"/>
      <c r="BM64" s="92"/>
      <c r="BN64" s="92">
        <f>$CN64</f>
        <v>2208</v>
      </c>
      <c r="BO64" s="92">
        <f t="shared" si="70"/>
        <v>0</v>
      </c>
      <c r="BP64" s="92">
        <f t="shared" si="70"/>
        <v>0</v>
      </c>
      <c r="BQ64" s="96">
        <f t="shared" si="48"/>
        <v>2208</v>
      </c>
      <c r="BR64" s="96">
        <f t="shared" si="49"/>
        <v>4800</v>
      </c>
      <c r="BS64" s="96">
        <f t="shared" si="71"/>
        <v>-72.69840000000022</v>
      </c>
      <c r="BT64" s="96">
        <f t="shared" si="50"/>
        <v>-158.04000000000048</v>
      </c>
      <c r="BU64" s="92">
        <f t="shared" si="16"/>
        <v>9108</v>
      </c>
      <c r="BV64" s="98">
        <f t="shared" si="17"/>
        <v>19.46</v>
      </c>
      <c r="BW64" s="92">
        <f t="shared" si="18"/>
        <v>-115.34434782608771</v>
      </c>
      <c r="BX64" s="98">
        <f t="shared" si="51"/>
        <v>9.73</v>
      </c>
      <c r="BY64" s="61">
        <f>IFERROR(BF64+AL64,0)</f>
        <v>19.46</v>
      </c>
      <c r="BZ64" s="62">
        <f t="shared" si="52"/>
        <v>19.46</v>
      </c>
      <c r="CA64" s="98">
        <f t="shared" si="53"/>
        <v>4.1900000000000004</v>
      </c>
      <c r="CB64" s="92">
        <f t="shared" si="98"/>
        <v>9108</v>
      </c>
      <c r="CC64" s="92">
        <f t="shared" si="98"/>
        <v>-53.058400000000347</v>
      </c>
      <c r="CD64" s="92">
        <f t="shared" si="98"/>
        <v>-115.34434782608771</v>
      </c>
      <c r="CE64" s="99"/>
      <c r="CF64" s="99"/>
      <c r="CG64" s="51">
        <f t="shared" si="54"/>
        <v>5.54</v>
      </c>
      <c r="CH64" s="62">
        <f t="shared" si="55"/>
        <v>5.54</v>
      </c>
      <c r="CI64" s="89"/>
      <c r="CJ64" s="89">
        <v>1982</v>
      </c>
      <c r="CK64" s="89"/>
      <c r="CL64" s="96"/>
      <c r="CM64" s="89">
        <v>100</v>
      </c>
      <c r="CN64" s="89">
        <v>2208</v>
      </c>
      <c r="CO64" s="92"/>
      <c r="CP64" s="101"/>
      <c r="CQ64" s="102">
        <f t="shared" si="101"/>
        <v>4308</v>
      </c>
      <c r="CR64" s="102">
        <f t="shared" si="101"/>
        <v>0</v>
      </c>
      <c r="CS64" s="102">
        <f t="shared" si="101"/>
        <v>0</v>
      </c>
      <c r="CT64" s="92">
        <f t="shared" si="57"/>
        <v>4800</v>
      </c>
      <c r="CU64" s="92">
        <f t="shared" si="102"/>
        <v>0</v>
      </c>
      <c r="CV64" s="103">
        <f t="shared" si="102"/>
        <v>0</v>
      </c>
      <c r="CW64" s="104" t="s">
        <v>147</v>
      </c>
      <c r="CX64" s="105">
        <v>8</v>
      </c>
      <c r="CY64" s="106">
        <f t="shared" si="59"/>
        <v>5130</v>
      </c>
      <c r="CZ64" s="106">
        <f t="shared" si="60"/>
        <v>32.400000000000006</v>
      </c>
      <c r="DA64" s="106"/>
      <c r="DB64" s="106"/>
      <c r="DC64" s="105"/>
      <c r="DD64" s="107"/>
      <c r="DE64" s="92">
        <f t="shared" si="21"/>
        <v>4308</v>
      </c>
      <c r="DF64" s="108">
        <f t="shared" si="22"/>
        <v>9</v>
      </c>
      <c r="DG64" s="112">
        <f t="shared" si="23"/>
        <v>42.695652173912762</v>
      </c>
      <c r="DH64" s="110">
        <f t="shared" si="24"/>
        <v>4800</v>
      </c>
      <c r="DI64" s="108">
        <f t="shared" si="25"/>
        <v>10.459999999999999</v>
      </c>
      <c r="DJ64" s="112">
        <f t="shared" si="26"/>
        <v>-158.04000000000048</v>
      </c>
      <c r="DK64" s="110">
        <f t="shared" si="86"/>
        <v>9108</v>
      </c>
      <c r="DL64" s="108">
        <f t="shared" si="86"/>
        <v>19.46</v>
      </c>
      <c r="DM64" s="111">
        <f t="shared" si="86"/>
        <v>-115.34434782608771</v>
      </c>
      <c r="DN64" s="76">
        <f t="shared" si="89"/>
        <v>9</v>
      </c>
      <c r="DO64" s="76">
        <f t="shared" si="89"/>
        <v>21</v>
      </c>
      <c r="DP64" s="112"/>
      <c r="DQ64" s="112"/>
      <c r="DR64" s="113" t="s">
        <v>455</v>
      </c>
      <c r="DS64" s="112"/>
      <c r="DT64" s="112"/>
      <c r="DU64" s="111"/>
      <c r="DV64" s="114"/>
      <c r="DW64" s="80">
        <f t="shared" si="110"/>
        <v>19.46</v>
      </c>
      <c r="DX64" s="81">
        <f t="shared" si="29"/>
        <v>9012.1156521739122</v>
      </c>
      <c r="DY64" s="80">
        <f t="shared" si="62"/>
        <v>9108</v>
      </c>
      <c r="DZ64" s="82">
        <f t="shared" si="63"/>
        <v>0</v>
      </c>
      <c r="EA64" s="82">
        <f t="shared" si="64"/>
        <v>4.1896800000000001</v>
      </c>
      <c r="EB64" s="82">
        <f t="shared" si="65"/>
        <v>5.5403200000000004</v>
      </c>
      <c r="EC64" s="82">
        <f t="shared" si="108"/>
        <v>5.54</v>
      </c>
      <c r="EF64" s="83">
        <f t="shared" si="107"/>
        <v>-115.34434782608771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1"/>
        <v>TVA2011-T3-6x3-H9B14</v>
      </c>
      <c r="H65" s="46" t="str">
        <f t="shared" si="32"/>
        <v>A2011-T3TV60DH9</v>
      </c>
      <c r="I65" s="46" t="str">
        <f t="shared" si="33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4"/>
        <v>#DIV/0!</v>
      </c>
      <c r="T65" s="51">
        <f>'02.02'!BG65</f>
        <v>7</v>
      </c>
      <c r="U65" s="92">
        <v>13</v>
      </c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4534</v>
      </c>
      <c r="AC65" s="93">
        <f t="shared" si="11"/>
        <v>0</v>
      </c>
      <c r="AD65" s="93">
        <f t="shared" si="12"/>
        <v>36</v>
      </c>
      <c r="AE65" s="93">
        <f t="shared" si="35"/>
        <v>4534</v>
      </c>
      <c r="AF65" s="54">
        <f>AE65+'02.02'!AF65</f>
        <v>9679</v>
      </c>
      <c r="AG65" s="94">
        <f t="shared" si="66"/>
        <v>7</v>
      </c>
      <c r="AH65" s="56">
        <f t="shared" si="13"/>
        <v>0</v>
      </c>
      <c r="AI65" s="93">
        <v>5</v>
      </c>
      <c r="AJ65" s="93">
        <f t="shared" si="67"/>
        <v>0</v>
      </c>
      <c r="AK65" s="95">
        <f t="shared" si="36"/>
        <v>1</v>
      </c>
      <c r="AL65" s="58">
        <f t="shared" si="37"/>
        <v>5</v>
      </c>
      <c r="AM65" s="55">
        <f t="shared" si="68"/>
        <v>15</v>
      </c>
      <c r="AN65" s="93"/>
      <c r="AO65" s="96"/>
      <c r="AP65" s="96"/>
      <c r="AQ65" s="96"/>
      <c r="AR65" s="96"/>
      <c r="AS65" s="96"/>
      <c r="AT65" s="96">
        <f>$CJ65</f>
        <v>632</v>
      </c>
      <c r="AU65" s="96">
        <f t="shared" si="38"/>
        <v>0</v>
      </c>
      <c r="AV65" s="96">
        <f t="shared" si="38"/>
        <v>10</v>
      </c>
      <c r="AW65" s="96">
        <f t="shared" si="39"/>
        <v>642</v>
      </c>
      <c r="AX65" s="96">
        <f t="shared" si="40"/>
        <v>2334</v>
      </c>
      <c r="AY65" s="94">
        <f t="shared" si="69"/>
        <v>32.875</v>
      </c>
      <c r="AZ65" s="94">
        <f t="shared" si="41"/>
        <v>119.54545454545453</v>
      </c>
      <c r="BA65" s="94">
        <f t="shared" si="42"/>
        <v>15</v>
      </c>
      <c r="BB65" s="97">
        <f t="shared" si="43"/>
        <v>0</v>
      </c>
      <c r="BC65" s="93">
        <v>5</v>
      </c>
      <c r="BD65" s="93">
        <f t="shared" si="44"/>
        <v>0</v>
      </c>
      <c r="BE65" s="95">
        <f t="shared" si="45"/>
        <v>1</v>
      </c>
      <c r="BF65" s="58">
        <f t="shared" si="46"/>
        <v>5</v>
      </c>
      <c r="BG65" s="94">
        <f t="shared" si="47"/>
        <v>10</v>
      </c>
      <c r="BH65" s="89"/>
      <c r="BI65" s="89"/>
      <c r="BJ65" s="92"/>
      <c r="BK65" s="89"/>
      <c r="BL65" s="89"/>
      <c r="BM65" s="89"/>
      <c r="BN65" s="92">
        <f>$CN65</f>
        <v>615</v>
      </c>
      <c r="BO65" s="92">
        <f t="shared" si="70"/>
        <v>0</v>
      </c>
      <c r="BP65" s="92">
        <f t="shared" si="70"/>
        <v>0</v>
      </c>
      <c r="BQ65" s="96">
        <f t="shared" si="48"/>
        <v>615</v>
      </c>
      <c r="BR65" s="96">
        <f t="shared" si="49"/>
        <v>2236</v>
      </c>
      <c r="BS65" s="96">
        <f t="shared" si="71"/>
        <v>5.875</v>
      </c>
      <c r="BT65" s="96">
        <f t="shared" si="50"/>
        <v>21.363636363636363</v>
      </c>
      <c r="BU65" s="92">
        <f t="shared" si="16"/>
        <v>4534</v>
      </c>
      <c r="BV65" s="98">
        <f t="shared" si="17"/>
        <v>10</v>
      </c>
      <c r="BW65" s="92">
        <f t="shared" si="18"/>
        <v>140.90909090909091</v>
      </c>
      <c r="BX65" s="98">
        <f t="shared" si="51"/>
        <v>2.4</v>
      </c>
      <c r="BY65" s="61">
        <f t="shared" si="73"/>
        <v>10</v>
      </c>
      <c r="BZ65" s="62">
        <f t="shared" si="52"/>
        <v>10</v>
      </c>
      <c r="CA65" s="98">
        <f t="shared" si="53"/>
        <v>1.2569999999999999</v>
      </c>
      <c r="CB65" s="92">
        <f t="shared" si="98"/>
        <v>4570</v>
      </c>
      <c r="CC65" s="92">
        <f t="shared" si="98"/>
        <v>38.75</v>
      </c>
      <c r="CD65" s="92">
        <f t="shared" si="98"/>
        <v>140.90909090909091</v>
      </c>
      <c r="CE65" s="99"/>
      <c r="CF65" s="99"/>
      <c r="CG65" s="51">
        <f t="shared" si="54"/>
        <v>1.153</v>
      </c>
      <c r="CH65" s="62">
        <f t="shared" si="55"/>
        <v>1.153</v>
      </c>
      <c r="CI65" s="89"/>
      <c r="CJ65" s="89">
        <v>632</v>
      </c>
      <c r="CK65" s="89"/>
      <c r="CL65" s="96">
        <v>10</v>
      </c>
      <c r="CM65" s="89"/>
      <c r="CN65" s="89">
        <v>615</v>
      </c>
      <c r="CO65" s="92"/>
      <c r="CP65" s="101"/>
      <c r="CQ65" s="102">
        <f t="shared" si="101"/>
        <v>2298</v>
      </c>
      <c r="CR65" s="102">
        <f t="shared" si="101"/>
        <v>0</v>
      </c>
      <c r="CS65" s="102">
        <f t="shared" si="101"/>
        <v>36</v>
      </c>
      <c r="CT65" s="92">
        <f t="shared" si="57"/>
        <v>2236</v>
      </c>
      <c r="CU65" s="92">
        <f t="shared" si="102"/>
        <v>0</v>
      </c>
      <c r="CV65" s="103">
        <f t="shared" si="102"/>
        <v>0</v>
      </c>
      <c r="CW65" s="104" t="s">
        <v>147</v>
      </c>
      <c r="CX65" s="105"/>
      <c r="CY65" s="106" t="e">
        <f t="shared" si="59"/>
        <v>#DIV/0!</v>
      </c>
      <c r="CZ65" s="106">
        <f t="shared" si="60"/>
        <v>0</v>
      </c>
      <c r="DA65" s="106"/>
      <c r="DB65" s="106"/>
      <c r="DC65" s="105"/>
      <c r="DD65" s="107"/>
      <c r="DE65" s="92">
        <f t="shared" si="21"/>
        <v>2298</v>
      </c>
      <c r="DF65" s="108">
        <f t="shared" si="22"/>
        <v>5</v>
      </c>
      <c r="DG65" s="115">
        <f t="shared" si="23"/>
        <v>119.54545454545453</v>
      </c>
      <c r="DH65" s="110">
        <f t="shared" si="24"/>
        <v>2236</v>
      </c>
      <c r="DI65" s="108">
        <f t="shared" si="25"/>
        <v>5</v>
      </c>
      <c r="DJ65" s="115">
        <f t="shared" si="26"/>
        <v>21.363636363636363</v>
      </c>
      <c r="DK65" s="110">
        <f t="shared" si="86"/>
        <v>4534</v>
      </c>
      <c r="DL65" s="108">
        <f t="shared" si="86"/>
        <v>10</v>
      </c>
      <c r="DM65" s="111">
        <f t="shared" si="86"/>
        <v>140.90909090909091</v>
      </c>
      <c r="DN65" s="76">
        <f t="shared" si="89"/>
        <v>7</v>
      </c>
      <c r="DO65" s="76">
        <f t="shared" si="89"/>
        <v>13</v>
      </c>
      <c r="DP65" s="112"/>
      <c r="DQ65" s="112"/>
      <c r="DR65" s="113" t="s">
        <v>456</v>
      </c>
      <c r="DS65" s="112"/>
      <c r="DT65" s="112"/>
      <c r="DU65" s="111"/>
      <c r="DV65" s="114"/>
      <c r="DW65" s="80">
        <f t="shared" si="110"/>
        <v>10</v>
      </c>
      <c r="DX65" s="81">
        <f t="shared" si="29"/>
        <v>4684.909090909091</v>
      </c>
      <c r="DY65" s="80">
        <f t="shared" si="62"/>
        <v>4570</v>
      </c>
      <c r="DZ65" s="82">
        <f t="shared" si="63"/>
        <v>9.9000000000000008E-3</v>
      </c>
      <c r="EA65" s="82">
        <f t="shared" si="64"/>
        <v>1.2468500000000002</v>
      </c>
      <c r="EB65" s="82">
        <f t="shared" si="65"/>
        <v>1.1531499999999997</v>
      </c>
      <c r="EC65" s="82">
        <f t="shared" si="108"/>
        <v>1.153</v>
      </c>
      <c r="EF65" s="83">
        <f t="shared" si="107"/>
        <v>140.90909090909091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1"/>
        <v>GAA5052-5.7x3-H9A14</v>
      </c>
      <c r="H66" s="46" t="str">
        <f t="shared" si="32"/>
        <v>A5052GA5.70DH9</v>
      </c>
      <c r="I66" s="46" t="str">
        <f t="shared" si="33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4"/>
        <v>52</v>
      </c>
      <c r="T66" s="51">
        <f>'02.02'!BG66</f>
        <v>12.25</v>
      </c>
      <c r="U66" s="92">
        <v>13</v>
      </c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3120</v>
      </c>
      <c r="AC66" s="93">
        <f t="shared" si="11"/>
        <v>0</v>
      </c>
      <c r="AD66" s="93">
        <f t="shared" si="12"/>
        <v>66</v>
      </c>
      <c r="AE66" s="93">
        <f t="shared" si="35"/>
        <v>3120</v>
      </c>
      <c r="AF66" s="54">
        <f>AE66+'02.02'!AF66</f>
        <v>9146</v>
      </c>
      <c r="AG66" s="94">
        <f t="shared" si="66"/>
        <v>12.25</v>
      </c>
      <c r="AH66" s="56">
        <f t="shared" si="13"/>
        <v>0.25</v>
      </c>
      <c r="AI66" s="93">
        <v>6</v>
      </c>
      <c r="AJ66" s="93">
        <f t="shared" si="67"/>
        <v>0</v>
      </c>
      <c r="AK66" s="95">
        <f t="shared" si="36"/>
        <v>1</v>
      </c>
      <c r="AL66" s="58">
        <f t="shared" si="37"/>
        <v>6.25</v>
      </c>
      <c r="AM66" s="55">
        <f t="shared" si="68"/>
        <v>19</v>
      </c>
      <c r="AN66" s="93"/>
      <c r="AO66" s="96"/>
      <c r="AP66" s="96"/>
      <c r="AQ66" s="96"/>
      <c r="AR66" s="96"/>
      <c r="AS66" s="96"/>
      <c r="AT66" s="96">
        <f>$CJ66</f>
        <v>220</v>
      </c>
      <c r="AU66" s="96">
        <f t="shared" si="38"/>
        <v>0</v>
      </c>
      <c r="AV66" s="96">
        <f t="shared" si="38"/>
        <v>10</v>
      </c>
      <c r="AW66" s="96">
        <f t="shared" si="39"/>
        <v>230</v>
      </c>
      <c r="AX66" s="96">
        <f t="shared" si="40"/>
        <v>1533</v>
      </c>
      <c r="AY66" s="94">
        <f t="shared" si="69"/>
        <v>5</v>
      </c>
      <c r="AZ66" s="94">
        <f t="shared" si="41"/>
        <v>33.333333333333336</v>
      </c>
      <c r="BA66" s="94">
        <f t="shared" si="42"/>
        <v>19</v>
      </c>
      <c r="BB66" s="97">
        <f t="shared" si="43"/>
        <v>0</v>
      </c>
      <c r="BC66" s="93">
        <v>7</v>
      </c>
      <c r="BD66" s="93">
        <f t="shared" si="44"/>
        <v>0</v>
      </c>
      <c r="BE66" s="95">
        <f t="shared" si="45"/>
        <v>1</v>
      </c>
      <c r="BF66" s="58">
        <f t="shared" si="46"/>
        <v>7</v>
      </c>
      <c r="BG66" s="94">
        <f t="shared" si="47"/>
        <v>12</v>
      </c>
      <c r="BH66" s="89"/>
      <c r="BI66" s="89"/>
      <c r="BJ66" s="89"/>
      <c r="BK66" s="92"/>
      <c r="BL66" s="89"/>
      <c r="BM66" s="92"/>
      <c r="BN66" s="92">
        <f>$CN66</f>
        <v>248</v>
      </c>
      <c r="BO66" s="92">
        <f t="shared" si="70"/>
        <v>0</v>
      </c>
      <c r="BP66" s="92">
        <f t="shared" si="70"/>
        <v>0</v>
      </c>
      <c r="BQ66" s="96">
        <f t="shared" si="48"/>
        <v>248</v>
      </c>
      <c r="BR66" s="96">
        <f t="shared" si="49"/>
        <v>1653</v>
      </c>
      <c r="BS66" s="96">
        <f t="shared" si="71"/>
        <v>-4</v>
      </c>
      <c r="BT66" s="96">
        <f t="shared" si="50"/>
        <v>-26.666666666666668</v>
      </c>
      <c r="BU66" s="92">
        <f t="shared" si="16"/>
        <v>3120</v>
      </c>
      <c r="BV66" s="98">
        <f t="shared" si="17"/>
        <v>13.25</v>
      </c>
      <c r="BW66" s="92">
        <f t="shared" si="18"/>
        <v>6.6666666666666679</v>
      </c>
      <c r="BX66" s="98">
        <f t="shared" si="51"/>
        <v>2.7029999999999998</v>
      </c>
      <c r="BY66" s="61">
        <f t="shared" si="73"/>
        <v>13.25</v>
      </c>
      <c r="BZ66" s="62">
        <f t="shared" si="52"/>
        <v>13.25</v>
      </c>
      <c r="CA66" s="98">
        <f t="shared" si="53"/>
        <v>0.47799999999999998</v>
      </c>
      <c r="CB66" s="92">
        <f t="shared" si="98"/>
        <v>3186</v>
      </c>
      <c r="CC66" s="92">
        <f t="shared" si="98"/>
        <v>1</v>
      </c>
      <c r="CD66" s="92">
        <f t="shared" si="98"/>
        <v>6.6666666666666679</v>
      </c>
      <c r="CE66" s="99" t="s">
        <v>2</v>
      </c>
      <c r="CF66" s="99"/>
      <c r="CG66" s="51">
        <f t="shared" si="54"/>
        <v>2.2349999999999994</v>
      </c>
      <c r="CH66" s="62">
        <f t="shared" si="55"/>
        <v>2.2349999999999994</v>
      </c>
      <c r="CI66" s="89"/>
      <c r="CJ66" s="89">
        <v>220</v>
      </c>
      <c r="CK66" s="89"/>
      <c r="CL66" s="96">
        <v>10</v>
      </c>
      <c r="CM66" s="89"/>
      <c r="CN66" s="89">
        <v>248</v>
      </c>
      <c r="CO66" s="92"/>
      <c r="CP66" s="101"/>
      <c r="CQ66" s="102">
        <f t="shared" si="101"/>
        <v>1466</v>
      </c>
      <c r="CR66" s="102">
        <f t="shared" si="101"/>
        <v>0</v>
      </c>
      <c r="CS66" s="102">
        <f t="shared" si="101"/>
        <v>66</v>
      </c>
      <c r="CT66" s="92">
        <f t="shared" si="57"/>
        <v>1654</v>
      </c>
      <c r="CU66" s="92">
        <f t="shared" si="102"/>
        <v>0</v>
      </c>
      <c r="CV66" s="103">
        <f t="shared" si="102"/>
        <v>0</v>
      </c>
      <c r="CW66" s="104" t="s">
        <v>147</v>
      </c>
      <c r="CX66" s="105">
        <v>6</v>
      </c>
      <c r="CY66" s="106">
        <f t="shared" si="59"/>
        <v>6300</v>
      </c>
      <c r="CZ66" s="106">
        <f t="shared" si="60"/>
        <v>24.3</v>
      </c>
      <c r="DA66" s="106"/>
      <c r="DB66" s="106"/>
      <c r="DC66" s="105"/>
      <c r="DD66" s="107"/>
      <c r="DE66" s="92">
        <f t="shared" si="21"/>
        <v>1466</v>
      </c>
      <c r="DF66" s="108">
        <f t="shared" si="22"/>
        <v>6.25</v>
      </c>
      <c r="DG66" s="115">
        <f t="shared" si="23"/>
        <v>33.333333333333336</v>
      </c>
      <c r="DH66" s="110">
        <f t="shared" si="24"/>
        <v>1654</v>
      </c>
      <c r="DI66" s="108">
        <f t="shared" si="25"/>
        <v>7</v>
      </c>
      <c r="DJ66" s="112">
        <f t="shared" si="26"/>
        <v>-26.666666666666668</v>
      </c>
      <c r="DK66" s="110">
        <f t="shared" si="86"/>
        <v>3120</v>
      </c>
      <c r="DL66" s="108">
        <f t="shared" si="86"/>
        <v>13.25</v>
      </c>
      <c r="DM66" s="111">
        <f t="shared" si="86"/>
        <v>6.6666666666666679</v>
      </c>
      <c r="DN66" s="76">
        <f t="shared" si="89"/>
        <v>12.25</v>
      </c>
      <c r="DO66" s="76">
        <f t="shared" si="89"/>
        <v>13</v>
      </c>
      <c r="DP66" s="112"/>
      <c r="DQ66" s="112"/>
      <c r="DR66" s="113" t="s">
        <v>457</v>
      </c>
      <c r="DS66" s="112"/>
      <c r="DT66" s="112"/>
      <c r="DU66" s="111"/>
      <c r="DV66" s="114"/>
      <c r="DW66" s="80">
        <f t="shared" si="61"/>
        <v>3133.25</v>
      </c>
      <c r="DX66" s="81">
        <f t="shared" si="29"/>
        <v>3139.9166666666665</v>
      </c>
      <c r="DY66" s="80">
        <f t="shared" si="62"/>
        <v>3186</v>
      </c>
      <c r="DZ66" s="82">
        <f t="shared" si="63"/>
        <v>9.9000000000000008E-3</v>
      </c>
      <c r="EA66" s="82">
        <f t="shared" si="64"/>
        <v>0.46800000000000003</v>
      </c>
      <c r="EB66" s="82">
        <f t="shared" si="65"/>
        <v>2.2349999999999999</v>
      </c>
      <c r="EC66" s="82">
        <f t="shared" si="75"/>
        <v>2.2448999999999999</v>
      </c>
      <c r="EF66" s="83">
        <f t="shared" si="107"/>
        <v>6.6666666666666679</v>
      </c>
    </row>
    <row r="67" spans="1:136" ht="14.1" customHeight="1">
      <c r="A67" s="84">
        <v>60</v>
      </c>
      <c r="B67" s="147" t="s">
        <v>309</v>
      </c>
      <c r="C67" s="148"/>
      <c r="D67" s="172" t="s">
        <v>310</v>
      </c>
      <c r="E67" s="149">
        <v>175</v>
      </c>
      <c r="F67" s="150" t="s">
        <v>147</v>
      </c>
      <c r="G67" s="45" t="str">
        <f t="shared" si="31"/>
        <v>IBC3604-H7x3-H11C14</v>
      </c>
      <c r="H67" s="46" t="str">
        <f t="shared" si="32"/>
        <v>C3604IB70HH11</v>
      </c>
      <c r="I67" s="46" t="str">
        <f t="shared" si="33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4"/>
        <v>30</v>
      </c>
      <c r="T67" s="51">
        <f>'02.02'!BG67</f>
        <v>0</v>
      </c>
      <c r="U67" s="146"/>
      <c r="V67" s="100">
        <v>2.44</v>
      </c>
      <c r="W67" s="151">
        <f t="shared" si="5"/>
        <v>0</v>
      </c>
      <c r="X67" s="151">
        <f t="shared" si="6"/>
        <v>0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5"/>
        <v>0</v>
      </c>
      <c r="AF67" s="54">
        <f>AE67+'02.02'!AF67</f>
        <v>0</v>
      </c>
      <c r="AG67" s="94">
        <f t="shared" si="66"/>
        <v>0</v>
      </c>
      <c r="AH67" s="56">
        <f t="shared" si="13"/>
        <v>0</v>
      </c>
      <c r="AI67" s="151"/>
      <c r="AJ67" s="93">
        <f t="shared" si="67"/>
        <v>0</v>
      </c>
      <c r="AK67" s="95">
        <f t="shared" si="36"/>
        <v>1</v>
      </c>
      <c r="AL67" s="58">
        <f t="shared" si="37"/>
        <v>0</v>
      </c>
      <c r="AM67" s="55">
        <f t="shared" si="68"/>
        <v>0</v>
      </c>
      <c r="AN67" s="151"/>
      <c r="AO67" s="145"/>
      <c r="AP67" s="145">
        <f>$CJ67</f>
        <v>0</v>
      </c>
      <c r="AQ67" s="145"/>
      <c r="AR67" s="145"/>
      <c r="AS67" s="145"/>
      <c r="AT67" s="145"/>
      <c r="AU67" s="145">
        <f t="shared" si="38"/>
        <v>0</v>
      </c>
      <c r="AV67" s="145">
        <f t="shared" si="38"/>
        <v>0</v>
      </c>
      <c r="AW67" s="145">
        <f t="shared" si="39"/>
        <v>0</v>
      </c>
      <c r="AX67" s="145">
        <f t="shared" si="40"/>
        <v>0</v>
      </c>
      <c r="AY67" s="94">
        <f t="shared" si="69"/>
        <v>0</v>
      </c>
      <c r="AZ67" s="94">
        <f t="shared" si="41"/>
        <v>0</v>
      </c>
      <c r="BA67" s="94">
        <f t="shared" si="42"/>
        <v>0</v>
      </c>
      <c r="BB67" s="97">
        <f t="shared" si="43"/>
        <v>0</v>
      </c>
      <c r="BC67" s="151"/>
      <c r="BD67" s="93">
        <f t="shared" si="44"/>
        <v>0</v>
      </c>
      <c r="BE67" s="152">
        <f t="shared" si="45"/>
        <v>1</v>
      </c>
      <c r="BF67" s="58">
        <f t="shared" si="46"/>
        <v>0</v>
      </c>
      <c r="BG67" s="94">
        <f t="shared" si="47"/>
        <v>0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0"/>
        <v>0</v>
      </c>
      <c r="BP67" s="146">
        <f t="shared" si="70"/>
        <v>0</v>
      </c>
      <c r="BQ67" s="145">
        <f t="shared" si="48"/>
        <v>0</v>
      </c>
      <c r="BR67" s="145">
        <f t="shared" si="49"/>
        <v>0</v>
      </c>
      <c r="BS67" s="96">
        <f t="shared" si="71"/>
        <v>0</v>
      </c>
      <c r="BT67" s="145">
        <f t="shared" si="50"/>
        <v>0</v>
      </c>
      <c r="BU67" s="146">
        <f t="shared" si="16"/>
        <v>0</v>
      </c>
      <c r="BV67" s="153">
        <f t="shared" si="17"/>
        <v>0</v>
      </c>
      <c r="BW67" s="146">
        <f t="shared" si="18"/>
        <v>0</v>
      </c>
      <c r="BX67" s="153">
        <f t="shared" si="51"/>
        <v>0</v>
      </c>
      <c r="BY67" s="61">
        <f t="shared" si="73"/>
        <v>0</v>
      </c>
      <c r="BZ67" s="62">
        <f t="shared" si="52"/>
        <v>0</v>
      </c>
      <c r="CA67" s="153">
        <f t="shared" si="53"/>
        <v>0</v>
      </c>
      <c r="CB67" s="146">
        <f t="shared" si="98"/>
        <v>0</v>
      </c>
      <c r="CC67" s="146">
        <f t="shared" si="98"/>
        <v>0</v>
      </c>
      <c r="CD67" s="146">
        <f t="shared" si="98"/>
        <v>0</v>
      </c>
      <c r="CE67" s="150"/>
      <c r="CF67" s="150"/>
      <c r="CG67" s="51">
        <f t="shared" si="54"/>
        <v>0</v>
      </c>
      <c r="CH67" s="62">
        <f t="shared" si="55"/>
        <v>0</v>
      </c>
      <c r="CI67" s="150"/>
      <c r="CJ67" s="150"/>
      <c r="CK67" s="150"/>
      <c r="CL67" s="145"/>
      <c r="CM67" s="150"/>
      <c r="CN67" s="150"/>
      <c r="CO67" s="146"/>
      <c r="CP67" s="154"/>
      <c r="CQ67" s="102">
        <f t="shared" si="101"/>
        <v>0</v>
      </c>
      <c r="CR67" s="102">
        <f t="shared" si="101"/>
        <v>0</v>
      </c>
      <c r="CS67" s="102">
        <f t="shared" si="101"/>
        <v>0</v>
      </c>
      <c r="CT67" s="92">
        <f t="shared" si="57"/>
        <v>0</v>
      </c>
      <c r="CU67" s="92">
        <f t="shared" si="102"/>
        <v>0</v>
      </c>
      <c r="CV67" s="103">
        <f t="shared" si="102"/>
        <v>0</v>
      </c>
      <c r="CW67" s="155" t="s">
        <v>147</v>
      </c>
      <c r="CX67" s="156">
        <v>15</v>
      </c>
      <c r="CY67" s="157">
        <f t="shared" si="59"/>
        <v>2676</v>
      </c>
      <c r="CZ67" s="157">
        <f t="shared" si="60"/>
        <v>60.750000000000007</v>
      </c>
      <c r="DA67" s="157"/>
      <c r="DB67" s="157"/>
      <c r="DC67" s="156"/>
      <c r="DD67" s="158"/>
      <c r="DE67" s="92">
        <f t="shared" si="21"/>
        <v>0</v>
      </c>
      <c r="DF67" s="108">
        <f t="shared" si="22"/>
        <v>0</v>
      </c>
      <c r="DG67" s="115">
        <f t="shared" si="23"/>
        <v>0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6"/>
        <v>0</v>
      </c>
      <c r="DL67" s="108">
        <f t="shared" si="86"/>
        <v>0</v>
      </c>
      <c r="DM67" s="111">
        <f t="shared" si="86"/>
        <v>0</v>
      </c>
      <c r="DN67" s="76">
        <f t="shared" si="89"/>
        <v>0</v>
      </c>
      <c r="DO67" s="76">
        <f t="shared" si="89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11">IFERROR(AL67+BF67,"")</f>
        <v>0</v>
      </c>
      <c r="DX67" s="159">
        <f t="shared" si="29"/>
        <v>0</v>
      </c>
      <c r="DY67" s="80">
        <f t="shared" si="62"/>
        <v>0</v>
      </c>
      <c r="DZ67" s="82">
        <f t="shared" si="63"/>
        <v>0</v>
      </c>
      <c r="EA67" s="82">
        <f t="shared" si="64"/>
        <v>0</v>
      </c>
      <c r="EB67" s="82">
        <f t="shared" si="65"/>
        <v>0</v>
      </c>
      <c r="EC67" s="82">
        <f>(BX67-CA67)+((AV67+BP67)/1000)</f>
        <v>0</v>
      </c>
      <c r="EF67" s="83">
        <f t="shared" si="107"/>
        <v>0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1"/>
        <v>TVA2011-T3-6.35x3-H9A14</v>
      </c>
      <c r="H68" s="46" t="str">
        <f t="shared" si="32"/>
        <v>A2011-T3TV6.350DH9</v>
      </c>
      <c r="I68" s="46" t="str">
        <f t="shared" si="33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4"/>
        <v>8</v>
      </c>
      <c r="T68" s="51">
        <f>'02.02'!BG68</f>
        <v>6.07</v>
      </c>
      <c r="U68" s="92">
        <v>24</v>
      </c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11548</v>
      </c>
      <c r="AC68" s="93">
        <f t="shared" si="11"/>
        <v>0</v>
      </c>
      <c r="AD68" s="93">
        <f t="shared" si="12"/>
        <v>0</v>
      </c>
      <c r="AE68" s="93">
        <f t="shared" si="35"/>
        <v>11548</v>
      </c>
      <c r="AF68" s="54">
        <f>AE68+'02.02'!AF68</f>
        <v>33239</v>
      </c>
      <c r="AG68" s="94">
        <f t="shared" si="66"/>
        <v>6.07</v>
      </c>
      <c r="AH68" s="56">
        <f t="shared" si="13"/>
        <v>7.0000000000000007E-2</v>
      </c>
      <c r="AI68" s="93">
        <v>13</v>
      </c>
      <c r="AJ68" s="93">
        <f t="shared" si="67"/>
        <v>0</v>
      </c>
      <c r="AK68" s="95">
        <f t="shared" si="36"/>
        <v>1</v>
      </c>
      <c r="AL68" s="58">
        <f t="shared" si="37"/>
        <v>13.07</v>
      </c>
      <c r="AM68" s="55">
        <f t="shared" si="68"/>
        <v>17</v>
      </c>
      <c r="AN68" s="93"/>
      <c r="AO68" s="96"/>
      <c r="AP68" s="96"/>
      <c r="AQ68" s="96"/>
      <c r="AR68" s="96"/>
      <c r="AS68" s="96"/>
      <c r="AT68" s="96">
        <f t="shared" ref="AT68:AT73" si="112">$CJ68</f>
        <v>2300</v>
      </c>
      <c r="AU68" s="96">
        <f t="shared" si="38"/>
        <v>0</v>
      </c>
      <c r="AV68" s="96">
        <f t="shared" si="38"/>
        <v>0</v>
      </c>
      <c r="AW68" s="96">
        <f t="shared" si="39"/>
        <v>2300</v>
      </c>
      <c r="AX68" s="96">
        <f t="shared" si="40"/>
        <v>5837</v>
      </c>
      <c r="AY68" s="94">
        <f t="shared" si="69"/>
        <v>29.035219999999754</v>
      </c>
      <c r="AZ68" s="94">
        <f t="shared" si="41"/>
        <v>73.693451776649113</v>
      </c>
      <c r="BA68" s="94">
        <f t="shared" si="42"/>
        <v>17</v>
      </c>
      <c r="BB68" s="97">
        <f t="shared" si="43"/>
        <v>0</v>
      </c>
      <c r="BC68" s="93">
        <v>13</v>
      </c>
      <c r="BD68" s="93">
        <f t="shared" si="44"/>
        <v>0</v>
      </c>
      <c r="BE68" s="95">
        <f t="shared" si="45"/>
        <v>1</v>
      </c>
      <c r="BF68" s="58">
        <f t="shared" si="46"/>
        <v>13</v>
      </c>
      <c r="BG68" s="94">
        <f t="shared" si="47"/>
        <v>4</v>
      </c>
      <c r="BH68" s="89"/>
      <c r="BI68" s="89"/>
      <c r="BJ68" s="92"/>
      <c r="BK68" s="89"/>
      <c r="BL68" s="89"/>
      <c r="BM68" s="89"/>
      <c r="BN68" s="92">
        <f t="shared" ref="BN68:BN73" si="113">$CN68</f>
        <v>2250</v>
      </c>
      <c r="BO68" s="92">
        <f t="shared" si="70"/>
        <v>0</v>
      </c>
      <c r="BP68" s="92">
        <f t="shared" si="70"/>
        <v>0</v>
      </c>
      <c r="BQ68" s="96">
        <f t="shared" si="48"/>
        <v>2250</v>
      </c>
      <c r="BR68" s="96">
        <f t="shared" si="49"/>
        <v>5710</v>
      </c>
      <c r="BS68" s="96">
        <f t="shared" si="71"/>
        <v>-8.8020000000001346</v>
      </c>
      <c r="BT68" s="96">
        <f t="shared" si="50"/>
        <v>-22.340101522842982</v>
      </c>
      <c r="BU68" s="92">
        <f t="shared" si="16"/>
        <v>11548</v>
      </c>
      <c r="BV68" s="98">
        <f t="shared" si="17"/>
        <v>26.07</v>
      </c>
      <c r="BW68" s="92">
        <f t="shared" si="18"/>
        <v>51.353350253806127</v>
      </c>
      <c r="BX68" s="98">
        <f t="shared" si="51"/>
        <v>6.7782</v>
      </c>
      <c r="BY68" s="61">
        <f t="shared" si="73"/>
        <v>26.07</v>
      </c>
      <c r="BZ68" s="62">
        <f t="shared" si="52"/>
        <v>26.07</v>
      </c>
      <c r="CA68" s="98">
        <f t="shared" si="53"/>
        <v>4.55</v>
      </c>
      <c r="CB68" s="92">
        <f t="shared" si="98"/>
        <v>11547</v>
      </c>
      <c r="CC68" s="92">
        <f t="shared" si="98"/>
        <v>20.233219999999619</v>
      </c>
      <c r="CD68" s="92">
        <f t="shared" si="98"/>
        <v>51.353350253806127</v>
      </c>
      <c r="CE68" s="99"/>
      <c r="CF68" s="99"/>
      <c r="CG68" s="51">
        <f t="shared" si="54"/>
        <v>2.2282000000000002</v>
      </c>
      <c r="CH68" s="62">
        <f t="shared" si="55"/>
        <v>2.2282000000000002</v>
      </c>
      <c r="CI68" s="89"/>
      <c r="CJ68" s="89">
        <v>2300</v>
      </c>
      <c r="CK68" s="89"/>
      <c r="CL68" s="96"/>
      <c r="CM68" s="89"/>
      <c r="CN68" s="89">
        <v>2250</v>
      </c>
      <c r="CO68" s="92"/>
      <c r="CP68" s="101"/>
      <c r="CQ68" s="102">
        <f t="shared" si="101"/>
        <v>5837</v>
      </c>
      <c r="CR68" s="102">
        <f t="shared" si="101"/>
        <v>0</v>
      </c>
      <c r="CS68" s="102">
        <f t="shared" si="101"/>
        <v>0</v>
      </c>
      <c r="CT68" s="92">
        <f t="shared" si="57"/>
        <v>5711</v>
      </c>
      <c r="CU68" s="92">
        <f t="shared" si="102"/>
        <v>0</v>
      </c>
      <c r="CV68" s="103">
        <f t="shared" si="102"/>
        <v>0</v>
      </c>
      <c r="CW68" s="104" t="s">
        <v>147</v>
      </c>
      <c r="CX68" s="105">
        <v>23.98</v>
      </c>
      <c r="CY68" s="106">
        <f t="shared" si="59"/>
        <v>1763</v>
      </c>
      <c r="CZ68" s="106">
        <f t="shared" si="60"/>
        <v>97.119</v>
      </c>
      <c r="DA68" s="106"/>
      <c r="DB68" s="106"/>
      <c r="DC68" s="105"/>
      <c r="DD68" s="107"/>
      <c r="DE68" s="92">
        <f t="shared" si="21"/>
        <v>5837</v>
      </c>
      <c r="DF68" s="108">
        <f t="shared" si="22"/>
        <v>13.07</v>
      </c>
      <c r="DG68" s="115">
        <f t="shared" si="23"/>
        <v>73.693451776649113</v>
      </c>
      <c r="DH68" s="110">
        <f t="shared" si="24"/>
        <v>5711</v>
      </c>
      <c r="DI68" s="108">
        <f t="shared" si="25"/>
        <v>13</v>
      </c>
      <c r="DJ68" s="115">
        <f t="shared" si="26"/>
        <v>-22.340101522842982</v>
      </c>
      <c r="DK68" s="110">
        <f t="shared" si="86"/>
        <v>11548</v>
      </c>
      <c r="DL68" s="108">
        <f t="shared" si="86"/>
        <v>26.07</v>
      </c>
      <c r="DM68" s="111">
        <f t="shared" si="86"/>
        <v>51.353350253806127</v>
      </c>
      <c r="DN68" s="76">
        <f t="shared" si="89"/>
        <v>6.07</v>
      </c>
      <c r="DO68" s="76">
        <f t="shared" si="89"/>
        <v>24</v>
      </c>
      <c r="DP68" s="112"/>
      <c r="DQ68" s="112"/>
      <c r="DR68" s="113" t="s">
        <v>458</v>
      </c>
      <c r="DS68" s="112"/>
      <c r="DT68" s="112"/>
      <c r="DU68" s="111"/>
      <c r="DV68" s="114"/>
      <c r="DW68" s="80">
        <f t="shared" si="111"/>
        <v>26.07</v>
      </c>
      <c r="DX68" s="81">
        <f t="shared" si="29"/>
        <v>11625.423350253806</v>
      </c>
      <c r="DY68" s="80">
        <f t="shared" si="62"/>
        <v>11548</v>
      </c>
      <c r="DZ68" s="82">
        <f t="shared" si="63"/>
        <v>0</v>
      </c>
      <c r="EA68" s="82">
        <f t="shared" si="64"/>
        <v>4.549912</v>
      </c>
      <c r="EB68" s="82">
        <f t="shared" si="65"/>
        <v>2.228288</v>
      </c>
      <c r="EC68" s="82">
        <f t="shared" si="75"/>
        <v>2.228288</v>
      </c>
      <c r="EF68" s="83">
        <f t="shared" si="107"/>
        <v>51.353350253806127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1"/>
        <v>GAA5052-5.7x3-H9A14</v>
      </c>
      <c r="H69" s="46" t="str">
        <f t="shared" si="32"/>
        <v>A5052GA5.70DH9</v>
      </c>
      <c r="I69" s="46" t="str">
        <f t="shared" si="33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4"/>
        <v>20</v>
      </c>
      <c r="T69" s="51">
        <v>12</v>
      </c>
      <c r="U69" s="92">
        <v>13</v>
      </c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2866</v>
      </c>
      <c r="AC69" s="93">
        <f t="shared" si="11"/>
        <v>0</v>
      </c>
      <c r="AD69" s="93">
        <f t="shared" si="12"/>
        <v>200</v>
      </c>
      <c r="AE69" s="93">
        <f t="shared" si="35"/>
        <v>2866</v>
      </c>
      <c r="AF69" s="54">
        <f>AE69+'02.02'!AF69</f>
        <v>8779</v>
      </c>
      <c r="AG69" s="94">
        <f t="shared" si="66"/>
        <v>12</v>
      </c>
      <c r="AH69" s="56">
        <f t="shared" si="13"/>
        <v>0</v>
      </c>
      <c r="AI69" s="93">
        <v>6</v>
      </c>
      <c r="AJ69" s="93">
        <f t="shared" si="67"/>
        <v>0</v>
      </c>
      <c r="AK69" s="95">
        <f t="shared" si="36"/>
        <v>1</v>
      </c>
      <c r="AL69" s="58">
        <f t="shared" si="37"/>
        <v>6</v>
      </c>
      <c r="AM69" s="55">
        <f t="shared" si="68"/>
        <v>19</v>
      </c>
      <c r="AN69" s="93"/>
      <c r="AO69" s="96"/>
      <c r="AP69" s="96"/>
      <c r="AQ69" s="96"/>
      <c r="AR69" s="96"/>
      <c r="AS69" s="96"/>
      <c r="AT69" s="96">
        <f t="shared" si="112"/>
        <v>220</v>
      </c>
      <c r="AU69" s="96">
        <f t="shared" si="38"/>
        <v>0</v>
      </c>
      <c r="AV69" s="96">
        <f t="shared" si="38"/>
        <v>20</v>
      </c>
      <c r="AW69" s="96">
        <f t="shared" si="39"/>
        <v>240</v>
      </c>
      <c r="AX69" s="96">
        <f t="shared" si="40"/>
        <v>1600</v>
      </c>
      <c r="AY69" s="94">
        <f t="shared" si="69"/>
        <v>24</v>
      </c>
      <c r="AZ69" s="94">
        <f t="shared" si="41"/>
        <v>160</v>
      </c>
      <c r="BA69" s="94">
        <f t="shared" si="42"/>
        <v>19</v>
      </c>
      <c r="BB69" s="97">
        <f t="shared" si="43"/>
        <v>0</v>
      </c>
      <c r="BC69" s="93">
        <v>7</v>
      </c>
      <c r="BD69" s="93">
        <f t="shared" si="44"/>
        <v>7</v>
      </c>
      <c r="BE69" s="95">
        <f t="shared" si="45"/>
        <v>0.19444444444444448</v>
      </c>
      <c r="BF69" s="58">
        <f t="shared" si="46"/>
        <v>6.2</v>
      </c>
      <c r="BG69" s="94">
        <f t="shared" si="47"/>
        <v>12.8</v>
      </c>
      <c r="BH69" s="89"/>
      <c r="BI69" s="89"/>
      <c r="BJ69" s="89"/>
      <c r="BK69" s="89"/>
      <c r="BL69" s="89"/>
      <c r="BM69" s="89"/>
      <c r="BN69" s="92">
        <f t="shared" si="113"/>
        <v>210</v>
      </c>
      <c r="BO69" s="92">
        <f t="shared" si="70"/>
        <v>0</v>
      </c>
      <c r="BP69" s="92">
        <f t="shared" si="70"/>
        <v>10</v>
      </c>
      <c r="BQ69" s="96">
        <f t="shared" si="48"/>
        <v>220</v>
      </c>
      <c r="BR69" s="96">
        <f t="shared" si="49"/>
        <v>1466</v>
      </c>
      <c r="BS69" s="96">
        <f t="shared" si="71"/>
        <v>-3.1999999999999886</v>
      </c>
      <c r="BT69" s="96">
        <f>IF($V69="","",BS69/$V69)</f>
        <v>-21.333333333333258</v>
      </c>
      <c r="BU69" s="92">
        <f t="shared" si="16"/>
        <v>2866</v>
      </c>
      <c r="BV69" s="98">
        <f t="shared" si="17"/>
        <v>12.2</v>
      </c>
      <c r="BW69" s="92">
        <f t="shared" si="18"/>
        <v>138.66666666666674</v>
      </c>
      <c r="BX69" s="98">
        <f t="shared" si="51"/>
        <v>2.4887999999999999</v>
      </c>
      <c r="BY69" s="61">
        <f t="shared" si="73"/>
        <v>12.2</v>
      </c>
      <c r="BZ69" s="62">
        <f t="shared" si="52"/>
        <v>12.2</v>
      </c>
      <c r="CA69" s="98">
        <f t="shared" si="53"/>
        <v>0.46</v>
      </c>
      <c r="CB69" s="92">
        <f t="shared" si="98"/>
        <v>3066</v>
      </c>
      <c r="CC69" s="92">
        <f t="shared" si="98"/>
        <v>20.800000000000011</v>
      </c>
      <c r="CD69" s="92">
        <f t="shared" si="98"/>
        <v>138.66666666666674</v>
      </c>
      <c r="CE69" s="99"/>
      <c r="CF69" s="99"/>
      <c r="CG69" s="51">
        <f t="shared" si="54"/>
        <v>2.0587999999999997</v>
      </c>
      <c r="CH69" s="62">
        <f t="shared" si="55"/>
        <v>2.0587999999999997</v>
      </c>
      <c r="CI69" s="89"/>
      <c r="CJ69" s="89">
        <v>220</v>
      </c>
      <c r="CK69" s="89"/>
      <c r="CL69" s="96">
        <v>20</v>
      </c>
      <c r="CM69" s="89">
        <v>7</v>
      </c>
      <c r="CN69" s="89">
        <v>210</v>
      </c>
      <c r="CO69" s="92"/>
      <c r="CP69" s="101">
        <v>10</v>
      </c>
      <c r="CQ69" s="102">
        <f t="shared" si="101"/>
        <v>1466</v>
      </c>
      <c r="CR69" s="102">
        <f t="shared" si="101"/>
        <v>0</v>
      </c>
      <c r="CS69" s="102">
        <f t="shared" si="101"/>
        <v>133</v>
      </c>
      <c r="CT69" s="92">
        <f t="shared" si="57"/>
        <v>1400</v>
      </c>
      <c r="CU69" s="92">
        <f t="shared" si="102"/>
        <v>0</v>
      </c>
      <c r="CV69" s="103">
        <f t="shared" si="102"/>
        <v>67</v>
      </c>
      <c r="CW69" s="104" t="s">
        <v>147</v>
      </c>
      <c r="CX69" s="105">
        <v>16.8</v>
      </c>
      <c r="CY69" s="106">
        <f t="shared" si="59"/>
        <v>2453</v>
      </c>
      <c r="CZ69" s="106">
        <f t="shared" si="60"/>
        <v>68.040000000000006</v>
      </c>
      <c r="DA69" s="106"/>
      <c r="DB69" s="106"/>
      <c r="DC69" s="105"/>
      <c r="DD69" s="107"/>
      <c r="DE69" s="92">
        <f t="shared" si="21"/>
        <v>1466</v>
      </c>
      <c r="DF69" s="108">
        <f t="shared" si="22"/>
        <v>6</v>
      </c>
      <c r="DG69" s="115">
        <f t="shared" si="23"/>
        <v>160</v>
      </c>
      <c r="DH69" s="110">
        <f t="shared" si="24"/>
        <v>1400</v>
      </c>
      <c r="DI69" s="108">
        <f t="shared" si="25"/>
        <v>6.2</v>
      </c>
      <c r="DJ69" s="112">
        <f t="shared" si="26"/>
        <v>-21.333333333333258</v>
      </c>
      <c r="DK69" s="110">
        <f t="shared" si="86"/>
        <v>2866</v>
      </c>
      <c r="DL69" s="108">
        <f t="shared" si="86"/>
        <v>12.2</v>
      </c>
      <c r="DM69" s="111">
        <f t="shared" si="86"/>
        <v>138.66666666666674</v>
      </c>
      <c r="DN69" s="76">
        <f t="shared" si="89"/>
        <v>12</v>
      </c>
      <c r="DO69" s="76">
        <f t="shared" si="89"/>
        <v>13</v>
      </c>
      <c r="DP69" s="112"/>
      <c r="DQ69" s="112"/>
      <c r="DR69" s="113" t="s">
        <v>459</v>
      </c>
      <c r="DS69" s="112"/>
      <c r="DT69" s="112"/>
      <c r="DU69" s="111"/>
      <c r="DV69" s="114"/>
      <c r="DW69" s="80">
        <f t="shared" si="61"/>
        <v>2878.2</v>
      </c>
      <c r="DX69" s="81">
        <f t="shared" si="29"/>
        <v>3016.8666666666668</v>
      </c>
      <c r="DY69" s="80">
        <f t="shared" si="62"/>
        <v>3066</v>
      </c>
      <c r="DZ69" s="82">
        <f t="shared" si="63"/>
        <v>0.03</v>
      </c>
      <c r="EA69" s="82">
        <f t="shared" si="64"/>
        <v>0.4299</v>
      </c>
      <c r="EB69" s="82">
        <f t="shared" si="65"/>
        <v>2.0589</v>
      </c>
      <c r="EC69" s="82">
        <f t="shared" si="75"/>
        <v>2.0888999999999998</v>
      </c>
      <c r="EF69" s="83">
        <f t="shared" si="107"/>
        <v>138.66666666666674</v>
      </c>
    </row>
    <row r="70" spans="1:136" ht="14.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1"/>
        <v>YHC2700-5.5x3-H9A14</v>
      </c>
      <c r="H70" s="46" t="str">
        <f t="shared" si="32"/>
        <v>C2700YH5.50DH9</v>
      </c>
      <c r="I70" s="46" t="str">
        <f t="shared" si="33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4"/>
        <v>24</v>
      </c>
      <c r="T70" s="51">
        <f>'02.02'!BG70</f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>AE70+'02.02'!AF70</f>
        <v>0</v>
      </c>
      <c r="AG70" s="94">
        <f t="shared" si="66"/>
        <v>0</v>
      </c>
      <c r="AH70" s="56">
        <f t="shared" si="13"/>
        <v>0</v>
      </c>
      <c r="AI70" s="93"/>
      <c r="AJ70" s="93">
        <f t="shared" si="67"/>
        <v>0</v>
      </c>
      <c r="AK70" s="95">
        <f t="shared" si="36"/>
        <v>1</v>
      </c>
      <c r="AL70" s="58">
        <f t="shared" si="37"/>
        <v>0</v>
      </c>
      <c r="AM70" s="55">
        <f t="shared" si="68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8"/>
        <v>0</v>
      </c>
      <c r="AV70" s="96">
        <f t="shared" si="38"/>
        <v>0</v>
      </c>
      <c r="AW70" s="96">
        <f t="shared" si="39"/>
        <v>0</v>
      </c>
      <c r="AX70" s="96">
        <f>IF(V70="","",INT(AW70/$V70))</f>
        <v>0</v>
      </c>
      <c r="AY70" s="94">
        <f t="shared" si="69"/>
        <v>0</v>
      </c>
      <c r="AZ70" s="94">
        <f t="shared" si="41"/>
        <v>0</v>
      </c>
      <c r="BA70" s="94">
        <f t="shared" si="42"/>
        <v>0</v>
      </c>
      <c r="BB70" s="97">
        <f t="shared" si="43"/>
        <v>0</v>
      </c>
      <c r="BC70" s="93"/>
      <c r="BD70" s="93">
        <f t="shared" si="44"/>
        <v>0</v>
      </c>
      <c r="BE70" s="95">
        <f t="shared" si="45"/>
        <v>1</v>
      </c>
      <c r="BF70" s="58">
        <f t="shared" si="46"/>
        <v>0</v>
      </c>
      <c r="BG70" s="94">
        <f t="shared" si="47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0"/>
        <v>0</v>
      </c>
      <c r="BP70" s="92">
        <f t="shared" si="70"/>
        <v>0</v>
      </c>
      <c r="BQ70" s="96">
        <f t="shared" si="48"/>
        <v>0</v>
      </c>
      <c r="BR70" s="96">
        <f t="shared" si="49"/>
        <v>0</v>
      </c>
      <c r="BS70" s="96">
        <f t="shared" si="71"/>
        <v>0</v>
      </c>
      <c r="BT70" s="96">
        <f t="shared" si="50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1"/>
        <v>0</v>
      </c>
      <c r="BY70" s="61">
        <f t="shared" si="73"/>
        <v>0</v>
      </c>
      <c r="BZ70" s="62">
        <f t="shared" si="52"/>
        <v>0</v>
      </c>
      <c r="CA70" s="98">
        <f t="shared" si="53"/>
        <v>0</v>
      </c>
      <c r="CB70" s="92">
        <f t="shared" si="98"/>
        <v>0</v>
      </c>
      <c r="CC70" s="92">
        <f t="shared" si="98"/>
        <v>0</v>
      </c>
      <c r="CD70" s="92">
        <f t="shared" si="98"/>
        <v>0</v>
      </c>
      <c r="CE70" s="99"/>
      <c r="CF70" s="99"/>
      <c r="CG70" s="51">
        <f t="shared" si="54"/>
        <v>0</v>
      </c>
      <c r="CH70" s="62">
        <f t="shared" si="55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101"/>
        <v>0</v>
      </c>
      <c r="CR70" s="102">
        <f t="shared" si="101"/>
        <v>0</v>
      </c>
      <c r="CS70" s="102">
        <f t="shared" si="101"/>
        <v>0</v>
      </c>
      <c r="CT70" s="92">
        <f t="shared" si="57"/>
        <v>0</v>
      </c>
      <c r="CU70" s="92">
        <f t="shared" si="102"/>
        <v>0</v>
      </c>
      <c r="CV70" s="103">
        <f t="shared" si="102"/>
        <v>0</v>
      </c>
      <c r="CW70" s="104" t="s">
        <v>147</v>
      </c>
      <c r="CX70" s="105">
        <v>20</v>
      </c>
      <c r="CY70" s="106">
        <f t="shared" si="59"/>
        <v>2034</v>
      </c>
      <c r="CZ70" s="106">
        <f t="shared" si="60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6"/>
        <v>0</v>
      </c>
      <c r="DL70" s="108">
        <f t="shared" si="86"/>
        <v>0</v>
      </c>
      <c r="DM70" s="111">
        <f t="shared" si="86"/>
        <v>0</v>
      </c>
      <c r="DN70" s="76">
        <f t="shared" si="89"/>
        <v>0</v>
      </c>
      <c r="DO70" s="76">
        <f t="shared" si="89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1"/>
        <v>0</v>
      </c>
      <c r="DX70" s="81">
        <f t="shared" si="29"/>
        <v>0</v>
      </c>
      <c r="DY70" s="80">
        <f t="shared" si="62"/>
        <v>0</v>
      </c>
      <c r="DZ70" s="82">
        <f t="shared" si="63"/>
        <v>0</v>
      </c>
      <c r="EA70" s="82">
        <f t="shared" si="64"/>
        <v>0</v>
      </c>
      <c r="EB70" s="82">
        <f t="shared" si="65"/>
        <v>0</v>
      </c>
      <c r="EC70" s="82">
        <f>(BX70-CA70)+((AV70+BP70)/1000)</f>
        <v>0</v>
      </c>
      <c r="EF70" s="83">
        <f t="shared" si="107"/>
        <v>0</v>
      </c>
    </row>
    <row r="71" spans="1:136" ht="14.1" customHeight="1">
      <c r="A71" s="84">
        <v>64</v>
      </c>
      <c r="B71" s="85" t="s">
        <v>319</v>
      </c>
      <c r="C71" s="86"/>
      <c r="D71" s="119">
        <v>8400</v>
      </c>
      <c r="E71" s="88">
        <v>92</v>
      </c>
      <c r="F71" s="89" t="s">
        <v>147</v>
      </c>
      <c r="G71" s="45" t="str">
        <f t="shared" si="31"/>
        <v>IBC3604-6.2x3-H9B14</v>
      </c>
      <c r="H71" s="46" t="str">
        <f t="shared" si="32"/>
        <v>C3604IB6.20DH9</v>
      </c>
      <c r="I71" s="46" t="str">
        <f t="shared" si="33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4"/>
        <v>38</v>
      </c>
      <c r="T71" s="51">
        <f>'02.02'!BG71</f>
        <v>0</v>
      </c>
      <c r="U71" s="92"/>
      <c r="V71" s="100">
        <v>4.26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5"/>
        <v>0</v>
      </c>
      <c r="AF71" s="54">
        <f>AE71+'02.02'!AF71</f>
        <v>0</v>
      </c>
      <c r="AG71" s="94">
        <f t="shared" si="66"/>
        <v>0</v>
      </c>
      <c r="AH71" s="56">
        <f t="shared" si="13"/>
        <v>0</v>
      </c>
      <c r="AI71" s="93"/>
      <c r="AJ71" s="93">
        <f t="shared" si="67"/>
        <v>0</v>
      </c>
      <c r="AK71" s="95">
        <f t="shared" si="36"/>
        <v>1</v>
      </c>
      <c r="AL71" s="58">
        <f t="shared" si="37"/>
        <v>0</v>
      </c>
      <c r="AM71" s="55">
        <f t="shared" si="68"/>
        <v>0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8"/>
        <v>0</v>
      </c>
      <c r="AV71" s="96">
        <f t="shared" si="38"/>
        <v>0</v>
      </c>
      <c r="AW71" s="96">
        <f t="shared" si="39"/>
        <v>0</v>
      </c>
      <c r="AX71" s="96">
        <f t="shared" si="40"/>
        <v>0</v>
      </c>
      <c r="AY71" s="94">
        <f t="shared" si="69"/>
        <v>0</v>
      </c>
      <c r="AZ71" s="94">
        <f t="shared" si="41"/>
        <v>0</v>
      </c>
      <c r="BA71" s="94">
        <f t="shared" si="42"/>
        <v>0</v>
      </c>
      <c r="BB71" s="97">
        <f t="shared" si="43"/>
        <v>0</v>
      </c>
      <c r="BC71" s="93"/>
      <c r="BD71" s="93">
        <f t="shared" si="44"/>
        <v>0</v>
      </c>
      <c r="BE71" s="95">
        <f t="shared" si="45"/>
        <v>1</v>
      </c>
      <c r="BF71" s="58">
        <f t="shared" si="46"/>
        <v>0</v>
      </c>
      <c r="BG71" s="94">
        <f t="shared" si="47"/>
        <v>0</v>
      </c>
      <c r="BH71" s="89"/>
      <c r="BI71" s="89"/>
      <c r="BJ71" s="92">
        <f>$CN71</f>
        <v>0</v>
      </c>
      <c r="BK71" s="89"/>
      <c r="BL71" s="89"/>
      <c r="BM71" s="89"/>
      <c r="BN71" s="89"/>
      <c r="BO71" s="92">
        <f t="shared" si="70"/>
        <v>0</v>
      </c>
      <c r="BP71" s="92">
        <f t="shared" si="70"/>
        <v>0</v>
      </c>
      <c r="BQ71" s="96">
        <f t="shared" si="48"/>
        <v>0</v>
      </c>
      <c r="BR71" s="96">
        <f t="shared" si="49"/>
        <v>0</v>
      </c>
      <c r="BS71" s="96">
        <f t="shared" si="71"/>
        <v>0</v>
      </c>
      <c r="BT71" s="96">
        <f t="shared" si="50"/>
        <v>0</v>
      </c>
      <c r="BU71" s="92">
        <f t="shared" si="16"/>
        <v>0</v>
      </c>
      <c r="BV71" s="98">
        <f t="shared" si="17"/>
        <v>0</v>
      </c>
      <c r="BW71" s="92">
        <f t="shared" si="18"/>
        <v>0</v>
      </c>
      <c r="BX71" s="98">
        <f t="shared" si="51"/>
        <v>0</v>
      </c>
      <c r="BY71" s="61">
        <f t="shared" si="73"/>
        <v>0</v>
      </c>
      <c r="BZ71" s="62">
        <f t="shared" si="52"/>
        <v>0</v>
      </c>
      <c r="CA71" s="98">
        <f t="shared" si="53"/>
        <v>0</v>
      </c>
      <c r="CB71" s="92">
        <f t="shared" si="98"/>
        <v>0</v>
      </c>
      <c r="CC71" s="92">
        <f t="shared" si="98"/>
        <v>0</v>
      </c>
      <c r="CD71" s="92">
        <f t="shared" si="98"/>
        <v>0</v>
      </c>
      <c r="CE71" s="99"/>
      <c r="CF71" s="99"/>
      <c r="CG71" s="51">
        <f t="shared" si="54"/>
        <v>0</v>
      </c>
      <c r="CH71" s="62">
        <f t="shared" si="55"/>
        <v>0</v>
      </c>
      <c r="CI71" s="89"/>
      <c r="CJ71" s="89"/>
      <c r="CK71" s="89"/>
      <c r="CL71" s="96"/>
      <c r="CM71" s="89"/>
      <c r="CN71" s="89"/>
      <c r="CO71" s="92"/>
      <c r="CP71" s="101"/>
      <c r="CQ71" s="102">
        <f t="shared" si="101"/>
        <v>0</v>
      </c>
      <c r="CR71" s="102">
        <f t="shared" si="101"/>
        <v>0</v>
      </c>
      <c r="CS71" s="102">
        <f t="shared" si="101"/>
        <v>0</v>
      </c>
      <c r="CT71" s="92">
        <f t="shared" si="57"/>
        <v>0</v>
      </c>
      <c r="CU71" s="92">
        <f t="shared" si="102"/>
        <v>0</v>
      </c>
      <c r="CV71" s="103">
        <f t="shared" si="102"/>
        <v>0</v>
      </c>
      <c r="CW71" s="104" t="s">
        <v>147</v>
      </c>
      <c r="CX71" s="105">
        <v>23</v>
      </c>
      <c r="CY71" s="106">
        <f t="shared" si="59"/>
        <v>1713</v>
      </c>
      <c r="CZ71" s="106">
        <f t="shared" si="60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0</v>
      </c>
      <c r="DG71" s="115">
        <f t="shared" si="23"/>
        <v>0</v>
      </c>
      <c r="DH71" s="110">
        <f t="shared" si="24"/>
        <v>0</v>
      </c>
      <c r="DI71" s="108">
        <f t="shared" si="25"/>
        <v>0</v>
      </c>
      <c r="DJ71" s="112">
        <f t="shared" si="26"/>
        <v>0</v>
      </c>
      <c r="DK71" s="110">
        <f t="shared" si="86"/>
        <v>0</v>
      </c>
      <c r="DL71" s="108">
        <f t="shared" si="86"/>
        <v>0</v>
      </c>
      <c r="DM71" s="111">
        <f t="shared" si="86"/>
        <v>0</v>
      </c>
      <c r="DN71" s="76">
        <f t="shared" si="89"/>
        <v>0</v>
      </c>
      <c r="DO71" s="76">
        <f t="shared" si="89"/>
        <v>0</v>
      </c>
      <c r="DP71" s="112"/>
      <c r="DQ71" s="112"/>
      <c r="DR71" s="113"/>
      <c r="DS71" s="112"/>
      <c r="DT71" s="112"/>
      <c r="DU71" s="111"/>
      <c r="DV71" s="114"/>
      <c r="DW71" s="80">
        <f t="shared" si="61"/>
        <v>0</v>
      </c>
      <c r="DX71" s="81">
        <f t="shared" si="29"/>
        <v>0</v>
      </c>
      <c r="DY71" s="80">
        <f t="shared" si="62"/>
        <v>0</v>
      </c>
      <c r="DZ71" s="82">
        <f t="shared" si="63"/>
        <v>0</v>
      </c>
      <c r="EA71" s="82">
        <f t="shared" si="64"/>
        <v>0</v>
      </c>
      <c r="EB71" s="82">
        <f t="shared" si="65"/>
        <v>0</v>
      </c>
      <c r="EC71" s="82">
        <f t="shared" si="75"/>
        <v>0</v>
      </c>
      <c r="EF71" s="83">
        <f t="shared" si="107"/>
        <v>0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1"/>
        <v>TVA2011-T3-7.5x3-H9B14</v>
      </c>
      <c r="H72" s="46" t="str">
        <f t="shared" si="32"/>
        <v>A2011-T3TV7.50DH9</v>
      </c>
      <c r="I72" s="46" t="str">
        <f t="shared" si="33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4"/>
        <v>24</v>
      </c>
      <c r="T72" s="51">
        <f>'02.02'!BG72</f>
        <v>30</v>
      </c>
      <c r="U72" s="92"/>
      <c r="V72" s="100">
        <v>0.58299999999999996</v>
      </c>
      <c r="W72" s="93">
        <f t="shared" ref="W72:W103" si="114">IF(V72="","",INT((AO72+BI72)/$V72))</f>
        <v>0</v>
      </c>
      <c r="X72" s="93">
        <f t="shared" ref="X72:X106" si="115">IF(V72="","",INT((AP72+BJ72)/$V72))</f>
        <v>0</v>
      </c>
      <c r="Y72" s="93">
        <f t="shared" ref="Y72:Y106" si="116">IF(V72="","",INT((AQ72+BK72)/$V72))</f>
        <v>0</v>
      </c>
      <c r="Z72" s="93">
        <f t="shared" ref="Z72:Z106" si="117">IF(V72="","",INT((AR72+BL72)/$V72))</f>
        <v>0</v>
      </c>
      <c r="AA72" s="93">
        <f t="shared" ref="AA72:AA106" si="118">IF(V72="","",INT((AS72+BM72)/$V72))</f>
        <v>0</v>
      </c>
      <c r="AB72" s="93">
        <f t="shared" ref="AB72:AB106" si="119">IF(V72="","",INT((AT72+BN72)/$V72))</f>
        <v>0</v>
      </c>
      <c r="AC72" s="93">
        <f t="shared" ref="AC72:AC106" si="120">IF(V72="","",INT((AU72+BO72)/$V72))</f>
        <v>0</v>
      </c>
      <c r="AD72" s="93">
        <f t="shared" ref="AD72:AD106" si="121">IF(V72="","",INT((AV72+BP72)/$V72))</f>
        <v>0</v>
      </c>
      <c r="AE72" s="93">
        <f t="shared" si="35"/>
        <v>0</v>
      </c>
      <c r="AF72" s="54">
        <f>AE72+'02.02'!AF72</f>
        <v>0</v>
      </c>
      <c r="AG72" s="94">
        <f t="shared" si="66"/>
        <v>30</v>
      </c>
      <c r="AH72" s="56">
        <f t="shared" si="13"/>
        <v>0</v>
      </c>
      <c r="AI72" s="93"/>
      <c r="AJ72" s="93">
        <f t="shared" si="67"/>
        <v>0</v>
      </c>
      <c r="AK72" s="95">
        <f t="shared" si="36"/>
        <v>1</v>
      </c>
      <c r="AL72" s="58">
        <f t="shared" si="37"/>
        <v>0</v>
      </c>
      <c r="AM72" s="55">
        <f t="shared" si="68"/>
        <v>30</v>
      </c>
      <c r="AN72" s="93"/>
      <c r="AO72" s="96"/>
      <c r="AP72" s="96"/>
      <c r="AQ72" s="96"/>
      <c r="AR72" s="96"/>
      <c r="AS72" s="96"/>
      <c r="AT72" s="96">
        <f t="shared" si="112"/>
        <v>0</v>
      </c>
      <c r="AU72" s="96">
        <f t="shared" si="38"/>
        <v>0</v>
      </c>
      <c r="AV72" s="96">
        <f t="shared" si="38"/>
        <v>0</v>
      </c>
      <c r="AW72" s="96">
        <f t="shared" si="39"/>
        <v>0</v>
      </c>
      <c r="AX72" s="96">
        <f t="shared" si="40"/>
        <v>0</v>
      </c>
      <c r="AY72" s="94">
        <f t="shared" si="69"/>
        <v>0</v>
      </c>
      <c r="AZ72" s="94">
        <f t="shared" si="41"/>
        <v>0</v>
      </c>
      <c r="BA72" s="94">
        <f t="shared" si="42"/>
        <v>30</v>
      </c>
      <c r="BB72" s="97">
        <f t="shared" si="43"/>
        <v>0</v>
      </c>
      <c r="BC72" s="93"/>
      <c r="BD72" s="93">
        <f t="shared" si="44"/>
        <v>0</v>
      </c>
      <c r="BE72" s="95">
        <f t="shared" si="45"/>
        <v>1</v>
      </c>
      <c r="BF72" s="58">
        <f t="shared" si="46"/>
        <v>0</v>
      </c>
      <c r="BG72" s="94">
        <f t="shared" si="47"/>
        <v>30</v>
      </c>
      <c r="BH72" s="89"/>
      <c r="BI72" s="89"/>
      <c r="BJ72" s="89"/>
      <c r="BK72" s="89"/>
      <c r="BL72" s="89"/>
      <c r="BM72" s="89"/>
      <c r="BN72" s="92">
        <f t="shared" si="113"/>
        <v>0</v>
      </c>
      <c r="BO72" s="92">
        <f t="shared" si="70"/>
        <v>0</v>
      </c>
      <c r="BP72" s="92">
        <f t="shared" si="70"/>
        <v>0</v>
      </c>
      <c r="BQ72" s="96">
        <f t="shared" si="48"/>
        <v>0</v>
      </c>
      <c r="BR72" s="96">
        <f t="shared" si="49"/>
        <v>0</v>
      </c>
      <c r="BS72" s="96">
        <f t="shared" si="71"/>
        <v>0</v>
      </c>
      <c r="BT72" s="96">
        <f t="shared" si="50"/>
        <v>0</v>
      </c>
      <c r="BU72" s="92">
        <f t="shared" ref="BU72:BU106" si="122">IFERROR(AE72,"")</f>
        <v>0</v>
      </c>
      <c r="BV72" s="98">
        <f t="shared" si="17"/>
        <v>0</v>
      </c>
      <c r="BW72" s="92">
        <f t="shared" ref="BW72:BW106" si="123">IFERROR(BT72+AZ72,"")</f>
        <v>0</v>
      </c>
      <c r="BX72" s="98">
        <f t="shared" si="51"/>
        <v>0</v>
      </c>
      <c r="BY72" s="61">
        <f t="shared" si="73"/>
        <v>0</v>
      </c>
      <c r="BZ72" s="62">
        <f t="shared" si="52"/>
        <v>0</v>
      </c>
      <c r="CA72" s="98">
        <f t="shared" si="53"/>
        <v>0</v>
      </c>
      <c r="CB72" s="92">
        <f t="shared" ref="CB72:CD106" si="124">IFERROR(BR72+AX72,"")</f>
        <v>0</v>
      </c>
      <c r="CC72" s="92">
        <f t="shared" si="124"/>
        <v>0</v>
      </c>
      <c r="CD72" s="92">
        <f t="shared" si="124"/>
        <v>0</v>
      </c>
      <c r="CE72" s="99"/>
      <c r="CF72" s="99"/>
      <c r="CG72" s="51">
        <f t="shared" si="54"/>
        <v>0</v>
      </c>
      <c r="CH72" s="62">
        <f t="shared" si="55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101"/>
        <v>0</v>
      </c>
      <c r="CR72" s="102">
        <f t="shared" si="101"/>
        <v>0</v>
      </c>
      <c r="CS72" s="102">
        <f t="shared" si="101"/>
        <v>0</v>
      </c>
      <c r="CT72" s="92">
        <f t="shared" si="57"/>
        <v>0</v>
      </c>
      <c r="CU72" s="92">
        <f t="shared" si="102"/>
        <v>0</v>
      </c>
      <c r="CV72" s="103">
        <f t="shared" si="102"/>
        <v>0</v>
      </c>
      <c r="CW72" s="104" t="s">
        <v>147</v>
      </c>
      <c r="CX72" s="105">
        <v>8</v>
      </c>
      <c r="CY72" s="106">
        <f t="shared" si="59"/>
        <v>5107</v>
      </c>
      <c r="CZ72" s="106">
        <f t="shared" si="60"/>
        <v>32.400000000000006</v>
      </c>
      <c r="DA72" s="106"/>
      <c r="DB72" s="106"/>
      <c r="DC72" s="105"/>
      <c r="DD72" s="107"/>
      <c r="DE72" s="92">
        <f t="shared" ref="DE72:DE106" si="125">IFERROR(CQ72+CR72,"")</f>
        <v>0</v>
      </c>
      <c r="DF72" s="108">
        <f t="shared" ref="DF72:DF106" si="126">IFERROR(AL72,"")</f>
        <v>0</v>
      </c>
      <c r="DG72" s="115">
        <f t="shared" ref="DG72:DG106" si="127">IFERROR(AZ72,"")</f>
        <v>0</v>
      </c>
      <c r="DH72" s="110">
        <f t="shared" ref="DH72:DH106" si="128">IFERROR(CT72+CU72,"")</f>
        <v>0</v>
      </c>
      <c r="DI72" s="108">
        <f t="shared" ref="DI72:DI106" si="129">IFERROR(BF72,"")</f>
        <v>0</v>
      </c>
      <c r="DJ72" s="112">
        <f t="shared" ref="DJ72:DJ106" si="130">IFERROR(BT72,"")</f>
        <v>0</v>
      </c>
      <c r="DK72" s="110">
        <f t="shared" si="86"/>
        <v>0</v>
      </c>
      <c r="DL72" s="108">
        <f t="shared" si="86"/>
        <v>0</v>
      </c>
      <c r="DM72" s="111">
        <f t="shared" si="86"/>
        <v>0</v>
      </c>
      <c r="DN72" s="76">
        <f t="shared" si="89"/>
        <v>30</v>
      </c>
      <c r="DO72" s="76">
        <f t="shared" si="89"/>
        <v>0</v>
      </c>
      <c r="DP72" s="112"/>
      <c r="DQ72" s="112"/>
      <c r="DR72" s="113" t="s">
        <v>460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31">IFERROR(DK72+DL72+DM72,"")</f>
        <v>0</v>
      </c>
      <c r="DY72" s="80">
        <f t="shared" si="62"/>
        <v>0</v>
      </c>
      <c r="DZ72" s="82">
        <f t="shared" si="63"/>
        <v>0</v>
      </c>
      <c r="EA72" s="82">
        <f t="shared" si="64"/>
        <v>0</v>
      </c>
      <c r="EB72" s="82">
        <f t="shared" si="65"/>
        <v>0</v>
      </c>
      <c r="EC72" s="82">
        <f t="shared" si="75"/>
        <v>0</v>
      </c>
      <c r="EF72" s="83">
        <f t="shared" si="107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2">CONCATENATE(K73,J73,"-",IF(N73="D",L73,IF(N73="H",CONCATENATE(N73,L73),CONCATENATE(N73,L73,"x",M73))),"x",P73,"-",O73,R73)</f>
        <v>GAA5052-5.7x3-H9A14</v>
      </c>
      <c r="H73" s="46" t="str">
        <f t="shared" ref="H73:H106" si="133">CONCATENATE(J73,,K73,L73,M73,N73,O73)</f>
        <v>A5052GA5.70DH9</v>
      </c>
      <c r="I73" s="46" t="str">
        <f t="shared" ref="I73:I106" si="134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5">ROUND(CY73/E73,0)*2</f>
        <v>14</v>
      </c>
      <c r="T73" s="51">
        <f>'02.02'!BG73</f>
        <v>12.999999999999998</v>
      </c>
      <c r="U73" s="92">
        <v>12</v>
      </c>
      <c r="V73" s="100">
        <v>0.15</v>
      </c>
      <c r="W73" s="93">
        <f t="shared" si="114"/>
        <v>0</v>
      </c>
      <c r="X73" s="93">
        <f t="shared" si="115"/>
        <v>0</v>
      </c>
      <c r="Y73" s="93">
        <f t="shared" si="116"/>
        <v>0</v>
      </c>
      <c r="Z73" s="93">
        <f t="shared" si="117"/>
        <v>0</v>
      </c>
      <c r="AA73" s="93">
        <f t="shared" si="118"/>
        <v>0</v>
      </c>
      <c r="AB73" s="93">
        <f t="shared" si="119"/>
        <v>2873</v>
      </c>
      <c r="AC73" s="93">
        <f t="shared" si="120"/>
        <v>0</v>
      </c>
      <c r="AD73" s="93">
        <f t="shared" si="121"/>
        <v>273</v>
      </c>
      <c r="AE73" s="93">
        <f t="shared" ref="AE73:AE106" si="136">IF(V73="","",SUM(W73:AC73))</f>
        <v>2873</v>
      </c>
      <c r="AF73" s="54">
        <f>AE73+'02.02'!AF73</f>
        <v>8426</v>
      </c>
      <c r="AG73" s="94">
        <f t="shared" si="66"/>
        <v>12.999999999999998</v>
      </c>
      <c r="AH73" s="56">
        <f t="shared" ref="AH73:AH106" si="137">IFERROR(VALUE("0"&amp;RIGHT(AG73,(LEN(AG73)-LEN(TRUNC(AG73))))),"")</f>
        <v>0</v>
      </c>
      <c r="AI73" s="93">
        <v>6</v>
      </c>
      <c r="AJ73" s="93">
        <f t="shared" si="67"/>
        <v>0</v>
      </c>
      <c r="AK73" s="95">
        <f t="shared" ref="AK73:AK107" si="138">IF(V73="","",IF(AJ73=0,1,AJ73/$V73/$E73))</f>
        <v>1</v>
      </c>
      <c r="AL73" s="58">
        <f t="shared" si="37"/>
        <v>6</v>
      </c>
      <c r="AM73" s="55">
        <f t="shared" si="68"/>
        <v>19</v>
      </c>
      <c r="AN73" s="93"/>
      <c r="AO73" s="96"/>
      <c r="AP73" s="96"/>
      <c r="AQ73" s="96"/>
      <c r="AR73" s="96"/>
      <c r="AS73" s="96"/>
      <c r="AT73" s="96">
        <f t="shared" si="112"/>
        <v>206</v>
      </c>
      <c r="AU73" s="96">
        <f t="shared" ref="AU73:AV106" si="139">CK73</f>
        <v>0</v>
      </c>
      <c r="AV73" s="96">
        <f t="shared" si="139"/>
        <v>20</v>
      </c>
      <c r="AW73" s="96">
        <f t="shared" ref="AW73:AW106" si="140">SUM(AO73:AV73)</f>
        <v>226</v>
      </c>
      <c r="AX73" s="96">
        <f t="shared" ref="AX73:AX106" si="141">IF(V73="","",INT(AW73/$V73))</f>
        <v>1506</v>
      </c>
      <c r="AY73" s="94">
        <f t="shared" si="69"/>
        <v>4.5999999999999943</v>
      </c>
      <c r="AZ73" s="94">
        <f t="shared" ref="AZ73:AZ106" si="142">IF($V73="","",AY73/$V73)</f>
        <v>30.666666666666629</v>
      </c>
      <c r="BA73" s="94">
        <f t="shared" si="42"/>
        <v>19</v>
      </c>
      <c r="BB73" s="97">
        <f t="shared" si="43"/>
        <v>0</v>
      </c>
      <c r="BC73" s="93">
        <v>7</v>
      </c>
      <c r="BD73" s="93">
        <f t="shared" ref="BD73:BD106" si="143">$CM73</f>
        <v>0</v>
      </c>
      <c r="BE73" s="95">
        <f t="shared" ref="BE73:BE106" si="144">IF(AA73="","",IF(BD73=0,1,BD73/$V73/$E73))</f>
        <v>1</v>
      </c>
      <c r="BF73" s="58">
        <f t="shared" si="46"/>
        <v>7</v>
      </c>
      <c r="BG73" s="94">
        <f t="shared" ref="BG73:BG106" si="145">IF(AA73="","",BA73-BF73)</f>
        <v>12</v>
      </c>
      <c r="BH73" s="89"/>
      <c r="BI73" s="89"/>
      <c r="BJ73" s="89"/>
      <c r="BK73" s="89"/>
      <c r="BL73" s="89"/>
      <c r="BM73" s="89"/>
      <c r="BN73" s="92">
        <f t="shared" si="113"/>
        <v>225</v>
      </c>
      <c r="BO73" s="92">
        <f t="shared" si="70"/>
        <v>0</v>
      </c>
      <c r="BP73" s="92">
        <f t="shared" si="70"/>
        <v>21</v>
      </c>
      <c r="BQ73" s="96">
        <f t="shared" ref="BQ73:BQ106" si="146">SUM(BI73:BP73)</f>
        <v>246</v>
      </c>
      <c r="BR73" s="96">
        <f t="shared" ref="BR73:BR106" si="147">IF(AA73="","",INT(BQ73/$V73))</f>
        <v>1640</v>
      </c>
      <c r="BS73" s="96">
        <f t="shared" si="71"/>
        <v>-12.300000000000011</v>
      </c>
      <c r="BT73" s="96">
        <f t="shared" ref="BT73:BT106" si="148">IF($V73="","",BS73/$V73)</f>
        <v>-82.000000000000085</v>
      </c>
      <c r="BU73" s="92">
        <f t="shared" si="122"/>
        <v>2873</v>
      </c>
      <c r="BV73" s="98">
        <f t="shared" si="17"/>
        <v>13</v>
      </c>
      <c r="BW73" s="92">
        <f t="shared" si="123"/>
        <v>-51.333333333333456</v>
      </c>
      <c r="BX73" s="98">
        <f t="shared" ref="BX73:BX106" si="149">IF($Q73="","",(BF73+AL73)*$Q73)</f>
        <v>2.6519999999999997</v>
      </c>
      <c r="BY73" s="61">
        <f t="shared" si="73"/>
        <v>13</v>
      </c>
      <c r="BZ73" s="62">
        <f t="shared" ref="BZ73:BZ108" si="150">BY73</f>
        <v>13</v>
      </c>
      <c r="CA73" s="98">
        <f t="shared" ref="CA73:CA106" si="151">IFERROR((BQ73+AW73)/1000,"")</f>
        <v>0.47199999999999998</v>
      </c>
      <c r="CB73" s="92">
        <f t="shared" si="124"/>
        <v>3146</v>
      </c>
      <c r="CC73" s="92">
        <f t="shared" si="124"/>
        <v>-7.7000000000000171</v>
      </c>
      <c r="CD73" s="92">
        <f t="shared" si="124"/>
        <v>-51.333333333333456</v>
      </c>
      <c r="CE73" s="99"/>
      <c r="CF73" s="99"/>
      <c r="CG73" s="51">
        <f t="shared" ref="CG73:CG106" si="152">IF(BX73="",0,(BX73-CA73)+((AV73+BP73)/1000))</f>
        <v>2.2209999999999996</v>
      </c>
      <c r="CH73" s="62">
        <f t="shared" ref="CH73:CH108" si="153">CG73</f>
        <v>2.2209999999999996</v>
      </c>
      <c r="CI73" s="89"/>
      <c r="CJ73" s="89">
        <v>206</v>
      </c>
      <c r="CK73" s="89"/>
      <c r="CL73" s="96">
        <v>20</v>
      </c>
      <c r="CM73" s="89"/>
      <c r="CN73" s="89">
        <v>225</v>
      </c>
      <c r="CO73" s="92"/>
      <c r="CP73" s="101">
        <v>21</v>
      </c>
      <c r="CQ73" s="102">
        <f t="shared" si="101"/>
        <v>1373</v>
      </c>
      <c r="CR73" s="102">
        <f t="shared" si="101"/>
        <v>0</v>
      </c>
      <c r="CS73" s="102">
        <f t="shared" si="101"/>
        <v>133</v>
      </c>
      <c r="CT73" s="92">
        <f t="shared" ref="CT73:CT106" si="154">INT(IFERROR( AE73-CQ73-CU73-CR73,0))</f>
        <v>1500</v>
      </c>
      <c r="CU73" s="92">
        <f t="shared" si="102"/>
        <v>0</v>
      </c>
      <c r="CV73" s="103">
        <f t="shared" si="102"/>
        <v>140</v>
      </c>
      <c r="CW73" s="104" t="s">
        <v>147</v>
      </c>
      <c r="CX73" s="105">
        <v>23.04</v>
      </c>
      <c r="CY73" s="106">
        <f t="shared" ref="CY73:CY106" si="155">INT(60/CX73*60*(12-(CEILING((60/CX73*60*12)/E73,1)*IF(CW73="T",0.45,IF(CW73="",5,3))/60)))</f>
        <v>1812</v>
      </c>
      <c r="CZ73" s="106">
        <f t="shared" ref="CZ73:CZ106" si="156">IF(CX73="",0,(IF(CW73="",360,180)/(60/CX73))*1.35)</f>
        <v>93.311999999999998</v>
      </c>
      <c r="DA73" s="106"/>
      <c r="DB73" s="106"/>
      <c r="DC73" s="105"/>
      <c r="DD73" s="107"/>
      <c r="DE73" s="92">
        <f t="shared" si="125"/>
        <v>1373</v>
      </c>
      <c r="DF73" s="108">
        <f t="shared" si="126"/>
        <v>6</v>
      </c>
      <c r="DG73" s="115">
        <f t="shared" si="127"/>
        <v>30.666666666666629</v>
      </c>
      <c r="DH73" s="110">
        <f t="shared" si="128"/>
        <v>1500</v>
      </c>
      <c r="DI73" s="108">
        <f t="shared" si="129"/>
        <v>7</v>
      </c>
      <c r="DJ73" s="112">
        <f t="shared" si="130"/>
        <v>-82.000000000000085</v>
      </c>
      <c r="DK73" s="110">
        <f t="shared" si="86"/>
        <v>2873</v>
      </c>
      <c r="DL73" s="108">
        <f t="shared" si="86"/>
        <v>13</v>
      </c>
      <c r="DM73" s="111">
        <f t="shared" si="86"/>
        <v>-51.333333333333456</v>
      </c>
      <c r="DN73" s="76">
        <f t="shared" si="89"/>
        <v>12.999999999999998</v>
      </c>
      <c r="DO73" s="76">
        <f t="shared" si="89"/>
        <v>12</v>
      </c>
      <c r="DP73" s="112"/>
      <c r="DQ73" s="112"/>
      <c r="DR73" s="113" t="s">
        <v>461</v>
      </c>
      <c r="DS73" s="112"/>
      <c r="DT73" s="112"/>
      <c r="DU73" s="111"/>
      <c r="DV73" s="114"/>
      <c r="DW73" s="80">
        <f t="shared" ref="DW73:DW106" si="157">IFERROR(BU73+BV73,"")</f>
        <v>2886</v>
      </c>
      <c r="DX73" s="81">
        <f t="shared" si="131"/>
        <v>2834.6666666666665</v>
      </c>
      <c r="DY73" s="80">
        <f t="shared" ref="DY73:DY106" si="158">CQ73+CR73+CS73+CT73+CU73+CV73</f>
        <v>3146</v>
      </c>
      <c r="DZ73" s="82">
        <f t="shared" ref="DZ73:DZ106" si="159">IFERROR((AD73*V73/1000),0)</f>
        <v>4.0949999999999993E-2</v>
      </c>
      <c r="EA73" s="82">
        <f t="shared" ref="EA73:EA106" si="160">IFERROR((AE73*V73/1000),0)</f>
        <v>0.43095</v>
      </c>
      <c r="EB73" s="82">
        <f t="shared" ref="EB73:EB106" si="161">BX73-EA73</f>
        <v>2.2210499999999995</v>
      </c>
      <c r="EC73" s="82">
        <f t="shared" si="75"/>
        <v>2.2619999999999996</v>
      </c>
      <c r="EF73" s="83">
        <f t="shared" si="107"/>
        <v>-51.333333333333456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2"/>
        <v>IBC3604-7x3-H9D14</v>
      </c>
      <c r="H74" s="46" t="str">
        <f t="shared" si="133"/>
        <v>C3604IB70DH9</v>
      </c>
      <c r="I74" s="46" t="str">
        <f t="shared" si="134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5"/>
        <v>28</v>
      </c>
      <c r="T74" s="51">
        <f>'02.02'!BG74</f>
        <v>31</v>
      </c>
      <c r="U74" s="92">
        <v>19</v>
      </c>
      <c r="V74" s="100">
        <v>3.3769999999999998</v>
      </c>
      <c r="W74" s="93">
        <f t="shared" si="114"/>
        <v>0</v>
      </c>
      <c r="X74" s="93">
        <f t="shared" si="115"/>
        <v>3448</v>
      </c>
      <c r="Y74" s="93">
        <f t="shared" si="116"/>
        <v>0</v>
      </c>
      <c r="Z74" s="93">
        <f t="shared" si="117"/>
        <v>0</v>
      </c>
      <c r="AA74" s="93">
        <f t="shared" si="118"/>
        <v>0</v>
      </c>
      <c r="AB74" s="93">
        <f t="shared" si="119"/>
        <v>0</v>
      </c>
      <c r="AC74" s="93">
        <f t="shared" si="120"/>
        <v>0</v>
      </c>
      <c r="AD74" s="93">
        <f t="shared" si="121"/>
        <v>24</v>
      </c>
      <c r="AE74" s="93">
        <f t="shared" si="136"/>
        <v>3448</v>
      </c>
      <c r="AF74" s="54">
        <f>AE74+'02.02'!AF74</f>
        <v>7799</v>
      </c>
      <c r="AG74" s="94">
        <f t="shared" ref="AG74:AG106" si="162">T74</f>
        <v>31</v>
      </c>
      <c r="AH74" s="56">
        <f t="shared" si="137"/>
        <v>0</v>
      </c>
      <c r="AI74" s="93">
        <v>13</v>
      </c>
      <c r="AJ74" s="93">
        <f t="shared" ref="AJ74:AJ106" si="163">$CI74</f>
        <v>0</v>
      </c>
      <c r="AK74" s="95">
        <f t="shared" si="138"/>
        <v>1</v>
      </c>
      <c r="AL74" s="58">
        <f t="shared" si="37"/>
        <v>13</v>
      </c>
      <c r="AM74" s="55">
        <f t="shared" ref="AM74:AM106" si="164">IF(V74="","",AG74+U74-AL74)</f>
        <v>37</v>
      </c>
      <c r="AN74" s="93"/>
      <c r="AO74" s="96"/>
      <c r="AP74" s="96">
        <f>$CJ74</f>
        <v>6166</v>
      </c>
      <c r="AQ74" s="96"/>
      <c r="AR74" s="96"/>
      <c r="AS74" s="96"/>
      <c r="AT74" s="96"/>
      <c r="AU74" s="96">
        <f t="shared" si="139"/>
        <v>0</v>
      </c>
      <c r="AV74" s="96">
        <f t="shared" si="139"/>
        <v>37</v>
      </c>
      <c r="AW74" s="96">
        <f t="shared" si="140"/>
        <v>6203</v>
      </c>
      <c r="AX74" s="96">
        <f t="shared" si="141"/>
        <v>1836</v>
      </c>
      <c r="AY74" s="94">
        <f t="shared" ref="AY74:AY106" si="165">IF(V74="","",AW74-AL74*$E74*$V74)</f>
        <v>276.36500000000069</v>
      </c>
      <c r="AZ74" s="94">
        <f t="shared" si="142"/>
        <v>81.837429671306097</v>
      </c>
      <c r="BA74" s="94">
        <f t="shared" si="42"/>
        <v>37</v>
      </c>
      <c r="BB74" s="97">
        <f t="shared" si="43"/>
        <v>0</v>
      </c>
      <c r="BC74" s="93">
        <v>12</v>
      </c>
      <c r="BD74" s="93">
        <f t="shared" si="143"/>
        <v>0</v>
      </c>
      <c r="BE74" s="95">
        <f t="shared" si="144"/>
        <v>1</v>
      </c>
      <c r="BF74" s="58">
        <f t="shared" si="46"/>
        <v>12</v>
      </c>
      <c r="BG74" s="94">
        <f t="shared" si="145"/>
        <v>25</v>
      </c>
      <c r="BH74" s="89"/>
      <c r="BI74" s="89"/>
      <c r="BJ74" s="92">
        <f>$CN74</f>
        <v>5478</v>
      </c>
      <c r="BK74" s="89"/>
      <c r="BL74" s="89"/>
      <c r="BM74" s="89"/>
      <c r="BN74" s="89"/>
      <c r="BO74" s="92">
        <f t="shared" ref="BO74:BP103" si="166">CO74</f>
        <v>0</v>
      </c>
      <c r="BP74" s="92">
        <f t="shared" si="166"/>
        <v>45</v>
      </c>
      <c r="BQ74" s="96">
        <f t="shared" si="146"/>
        <v>5523</v>
      </c>
      <c r="BR74" s="96">
        <f t="shared" si="147"/>
        <v>1635</v>
      </c>
      <c r="BS74" s="96">
        <f t="shared" ref="BS74:BS106" si="167">IF(AA74="","",-BF74*$E74*$V74+BQ74)</f>
        <v>52.260000000000218</v>
      </c>
      <c r="BT74" s="96">
        <f t="shared" si="148"/>
        <v>15.475273911756062</v>
      </c>
      <c r="BU74" s="92">
        <f t="shared" si="122"/>
        <v>3448</v>
      </c>
      <c r="BV74" s="98">
        <f t="shared" ref="BV74:BV106" si="168">IFERROR(BF74+AL74,"")</f>
        <v>25</v>
      </c>
      <c r="BW74" s="92">
        <f t="shared" si="123"/>
        <v>97.312703583062159</v>
      </c>
      <c r="BX74" s="98">
        <f t="shared" si="149"/>
        <v>24.5</v>
      </c>
      <c r="BY74" s="61">
        <f>IFERROR(BF74+AL74,0)</f>
        <v>25</v>
      </c>
      <c r="BZ74" s="62">
        <f t="shared" si="150"/>
        <v>25</v>
      </c>
      <c r="CA74" s="98">
        <f t="shared" si="151"/>
        <v>11.726000000000001</v>
      </c>
      <c r="CB74" s="92">
        <f t="shared" si="124"/>
        <v>3471</v>
      </c>
      <c r="CC74" s="92">
        <f t="shared" si="124"/>
        <v>328.62500000000091</v>
      </c>
      <c r="CD74" s="92">
        <f t="shared" si="124"/>
        <v>97.312703583062159</v>
      </c>
      <c r="CE74" s="99"/>
      <c r="CF74" s="99"/>
      <c r="CG74" s="51">
        <f t="shared" si="152"/>
        <v>12.856</v>
      </c>
      <c r="CH74" s="62">
        <f t="shared" si="153"/>
        <v>12.856</v>
      </c>
      <c r="CI74" s="89"/>
      <c r="CJ74" s="89">
        <v>6166</v>
      </c>
      <c r="CK74" s="89"/>
      <c r="CL74" s="96">
        <v>37</v>
      </c>
      <c r="CM74" s="89"/>
      <c r="CN74" s="89">
        <v>5478</v>
      </c>
      <c r="CO74" s="92"/>
      <c r="CP74" s="101">
        <v>45</v>
      </c>
      <c r="CQ74" s="102">
        <f t="shared" si="101"/>
        <v>1825</v>
      </c>
      <c r="CR74" s="102">
        <f t="shared" si="101"/>
        <v>0</v>
      </c>
      <c r="CS74" s="102">
        <f t="shared" si="101"/>
        <v>10</v>
      </c>
      <c r="CT74" s="92">
        <f t="shared" si="154"/>
        <v>1623</v>
      </c>
      <c r="CU74" s="92">
        <f t="shared" si="102"/>
        <v>0</v>
      </c>
      <c r="CV74" s="103">
        <f t="shared" si="102"/>
        <v>14</v>
      </c>
      <c r="CW74" s="104" t="s">
        <v>147</v>
      </c>
      <c r="CX74" s="105">
        <v>22</v>
      </c>
      <c r="CY74" s="106">
        <f t="shared" si="155"/>
        <v>1840</v>
      </c>
      <c r="CZ74" s="106">
        <f t="shared" si="156"/>
        <v>89.100000000000009</v>
      </c>
      <c r="DA74" s="106"/>
      <c r="DB74" s="106"/>
      <c r="DC74" s="105"/>
      <c r="DD74" s="107"/>
      <c r="DE74" s="92">
        <f t="shared" si="125"/>
        <v>1825</v>
      </c>
      <c r="DF74" s="108">
        <f t="shared" si="126"/>
        <v>13</v>
      </c>
      <c r="DG74" s="115">
        <f t="shared" si="127"/>
        <v>81.837429671306097</v>
      </c>
      <c r="DH74" s="110">
        <f t="shared" si="128"/>
        <v>1623</v>
      </c>
      <c r="DI74" s="108">
        <f t="shared" si="129"/>
        <v>12</v>
      </c>
      <c r="DJ74" s="112">
        <f t="shared" si="130"/>
        <v>15.475273911756062</v>
      </c>
      <c r="DK74" s="110">
        <f t="shared" si="86"/>
        <v>3448</v>
      </c>
      <c r="DL74" s="108">
        <f t="shared" si="86"/>
        <v>25</v>
      </c>
      <c r="DM74" s="111">
        <f t="shared" si="86"/>
        <v>97.312703583062159</v>
      </c>
      <c r="DN74" s="76">
        <f t="shared" si="89"/>
        <v>31</v>
      </c>
      <c r="DO74" s="76">
        <f t="shared" si="89"/>
        <v>19</v>
      </c>
      <c r="DP74" s="112"/>
      <c r="DQ74" s="112"/>
      <c r="DR74" s="113" t="s">
        <v>462</v>
      </c>
      <c r="DS74" s="112"/>
      <c r="DT74" s="112"/>
      <c r="DU74" s="111"/>
      <c r="DV74" s="114"/>
      <c r="DW74" s="80">
        <f t="shared" ref="DW74:DW76" si="169">IFERROR(AL74+BF74,"")</f>
        <v>25</v>
      </c>
      <c r="DX74" s="81">
        <f t="shared" si="131"/>
        <v>3570.3127035830621</v>
      </c>
      <c r="DY74" s="80">
        <f t="shared" si="158"/>
        <v>3472</v>
      </c>
      <c r="DZ74" s="82">
        <f t="shared" si="159"/>
        <v>8.1047999999999995E-2</v>
      </c>
      <c r="EA74" s="82">
        <f t="shared" si="160"/>
        <v>11.643895999999998</v>
      </c>
      <c r="EB74" s="82">
        <f t="shared" si="161"/>
        <v>12.856104000000002</v>
      </c>
      <c r="EC74" s="82">
        <f t="shared" ref="EC74:EC75" si="170">(BX74-CA74)+((AV74+BP74)/1000)</f>
        <v>12.856</v>
      </c>
      <c r="EF74" s="83">
        <f t="shared" si="107"/>
        <v>97.312703583062159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2"/>
        <v>IBC3604-5x3-H9B14</v>
      </c>
      <c r="H75" s="46" t="str">
        <f t="shared" si="133"/>
        <v>C3604IB50DH9</v>
      </c>
      <c r="I75" s="46" t="str">
        <f t="shared" si="134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5"/>
        <v>82</v>
      </c>
      <c r="T75" s="51">
        <f>'02.02'!BG75</f>
        <v>220</v>
      </c>
      <c r="U75" s="92"/>
      <c r="V75" s="100">
        <v>2.65</v>
      </c>
      <c r="W75" s="93">
        <f t="shared" si="114"/>
        <v>0</v>
      </c>
      <c r="X75" s="93">
        <f t="shared" si="115"/>
        <v>0</v>
      </c>
      <c r="Y75" s="93">
        <f t="shared" si="116"/>
        <v>0</v>
      </c>
      <c r="Z75" s="93">
        <f t="shared" si="117"/>
        <v>0</v>
      </c>
      <c r="AA75" s="93">
        <f t="shared" si="118"/>
        <v>0</v>
      </c>
      <c r="AB75" s="93">
        <f t="shared" si="119"/>
        <v>0</v>
      </c>
      <c r="AC75" s="93">
        <f t="shared" si="120"/>
        <v>0</v>
      </c>
      <c r="AD75" s="93">
        <f t="shared" si="121"/>
        <v>0</v>
      </c>
      <c r="AE75" s="93">
        <f t="shared" si="136"/>
        <v>0</v>
      </c>
      <c r="AF75" s="54">
        <f>AE75+'02.02'!AF75</f>
        <v>0</v>
      </c>
      <c r="AG75" s="94">
        <f t="shared" si="162"/>
        <v>220</v>
      </c>
      <c r="AH75" s="56">
        <f t="shared" si="137"/>
        <v>0</v>
      </c>
      <c r="AI75" s="93"/>
      <c r="AJ75" s="93">
        <f t="shared" si="163"/>
        <v>0</v>
      </c>
      <c r="AK75" s="95">
        <f t="shared" si="138"/>
        <v>1</v>
      </c>
      <c r="AL75" s="58">
        <f t="shared" si="37"/>
        <v>0</v>
      </c>
      <c r="AM75" s="55">
        <f t="shared" si="164"/>
        <v>220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39"/>
        <v>0</v>
      </c>
      <c r="AV75" s="96">
        <f t="shared" si="139"/>
        <v>0</v>
      </c>
      <c r="AW75" s="96">
        <f t="shared" si="140"/>
        <v>0</v>
      </c>
      <c r="AX75" s="96">
        <f t="shared" si="141"/>
        <v>0</v>
      </c>
      <c r="AY75" s="94">
        <f t="shared" si="165"/>
        <v>0</v>
      </c>
      <c r="AZ75" s="94">
        <f t="shared" si="142"/>
        <v>0</v>
      </c>
      <c r="BA75" s="94">
        <f t="shared" ref="BA75:BA106" si="171">AM75</f>
        <v>220</v>
      </c>
      <c r="BB75" s="97">
        <f t="shared" ref="BB75:BB106" si="172">VALUE("0"&amp;RIGHT(BA75,(LEN(BA75)-LEN(TRUNC(BA75)))))</f>
        <v>0</v>
      </c>
      <c r="BC75" s="93"/>
      <c r="BD75" s="93">
        <f t="shared" si="143"/>
        <v>0</v>
      </c>
      <c r="BE75" s="95">
        <f t="shared" si="144"/>
        <v>1</v>
      </c>
      <c r="BF75" s="58">
        <f t="shared" si="46"/>
        <v>0</v>
      </c>
      <c r="BG75" s="94">
        <f t="shared" si="145"/>
        <v>220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6"/>
        <v>0</v>
      </c>
      <c r="BP75" s="92">
        <f t="shared" si="166"/>
        <v>0</v>
      </c>
      <c r="BQ75" s="96">
        <f t="shared" si="146"/>
        <v>0</v>
      </c>
      <c r="BR75" s="96">
        <f t="shared" si="147"/>
        <v>0</v>
      </c>
      <c r="BS75" s="96">
        <f t="shared" si="167"/>
        <v>0</v>
      </c>
      <c r="BT75" s="96">
        <f t="shared" si="148"/>
        <v>0</v>
      </c>
      <c r="BU75" s="92">
        <f t="shared" si="122"/>
        <v>0</v>
      </c>
      <c r="BV75" s="98">
        <f t="shared" si="168"/>
        <v>0</v>
      </c>
      <c r="BW75" s="92">
        <f t="shared" si="123"/>
        <v>0</v>
      </c>
      <c r="BX75" s="98">
        <f t="shared" si="149"/>
        <v>0</v>
      </c>
      <c r="BY75" s="61">
        <f t="shared" ref="BY75:BY106" si="173">IFERROR(BF75+AL75,0)</f>
        <v>0</v>
      </c>
      <c r="BZ75" s="62">
        <f t="shared" si="150"/>
        <v>0</v>
      </c>
      <c r="CA75" s="98">
        <f t="shared" si="151"/>
        <v>0</v>
      </c>
      <c r="CB75" s="92">
        <f t="shared" si="124"/>
        <v>0</v>
      </c>
      <c r="CC75" s="92">
        <f t="shared" si="124"/>
        <v>0</v>
      </c>
      <c r="CD75" s="92">
        <f t="shared" si="124"/>
        <v>0</v>
      </c>
      <c r="CE75" s="99"/>
      <c r="CF75" s="99"/>
      <c r="CG75" s="51">
        <f t="shared" si="152"/>
        <v>0</v>
      </c>
      <c r="CH75" s="62">
        <f t="shared" si="153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101"/>
        <v>0</v>
      </c>
      <c r="CR75" s="102">
        <f t="shared" si="101"/>
        <v>0</v>
      </c>
      <c r="CS75" s="102">
        <f t="shared" si="101"/>
        <v>0</v>
      </c>
      <c r="CT75" s="92">
        <f t="shared" si="154"/>
        <v>0</v>
      </c>
      <c r="CU75" s="92">
        <f t="shared" si="102"/>
        <v>0</v>
      </c>
      <c r="CV75" s="103">
        <f t="shared" si="102"/>
        <v>0</v>
      </c>
      <c r="CW75" s="104" t="s">
        <v>147</v>
      </c>
      <c r="CX75" s="105">
        <v>11</v>
      </c>
      <c r="CY75" s="106">
        <f t="shared" si="155"/>
        <v>3043</v>
      </c>
      <c r="CZ75" s="106">
        <f t="shared" si="156"/>
        <v>44.550000000000004</v>
      </c>
      <c r="DA75" s="106"/>
      <c r="DB75" s="106"/>
      <c r="DC75" s="105"/>
      <c r="DD75" s="107"/>
      <c r="DE75" s="92">
        <f t="shared" si="125"/>
        <v>0</v>
      </c>
      <c r="DF75" s="108">
        <f t="shared" si="126"/>
        <v>0</v>
      </c>
      <c r="DG75" s="115">
        <f t="shared" si="127"/>
        <v>0</v>
      </c>
      <c r="DH75" s="110">
        <f t="shared" si="128"/>
        <v>0</v>
      </c>
      <c r="DI75" s="108">
        <f t="shared" si="129"/>
        <v>0</v>
      </c>
      <c r="DJ75" s="112">
        <f t="shared" si="130"/>
        <v>0</v>
      </c>
      <c r="DK75" s="110">
        <f t="shared" si="86"/>
        <v>0</v>
      </c>
      <c r="DL75" s="108">
        <f t="shared" si="86"/>
        <v>0</v>
      </c>
      <c r="DM75" s="111">
        <f t="shared" si="86"/>
        <v>0</v>
      </c>
      <c r="DN75" s="76">
        <f t="shared" si="89"/>
        <v>220</v>
      </c>
      <c r="DO75" s="76">
        <f t="shared" si="89"/>
        <v>0</v>
      </c>
      <c r="DP75" s="112"/>
      <c r="DQ75" s="112"/>
      <c r="DR75" s="113" t="s">
        <v>463</v>
      </c>
      <c r="DS75" s="112"/>
      <c r="DT75" s="112"/>
      <c r="DU75" s="111"/>
      <c r="DV75" s="114"/>
      <c r="DW75" s="80">
        <f t="shared" si="169"/>
        <v>0</v>
      </c>
      <c r="DX75" s="81">
        <f t="shared" si="131"/>
        <v>0</v>
      </c>
      <c r="DY75" s="80">
        <f t="shared" si="158"/>
        <v>0</v>
      </c>
      <c r="DZ75" s="82">
        <f t="shared" si="159"/>
        <v>0</v>
      </c>
      <c r="EA75" s="82">
        <f t="shared" si="160"/>
        <v>0</v>
      </c>
      <c r="EB75" s="82">
        <f t="shared" si="161"/>
        <v>0</v>
      </c>
      <c r="EC75" s="82">
        <f t="shared" si="170"/>
        <v>0</v>
      </c>
      <c r="EF75" s="83">
        <f t="shared" si="107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2"/>
        <v>GAA5052-5.7x3-H9A14</v>
      </c>
      <c r="H76" s="46" t="str">
        <f t="shared" si="133"/>
        <v>A5052GA5.70DH9</v>
      </c>
      <c r="I76" s="46" t="str">
        <f t="shared" si="134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5"/>
        <v>22</v>
      </c>
      <c r="T76" s="51">
        <f>'02.02'!BG76</f>
        <v>13</v>
      </c>
      <c r="U76" s="92">
        <v>12</v>
      </c>
      <c r="V76" s="100">
        <v>0.15</v>
      </c>
      <c r="W76" s="93">
        <f t="shared" si="114"/>
        <v>0</v>
      </c>
      <c r="X76" s="93">
        <f t="shared" si="115"/>
        <v>0</v>
      </c>
      <c r="Y76" s="93">
        <f t="shared" si="116"/>
        <v>0</v>
      </c>
      <c r="Z76" s="93">
        <f t="shared" si="117"/>
        <v>0</v>
      </c>
      <c r="AA76" s="93">
        <f t="shared" si="118"/>
        <v>0</v>
      </c>
      <c r="AB76" s="93">
        <f t="shared" si="119"/>
        <v>2926</v>
      </c>
      <c r="AC76" s="93">
        <f t="shared" si="120"/>
        <v>0</v>
      </c>
      <c r="AD76" s="93">
        <f t="shared" si="121"/>
        <v>166</v>
      </c>
      <c r="AE76" s="93">
        <f t="shared" si="136"/>
        <v>2926</v>
      </c>
      <c r="AF76" s="54">
        <f>AE76+'02.02'!AF76</f>
        <v>8292</v>
      </c>
      <c r="AG76" s="94">
        <f t="shared" si="162"/>
        <v>13</v>
      </c>
      <c r="AH76" s="56">
        <f t="shared" si="137"/>
        <v>0</v>
      </c>
      <c r="AI76" s="93">
        <v>7</v>
      </c>
      <c r="AJ76" s="93">
        <f t="shared" si="163"/>
        <v>0</v>
      </c>
      <c r="AK76" s="95">
        <f t="shared" si="138"/>
        <v>1</v>
      </c>
      <c r="AL76" s="58">
        <f t="shared" ref="AL76:AL108" si="174">IF(V76="","",MAX(ROUNDUP((IF(AI76+AJ76=0,0,AH76)+AI76+AK76-1),2),0))</f>
        <v>7</v>
      </c>
      <c r="AM76" s="55">
        <f t="shared" si="164"/>
        <v>18</v>
      </c>
      <c r="AN76" s="93"/>
      <c r="AO76" s="96"/>
      <c r="AP76" s="96"/>
      <c r="AQ76" s="96"/>
      <c r="AR76" s="96"/>
      <c r="AS76" s="96"/>
      <c r="AT76" s="96">
        <f>$CJ76</f>
        <v>250</v>
      </c>
      <c r="AU76" s="96">
        <f t="shared" si="139"/>
        <v>0</v>
      </c>
      <c r="AV76" s="96">
        <f t="shared" si="139"/>
        <v>0</v>
      </c>
      <c r="AW76" s="96">
        <f t="shared" si="140"/>
        <v>250</v>
      </c>
      <c r="AX76" s="96">
        <f t="shared" si="141"/>
        <v>1666</v>
      </c>
      <c r="AY76" s="94">
        <f t="shared" si="165"/>
        <v>-2</v>
      </c>
      <c r="AZ76" s="94">
        <f t="shared" si="142"/>
        <v>-13.333333333333334</v>
      </c>
      <c r="BA76" s="94">
        <f t="shared" si="171"/>
        <v>18</v>
      </c>
      <c r="BB76" s="97">
        <f t="shared" si="172"/>
        <v>0</v>
      </c>
      <c r="BC76" s="93">
        <v>6</v>
      </c>
      <c r="BD76" s="93">
        <f t="shared" si="143"/>
        <v>0</v>
      </c>
      <c r="BE76" s="95">
        <f t="shared" si="144"/>
        <v>1</v>
      </c>
      <c r="BF76" s="58">
        <f t="shared" si="46"/>
        <v>6</v>
      </c>
      <c r="BG76" s="94">
        <f t="shared" si="145"/>
        <v>12</v>
      </c>
      <c r="BH76" s="89"/>
      <c r="BI76" s="89"/>
      <c r="BJ76" s="92"/>
      <c r="BK76" s="89"/>
      <c r="BL76" s="89"/>
      <c r="BM76" s="89"/>
      <c r="BN76" s="92">
        <f>$CN76</f>
        <v>189</v>
      </c>
      <c r="BO76" s="92">
        <f t="shared" si="166"/>
        <v>0</v>
      </c>
      <c r="BP76" s="92">
        <f t="shared" si="166"/>
        <v>25</v>
      </c>
      <c r="BQ76" s="96">
        <f t="shared" si="146"/>
        <v>214</v>
      </c>
      <c r="BR76" s="96">
        <f t="shared" si="147"/>
        <v>1426</v>
      </c>
      <c r="BS76" s="96">
        <f t="shared" si="167"/>
        <v>-2</v>
      </c>
      <c r="BT76" s="96">
        <f t="shared" si="148"/>
        <v>-13.333333333333334</v>
      </c>
      <c r="BU76" s="92">
        <f t="shared" si="122"/>
        <v>2926</v>
      </c>
      <c r="BV76" s="98">
        <f t="shared" si="168"/>
        <v>13</v>
      </c>
      <c r="BW76" s="92">
        <f t="shared" si="123"/>
        <v>-26.666666666666668</v>
      </c>
      <c r="BX76" s="98">
        <f t="shared" si="149"/>
        <v>2.6519999999999997</v>
      </c>
      <c r="BY76" s="61">
        <f>IFERROR(BF76+AL76,0)</f>
        <v>13</v>
      </c>
      <c r="BZ76" s="62">
        <f t="shared" si="150"/>
        <v>13</v>
      </c>
      <c r="CA76" s="98">
        <f t="shared" si="151"/>
        <v>0.46400000000000002</v>
      </c>
      <c r="CB76" s="92">
        <f t="shared" si="124"/>
        <v>3092</v>
      </c>
      <c r="CC76" s="92">
        <f t="shared" si="124"/>
        <v>-4</v>
      </c>
      <c r="CD76" s="92">
        <f t="shared" si="124"/>
        <v>-26.666666666666668</v>
      </c>
      <c r="CE76" s="99"/>
      <c r="CF76" s="99"/>
      <c r="CG76" s="51">
        <f t="shared" si="152"/>
        <v>2.2129999999999996</v>
      </c>
      <c r="CH76" s="62">
        <f t="shared" si="153"/>
        <v>2.2129999999999996</v>
      </c>
      <c r="CI76" s="89"/>
      <c r="CJ76" s="89">
        <v>250</v>
      </c>
      <c r="CK76" s="89"/>
      <c r="CL76" s="96"/>
      <c r="CM76" s="89"/>
      <c r="CN76" s="89">
        <v>189</v>
      </c>
      <c r="CO76" s="92"/>
      <c r="CP76" s="101">
        <v>25</v>
      </c>
      <c r="CQ76" s="102">
        <f t="shared" si="101"/>
        <v>1666</v>
      </c>
      <c r="CR76" s="102">
        <f t="shared" si="101"/>
        <v>0</v>
      </c>
      <c r="CS76" s="102">
        <f t="shared" si="101"/>
        <v>0</v>
      </c>
      <c r="CT76" s="92">
        <f t="shared" si="154"/>
        <v>1260</v>
      </c>
      <c r="CU76" s="92">
        <f t="shared" si="102"/>
        <v>0</v>
      </c>
      <c r="CV76" s="103">
        <f t="shared" si="102"/>
        <v>166</v>
      </c>
      <c r="CW76" s="104" t="s">
        <v>147</v>
      </c>
      <c r="CX76" s="105">
        <v>16</v>
      </c>
      <c r="CY76" s="106">
        <f t="shared" si="155"/>
        <v>2565</v>
      </c>
      <c r="CZ76" s="106">
        <f t="shared" si="156"/>
        <v>64.800000000000011</v>
      </c>
      <c r="DA76" s="106"/>
      <c r="DB76" s="106"/>
      <c r="DC76" s="105"/>
      <c r="DD76" s="107"/>
      <c r="DE76" s="92">
        <f t="shared" si="125"/>
        <v>1666</v>
      </c>
      <c r="DF76" s="108">
        <f t="shared" si="126"/>
        <v>7</v>
      </c>
      <c r="DG76" s="115">
        <f t="shared" si="127"/>
        <v>-13.333333333333334</v>
      </c>
      <c r="DH76" s="110">
        <f t="shared" si="128"/>
        <v>1260</v>
      </c>
      <c r="DI76" s="108">
        <f t="shared" si="129"/>
        <v>6</v>
      </c>
      <c r="DJ76" s="112">
        <f t="shared" si="130"/>
        <v>-13.333333333333334</v>
      </c>
      <c r="DK76" s="110">
        <f t="shared" si="86"/>
        <v>2926</v>
      </c>
      <c r="DL76" s="108">
        <f t="shared" si="86"/>
        <v>13</v>
      </c>
      <c r="DM76" s="111">
        <f t="shared" si="86"/>
        <v>-26.666666666666668</v>
      </c>
      <c r="DN76" s="76">
        <f t="shared" si="89"/>
        <v>13</v>
      </c>
      <c r="DO76" s="76">
        <f t="shared" si="89"/>
        <v>12</v>
      </c>
      <c r="DP76" s="112"/>
      <c r="DQ76" s="112"/>
      <c r="DR76" s="113" t="s">
        <v>464</v>
      </c>
      <c r="DS76" s="112"/>
      <c r="DT76" s="112"/>
      <c r="DU76" s="111"/>
      <c r="DV76" s="114"/>
      <c r="DW76" s="80">
        <f t="shared" si="169"/>
        <v>13</v>
      </c>
      <c r="DX76" s="81">
        <f t="shared" si="131"/>
        <v>2912.3333333333335</v>
      </c>
      <c r="DY76" s="80">
        <f t="shared" si="158"/>
        <v>3092</v>
      </c>
      <c r="DZ76" s="82">
        <f t="shared" si="159"/>
        <v>2.4899999999999999E-2</v>
      </c>
      <c r="EA76" s="82">
        <f t="shared" si="160"/>
        <v>0.43889999999999996</v>
      </c>
      <c r="EB76" s="82">
        <f t="shared" si="161"/>
        <v>2.2130999999999998</v>
      </c>
      <c r="EC76" s="82">
        <f t="shared" si="75"/>
        <v>2.238</v>
      </c>
      <c r="EF76" s="83">
        <f t="shared" si="107"/>
        <v>-26.666666666666668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2"/>
        <v>GAA5052-5.7x3-H9A14</v>
      </c>
      <c r="H77" s="46" t="str">
        <f t="shared" si="133"/>
        <v>A5052GA5.70DH9</v>
      </c>
      <c r="I77" s="46" t="str">
        <f t="shared" si="134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5"/>
        <v>16</v>
      </c>
      <c r="T77" s="51">
        <v>13</v>
      </c>
      <c r="U77" s="92">
        <v>12</v>
      </c>
      <c r="V77" s="100">
        <v>0.15</v>
      </c>
      <c r="W77" s="93">
        <f t="shared" si="114"/>
        <v>0</v>
      </c>
      <c r="X77" s="93">
        <f t="shared" si="115"/>
        <v>0</v>
      </c>
      <c r="Y77" s="93">
        <f t="shared" si="116"/>
        <v>0</v>
      </c>
      <c r="Z77" s="93">
        <f t="shared" si="117"/>
        <v>0</v>
      </c>
      <c r="AA77" s="93">
        <f t="shared" si="118"/>
        <v>0</v>
      </c>
      <c r="AB77" s="93">
        <f t="shared" si="119"/>
        <v>2400</v>
      </c>
      <c r="AC77" s="93">
        <f t="shared" si="120"/>
        <v>0</v>
      </c>
      <c r="AD77" s="93">
        <f t="shared" si="121"/>
        <v>266</v>
      </c>
      <c r="AE77" s="93">
        <f t="shared" si="136"/>
        <v>2400</v>
      </c>
      <c r="AF77" s="54">
        <f>AE77+'02.02'!AF77</f>
        <v>6966</v>
      </c>
      <c r="AG77" s="94">
        <f t="shared" si="162"/>
        <v>13</v>
      </c>
      <c r="AH77" s="56">
        <f t="shared" si="137"/>
        <v>0</v>
      </c>
      <c r="AI77" s="93">
        <v>6</v>
      </c>
      <c r="AJ77" s="93">
        <f t="shared" si="163"/>
        <v>0</v>
      </c>
      <c r="AK77" s="95">
        <f t="shared" si="138"/>
        <v>1</v>
      </c>
      <c r="AL77" s="58">
        <f t="shared" si="174"/>
        <v>6</v>
      </c>
      <c r="AM77" s="55">
        <f t="shared" si="164"/>
        <v>19</v>
      </c>
      <c r="AN77" s="93"/>
      <c r="AO77" s="96"/>
      <c r="AP77" s="96"/>
      <c r="AQ77" s="96"/>
      <c r="AR77" s="96"/>
      <c r="AS77" s="96"/>
      <c r="AT77" s="96">
        <f>$CJ77</f>
        <v>209</v>
      </c>
      <c r="AU77" s="96">
        <f t="shared" si="139"/>
        <v>0</v>
      </c>
      <c r="AV77" s="96">
        <f t="shared" si="139"/>
        <v>0</v>
      </c>
      <c r="AW77" s="96">
        <f t="shared" si="140"/>
        <v>209</v>
      </c>
      <c r="AX77" s="96">
        <f t="shared" si="141"/>
        <v>1393</v>
      </c>
      <c r="AY77" s="94">
        <f t="shared" si="165"/>
        <v>-7</v>
      </c>
      <c r="AZ77" s="94">
        <f t="shared" si="142"/>
        <v>-46.666666666666671</v>
      </c>
      <c r="BA77" s="94">
        <f t="shared" si="171"/>
        <v>19</v>
      </c>
      <c r="BB77" s="97">
        <f t="shared" si="172"/>
        <v>0</v>
      </c>
      <c r="BC77" s="93">
        <v>5</v>
      </c>
      <c r="BD77" s="93">
        <f t="shared" si="143"/>
        <v>0</v>
      </c>
      <c r="BE77" s="95">
        <f t="shared" si="144"/>
        <v>1</v>
      </c>
      <c r="BF77" s="58">
        <f t="shared" ref="BF77:BF106" si="175">IF(V77="","",MAX(ROUNDUP((IF(BC77+BD77=0,0,BB77)+BC77+BE77-1),2),0))</f>
        <v>5</v>
      </c>
      <c r="BG77" s="94">
        <f t="shared" si="145"/>
        <v>14</v>
      </c>
      <c r="BH77" s="89"/>
      <c r="BI77" s="89"/>
      <c r="BJ77" s="89"/>
      <c r="BK77" s="89"/>
      <c r="BL77" s="89"/>
      <c r="BM77" s="89"/>
      <c r="BN77" s="92">
        <f>$CN77</f>
        <v>151</v>
      </c>
      <c r="BO77" s="92">
        <f t="shared" si="166"/>
        <v>0</v>
      </c>
      <c r="BP77" s="92">
        <f t="shared" si="166"/>
        <v>40</v>
      </c>
      <c r="BQ77" s="96">
        <f t="shared" si="146"/>
        <v>191</v>
      </c>
      <c r="BR77" s="96">
        <f t="shared" si="147"/>
        <v>1273</v>
      </c>
      <c r="BS77" s="96">
        <f t="shared" si="167"/>
        <v>11</v>
      </c>
      <c r="BT77" s="96">
        <f t="shared" si="148"/>
        <v>73.333333333333343</v>
      </c>
      <c r="BU77" s="92">
        <f t="shared" si="122"/>
        <v>2400</v>
      </c>
      <c r="BV77" s="98">
        <f t="shared" si="168"/>
        <v>11</v>
      </c>
      <c r="BW77" s="92">
        <f t="shared" si="123"/>
        <v>26.666666666666671</v>
      </c>
      <c r="BX77" s="98">
        <f t="shared" si="149"/>
        <v>2.2439999999999998</v>
      </c>
      <c r="BY77" s="61">
        <f t="shared" si="173"/>
        <v>11</v>
      </c>
      <c r="BZ77" s="62">
        <f t="shared" si="150"/>
        <v>11</v>
      </c>
      <c r="CA77" s="98">
        <f t="shared" si="151"/>
        <v>0.4</v>
      </c>
      <c r="CB77" s="92">
        <f t="shared" si="124"/>
        <v>2666</v>
      </c>
      <c r="CC77" s="92">
        <f t="shared" si="124"/>
        <v>4</v>
      </c>
      <c r="CD77" s="92">
        <f t="shared" si="124"/>
        <v>26.666666666666671</v>
      </c>
      <c r="CE77" s="99"/>
      <c r="CF77" s="99"/>
      <c r="CG77" s="51">
        <f t="shared" si="152"/>
        <v>1.8839999999999999</v>
      </c>
      <c r="CH77" s="62">
        <f t="shared" si="153"/>
        <v>1.8839999999999999</v>
      </c>
      <c r="CI77" s="89"/>
      <c r="CJ77" s="89">
        <v>209</v>
      </c>
      <c r="CK77" s="89"/>
      <c r="CL77" s="96"/>
      <c r="CM77" s="89"/>
      <c r="CN77" s="89">
        <v>151</v>
      </c>
      <c r="CO77" s="92"/>
      <c r="CP77" s="101">
        <v>40</v>
      </c>
      <c r="CQ77" s="102">
        <f t="shared" si="101"/>
        <v>1393</v>
      </c>
      <c r="CR77" s="102">
        <f t="shared" si="101"/>
        <v>0</v>
      </c>
      <c r="CS77" s="102">
        <f t="shared" si="101"/>
        <v>0</v>
      </c>
      <c r="CT77" s="92">
        <f t="shared" si="154"/>
        <v>1007</v>
      </c>
      <c r="CU77" s="92">
        <f t="shared" si="102"/>
        <v>0</v>
      </c>
      <c r="CV77" s="103">
        <f t="shared" si="102"/>
        <v>266</v>
      </c>
      <c r="CW77" s="104" t="s">
        <v>147</v>
      </c>
      <c r="CX77" s="105">
        <v>21.26</v>
      </c>
      <c r="CY77" s="106">
        <f t="shared" si="155"/>
        <v>1955</v>
      </c>
      <c r="CZ77" s="106">
        <f t="shared" si="156"/>
        <v>86.103000000000023</v>
      </c>
      <c r="DA77" s="106"/>
      <c r="DB77" s="106"/>
      <c r="DC77" s="105"/>
      <c r="DD77" s="107"/>
      <c r="DE77" s="92">
        <f t="shared" si="125"/>
        <v>1393</v>
      </c>
      <c r="DF77" s="108">
        <f t="shared" si="126"/>
        <v>6</v>
      </c>
      <c r="DG77" s="115">
        <f t="shared" si="127"/>
        <v>-46.666666666666671</v>
      </c>
      <c r="DH77" s="110">
        <f t="shared" si="128"/>
        <v>1007</v>
      </c>
      <c r="DI77" s="108">
        <f t="shared" si="129"/>
        <v>5</v>
      </c>
      <c r="DJ77" s="112">
        <f t="shared" si="130"/>
        <v>73.333333333333343</v>
      </c>
      <c r="DK77" s="110">
        <f t="shared" si="86"/>
        <v>2400</v>
      </c>
      <c r="DL77" s="108">
        <f t="shared" si="86"/>
        <v>11</v>
      </c>
      <c r="DM77" s="111">
        <f t="shared" si="86"/>
        <v>26.666666666666671</v>
      </c>
      <c r="DN77" s="76">
        <f t="shared" si="89"/>
        <v>13</v>
      </c>
      <c r="DO77" s="76">
        <f t="shared" si="89"/>
        <v>12</v>
      </c>
      <c r="DP77" s="112"/>
      <c r="DQ77" s="112"/>
      <c r="DR77" s="113" t="s">
        <v>465</v>
      </c>
      <c r="DS77" s="112"/>
      <c r="DT77" s="112"/>
      <c r="DU77" s="111"/>
      <c r="DV77" s="114"/>
      <c r="DW77" s="80">
        <f t="shared" si="157"/>
        <v>2411</v>
      </c>
      <c r="DX77" s="81">
        <f t="shared" si="131"/>
        <v>2437.6666666666665</v>
      </c>
      <c r="DY77" s="80">
        <f t="shared" si="158"/>
        <v>2666</v>
      </c>
      <c r="DZ77" s="82">
        <f t="shared" si="159"/>
        <v>3.9899999999999998E-2</v>
      </c>
      <c r="EA77" s="82">
        <f t="shared" si="160"/>
        <v>0.36</v>
      </c>
      <c r="EB77" s="82">
        <f t="shared" si="161"/>
        <v>1.8839999999999999</v>
      </c>
      <c r="EC77" s="82">
        <f t="shared" si="75"/>
        <v>1.9238999999999999</v>
      </c>
      <c r="EF77" s="83">
        <f t="shared" si="107"/>
        <v>26.666666666666671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2"/>
        <v>TTS22C-2x2-H9A12</v>
      </c>
      <c r="H78" s="46" t="str">
        <f t="shared" si="133"/>
        <v>S22CTT20DH9</v>
      </c>
      <c r="I78" s="46" t="str">
        <f t="shared" si="134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5"/>
        <v>16</v>
      </c>
      <c r="T78" s="51">
        <v>4</v>
      </c>
      <c r="U78" s="92">
        <v>26</v>
      </c>
      <c r="V78" s="100">
        <v>3.5000000000000003E-2</v>
      </c>
      <c r="W78" s="93">
        <f t="shared" si="114"/>
        <v>0</v>
      </c>
      <c r="X78" s="93">
        <f t="shared" si="115"/>
        <v>0</v>
      </c>
      <c r="Y78" s="93">
        <f t="shared" si="116"/>
        <v>0</v>
      </c>
      <c r="Z78" s="93">
        <f t="shared" si="117"/>
        <v>7142</v>
      </c>
      <c r="AA78" s="93">
        <f t="shared" si="118"/>
        <v>0</v>
      </c>
      <c r="AB78" s="93">
        <f t="shared" si="119"/>
        <v>0</v>
      </c>
      <c r="AC78" s="93">
        <f t="shared" si="120"/>
        <v>0</v>
      </c>
      <c r="AD78" s="93">
        <f t="shared" si="121"/>
        <v>0</v>
      </c>
      <c r="AE78" s="93">
        <f t="shared" si="136"/>
        <v>7142</v>
      </c>
      <c r="AF78" s="54">
        <f>AE78+'02.02'!AF78</f>
        <v>20284</v>
      </c>
      <c r="AG78" s="94">
        <f t="shared" si="162"/>
        <v>4</v>
      </c>
      <c r="AH78" s="56">
        <f t="shared" si="137"/>
        <v>0</v>
      </c>
      <c r="AI78" s="93">
        <v>7</v>
      </c>
      <c r="AJ78" s="93">
        <f t="shared" si="163"/>
        <v>0</v>
      </c>
      <c r="AK78" s="95">
        <f t="shared" si="138"/>
        <v>1</v>
      </c>
      <c r="AL78" s="58">
        <f t="shared" si="174"/>
        <v>7</v>
      </c>
      <c r="AM78" s="55">
        <f t="shared" si="164"/>
        <v>23</v>
      </c>
      <c r="AN78" s="93"/>
      <c r="AO78" s="96"/>
      <c r="AP78" s="96"/>
      <c r="AQ78" s="96"/>
      <c r="AR78" s="96">
        <f>$CJ78</f>
        <v>125</v>
      </c>
      <c r="AS78" s="96"/>
      <c r="AT78" s="96"/>
      <c r="AU78" s="96">
        <f t="shared" si="139"/>
        <v>0</v>
      </c>
      <c r="AV78" s="96">
        <f t="shared" si="139"/>
        <v>0</v>
      </c>
      <c r="AW78" s="96">
        <f t="shared" si="140"/>
        <v>125</v>
      </c>
      <c r="AX78" s="96">
        <f t="shared" si="141"/>
        <v>3571</v>
      </c>
      <c r="AY78" s="94">
        <f t="shared" si="165"/>
        <v>2.2549999999999812</v>
      </c>
      <c r="AZ78" s="94">
        <f t="shared" si="142"/>
        <v>64.428571428570891</v>
      </c>
      <c r="BA78" s="94">
        <f t="shared" si="171"/>
        <v>23</v>
      </c>
      <c r="BB78" s="97">
        <f t="shared" si="172"/>
        <v>0</v>
      </c>
      <c r="BC78" s="93">
        <v>7</v>
      </c>
      <c r="BD78" s="93">
        <f t="shared" si="143"/>
        <v>0</v>
      </c>
      <c r="BE78" s="95">
        <f t="shared" si="144"/>
        <v>1</v>
      </c>
      <c r="BF78" s="58">
        <f t="shared" si="175"/>
        <v>7</v>
      </c>
      <c r="BG78" s="94">
        <f t="shared" si="145"/>
        <v>16</v>
      </c>
      <c r="BH78" s="89"/>
      <c r="BI78" s="89"/>
      <c r="BJ78" s="89"/>
      <c r="BK78" s="89"/>
      <c r="BL78" s="92">
        <f>$CN78</f>
        <v>125</v>
      </c>
      <c r="BM78" s="89"/>
      <c r="BN78" s="89"/>
      <c r="BO78" s="92">
        <f t="shared" si="166"/>
        <v>0</v>
      </c>
      <c r="BP78" s="92">
        <f t="shared" si="166"/>
        <v>0</v>
      </c>
      <c r="BQ78" s="96">
        <f t="shared" si="146"/>
        <v>125</v>
      </c>
      <c r="BR78" s="96">
        <f t="shared" si="147"/>
        <v>3571</v>
      </c>
      <c r="BS78" s="96">
        <f t="shared" si="167"/>
        <v>2.2549999999999812</v>
      </c>
      <c r="BT78" s="96">
        <f t="shared" si="148"/>
        <v>64.428571428570891</v>
      </c>
      <c r="BU78" s="92">
        <f t="shared" si="122"/>
        <v>7142</v>
      </c>
      <c r="BV78" s="98">
        <f t="shared" si="168"/>
        <v>14</v>
      </c>
      <c r="BW78" s="92">
        <f t="shared" si="123"/>
        <v>128.85714285714178</v>
      </c>
      <c r="BX78" s="98" t="str">
        <f t="shared" si="149"/>
        <v/>
      </c>
      <c r="BY78" s="61">
        <f t="shared" si="173"/>
        <v>14</v>
      </c>
      <c r="BZ78" s="62">
        <f t="shared" si="150"/>
        <v>14</v>
      </c>
      <c r="CA78" s="98">
        <f t="shared" si="151"/>
        <v>0.25</v>
      </c>
      <c r="CB78" s="92">
        <f t="shared" si="124"/>
        <v>7142</v>
      </c>
      <c r="CC78" s="92">
        <f t="shared" si="124"/>
        <v>4.5099999999999625</v>
      </c>
      <c r="CD78" s="92">
        <f t="shared" si="124"/>
        <v>128.85714285714178</v>
      </c>
      <c r="CE78" s="99"/>
      <c r="CF78" s="99"/>
      <c r="CG78" s="51">
        <f t="shared" si="152"/>
        <v>0</v>
      </c>
      <c r="CH78" s="62">
        <f t="shared" si="153"/>
        <v>0</v>
      </c>
      <c r="CI78" s="89"/>
      <c r="CJ78" s="89">
        <v>125</v>
      </c>
      <c r="CK78" s="89"/>
      <c r="CL78" s="96"/>
      <c r="CM78" s="89"/>
      <c r="CN78" s="89">
        <v>125</v>
      </c>
      <c r="CO78" s="92"/>
      <c r="CP78" s="101"/>
      <c r="CQ78" s="102">
        <f t="shared" si="101"/>
        <v>3571</v>
      </c>
      <c r="CR78" s="102">
        <f t="shared" si="101"/>
        <v>0</v>
      </c>
      <c r="CS78" s="102">
        <f t="shared" si="101"/>
        <v>0</v>
      </c>
      <c r="CT78" s="92">
        <f t="shared" si="154"/>
        <v>3571</v>
      </c>
      <c r="CU78" s="92">
        <f t="shared" si="102"/>
        <v>0</v>
      </c>
      <c r="CV78" s="103">
        <f t="shared" si="102"/>
        <v>0</v>
      </c>
      <c r="CW78" s="104" t="s">
        <v>147</v>
      </c>
      <c r="CX78" s="105">
        <v>9.85</v>
      </c>
      <c r="CY78" s="106">
        <f t="shared" si="155"/>
        <v>4221</v>
      </c>
      <c r="CZ78" s="106">
        <f t="shared" si="156"/>
        <v>39.892499999999998</v>
      </c>
      <c r="DA78" s="106"/>
      <c r="DB78" s="106"/>
      <c r="DC78" s="105"/>
      <c r="DD78" s="107"/>
      <c r="DE78" s="92">
        <f t="shared" si="125"/>
        <v>3571</v>
      </c>
      <c r="DF78" s="108">
        <f t="shared" si="126"/>
        <v>7</v>
      </c>
      <c r="DG78" s="115">
        <f t="shared" si="127"/>
        <v>64.428571428570891</v>
      </c>
      <c r="DH78" s="110">
        <f t="shared" si="128"/>
        <v>3571</v>
      </c>
      <c r="DI78" s="108">
        <f t="shared" si="129"/>
        <v>7</v>
      </c>
      <c r="DJ78" s="115">
        <f t="shared" si="130"/>
        <v>64.428571428570891</v>
      </c>
      <c r="DK78" s="110">
        <f t="shared" si="86"/>
        <v>7142</v>
      </c>
      <c r="DL78" s="108">
        <f t="shared" si="86"/>
        <v>14</v>
      </c>
      <c r="DM78" s="111">
        <f t="shared" si="86"/>
        <v>128.85714285714178</v>
      </c>
      <c r="DN78" s="76">
        <f t="shared" si="89"/>
        <v>4</v>
      </c>
      <c r="DO78" s="76">
        <f t="shared" si="89"/>
        <v>26</v>
      </c>
      <c r="DP78" s="112"/>
      <c r="DQ78" s="112"/>
      <c r="DR78" s="113" t="s">
        <v>466</v>
      </c>
      <c r="DS78" s="112"/>
      <c r="DT78" s="112"/>
      <c r="DU78" s="111"/>
      <c r="DV78" s="114"/>
      <c r="DW78" s="80">
        <f t="shared" si="157"/>
        <v>7156</v>
      </c>
      <c r="DX78" s="81">
        <f t="shared" si="131"/>
        <v>7284.8571428571422</v>
      </c>
      <c r="DY78" s="80">
        <f t="shared" si="158"/>
        <v>7142</v>
      </c>
      <c r="DZ78" s="82">
        <f t="shared" si="159"/>
        <v>0</v>
      </c>
      <c r="EA78" s="82">
        <f t="shared" si="160"/>
        <v>0.24997000000000003</v>
      </c>
      <c r="EB78" s="82" t="e">
        <f t="shared" si="161"/>
        <v>#VALUE!</v>
      </c>
      <c r="EC78" s="82" t="e">
        <f t="shared" si="75"/>
        <v>#VALUE!</v>
      </c>
      <c r="EF78" s="83">
        <f t="shared" si="107"/>
        <v>128.85714285714178</v>
      </c>
    </row>
    <row r="79" spans="1:136" ht="15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2"/>
        <v>IBC3604-6x3-H9B13</v>
      </c>
      <c r="H79" s="46" t="str">
        <f t="shared" si="133"/>
        <v>C3604IB60DH9</v>
      </c>
      <c r="I79" s="46" t="str">
        <f t="shared" si="134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5"/>
        <v>10</v>
      </c>
      <c r="T79" s="51">
        <f>'02.02'!BG79</f>
        <v>0</v>
      </c>
      <c r="U79" s="92"/>
      <c r="V79" s="100">
        <v>0.67</v>
      </c>
      <c r="W79" s="93">
        <f t="shared" si="114"/>
        <v>0</v>
      </c>
      <c r="X79" s="93">
        <f t="shared" si="115"/>
        <v>0</v>
      </c>
      <c r="Y79" s="93">
        <f t="shared" si="116"/>
        <v>0</v>
      </c>
      <c r="Z79" s="93">
        <f t="shared" si="117"/>
        <v>0</v>
      </c>
      <c r="AA79" s="93">
        <f t="shared" si="118"/>
        <v>0</v>
      </c>
      <c r="AB79" s="93">
        <f t="shared" si="119"/>
        <v>0</v>
      </c>
      <c r="AC79" s="93">
        <f t="shared" si="120"/>
        <v>0</v>
      </c>
      <c r="AD79" s="93">
        <f t="shared" si="121"/>
        <v>0</v>
      </c>
      <c r="AE79" s="93">
        <f t="shared" si="136"/>
        <v>0</v>
      </c>
      <c r="AF79" s="54">
        <f>AE79+'02.02'!AF79</f>
        <v>0</v>
      </c>
      <c r="AG79" s="94">
        <f t="shared" si="162"/>
        <v>0</v>
      </c>
      <c r="AH79" s="56">
        <f t="shared" si="137"/>
        <v>0</v>
      </c>
      <c r="AI79" s="93"/>
      <c r="AJ79" s="93">
        <f t="shared" si="163"/>
        <v>0</v>
      </c>
      <c r="AK79" s="95">
        <f t="shared" si="138"/>
        <v>1</v>
      </c>
      <c r="AL79" s="58">
        <f t="shared" si="174"/>
        <v>0</v>
      </c>
      <c r="AM79" s="55">
        <f t="shared" si="164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39"/>
        <v>0</v>
      </c>
      <c r="AV79" s="96">
        <f t="shared" si="139"/>
        <v>0</v>
      </c>
      <c r="AW79" s="96">
        <f t="shared" si="140"/>
        <v>0</v>
      </c>
      <c r="AX79" s="96">
        <f t="shared" si="141"/>
        <v>0</v>
      </c>
      <c r="AY79" s="94">
        <f t="shared" si="165"/>
        <v>0</v>
      </c>
      <c r="AZ79" s="94">
        <f t="shared" si="142"/>
        <v>0</v>
      </c>
      <c r="BA79" s="94">
        <f t="shared" si="171"/>
        <v>0</v>
      </c>
      <c r="BB79" s="97">
        <f t="shared" si="172"/>
        <v>0</v>
      </c>
      <c r="BC79" s="93"/>
      <c r="BD79" s="93">
        <f t="shared" si="143"/>
        <v>0</v>
      </c>
      <c r="BE79" s="95">
        <f t="shared" si="144"/>
        <v>1</v>
      </c>
      <c r="BF79" s="58">
        <f t="shared" si="175"/>
        <v>0</v>
      </c>
      <c r="BG79" s="94">
        <f t="shared" si="145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6"/>
        <v>0</v>
      </c>
      <c r="BP79" s="92">
        <f t="shared" si="166"/>
        <v>0</v>
      </c>
      <c r="BQ79" s="96">
        <f t="shared" si="146"/>
        <v>0</v>
      </c>
      <c r="BR79" s="96">
        <f t="shared" si="147"/>
        <v>0</v>
      </c>
      <c r="BS79" s="96">
        <f t="shared" si="167"/>
        <v>0</v>
      </c>
      <c r="BT79" s="96">
        <f t="shared" si="148"/>
        <v>0</v>
      </c>
      <c r="BU79" s="92">
        <f t="shared" si="122"/>
        <v>0</v>
      </c>
      <c r="BV79" s="98">
        <f t="shared" si="168"/>
        <v>0</v>
      </c>
      <c r="BW79" s="92">
        <f t="shared" si="123"/>
        <v>0</v>
      </c>
      <c r="BX79" s="98">
        <f t="shared" si="149"/>
        <v>0</v>
      </c>
      <c r="BY79" s="61">
        <f t="shared" si="173"/>
        <v>0</v>
      </c>
      <c r="BZ79" s="62">
        <f t="shared" si="150"/>
        <v>0</v>
      </c>
      <c r="CA79" s="98">
        <f t="shared" si="151"/>
        <v>0</v>
      </c>
      <c r="CB79" s="92">
        <f t="shared" si="124"/>
        <v>0</v>
      </c>
      <c r="CC79" s="92">
        <f t="shared" si="124"/>
        <v>0</v>
      </c>
      <c r="CD79" s="92">
        <f t="shared" si="124"/>
        <v>0</v>
      </c>
      <c r="CE79" s="99"/>
      <c r="CF79" s="99"/>
      <c r="CG79" s="51">
        <f t="shared" si="152"/>
        <v>0</v>
      </c>
      <c r="CH79" s="62">
        <f t="shared" si="153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101"/>
        <v>0</v>
      </c>
      <c r="CR79" s="102">
        <f t="shared" si="101"/>
        <v>0</v>
      </c>
      <c r="CS79" s="102">
        <f t="shared" si="101"/>
        <v>0</v>
      </c>
      <c r="CT79" s="92">
        <f t="shared" si="154"/>
        <v>0</v>
      </c>
      <c r="CU79" s="92">
        <f t="shared" si="102"/>
        <v>0</v>
      </c>
      <c r="CV79" s="103">
        <f t="shared" si="102"/>
        <v>0</v>
      </c>
      <c r="CW79" s="104" t="s">
        <v>147</v>
      </c>
      <c r="CX79" s="105">
        <v>20</v>
      </c>
      <c r="CY79" s="106">
        <f t="shared" si="155"/>
        <v>2106</v>
      </c>
      <c r="CZ79" s="106">
        <f t="shared" si="156"/>
        <v>81</v>
      </c>
      <c r="DA79" s="106"/>
      <c r="DB79" s="106"/>
      <c r="DC79" s="105"/>
      <c r="DD79" s="107"/>
      <c r="DE79" s="92">
        <f t="shared" si="125"/>
        <v>0</v>
      </c>
      <c r="DF79" s="108">
        <f t="shared" si="126"/>
        <v>0</v>
      </c>
      <c r="DG79" s="115">
        <f t="shared" si="127"/>
        <v>0</v>
      </c>
      <c r="DH79" s="110">
        <f t="shared" si="128"/>
        <v>0</v>
      </c>
      <c r="DI79" s="108">
        <f t="shared" si="129"/>
        <v>0</v>
      </c>
      <c r="DJ79" s="112">
        <f t="shared" si="130"/>
        <v>0</v>
      </c>
      <c r="DK79" s="110">
        <f t="shared" si="86"/>
        <v>0</v>
      </c>
      <c r="DL79" s="108">
        <f t="shared" si="86"/>
        <v>0</v>
      </c>
      <c r="DM79" s="111">
        <f t="shared" si="86"/>
        <v>0</v>
      </c>
      <c r="DN79" s="76">
        <f t="shared" si="89"/>
        <v>0</v>
      </c>
      <c r="DO79" s="76">
        <f t="shared" si="89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7"/>
        <v>0</v>
      </c>
      <c r="DX79" s="81">
        <f t="shared" si="131"/>
        <v>0</v>
      </c>
      <c r="DY79" s="80">
        <f t="shared" si="158"/>
        <v>0</v>
      </c>
      <c r="DZ79" s="82">
        <f t="shared" si="159"/>
        <v>0</v>
      </c>
      <c r="EA79" s="82">
        <f t="shared" si="160"/>
        <v>0</v>
      </c>
      <c r="EB79" s="82">
        <f t="shared" si="161"/>
        <v>0</v>
      </c>
      <c r="EC79" s="82">
        <f t="shared" ref="EC79:EC82" si="176">(BX79-CA79)+((AV79+BP79)/1000)</f>
        <v>0</v>
      </c>
      <c r="EF79" s="83">
        <f t="shared" si="107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2"/>
        <v>YHC2700-5.5x3-H9A14</v>
      </c>
      <c r="H80" s="46" t="str">
        <f t="shared" si="133"/>
        <v>C2700YH5.50DH9</v>
      </c>
      <c r="I80" s="46" t="str">
        <f t="shared" si="134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5"/>
        <v>46</v>
      </c>
      <c r="T80" s="51">
        <f>'02.02'!BG80</f>
        <v>15</v>
      </c>
      <c r="U80" s="92">
        <v>25</v>
      </c>
      <c r="V80" s="100">
        <v>1.1000000000000001</v>
      </c>
      <c r="W80" s="93">
        <f t="shared" si="114"/>
        <v>0</v>
      </c>
      <c r="X80" s="93">
        <f t="shared" si="115"/>
        <v>1740</v>
      </c>
      <c r="Y80" s="93">
        <f t="shared" si="116"/>
        <v>0</v>
      </c>
      <c r="Z80" s="93">
        <f t="shared" si="117"/>
        <v>0</v>
      </c>
      <c r="AA80" s="93">
        <f t="shared" si="118"/>
        <v>0</v>
      </c>
      <c r="AB80" s="93">
        <f t="shared" si="119"/>
        <v>0</v>
      </c>
      <c r="AC80" s="93">
        <f t="shared" si="120"/>
        <v>0</v>
      </c>
      <c r="AD80" s="93">
        <f t="shared" si="121"/>
        <v>18</v>
      </c>
      <c r="AE80" s="93">
        <f t="shared" si="136"/>
        <v>1740</v>
      </c>
      <c r="AF80" s="54">
        <f>AE80+'02.02'!AF80</f>
        <v>5584</v>
      </c>
      <c r="AG80" s="94">
        <f t="shared" si="162"/>
        <v>15</v>
      </c>
      <c r="AH80" s="56">
        <f t="shared" si="137"/>
        <v>0</v>
      </c>
      <c r="AI80" s="93">
        <v>10</v>
      </c>
      <c r="AJ80" s="93">
        <f t="shared" si="163"/>
        <v>0</v>
      </c>
      <c r="AK80" s="95">
        <f t="shared" si="138"/>
        <v>1</v>
      </c>
      <c r="AL80" s="58">
        <f t="shared" si="174"/>
        <v>10</v>
      </c>
      <c r="AM80" s="55">
        <f t="shared" si="164"/>
        <v>30</v>
      </c>
      <c r="AN80" s="93"/>
      <c r="AO80" s="96"/>
      <c r="AP80" s="96">
        <f>$CJ80</f>
        <v>1815</v>
      </c>
      <c r="AQ80" s="96"/>
      <c r="AR80" s="96"/>
      <c r="AS80" s="96"/>
      <c r="AT80" s="96"/>
      <c r="AU80" s="96">
        <f t="shared" si="139"/>
        <v>0</v>
      </c>
      <c r="AV80" s="96">
        <f t="shared" si="139"/>
        <v>20</v>
      </c>
      <c r="AW80" s="96">
        <f t="shared" si="140"/>
        <v>1835</v>
      </c>
      <c r="AX80" s="96">
        <f t="shared" si="141"/>
        <v>1668</v>
      </c>
      <c r="AY80" s="94">
        <f t="shared" si="165"/>
        <v>19.999999999999773</v>
      </c>
      <c r="AZ80" s="94">
        <f t="shared" si="142"/>
        <v>18.181818181817974</v>
      </c>
      <c r="BA80" s="94">
        <f t="shared" si="171"/>
        <v>30</v>
      </c>
      <c r="BB80" s="97">
        <f t="shared" si="172"/>
        <v>0</v>
      </c>
      <c r="BC80" s="93">
        <v>1</v>
      </c>
      <c r="BD80" s="93">
        <f t="shared" si="143"/>
        <v>0</v>
      </c>
      <c r="BE80" s="95">
        <f t="shared" si="144"/>
        <v>1</v>
      </c>
      <c r="BF80" s="58">
        <f t="shared" si="175"/>
        <v>1</v>
      </c>
      <c r="BG80" s="94">
        <f t="shared" si="145"/>
        <v>29</v>
      </c>
      <c r="BH80" s="89"/>
      <c r="BI80" s="89"/>
      <c r="BJ80" s="92">
        <f>$CN80</f>
        <v>100</v>
      </c>
      <c r="BK80" s="89"/>
      <c r="BL80" s="89"/>
      <c r="BM80" s="89"/>
      <c r="BN80" s="92"/>
      <c r="BO80" s="92">
        <f t="shared" si="166"/>
        <v>0</v>
      </c>
      <c r="BP80" s="92">
        <f t="shared" si="166"/>
        <v>0</v>
      </c>
      <c r="BQ80" s="96">
        <f t="shared" si="146"/>
        <v>100</v>
      </c>
      <c r="BR80" s="96">
        <f t="shared" si="147"/>
        <v>90</v>
      </c>
      <c r="BS80" s="96">
        <f t="shared" si="167"/>
        <v>-81.500000000000028</v>
      </c>
      <c r="BT80" s="96">
        <f t="shared" si="148"/>
        <v>-74.090909090909108</v>
      </c>
      <c r="BU80" s="92">
        <f t="shared" si="122"/>
        <v>1740</v>
      </c>
      <c r="BV80" s="98">
        <f t="shared" si="168"/>
        <v>11</v>
      </c>
      <c r="BW80" s="92">
        <f t="shared" si="123"/>
        <v>-55.909090909091134</v>
      </c>
      <c r="BX80" s="98">
        <f t="shared" si="149"/>
        <v>6.5889999999999995</v>
      </c>
      <c r="BY80" s="61">
        <f t="shared" si="173"/>
        <v>11</v>
      </c>
      <c r="BZ80" s="62">
        <f t="shared" si="150"/>
        <v>11</v>
      </c>
      <c r="CA80" s="98">
        <f t="shared" si="151"/>
        <v>1.9350000000000001</v>
      </c>
      <c r="CB80" s="92">
        <f>IFERROR(BR80+AX80,"")</f>
        <v>1758</v>
      </c>
      <c r="CC80" s="92">
        <f t="shared" si="124"/>
        <v>-61.500000000000256</v>
      </c>
      <c r="CD80" s="92">
        <f t="shared" si="124"/>
        <v>-55.909090909091134</v>
      </c>
      <c r="CE80" s="99"/>
      <c r="CF80" s="99"/>
      <c r="CG80" s="51">
        <f t="shared" si="152"/>
        <v>4.6739999999999995</v>
      </c>
      <c r="CH80" s="62">
        <f t="shared" si="153"/>
        <v>4.6739999999999995</v>
      </c>
      <c r="CI80" s="89"/>
      <c r="CJ80" s="89">
        <v>1815</v>
      </c>
      <c r="CK80" s="89"/>
      <c r="CL80" s="96">
        <v>20</v>
      </c>
      <c r="CM80" s="89"/>
      <c r="CN80" s="89">
        <v>100</v>
      </c>
      <c r="CO80" s="92"/>
      <c r="CP80" s="101"/>
      <c r="CQ80" s="102">
        <f t="shared" si="101"/>
        <v>1650</v>
      </c>
      <c r="CR80" s="102">
        <f t="shared" si="101"/>
        <v>0</v>
      </c>
      <c r="CS80" s="102">
        <f t="shared" si="101"/>
        <v>18</v>
      </c>
      <c r="CT80" s="92">
        <f t="shared" si="154"/>
        <v>90</v>
      </c>
      <c r="CU80" s="92">
        <f t="shared" si="102"/>
        <v>0</v>
      </c>
      <c r="CV80" s="103">
        <f t="shared" si="102"/>
        <v>0</v>
      </c>
      <c r="CW80" s="104" t="s">
        <v>147</v>
      </c>
      <c r="CX80" s="105">
        <v>10</v>
      </c>
      <c r="CY80" s="106">
        <f t="shared" si="155"/>
        <v>3834</v>
      </c>
      <c r="CZ80" s="106">
        <f t="shared" si="156"/>
        <v>40.5</v>
      </c>
      <c r="DA80" s="106"/>
      <c r="DB80" s="106"/>
      <c r="DC80" s="105"/>
      <c r="DD80" s="107"/>
      <c r="DE80" s="92">
        <f t="shared" si="125"/>
        <v>1650</v>
      </c>
      <c r="DF80" s="108">
        <f t="shared" si="126"/>
        <v>10</v>
      </c>
      <c r="DG80" s="115">
        <f t="shared" si="127"/>
        <v>18.181818181817974</v>
      </c>
      <c r="DH80" s="110">
        <f t="shared" si="128"/>
        <v>90</v>
      </c>
      <c r="DI80" s="108">
        <f t="shared" si="129"/>
        <v>1</v>
      </c>
      <c r="DJ80" s="112">
        <f t="shared" si="130"/>
        <v>-74.090909090909108</v>
      </c>
      <c r="DK80" s="110">
        <f t="shared" si="86"/>
        <v>1740</v>
      </c>
      <c r="DL80" s="108">
        <f t="shared" si="86"/>
        <v>11</v>
      </c>
      <c r="DM80" s="111">
        <f t="shared" si="86"/>
        <v>-55.909090909091134</v>
      </c>
      <c r="DN80" s="76">
        <f t="shared" si="89"/>
        <v>15</v>
      </c>
      <c r="DO80" s="76">
        <f t="shared" si="89"/>
        <v>25</v>
      </c>
      <c r="DP80" s="112"/>
      <c r="DQ80" s="112"/>
      <c r="DR80" s="113" t="s">
        <v>467</v>
      </c>
      <c r="DS80" s="112"/>
      <c r="DT80" s="112"/>
      <c r="DU80" s="111"/>
      <c r="DV80" s="114"/>
      <c r="DW80" s="80">
        <f t="shared" si="157"/>
        <v>1751</v>
      </c>
      <c r="DX80" s="81">
        <f t="shared" si="131"/>
        <v>1695.0909090909088</v>
      </c>
      <c r="DY80" s="80">
        <f t="shared" si="158"/>
        <v>1758</v>
      </c>
      <c r="DZ80" s="82">
        <f t="shared" si="159"/>
        <v>1.9800000000000002E-2</v>
      </c>
      <c r="EA80" s="82">
        <f t="shared" si="160"/>
        <v>1.9140000000000001</v>
      </c>
      <c r="EB80" s="82">
        <f t="shared" si="161"/>
        <v>4.6749999999999989</v>
      </c>
      <c r="EC80" s="82">
        <f t="shared" si="176"/>
        <v>4.6739999999999995</v>
      </c>
      <c r="EF80" s="83">
        <f t="shared" si="107"/>
        <v>-55.909090909091134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2"/>
        <v>IBC3604-7x3-H9D14</v>
      </c>
      <c r="H81" s="46" t="str">
        <f t="shared" si="133"/>
        <v>C3604IB70DH9</v>
      </c>
      <c r="I81" s="46" t="str">
        <f t="shared" si="134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5"/>
        <v>34</v>
      </c>
      <c r="T81" s="51">
        <f>'02.02'!BG81</f>
        <v>18</v>
      </c>
      <c r="U81" s="92">
        <v>32</v>
      </c>
      <c r="V81" s="100">
        <v>2.12</v>
      </c>
      <c r="W81" s="93">
        <f t="shared" si="114"/>
        <v>0</v>
      </c>
      <c r="X81" s="93">
        <f t="shared" si="115"/>
        <v>5871</v>
      </c>
      <c r="Y81" s="93">
        <f t="shared" si="116"/>
        <v>0</v>
      </c>
      <c r="Z81" s="93">
        <f t="shared" si="117"/>
        <v>0</v>
      </c>
      <c r="AA81" s="93">
        <f t="shared" si="118"/>
        <v>0</v>
      </c>
      <c r="AB81" s="93">
        <f t="shared" si="119"/>
        <v>0</v>
      </c>
      <c r="AC81" s="93">
        <f t="shared" si="120"/>
        <v>0</v>
      </c>
      <c r="AD81" s="93">
        <f t="shared" si="121"/>
        <v>16</v>
      </c>
      <c r="AE81" s="93">
        <f t="shared" si="136"/>
        <v>5871</v>
      </c>
      <c r="AF81" s="54">
        <f>AE81+'02.02'!AF81</f>
        <v>14345</v>
      </c>
      <c r="AG81" s="94">
        <f t="shared" si="162"/>
        <v>18</v>
      </c>
      <c r="AH81" s="56">
        <f t="shared" si="137"/>
        <v>0</v>
      </c>
      <c r="AI81" s="93">
        <v>17</v>
      </c>
      <c r="AJ81" s="93">
        <f t="shared" si="163"/>
        <v>0</v>
      </c>
      <c r="AK81" s="95">
        <f t="shared" si="138"/>
        <v>1</v>
      </c>
      <c r="AL81" s="58">
        <f t="shared" si="174"/>
        <v>17</v>
      </c>
      <c r="AM81" s="55">
        <f t="shared" si="164"/>
        <v>33</v>
      </c>
      <c r="AN81" s="93"/>
      <c r="AO81" s="96"/>
      <c r="AP81" s="96">
        <f>$CJ81</f>
        <v>6224</v>
      </c>
      <c r="AQ81" s="96"/>
      <c r="AR81" s="96"/>
      <c r="AS81" s="96"/>
      <c r="AT81" s="96"/>
      <c r="AU81" s="96">
        <f t="shared" si="139"/>
        <v>0</v>
      </c>
      <c r="AV81" s="96">
        <f t="shared" si="139"/>
        <v>0</v>
      </c>
      <c r="AW81" s="96">
        <f t="shared" si="140"/>
        <v>6224</v>
      </c>
      <c r="AX81" s="96">
        <f t="shared" si="141"/>
        <v>2935</v>
      </c>
      <c r="AY81" s="94">
        <f t="shared" si="165"/>
        <v>-10.920000000000073</v>
      </c>
      <c r="AZ81" s="94">
        <f t="shared" si="142"/>
        <v>-5.1509433962264488</v>
      </c>
      <c r="BA81" s="94">
        <f t="shared" si="171"/>
        <v>33</v>
      </c>
      <c r="BB81" s="97">
        <f t="shared" si="172"/>
        <v>0</v>
      </c>
      <c r="BC81" s="93">
        <v>17</v>
      </c>
      <c r="BD81" s="93">
        <f t="shared" si="143"/>
        <v>0</v>
      </c>
      <c r="BE81" s="95">
        <f t="shared" si="144"/>
        <v>1</v>
      </c>
      <c r="BF81" s="58">
        <f t="shared" si="175"/>
        <v>17</v>
      </c>
      <c r="BG81" s="94">
        <f t="shared" si="145"/>
        <v>16</v>
      </c>
      <c r="BH81" s="89"/>
      <c r="BI81" s="89"/>
      <c r="BJ81" s="92">
        <f>$CN81</f>
        <v>6223</v>
      </c>
      <c r="BK81" s="89"/>
      <c r="BL81" s="89"/>
      <c r="BM81" s="89"/>
      <c r="BN81" s="89"/>
      <c r="BO81" s="92">
        <f t="shared" si="166"/>
        <v>0</v>
      </c>
      <c r="BP81" s="92">
        <f t="shared" si="166"/>
        <v>35</v>
      </c>
      <c r="BQ81" s="96">
        <f t="shared" si="146"/>
        <v>6258</v>
      </c>
      <c r="BR81" s="96">
        <f t="shared" si="147"/>
        <v>2951</v>
      </c>
      <c r="BS81" s="96">
        <f t="shared" si="167"/>
        <v>23.079999999999927</v>
      </c>
      <c r="BT81" s="96">
        <f t="shared" si="148"/>
        <v>10.886792452830154</v>
      </c>
      <c r="BU81" s="92">
        <f t="shared" si="122"/>
        <v>5871</v>
      </c>
      <c r="BV81" s="98">
        <f t="shared" si="168"/>
        <v>34</v>
      </c>
      <c r="BW81" s="92">
        <f t="shared" si="123"/>
        <v>5.7358490566037048</v>
      </c>
      <c r="BX81" s="98">
        <f t="shared" si="149"/>
        <v>33.32</v>
      </c>
      <c r="BY81" s="61">
        <f t="shared" si="173"/>
        <v>34</v>
      </c>
      <c r="BZ81" s="62">
        <f t="shared" si="150"/>
        <v>34</v>
      </c>
      <c r="CA81" s="98">
        <f t="shared" si="151"/>
        <v>12.481999999999999</v>
      </c>
      <c r="CB81" s="92">
        <f t="shared" si="124"/>
        <v>5886</v>
      </c>
      <c r="CC81" s="92">
        <f t="shared" si="124"/>
        <v>12.159999999999854</v>
      </c>
      <c r="CD81" s="92">
        <f t="shared" si="124"/>
        <v>5.7358490566037048</v>
      </c>
      <c r="CE81" s="99"/>
      <c r="CF81" s="99"/>
      <c r="CG81" s="51">
        <f t="shared" si="152"/>
        <v>20.873000000000001</v>
      </c>
      <c r="CH81" s="62">
        <f t="shared" si="153"/>
        <v>20.873000000000001</v>
      </c>
      <c r="CI81" s="89"/>
      <c r="CJ81" s="89">
        <v>6224</v>
      </c>
      <c r="CK81" s="89"/>
      <c r="CL81" s="96"/>
      <c r="CM81" s="89"/>
      <c r="CN81" s="89">
        <v>6223</v>
      </c>
      <c r="CO81" s="92"/>
      <c r="CP81" s="101">
        <v>35</v>
      </c>
      <c r="CQ81" s="102">
        <f t="shared" si="101"/>
        <v>2935</v>
      </c>
      <c r="CR81" s="102">
        <f t="shared" si="101"/>
        <v>0</v>
      </c>
      <c r="CS81" s="102">
        <f t="shared" si="101"/>
        <v>0</v>
      </c>
      <c r="CT81" s="92">
        <f t="shared" si="154"/>
        <v>2936</v>
      </c>
      <c r="CU81" s="92">
        <f t="shared" si="102"/>
        <v>0</v>
      </c>
      <c r="CV81" s="103">
        <f t="shared" si="102"/>
        <v>16</v>
      </c>
      <c r="CW81" s="104" t="s">
        <v>147</v>
      </c>
      <c r="CX81" s="105">
        <v>13.35</v>
      </c>
      <c r="CY81" s="106">
        <f t="shared" si="155"/>
        <v>2979</v>
      </c>
      <c r="CZ81" s="106">
        <f t="shared" si="156"/>
        <v>54.067500000000003</v>
      </c>
      <c r="DA81" s="106"/>
      <c r="DB81" s="106"/>
      <c r="DC81" s="105"/>
      <c r="DD81" s="107"/>
      <c r="DE81" s="92">
        <f t="shared" si="125"/>
        <v>2935</v>
      </c>
      <c r="DF81" s="108">
        <f t="shared" si="126"/>
        <v>17</v>
      </c>
      <c r="DG81" s="115">
        <f t="shared" si="127"/>
        <v>-5.1509433962264488</v>
      </c>
      <c r="DH81" s="110">
        <f t="shared" si="128"/>
        <v>2936</v>
      </c>
      <c r="DI81" s="108">
        <f t="shared" si="129"/>
        <v>17</v>
      </c>
      <c r="DJ81" s="112">
        <f t="shared" si="130"/>
        <v>10.886792452830154</v>
      </c>
      <c r="DK81" s="110">
        <f t="shared" si="86"/>
        <v>5871</v>
      </c>
      <c r="DL81" s="108">
        <f t="shared" si="86"/>
        <v>34</v>
      </c>
      <c r="DM81" s="111">
        <f t="shared" si="86"/>
        <v>5.7358490566037048</v>
      </c>
      <c r="DN81" s="76">
        <f t="shared" si="89"/>
        <v>18</v>
      </c>
      <c r="DO81" s="76">
        <f t="shared" si="89"/>
        <v>32</v>
      </c>
      <c r="DP81" s="112"/>
      <c r="DQ81" s="112"/>
      <c r="DR81" s="113" t="s">
        <v>468</v>
      </c>
      <c r="DS81" s="112"/>
      <c r="DT81" s="112"/>
      <c r="DU81" s="111"/>
      <c r="DV81" s="114"/>
      <c r="DW81" s="80">
        <f t="shared" ref="DW81:DW82" si="177">IFERROR(AL81+BF81,"")</f>
        <v>34</v>
      </c>
      <c r="DX81" s="81">
        <f t="shared" si="131"/>
        <v>5910.7358490566039</v>
      </c>
      <c r="DY81" s="80">
        <f t="shared" si="158"/>
        <v>5887</v>
      </c>
      <c r="DZ81" s="82">
        <f t="shared" si="159"/>
        <v>3.3919999999999999E-2</v>
      </c>
      <c r="EA81" s="82">
        <f t="shared" si="160"/>
        <v>12.44652</v>
      </c>
      <c r="EB81" s="82">
        <f t="shared" si="161"/>
        <v>20.873480000000001</v>
      </c>
      <c r="EC81" s="82">
        <f t="shared" si="176"/>
        <v>20.873000000000001</v>
      </c>
      <c r="EF81" s="83">
        <f t="shared" si="107"/>
        <v>5.7358490566037048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2"/>
        <v>IBC3602-7.5x3-H9B14</v>
      </c>
      <c r="H82" s="46" t="str">
        <f t="shared" si="133"/>
        <v>C3602IB7.50DH9</v>
      </c>
      <c r="I82" s="46" t="str">
        <f t="shared" si="134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5"/>
        <v>34</v>
      </c>
      <c r="T82" s="51">
        <v>14</v>
      </c>
      <c r="U82" s="92">
        <v>36</v>
      </c>
      <c r="V82" s="174">
        <v>1.23</v>
      </c>
      <c r="W82" s="93">
        <f t="shared" si="114"/>
        <v>0</v>
      </c>
      <c r="X82" s="93">
        <f t="shared" si="115"/>
        <v>0</v>
      </c>
      <c r="Y82" s="93">
        <f t="shared" si="116"/>
        <v>5630</v>
      </c>
      <c r="Z82" s="93">
        <f t="shared" si="117"/>
        <v>0</v>
      </c>
      <c r="AA82" s="93">
        <f t="shared" si="118"/>
        <v>0</v>
      </c>
      <c r="AB82" s="93">
        <f t="shared" si="119"/>
        <v>0</v>
      </c>
      <c r="AC82" s="93">
        <f t="shared" si="120"/>
        <v>211</v>
      </c>
      <c r="AD82" s="93">
        <f t="shared" si="121"/>
        <v>93</v>
      </c>
      <c r="AE82" s="93">
        <f t="shared" si="136"/>
        <v>5841</v>
      </c>
      <c r="AF82" s="54">
        <f>AE82+'02.02'!AF82</f>
        <v>16996</v>
      </c>
      <c r="AG82" s="94">
        <f t="shared" si="162"/>
        <v>14</v>
      </c>
      <c r="AH82" s="56">
        <f t="shared" si="137"/>
        <v>0</v>
      </c>
      <c r="AI82" s="93">
        <v>19</v>
      </c>
      <c r="AJ82" s="93">
        <f t="shared" si="163"/>
        <v>130</v>
      </c>
      <c r="AK82" s="95">
        <f t="shared" si="138"/>
        <v>0.65646619199111245</v>
      </c>
      <c r="AL82" s="58">
        <f t="shared" si="174"/>
        <v>18.66</v>
      </c>
      <c r="AM82" s="55">
        <f t="shared" si="164"/>
        <v>31.34</v>
      </c>
      <c r="AN82" s="93"/>
      <c r="AO82" s="96"/>
      <c r="AP82" s="96"/>
      <c r="AQ82" s="96">
        <f>$CJ82</f>
        <v>3665</v>
      </c>
      <c r="AR82" s="96"/>
      <c r="AS82" s="96"/>
      <c r="AT82" s="96"/>
      <c r="AU82" s="96">
        <f t="shared" si="139"/>
        <v>110</v>
      </c>
      <c r="AV82" s="96">
        <f t="shared" si="139"/>
        <v>20</v>
      </c>
      <c r="AW82" s="96">
        <f t="shared" si="140"/>
        <v>3795</v>
      </c>
      <c r="AX82" s="96">
        <f t="shared" si="141"/>
        <v>3085</v>
      </c>
      <c r="AY82" s="94">
        <f t="shared" si="165"/>
        <v>99.760199999999713</v>
      </c>
      <c r="AZ82" s="94">
        <f t="shared" si="142"/>
        <v>81.105853658536347</v>
      </c>
      <c r="BA82" s="94">
        <f t="shared" si="171"/>
        <v>31.34</v>
      </c>
      <c r="BB82" s="97">
        <f t="shared" si="172"/>
        <v>0.34</v>
      </c>
      <c r="BC82" s="93">
        <v>17</v>
      </c>
      <c r="BD82" s="93">
        <f t="shared" si="143"/>
        <v>210</v>
      </c>
      <c r="BE82" s="95">
        <f t="shared" si="144"/>
        <v>1.0604453870625663</v>
      </c>
      <c r="BF82" s="58">
        <f t="shared" si="175"/>
        <v>17.41</v>
      </c>
      <c r="BG82" s="94">
        <f t="shared" si="145"/>
        <v>13.93</v>
      </c>
      <c r="BH82" s="89"/>
      <c r="BI82" s="89"/>
      <c r="BJ82" s="89"/>
      <c r="BK82" s="92">
        <f>$CN82</f>
        <v>3261</v>
      </c>
      <c r="BL82" s="89"/>
      <c r="BM82" s="89"/>
      <c r="BN82" s="89"/>
      <c r="BO82" s="92">
        <f t="shared" si="166"/>
        <v>150</v>
      </c>
      <c r="BP82" s="92">
        <f t="shared" si="166"/>
        <v>95</v>
      </c>
      <c r="BQ82" s="96">
        <f t="shared" si="146"/>
        <v>3506</v>
      </c>
      <c r="BR82" s="96">
        <f t="shared" si="147"/>
        <v>2850</v>
      </c>
      <c r="BS82" s="96">
        <f t="shared" si="167"/>
        <v>58.297699999999622</v>
      </c>
      <c r="BT82" s="96">
        <f t="shared" si="148"/>
        <v>47.396504065040347</v>
      </c>
      <c r="BU82" s="92">
        <f t="shared" si="122"/>
        <v>5841</v>
      </c>
      <c r="BV82" s="98">
        <f t="shared" si="168"/>
        <v>36.07</v>
      </c>
      <c r="BW82" s="92">
        <f t="shared" si="123"/>
        <v>128.50235772357669</v>
      </c>
      <c r="BX82" s="98">
        <f t="shared" si="149"/>
        <v>40.434469999999997</v>
      </c>
      <c r="BY82" s="61">
        <f t="shared" si="173"/>
        <v>36.07</v>
      </c>
      <c r="BZ82" s="62">
        <f t="shared" si="150"/>
        <v>36.07</v>
      </c>
      <c r="CA82" s="98">
        <f t="shared" si="151"/>
        <v>7.3010000000000002</v>
      </c>
      <c r="CB82" s="92">
        <f t="shared" si="124"/>
        <v>5935</v>
      </c>
      <c r="CC82" s="92">
        <f t="shared" si="124"/>
        <v>158.05789999999934</v>
      </c>
      <c r="CD82" s="92">
        <f t="shared" si="124"/>
        <v>128.50235772357669</v>
      </c>
      <c r="CE82" s="99"/>
      <c r="CF82" s="99"/>
      <c r="CG82" s="51">
        <f t="shared" si="152"/>
        <v>33.248469999999998</v>
      </c>
      <c r="CH82" s="62">
        <f t="shared" si="153"/>
        <v>33.248469999999998</v>
      </c>
      <c r="CI82" s="89">
        <v>130</v>
      </c>
      <c r="CJ82" s="89">
        <v>3665</v>
      </c>
      <c r="CK82" s="89">
        <v>110</v>
      </c>
      <c r="CL82" s="96">
        <v>20</v>
      </c>
      <c r="CM82" s="89">
        <v>210</v>
      </c>
      <c r="CN82" s="89">
        <v>3261</v>
      </c>
      <c r="CO82" s="92">
        <v>150</v>
      </c>
      <c r="CP82" s="101">
        <v>95</v>
      </c>
      <c r="CQ82" s="102">
        <f t="shared" si="101"/>
        <v>2979</v>
      </c>
      <c r="CR82" s="102">
        <f t="shared" si="101"/>
        <v>89</v>
      </c>
      <c r="CS82" s="102">
        <f t="shared" si="101"/>
        <v>16</v>
      </c>
      <c r="CT82" s="92">
        <f t="shared" si="154"/>
        <v>2651</v>
      </c>
      <c r="CU82" s="92">
        <f t="shared" si="102"/>
        <v>122</v>
      </c>
      <c r="CV82" s="103">
        <f t="shared" si="102"/>
        <v>77</v>
      </c>
      <c r="CW82" s="104" t="s">
        <v>147</v>
      </c>
      <c r="CX82" s="105">
        <v>15</v>
      </c>
      <c r="CY82" s="106">
        <f t="shared" si="155"/>
        <v>2664</v>
      </c>
      <c r="CZ82" s="106">
        <f t="shared" si="156"/>
        <v>60.750000000000007</v>
      </c>
      <c r="DA82" s="106"/>
      <c r="DB82" s="106"/>
      <c r="DC82" s="105"/>
      <c r="DD82" s="107"/>
      <c r="DE82" s="92">
        <f t="shared" si="125"/>
        <v>3068</v>
      </c>
      <c r="DF82" s="108">
        <f t="shared" si="126"/>
        <v>18.66</v>
      </c>
      <c r="DG82" s="115">
        <f t="shared" si="127"/>
        <v>81.105853658536347</v>
      </c>
      <c r="DH82" s="110">
        <f t="shared" si="128"/>
        <v>2773</v>
      </c>
      <c r="DI82" s="108">
        <f t="shared" si="129"/>
        <v>17.41</v>
      </c>
      <c r="DJ82" s="112">
        <f t="shared" si="130"/>
        <v>47.396504065040347</v>
      </c>
      <c r="DK82" s="110">
        <f t="shared" si="86"/>
        <v>5841</v>
      </c>
      <c r="DL82" s="108">
        <f t="shared" si="86"/>
        <v>36.07</v>
      </c>
      <c r="DM82" s="111">
        <f t="shared" si="86"/>
        <v>128.50235772357669</v>
      </c>
      <c r="DN82" s="76">
        <f t="shared" si="89"/>
        <v>14</v>
      </c>
      <c r="DO82" s="76">
        <f t="shared" si="89"/>
        <v>36</v>
      </c>
      <c r="DP82" s="112"/>
      <c r="DQ82" s="112"/>
      <c r="DR82" s="113" t="s">
        <v>469</v>
      </c>
      <c r="DS82" s="112"/>
      <c r="DT82" s="112"/>
      <c r="DU82" s="111"/>
      <c r="DV82" s="114"/>
      <c r="DW82" s="80">
        <f t="shared" si="177"/>
        <v>36.07</v>
      </c>
      <c r="DX82" s="81">
        <f t="shared" si="131"/>
        <v>6005.5723577235767</v>
      </c>
      <c r="DY82" s="80">
        <f t="shared" si="158"/>
        <v>5934</v>
      </c>
      <c r="DZ82" s="82">
        <f t="shared" si="159"/>
        <v>0.11439000000000001</v>
      </c>
      <c r="EA82" s="82">
        <f t="shared" si="160"/>
        <v>7.1844299999999999</v>
      </c>
      <c r="EB82" s="82">
        <f t="shared" si="161"/>
        <v>33.250039999999998</v>
      </c>
      <c r="EC82" s="82">
        <f t="shared" si="176"/>
        <v>33.248469999999998</v>
      </c>
      <c r="EF82" s="83">
        <f t="shared" si="107"/>
        <v>128.50235772357669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2"/>
        <v>GWA6063-T5-7.5x3-H9B14</v>
      </c>
      <c r="H83" s="46" t="str">
        <f t="shared" si="133"/>
        <v>A6063-T5GW7.50DH9</v>
      </c>
      <c r="I83" s="46" t="str">
        <f t="shared" si="134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5"/>
        <v>18</v>
      </c>
      <c r="T83" s="51">
        <f>'02.02'!BG83</f>
        <v>46</v>
      </c>
      <c r="U83" s="92"/>
      <c r="V83" s="100">
        <v>0.70299999999999996</v>
      </c>
      <c r="W83" s="93">
        <f t="shared" si="114"/>
        <v>0</v>
      </c>
      <c r="X83" s="93">
        <f t="shared" si="115"/>
        <v>0</v>
      </c>
      <c r="Y83" s="93">
        <f t="shared" si="116"/>
        <v>0</v>
      </c>
      <c r="Z83" s="93">
        <f t="shared" si="117"/>
        <v>0</v>
      </c>
      <c r="AA83" s="93">
        <f t="shared" si="118"/>
        <v>0</v>
      </c>
      <c r="AB83" s="93">
        <f t="shared" si="119"/>
        <v>0</v>
      </c>
      <c r="AC83" s="93">
        <f t="shared" si="120"/>
        <v>0</v>
      </c>
      <c r="AD83" s="93">
        <f t="shared" si="121"/>
        <v>0</v>
      </c>
      <c r="AE83" s="93">
        <f t="shared" si="136"/>
        <v>0</v>
      </c>
      <c r="AF83" s="54">
        <f>AE83+'02.02'!AF83</f>
        <v>0</v>
      </c>
      <c r="AG83" s="94">
        <f t="shared" si="162"/>
        <v>46</v>
      </c>
      <c r="AH83" s="56">
        <f t="shared" si="137"/>
        <v>0</v>
      </c>
      <c r="AI83" s="93"/>
      <c r="AJ83" s="93">
        <f t="shared" si="163"/>
        <v>0</v>
      </c>
      <c r="AK83" s="95">
        <f t="shared" si="138"/>
        <v>1</v>
      </c>
      <c r="AL83" s="58">
        <f t="shared" si="174"/>
        <v>0</v>
      </c>
      <c r="AM83" s="55">
        <f t="shared" si="164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39"/>
        <v>0</v>
      </c>
      <c r="AV83" s="96">
        <f t="shared" si="139"/>
        <v>0</v>
      </c>
      <c r="AW83" s="96">
        <f t="shared" si="140"/>
        <v>0</v>
      </c>
      <c r="AX83" s="96">
        <f t="shared" si="141"/>
        <v>0</v>
      </c>
      <c r="AY83" s="94">
        <f t="shared" si="165"/>
        <v>0</v>
      </c>
      <c r="AZ83" s="94">
        <f t="shared" si="142"/>
        <v>0</v>
      </c>
      <c r="BA83" s="94">
        <f t="shared" si="171"/>
        <v>46</v>
      </c>
      <c r="BB83" s="97">
        <f t="shared" si="172"/>
        <v>0</v>
      </c>
      <c r="BC83" s="93"/>
      <c r="BD83" s="93">
        <f t="shared" si="143"/>
        <v>0</v>
      </c>
      <c r="BE83" s="95">
        <f t="shared" si="144"/>
        <v>1</v>
      </c>
      <c r="BF83" s="58">
        <f t="shared" si="175"/>
        <v>0</v>
      </c>
      <c r="BG83" s="94">
        <f t="shared" si="145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6"/>
        <v>0</v>
      </c>
      <c r="BP83" s="92">
        <f t="shared" si="166"/>
        <v>0</v>
      </c>
      <c r="BQ83" s="96">
        <f t="shared" si="146"/>
        <v>0</v>
      </c>
      <c r="BR83" s="96">
        <f t="shared" si="147"/>
        <v>0</v>
      </c>
      <c r="BS83" s="96">
        <f t="shared" si="167"/>
        <v>0</v>
      </c>
      <c r="BT83" s="96">
        <f t="shared" si="148"/>
        <v>0</v>
      </c>
      <c r="BU83" s="92">
        <f t="shared" si="122"/>
        <v>0</v>
      </c>
      <c r="BV83" s="98">
        <f t="shared" si="168"/>
        <v>0</v>
      </c>
      <c r="BW83" s="92">
        <f t="shared" si="123"/>
        <v>0</v>
      </c>
      <c r="BX83" s="98">
        <f t="shared" si="149"/>
        <v>0</v>
      </c>
      <c r="BY83" s="61">
        <f t="shared" si="173"/>
        <v>0</v>
      </c>
      <c r="BZ83" s="62">
        <f t="shared" si="150"/>
        <v>0</v>
      </c>
      <c r="CA83" s="98">
        <f t="shared" si="151"/>
        <v>0</v>
      </c>
      <c r="CB83" s="92">
        <f t="shared" si="124"/>
        <v>0</v>
      </c>
      <c r="CC83" s="92">
        <f t="shared" si="124"/>
        <v>0</v>
      </c>
      <c r="CD83" s="92">
        <f t="shared" si="124"/>
        <v>0</v>
      </c>
      <c r="CE83" s="99"/>
      <c r="CF83" s="99"/>
      <c r="CG83" s="51">
        <f t="shared" si="152"/>
        <v>0</v>
      </c>
      <c r="CH83" s="62">
        <f t="shared" si="153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101"/>
        <v>0</v>
      </c>
      <c r="CR83" s="102">
        <f t="shared" si="101"/>
        <v>0</v>
      </c>
      <c r="CS83" s="102">
        <f t="shared" si="101"/>
        <v>0</v>
      </c>
      <c r="CT83" s="92">
        <f t="shared" si="154"/>
        <v>0</v>
      </c>
      <c r="CU83" s="92">
        <f t="shared" si="102"/>
        <v>0</v>
      </c>
      <c r="CV83" s="103">
        <f t="shared" si="102"/>
        <v>0</v>
      </c>
      <c r="CW83" s="104" t="s">
        <v>147</v>
      </c>
      <c r="CX83" s="105">
        <v>18.5</v>
      </c>
      <c r="CY83" s="106">
        <f t="shared" si="155"/>
        <v>2237</v>
      </c>
      <c r="CZ83" s="106">
        <f t="shared" si="156"/>
        <v>74.925000000000011</v>
      </c>
      <c r="DA83" s="106"/>
      <c r="DB83" s="106"/>
      <c r="DC83" s="105"/>
      <c r="DD83" s="107"/>
      <c r="DE83" s="92">
        <f t="shared" si="125"/>
        <v>0</v>
      </c>
      <c r="DF83" s="108">
        <f t="shared" si="126"/>
        <v>0</v>
      </c>
      <c r="DG83" s="115">
        <f t="shared" si="127"/>
        <v>0</v>
      </c>
      <c r="DH83" s="110">
        <f t="shared" si="128"/>
        <v>0</v>
      </c>
      <c r="DI83" s="108">
        <f t="shared" si="129"/>
        <v>0</v>
      </c>
      <c r="DJ83" s="112">
        <f t="shared" si="130"/>
        <v>0</v>
      </c>
      <c r="DK83" s="110">
        <f t="shared" si="86"/>
        <v>0</v>
      </c>
      <c r="DL83" s="108">
        <f t="shared" si="86"/>
        <v>0</v>
      </c>
      <c r="DM83" s="111">
        <f t="shared" si="86"/>
        <v>0</v>
      </c>
      <c r="DN83" s="76">
        <f t="shared" si="89"/>
        <v>46</v>
      </c>
      <c r="DO83" s="76">
        <f t="shared" si="89"/>
        <v>0</v>
      </c>
      <c r="DP83" s="112"/>
      <c r="DQ83" s="112"/>
      <c r="DR83" s="113" t="s">
        <v>470</v>
      </c>
      <c r="DS83" s="112"/>
      <c r="DT83" s="112"/>
      <c r="DU83" s="111"/>
      <c r="DV83" s="114"/>
      <c r="DW83" s="80">
        <f t="shared" si="157"/>
        <v>0</v>
      </c>
      <c r="DX83" s="81">
        <f t="shared" si="131"/>
        <v>0</v>
      </c>
      <c r="DY83" s="80">
        <f t="shared" si="158"/>
        <v>0</v>
      </c>
      <c r="DZ83" s="82">
        <f t="shared" si="159"/>
        <v>0</v>
      </c>
      <c r="EA83" s="82">
        <f t="shared" si="160"/>
        <v>0</v>
      </c>
      <c r="EB83" s="82">
        <f t="shared" si="161"/>
        <v>0</v>
      </c>
      <c r="EC83" s="82">
        <f t="shared" ref="EC83:EC106" si="178">EB83+DZ83</f>
        <v>0</v>
      </c>
      <c r="EF83" s="83">
        <f t="shared" si="107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2"/>
        <v>GAA5052-5.7x3-H9A14</v>
      </c>
      <c r="H84" s="46" t="str">
        <f t="shared" si="133"/>
        <v>A5052GA5.70DH9</v>
      </c>
      <c r="I84" s="46" t="str">
        <f t="shared" si="134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5"/>
        <v>30</v>
      </c>
      <c r="T84" s="51">
        <f>'02.02'!BG84</f>
        <v>13.999999999999996</v>
      </c>
      <c r="U84" s="92">
        <v>11</v>
      </c>
      <c r="V84" s="100">
        <v>0.15</v>
      </c>
      <c r="W84" s="93">
        <f t="shared" si="114"/>
        <v>0</v>
      </c>
      <c r="X84" s="93">
        <f t="shared" si="115"/>
        <v>0</v>
      </c>
      <c r="Y84" s="93">
        <f t="shared" si="116"/>
        <v>0</v>
      </c>
      <c r="Z84" s="93">
        <f t="shared" si="117"/>
        <v>0</v>
      </c>
      <c r="AA84" s="93">
        <f t="shared" si="118"/>
        <v>0</v>
      </c>
      <c r="AB84" s="93">
        <f t="shared" si="119"/>
        <v>2973</v>
      </c>
      <c r="AC84" s="93">
        <f t="shared" si="120"/>
        <v>0</v>
      </c>
      <c r="AD84" s="93">
        <f t="shared" si="121"/>
        <v>233</v>
      </c>
      <c r="AE84" s="93">
        <f t="shared" si="136"/>
        <v>2973</v>
      </c>
      <c r="AF84" s="54">
        <f>AE84+'02.02'!AF84</f>
        <v>8926</v>
      </c>
      <c r="AG84" s="94">
        <f t="shared" si="162"/>
        <v>13.999999999999996</v>
      </c>
      <c r="AH84" s="56">
        <f t="shared" si="137"/>
        <v>0</v>
      </c>
      <c r="AI84" s="93">
        <v>6</v>
      </c>
      <c r="AJ84" s="93">
        <f t="shared" si="163"/>
        <v>0</v>
      </c>
      <c r="AK84" s="95">
        <f t="shared" si="138"/>
        <v>1</v>
      </c>
      <c r="AL84" s="58">
        <f t="shared" si="174"/>
        <v>6</v>
      </c>
      <c r="AM84" s="55">
        <f t="shared" si="164"/>
        <v>18.999999999999996</v>
      </c>
      <c r="AN84" s="93"/>
      <c r="AO84" s="96"/>
      <c r="AP84" s="96"/>
      <c r="AQ84" s="96"/>
      <c r="AR84" s="96"/>
      <c r="AS84" s="96"/>
      <c r="AT84" s="96">
        <f>$CJ84</f>
        <v>226</v>
      </c>
      <c r="AU84" s="96">
        <f t="shared" si="139"/>
        <v>0</v>
      </c>
      <c r="AV84" s="96">
        <f t="shared" si="139"/>
        <v>0</v>
      </c>
      <c r="AW84" s="96">
        <f t="shared" ref="AW84" si="179">SUM(AO84:AV84)</f>
        <v>226</v>
      </c>
      <c r="AX84" s="96">
        <f t="shared" si="141"/>
        <v>1506</v>
      </c>
      <c r="AY84" s="94">
        <f t="shared" si="165"/>
        <v>10</v>
      </c>
      <c r="AZ84" s="94">
        <f t="shared" si="142"/>
        <v>66.666666666666671</v>
      </c>
      <c r="BA84" s="94">
        <f t="shared" si="171"/>
        <v>18.999999999999996</v>
      </c>
      <c r="BB84" s="97">
        <f t="shared" si="172"/>
        <v>0</v>
      </c>
      <c r="BC84" s="93">
        <v>7</v>
      </c>
      <c r="BD84" s="93">
        <f t="shared" si="143"/>
        <v>0</v>
      </c>
      <c r="BE84" s="95">
        <f t="shared" si="144"/>
        <v>1</v>
      </c>
      <c r="BF84" s="58">
        <f t="shared" si="175"/>
        <v>7</v>
      </c>
      <c r="BG84" s="94">
        <f t="shared" si="145"/>
        <v>11.999999999999996</v>
      </c>
      <c r="BH84" s="89"/>
      <c r="BI84" s="89"/>
      <c r="BJ84" s="92"/>
      <c r="BK84" s="89"/>
      <c r="BL84" s="89"/>
      <c r="BM84" s="89"/>
      <c r="BN84" s="92">
        <f>$CN84</f>
        <v>220</v>
      </c>
      <c r="BO84" s="92">
        <f t="shared" si="166"/>
        <v>0</v>
      </c>
      <c r="BP84" s="92">
        <f t="shared" si="166"/>
        <v>35</v>
      </c>
      <c r="BQ84" s="96">
        <f t="shared" si="146"/>
        <v>255</v>
      </c>
      <c r="BR84" s="96">
        <f t="shared" si="147"/>
        <v>1700</v>
      </c>
      <c r="BS84" s="96">
        <f t="shared" si="167"/>
        <v>3</v>
      </c>
      <c r="BT84" s="96">
        <f t="shared" si="148"/>
        <v>20</v>
      </c>
      <c r="BU84" s="92">
        <f t="shared" si="122"/>
        <v>2973</v>
      </c>
      <c r="BV84" s="98">
        <f t="shared" si="168"/>
        <v>13</v>
      </c>
      <c r="BW84" s="92">
        <f t="shared" si="123"/>
        <v>86.666666666666671</v>
      </c>
      <c r="BX84" s="98">
        <f t="shared" si="149"/>
        <v>2.6519999999999997</v>
      </c>
      <c r="BY84" s="61">
        <f t="shared" si="173"/>
        <v>13</v>
      </c>
      <c r="BZ84" s="62">
        <f t="shared" si="150"/>
        <v>13</v>
      </c>
      <c r="CA84" s="98">
        <f t="shared" si="151"/>
        <v>0.48099999999999998</v>
      </c>
      <c r="CB84" s="92">
        <f t="shared" si="124"/>
        <v>3206</v>
      </c>
      <c r="CC84" s="92">
        <f t="shared" si="124"/>
        <v>13</v>
      </c>
      <c r="CD84" s="92">
        <f t="shared" si="124"/>
        <v>86.666666666666671</v>
      </c>
      <c r="CE84" s="99"/>
      <c r="CF84" s="99"/>
      <c r="CG84" s="51">
        <f t="shared" si="152"/>
        <v>2.206</v>
      </c>
      <c r="CH84" s="62">
        <f t="shared" si="153"/>
        <v>2.206</v>
      </c>
      <c r="CI84" s="89"/>
      <c r="CJ84" s="89">
        <v>226</v>
      </c>
      <c r="CK84" s="89"/>
      <c r="CL84" s="96"/>
      <c r="CM84" s="89"/>
      <c r="CN84" s="89">
        <v>220</v>
      </c>
      <c r="CO84" s="92"/>
      <c r="CP84" s="101">
        <v>35</v>
      </c>
      <c r="CQ84" s="102">
        <f t="shared" si="101"/>
        <v>1506</v>
      </c>
      <c r="CR84" s="102">
        <f t="shared" si="101"/>
        <v>0</v>
      </c>
      <c r="CS84" s="102">
        <f t="shared" si="101"/>
        <v>0</v>
      </c>
      <c r="CT84" s="92">
        <f t="shared" si="154"/>
        <v>1467</v>
      </c>
      <c r="CU84" s="92">
        <f t="shared" si="102"/>
        <v>0</v>
      </c>
      <c r="CV84" s="103">
        <f t="shared" si="102"/>
        <v>233</v>
      </c>
      <c r="CW84" s="104" t="s">
        <v>147</v>
      </c>
      <c r="CX84" s="105">
        <v>11</v>
      </c>
      <c r="CY84" s="106">
        <f t="shared" si="155"/>
        <v>3649</v>
      </c>
      <c r="CZ84" s="106">
        <f t="shared" si="156"/>
        <v>44.550000000000004</v>
      </c>
      <c r="DA84" s="106"/>
      <c r="DB84" s="106"/>
      <c r="DC84" s="105"/>
      <c r="DD84" s="107"/>
      <c r="DE84" s="92">
        <f t="shared" si="125"/>
        <v>1506</v>
      </c>
      <c r="DF84" s="108">
        <f t="shared" si="126"/>
        <v>6</v>
      </c>
      <c r="DG84" s="115">
        <f t="shared" si="127"/>
        <v>66.666666666666671</v>
      </c>
      <c r="DH84" s="110">
        <f t="shared" si="128"/>
        <v>1467</v>
      </c>
      <c r="DI84" s="108">
        <f t="shared" si="129"/>
        <v>7</v>
      </c>
      <c r="DJ84" s="112">
        <f t="shared" si="130"/>
        <v>20</v>
      </c>
      <c r="DK84" s="110">
        <f t="shared" si="86"/>
        <v>2973</v>
      </c>
      <c r="DL84" s="108">
        <f t="shared" si="86"/>
        <v>13</v>
      </c>
      <c r="DM84" s="111">
        <f t="shared" si="86"/>
        <v>86.666666666666671</v>
      </c>
      <c r="DN84" s="76">
        <f t="shared" si="89"/>
        <v>13.999999999999996</v>
      </c>
      <c r="DO84" s="76">
        <f t="shared" si="89"/>
        <v>11</v>
      </c>
      <c r="DP84" s="112"/>
      <c r="DQ84" s="112"/>
      <c r="DR84" s="113" t="s">
        <v>471</v>
      </c>
      <c r="DS84" s="112"/>
      <c r="DT84" s="112"/>
      <c r="DU84" s="111"/>
      <c r="DV84" s="114"/>
      <c r="DW84" s="80">
        <f t="shared" si="157"/>
        <v>2986</v>
      </c>
      <c r="DX84" s="81">
        <f t="shared" si="131"/>
        <v>3072.6666666666665</v>
      </c>
      <c r="DY84" s="80">
        <f t="shared" si="158"/>
        <v>3206</v>
      </c>
      <c r="DZ84" s="82">
        <f t="shared" si="159"/>
        <v>3.4949999999999995E-2</v>
      </c>
      <c r="EA84" s="82">
        <f t="shared" si="160"/>
        <v>0.44595000000000001</v>
      </c>
      <c r="EB84" s="82">
        <f t="shared" si="161"/>
        <v>2.2060499999999998</v>
      </c>
      <c r="EC84" s="82">
        <f t="shared" si="178"/>
        <v>2.2409999999999997</v>
      </c>
      <c r="EF84" s="83">
        <f t="shared" si="107"/>
        <v>86.666666666666671</v>
      </c>
    </row>
    <row r="85" spans="1:136" ht="15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2"/>
        <v>TVSUS303Cu-H15.87x2.5-H11B14</v>
      </c>
      <c r="H85" s="46" t="str">
        <f t="shared" si="133"/>
        <v>SUS303CuTV15.870HH11</v>
      </c>
      <c r="I85" s="46" t="str">
        <f t="shared" si="134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f>'02.02'!BG85</f>
        <v>0</v>
      </c>
      <c r="U85" s="92"/>
      <c r="V85" s="100">
        <v>27.35</v>
      </c>
      <c r="W85" s="93">
        <f t="shared" si="114"/>
        <v>0</v>
      </c>
      <c r="X85" s="93">
        <f t="shared" si="115"/>
        <v>0</v>
      </c>
      <c r="Y85" s="93">
        <f t="shared" si="116"/>
        <v>0</v>
      </c>
      <c r="Z85" s="93">
        <f t="shared" si="117"/>
        <v>0</v>
      </c>
      <c r="AA85" s="93">
        <f t="shared" si="118"/>
        <v>0</v>
      </c>
      <c r="AB85" s="93">
        <f t="shared" si="119"/>
        <v>0</v>
      </c>
      <c r="AC85" s="93">
        <f t="shared" si="120"/>
        <v>0</v>
      </c>
      <c r="AD85" s="93">
        <f t="shared" si="121"/>
        <v>0</v>
      </c>
      <c r="AE85" s="93">
        <f t="shared" si="136"/>
        <v>0</v>
      </c>
      <c r="AF85" s="54">
        <f>AE85+'02.02'!AF85</f>
        <v>0</v>
      </c>
      <c r="AG85" s="94">
        <f t="shared" si="162"/>
        <v>0</v>
      </c>
      <c r="AH85" s="56">
        <f t="shared" si="137"/>
        <v>0</v>
      </c>
      <c r="AI85" s="93"/>
      <c r="AJ85" s="93">
        <f t="shared" si="163"/>
        <v>0</v>
      </c>
      <c r="AK85" s="95">
        <f t="shared" si="138"/>
        <v>1</v>
      </c>
      <c r="AL85" s="58">
        <f t="shared" si="174"/>
        <v>0</v>
      </c>
      <c r="AM85" s="55">
        <f t="shared" si="164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39"/>
        <v>0</v>
      </c>
      <c r="AV85" s="96">
        <f t="shared" si="139"/>
        <v>0</v>
      </c>
      <c r="AW85" s="96">
        <f t="shared" si="140"/>
        <v>0</v>
      </c>
      <c r="AX85" s="96">
        <f t="shared" si="141"/>
        <v>0</v>
      </c>
      <c r="AY85" s="94">
        <f t="shared" si="165"/>
        <v>0</v>
      </c>
      <c r="AZ85" s="94">
        <f t="shared" si="142"/>
        <v>0</v>
      </c>
      <c r="BA85" s="94">
        <f t="shared" si="171"/>
        <v>0</v>
      </c>
      <c r="BB85" s="97">
        <f t="shared" si="172"/>
        <v>0</v>
      </c>
      <c r="BC85" s="93"/>
      <c r="BD85" s="93">
        <f t="shared" si="143"/>
        <v>0</v>
      </c>
      <c r="BE85" s="95">
        <f t="shared" si="144"/>
        <v>1</v>
      </c>
      <c r="BF85" s="58">
        <f t="shared" si="175"/>
        <v>0</v>
      </c>
      <c r="BG85" s="94">
        <f t="shared" si="145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6"/>
        <v>0</v>
      </c>
      <c r="BP85" s="92">
        <f t="shared" si="166"/>
        <v>0</v>
      </c>
      <c r="BQ85" s="96">
        <f t="shared" si="146"/>
        <v>0</v>
      </c>
      <c r="BR85" s="96">
        <f t="shared" si="147"/>
        <v>0</v>
      </c>
      <c r="BS85" s="96">
        <f t="shared" si="167"/>
        <v>0</v>
      </c>
      <c r="BT85" s="96">
        <f t="shared" si="148"/>
        <v>0</v>
      </c>
      <c r="BU85" s="92">
        <f t="shared" si="122"/>
        <v>0</v>
      </c>
      <c r="BV85" s="98">
        <f t="shared" si="168"/>
        <v>0</v>
      </c>
      <c r="BW85" s="92">
        <f t="shared" si="123"/>
        <v>0</v>
      </c>
      <c r="BX85" s="98">
        <f t="shared" si="149"/>
        <v>0</v>
      </c>
      <c r="BY85" s="61">
        <f t="shared" si="173"/>
        <v>0</v>
      </c>
      <c r="BZ85" s="62">
        <f t="shared" si="150"/>
        <v>0</v>
      </c>
      <c r="CA85" s="98">
        <f t="shared" si="151"/>
        <v>0</v>
      </c>
      <c r="CB85" s="92">
        <f t="shared" si="124"/>
        <v>0</v>
      </c>
      <c r="CC85" s="92">
        <f t="shared" si="124"/>
        <v>0</v>
      </c>
      <c r="CD85" s="92">
        <f t="shared" si="124"/>
        <v>0</v>
      </c>
      <c r="CE85" s="99"/>
      <c r="CF85" s="99"/>
      <c r="CG85" s="51">
        <f t="shared" si="152"/>
        <v>0</v>
      </c>
      <c r="CH85" s="62">
        <f t="shared" si="153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101"/>
        <v>0</v>
      </c>
      <c r="CR85" s="102">
        <f t="shared" si="101"/>
        <v>0</v>
      </c>
      <c r="CS85" s="102">
        <f t="shared" si="101"/>
        <v>0</v>
      </c>
      <c r="CT85" s="92">
        <f t="shared" si="154"/>
        <v>0</v>
      </c>
      <c r="CU85" s="92">
        <f t="shared" si="102"/>
        <v>0</v>
      </c>
      <c r="CV85" s="103">
        <f t="shared" si="102"/>
        <v>0</v>
      </c>
      <c r="CW85" s="104"/>
      <c r="CX85" s="105">
        <v>100</v>
      </c>
      <c r="CY85" s="106">
        <f t="shared" si="155"/>
        <v>414</v>
      </c>
      <c r="CZ85" s="106">
        <f t="shared" si="156"/>
        <v>810</v>
      </c>
      <c r="DA85" s="106"/>
      <c r="DB85" s="106"/>
      <c r="DC85" s="105"/>
      <c r="DD85" s="107"/>
      <c r="DE85" s="92">
        <f t="shared" si="125"/>
        <v>0</v>
      </c>
      <c r="DF85" s="108">
        <f t="shared" si="126"/>
        <v>0</v>
      </c>
      <c r="DG85" s="115">
        <f t="shared" si="127"/>
        <v>0</v>
      </c>
      <c r="DH85" s="110">
        <f t="shared" si="128"/>
        <v>0</v>
      </c>
      <c r="DI85" s="108">
        <f t="shared" si="129"/>
        <v>0</v>
      </c>
      <c r="DJ85" s="112">
        <f t="shared" si="130"/>
        <v>0</v>
      </c>
      <c r="DK85" s="110">
        <f t="shared" si="86"/>
        <v>0</v>
      </c>
      <c r="DL85" s="108">
        <f t="shared" si="86"/>
        <v>0</v>
      </c>
      <c r="DM85" s="111">
        <f t="shared" si="86"/>
        <v>0</v>
      </c>
      <c r="DN85" s="76">
        <f t="shared" si="89"/>
        <v>0</v>
      </c>
      <c r="DO85" s="76">
        <f t="shared" si="89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7"/>
        <v>0</v>
      </c>
      <c r="DX85" s="81">
        <f t="shared" si="131"/>
        <v>0</v>
      </c>
      <c r="DY85" s="80">
        <f t="shared" si="158"/>
        <v>0</v>
      </c>
      <c r="DZ85" s="82">
        <f t="shared" si="159"/>
        <v>0</v>
      </c>
      <c r="EA85" s="82">
        <f t="shared" si="160"/>
        <v>0</v>
      </c>
      <c r="EB85" s="82">
        <f t="shared" si="161"/>
        <v>0</v>
      </c>
      <c r="EC85" s="82">
        <f t="shared" ref="EC85:EC86" si="180">(BX85-CA85)+((AV85+BP85)/1000)</f>
        <v>0</v>
      </c>
      <c r="EF85" s="83">
        <f t="shared" si="107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2"/>
        <v>TVSUS303Cu-24x2.5-H9A15</v>
      </c>
      <c r="H86" s="46" t="str">
        <f t="shared" si="133"/>
        <v>SUS303CuTV240DH9</v>
      </c>
      <c r="I86" s="46" t="str">
        <f t="shared" si="134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5"/>
        <v>16</v>
      </c>
      <c r="T86" s="51">
        <v>2</v>
      </c>
      <c r="U86" s="92">
        <v>5</v>
      </c>
      <c r="V86" s="100">
        <v>59.75</v>
      </c>
      <c r="W86" s="93">
        <f t="shared" si="114"/>
        <v>142</v>
      </c>
      <c r="X86" s="93">
        <f t="shared" si="115"/>
        <v>0</v>
      </c>
      <c r="Y86" s="93">
        <f t="shared" si="116"/>
        <v>0</v>
      </c>
      <c r="Z86" s="93">
        <f t="shared" si="117"/>
        <v>0</v>
      </c>
      <c r="AA86" s="93">
        <f t="shared" si="118"/>
        <v>0</v>
      </c>
      <c r="AB86" s="93">
        <f t="shared" si="119"/>
        <v>0</v>
      </c>
      <c r="AC86" s="93">
        <f t="shared" si="120"/>
        <v>0</v>
      </c>
      <c r="AD86" s="93">
        <f t="shared" si="121"/>
        <v>0</v>
      </c>
      <c r="AE86" s="93">
        <f t="shared" si="136"/>
        <v>142</v>
      </c>
      <c r="AF86" s="54">
        <f>AE86+'02.02'!AF86</f>
        <v>472</v>
      </c>
      <c r="AG86" s="94">
        <f t="shared" si="162"/>
        <v>2</v>
      </c>
      <c r="AH86" s="56">
        <f t="shared" si="137"/>
        <v>0</v>
      </c>
      <c r="AI86" s="93">
        <v>2</v>
      </c>
      <c r="AJ86" s="93">
        <f t="shared" si="163"/>
        <v>1792.5</v>
      </c>
      <c r="AK86" s="95">
        <f t="shared" si="138"/>
        <v>0.46875</v>
      </c>
      <c r="AL86" s="58">
        <f t="shared" si="174"/>
        <v>1.47</v>
      </c>
      <c r="AM86" s="55">
        <f t="shared" si="164"/>
        <v>5.53</v>
      </c>
      <c r="AN86" s="93"/>
      <c r="AO86" s="96">
        <f>$CJ86</f>
        <v>3704.5</v>
      </c>
      <c r="AP86" s="96"/>
      <c r="AQ86" s="96"/>
      <c r="AR86" s="96"/>
      <c r="AS86" s="96"/>
      <c r="AT86" s="96"/>
      <c r="AU86" s="96">
        <f t="shared" si="139"/>
        <v>0</v>
      </c>
      <c r="AV86" s="96">
        <f t="shared" si="139"/>
        <v>0</v>
      </c>
      <c r="AW86" s="96">
        <f t="shared" si="140"/>
        <v>3704.5</v>
      </c>
      <c r="AX86" s="96">
        <f t="shared" si="141"/>
        <v>62</v>
      </c>
      <c r="AY86" s="94">
        <f t="shared" si="165"/>
        <v>-1916.7799999999997</v>
      </c>
      <c r="AZ86" s="94">
        <f t="shared" si="142"/>
        <v>-32.08</v>
      </c>
      <c r="BA86" s="94">
        <f t="shared" si="171"/>
        <v>5.53</v>
      </c>
      <c r="BB86" s="97">
        <f t="shared" si="172"/>
        <v>0.53</v>
      </c>
      <c r="BC86" s="93">
        <v>1</v>
      </c>
      <c r="BD86" s="93">
        <f t="shared" si="143"/>
        <v>0</v>
      </c>
      <c r="BE86" s="95">
        <f t="shared" si="144"/>
        <v>1</v>
      </c>
      <c r="BF86" s="58">
        <f t="shared" si="175"/>
        <v>1.53</v>
      </c>
      <c r="BG86" s="94">
        <f t="shared" si="145"/>
        <v>4</v>
      </c>
      <c r="BH86" s="89"/>
      <c r="BI86" s="92">
        <f>$CN86</f>
        <v>4780</v>
      </c>
      <c r="BJ86" s="92"/>
      <c r="BK86" s="89"/>
      <c r="BL86" s="89"/>
      <c r="BM86" s="89"/>
      <c r="BN86" s="89"/>
      <c r="BO86" s="92">
        <f t="shared" si="166"/>
        <v>0</v>
      </c>
      <c r="BP86" s="92">
        <f t="shared" si="166"/>
        <v>0</v>
      </c>
      <c r="BQ86" s="96">
        <f t="shared" si="146"/>
        <v>4780</v>
      </c>
      <c r="BR86" s="96">
        <f t="shared" si="147"/>
        <v>80</v>
      </c>
      <c r="BS86" s="96">
        <f t="shared" si="167"/>
        <v>-1070.7200000000003</v>
      </c>
      <c r="BT86" s="96">
        <f t="shared" si="148"/>
        <v>-17.920000000000005</v>
      </c>
      <c r="BU86" s="92">
        <f t="shared" si="122"/>
        <v>142</v>
      </c>
      <c r="BV86" s="98">
        <f t="shared" si="168"/>
        <v>3</v>
      </c>
      <c r="BW86" s="92">
        <f t="shared" si="123"/>
        <v>-50</v>
      </c>
      <c r="BX86" s="98">
        <f t="shared" si="149"/>
        <v>27.150000000000002</v>
      </c>
      <c r="BY86" s="61">
        <f t="shared" si="173"/>
        <v>3</v>
      </c>
      <c r="BZ86" s="62">
        <f t="shared" si="150"/>
        <v>3</v>
      </c>
      <c r="CA86" s="98">
        <f t="shared" si="151"/>
        <v>8.4845000000000006</v>
      </c>
      <c r="CB86" s="92">
        <f t="shared" si="124"/>
        <v>142</v>
      </c>
      <c r="CC86" s="92">
        <f t="shared" si="124"/>
        <v>-2987.5</v>
      </c>
      <c r="CD86" s="92">
        <f t="shared" si="124"/>
        <v>-50</v>
      </c>
      <c r="CE86" s="99"/>
      <c r="CF86" s="99"/>
      <c r="CG86" s="51">
        <f t="shared" si="152"/>
        <v>18.665500000000002</v>
      </c>
      <c r="CH86" s="62">
        <f t="shared" si="153"/>
        <v>18.665500000000002</v>
      </c>
      <c r="CI86" s="89">
        <f>30*59.75</f>
        <v>1792.5</v>
      </c>
      <c r="CJ86" s="89">
        <f>62*59.75</f>
        <v>3704.5</v>
      </c>
      <c r="CK86" s="89"/>
      <c r="CL86" s="96"/>
      <c r="CM86" s="89"/>
      <c r="CN86" s="89">
        <f>80*59.75</f>
        <v>4780</v>
      </c>
      <c r="CO86" s="92"/>
      <c r="CP86" s="101"/>
      <c r="CQ86" s="102">
        <f t="shared" si="101"/>
        <v>62</v>
      </c>
      <c r="CR86" s="102">
        <f t="shared" si="101"/>
        <v>0</v>
      </c>
      <c r="CS86" s="102">
        <f t="shared" si="101"/>
        <v>0</v>
      </c>
      <c r="CT86" s="92">
        <f t="shared" si="154"/>
        <v>80</v>
      </c>
      <c r="CU86" s="92">
        <f t="shared" si="102"/>
        <v>0</v>
      </c>
      <c r="CV86" s="103">
        <f t="shared" si="102"/>
        <v>0</v>
      </c>
      <c r="CW86" s="104"/>
      <c r="CX86" s="105">
        <v>80</v>
      </c>
      <c r="CY86" s="106">
        <f t="shared" si="155"/>
        <v>506</v>
      </c>
      <c r="CZ86" s="106">
        <f t="shared" si="156"/>
        <v>648</v>
      </c>
      <c r="DA86" s="106"/>
      <c r="DB86" s="106"/>
      <c r="DC86" s="105"/>
      <c r="DD86" s="107"/>
      <c r="DE86" s="92">
        <f t="shared" si="125"/>
        <v>62</v>
      </c>
      <c r="DF86" s="108">
        <f t="shared" si="126"/>
        <v>1.47</v>
      </c>
      <c r="DG86" s="115">
        <f t="shared" si="127"/>
        <v>-32.08</v>
      </c>
      <c r="DH86" s="110">
        <f t="shared" si="128"/>
        <v>80</v>
      </c>
      <c r="DI86" s="108">
        <f t="shared" si="129"/>
        <v>1.53</v>
      </c>
      <c r="DJ86" s="112">
        <f t="shared" si="130"/>
        <v>-17.920000000000005</v>
      </c>
      <c r="DK86" s="110">
        <f t="shared" si="86"/>
        <v>142</v>
      </c>
      <c r="DL86" s="108">
        <f t="shared" si="86"/>
        <v>3</v>
      </c>
      <c r="DM86" s="111">
        <f t="shared" si="86"/>
        <v>-50</v>
      </c>
      <c r="DN86" s="76">
        <f t="shared" si="89"/>
        <v>2</v>
      </c>
      <c r="DO86" s="76">
        <f t="shared" si="89"/>
        <v>5</v>
      </c>
      <c r="DP86" s="112"/>
      <c r="DQ86" s="112"/>
      <c r="DR86" s="113" t="s">
        <v>472</v>
      </c>
      <c r="DS86" s="112"/>
      <c r="DT86" s="112"/>
      <c r="DU86" s="111"/>
      <c r="DV86" s="114"/>
      <c r="DW86" s="80">
        <f>IFERROR(AL86+BF86,"")</f>
        <v>3</v>
      </c>
      <c r="DX86" s="81">
        <f t="shared" si="131"/>
        <v>95</v>
      </c>
      <c r="DY86" s="80">
        <f t="shared" si="158"/>
        <v>142</v>
      </c>
      <c r="DZ86" s="82">
        <f t="shared" si="159"/>
        <v>0</v>
      </c>
      <c r="EA86" s="82">
        <f t="shared" si="160"/>
        <v>8.4845000000000006</v>
      </c>
      <c r="EB86" s="82">
        <f t="shared" si="161"/>
        <v>18.665500000000002</v>
      </c>
      <c r="EC86" s="82">
        <f t="shared" si="180"/>
        <v>18.665500000000002</v>
      </c>
      <c r="EF86" s="83">
        <f t="shared" si="107"/>
        <v>-50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2"/>
        <v>TVSUS303-7.5x2.5-H9A14</v>
      </c>
      <c r="H87" s="46" t="str">
        <f t="shared" si="133"/>
        <v>SUS303TV7.50DH9</v>
      </c>
      <c r="I87" s="46" t="str">
        <f t="shared" si="134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5"/>
        <v>2</v>
      </c>
      <c r="T87" s="51">
        <f>'02.02'!BG87</f>
        <v>6</v>
      </c>
      <c r="U87" s="92"/>
      <c r="V87" s="100">
        <v>0.7</v>
      </c>
      <c r="W87" s="93">
        <f t="shared" si="114"/>
        <v>0</v>
      </c>
      <c r="X87" s="93">
        <f t="shared" si="115"/>
        <v>0</v>
      </c>
      <c r="Y87" s="93">
        <f t="shared" si="116"/>
        <v>0</v>
      </c>
      <c r="Z87" s="93">
        <f t="shared" si="117"/>
        <v>0</v>
      </c>
      <c r="AA87" s="93">
        <f t="shared" si="118"/>
        <v>0</v>
      </c>
      <c r="AB87" s="93">
        <f t="shared" si="119"/>
        <v>827</v>
      </c>
      <c r="AC87" s="93">
        <f t="shared" si="120"/>
        <v>0</v>
      </c>
      <c r="AD87" s="93">
        <f t="shared" si="121"/>
        <v>0</v>
      </c>
      <c r="AE87" s="93">
        <f t="shared" si="136"/>
        <v>827</v>
      </c>
      <c r="AF87" s="54">
        <f>AE87+'02.02'!AF87</f>
        <v>2345</v>
      </c>
      <c r="AG87" s="94">
        <f t="shared" si="162"/>
        <v>6</v>
      </c>
      <c r="AH87" s="56">
        <f t="shared" si="137"/>
        <v>0</v>
      </c>
      <c r="AI87" s="93">
        <v>2</v>
      </c>
      <c r="AJ87" s="93">
        <f t="shared" si="163"/>
        <v>0</v>
      </c>
      <c r="AK87" s="95">
        <f t="shared" si="138"/>
        <v>1</v>
      </c>
      <c r="AL87" s="58">
        <f t="shared" si="174"/>
        <v>2</v>
      </c>
      <c r="AM87" s="55">
        <f t="shared" si="164"/>
        <v>4</v>
      </c>
      <c r="AN87" s="93"/>
      <c r="AO87" s="96"/>
      <c r="AP87" s="96"/>
      <c r="AQ87" s="96"/>
      <c r="AR87" s="96"/>
      <c r="AS87" s="96"/>
      <c r="AT87" s="96">
        <f>$CJ87</f>
        <v>279</v>
      </c>
      <c r="AU87" s="96">
        <f t="shared" si="139"/>
        <v>0</v>
      </c>
      <c r="AV87" s="96">
        <f t="shared" si="139"/>
        <v>0</v>
      </c>
      <c r="AW87" s="96">
        <f t="shared" si="140"/>
        <v>279</v>
      </c>
      <c r="AX87" s="96">
        <f t="shared" si="141"/>
        <v>398</v>
      </c>
      <c r="AY87" s="94">
        <f t="shared" si="165"/>
        <v>-34.599999999999966</v>
      </c>
      <c r="AZ87" s="94">
        <f t="shared" si="142"/>
        <v>-49.428571428571381</v>
      </c>
      <c r="BA87" s="94">
        <f t="shared" si="171"/>
        <v>4</v>
      </c>
      <c r="BB87" s="97">
        <f t="shared" si="172"/>
        <v>0</v>
      </c>
      <c r="BC87" s="93">
        <v>2</v>
      </c>
      <c r="BD87" s="93">
        <f t="shared" si="143"/>
        <v>0</v>
      </c>
      <c r="BE87" s="95">
        <f t="shared" si="144"/>
        <v>1</v>
      </c>
      <c r="BF87" s="58">
        <f t="shared" si="175"/>
        <v>2</v>
      </c>
      <c r="BG87" s="94">
        <f t="shared" si="145"/>
        <v>2</v>
      </c>
      <c r="BH87" s="89"/>
      <c r="BI87" s="89"/>
      <c r="BJ87" s="92"/>
      <c r="BK87" s="89"/>
      <c r="BL87" s="89"/>
      <c r="BM87" s="89"/>
      <c r="BN87" s="92">
        <f>$CN87</f>
        <v>300</v>
      </c>
      <c r="BO87" s="92">
        <f t="shared" si="166"/>
        <v>0</v>
      </c>
      <c r="BP87" s="92">
        <f t="shared" si="166"/>
        <v>0</v>
      </c>
      <c r="BQ87" s="96">
        <f t="shared" si="146"/>
        <v>300</v>
      </c>
      <c r="BR87" s="96">
        <f t="shared" si="147"/>
        <v>428</v>
      </c>
      <c r="BS87" s="96">
        <f t="shared" si="167"/>
        <v>-13.599999999999966</v>
      </c>
      <c r="BT87" s="96">
        <f t="shared" si="148"/>
        <v>-19.428571428571381</v>
      </c>
      <c r="BU87" s="92">
        <f t="shared" si="122"/>
        <v>827</v>
      </c>
      <c r="BV87" s="98">
        <f t="shared" si="168"/>
        <v>4</v>
      </c>
      <c r="BW87" s="92">
        <f t="shared" si="123"/>
        <v>-68.857142857142762</v>
      </c>
      <c r="BX87" s="98">
        <f t="shared" si="149"/>
        <v>2.2160000000000002</v>
      </c>
      <c r="BY87" s="61">
        <f t="shared" si="173"/>
        <v>4</v>
      </c>
      <c r="BZ87" s="62">
        <f t="shared" si="150"/>
        <v>4</v>
      </c>
      <c r="CA87" s="98">
        <f t="shared" si="151"/>
        <v>0.57899999999999996</v>
      </c>
      <c r="CB87" s="92">
        <f t="shared" si="124"/>
        <v>826</v>
      </c>
      <c r="CC87" s="92">
        <f t="shared" si="124"/>
        <v>-48.199999999999932</v>
      </c>
      <c r="CD87" s="92">
        <f t="shared" si="124"/>
        <v>-68.857142857142762</v>
      </c>
      <c r="CE87" s="99"/>
      <c r="CF87" s="99"/>
      <c r="CG87" s="51">
        <f t="shared" si="152"/>
        <v>1.6370000000000002</v>
      </c>
      <c r="CH87" s="62">
        <f t="shared" si="153"/>
        <v>1.6370000000000002</v>
      </c>
      <c r="CI87" s="89"/>
      <c r="CJ87" s="89">
        <v>279</v>
      </c>
      <c r="CK87" s="89"/>
      <c r="CL87" s="96"/>
      <c r="CM87" s="89"/>
      <c r="CN87" s="89">
        <v>300</v>
      </c>
      <c r="CO87" s="92"/>
      <c r="CP87" s="101"/>
      <c r="CQ87" s="102">
        <f t="shared" si="101"/>
        <v>398</v>
      </c>
      <c r="CR87" s="102">
        <f t="shared" si="101"/>
        <v>0</v>
      </c>
      <c r="CS87" s="102">
        <f t="shared" si="101"/>
        <v>0</v>
      </c>
      <c r="CT87" s="92">
        <f t="shared" si="154"/>
        <v>429</v>
      </c>
      <c r="CU87" s="92">
        <f t="shared" si="102"/>
        <v>0</v>
      </c>
      <c r="CV87" s="103">
        <f t="shared" si="102"/>
        <v>0</v>
      </c>
      <c r="CW87" s="104"/>
      <c r="CX87" s="105">
        <v>134</v>
      </c>
      <c r="CY87" s="106">
        <f t="shared" si="155"/>
        <v>317</v>
      </c>
      <c r="CZ87" s="106">
        <f t="shared" si="156"/>
        <v>1085.4000000000001</v>
      </c>
      <c r="DA87" s="106"/>
      <c r="DB87" s="106"/>
      <c r="DC87" s="105"/>
      <c r="DD87" s="107"/>
      <c r="DE87" s="92">
        <f t="shared" si="125"/>
        <v>398</v>
      </c>
      <c r="DF87" s="108">
        <f t="shared" si="126"/>
        <v>2</v>
      </c>
      <c r="DG87" s="115">
        <f t="shared" si="127"/>
        <v>-49.428571428571381</v>
      </c>
      <c r="DH87" s="110">
        <f t="shared" si="128"/>
        <v>429</v>
      </c>
      <c r="DI87" s="108">
        <f t="shared" si="129"/>
        <v>2</v>
      </c>
      <c r="DJ87" s="112">
        <f t="shared" si="130"/>
        <v>-19.428571428571381</v>
      </c>
      <c r="DK87" s="110">
        <f t="shared" si="86"/>
        <v>827</v>
      </c>
      <c r="DL87" s="108">
        <f t="shared" si="86"/>
        <v>4</v>
      </c>
      <c r="DM87" s="111">
        <f t="shared" si="86"/>
        <v>-68.857142857142762</v>
      </c>
      <c r="DN87" s="76">
        <f t="shared" si="89"/>
        <v>6</v>
      </c>
      <c r="DO87" s="76">
        <f t="shared" si="89"/>
        <v>0</v>
      </c>
      <c r="DP87" s="112"/>
      <c r="DQ87" s="112"/>
      <c r="DR87" s="113" t="s">
        <v>473</v>
      </c>
      <c r="DS87" s="112"/>
      <c r="DT87" s="112"/>
      <c r="DU87" s="111"/>
      <c r="DV87" s="114"/>
      <c r="DW87" s="80">
        <f t="shared" si="157"/>
        <v>831</v>
      </c>
      <c r="DX87" s="81">
        <f t="shared" si="131"/>
        <v>762.14285714285722</v>
      </c>
      <c r="DY87" s="80">
        <f t="shared" si="158"/>
        <v>827</v>
      </c>
      <c r="DZ87" s="82">
        <f t="shared" si="159"/>
        <v>0</v>
      </c>
      <c r="EA87" s="82">
        <f t="shared" si="160"/>
        <v>0.57889999999999997</v>
      </c>
      <c r="EB87" s="82">
        <f t="shared" si="161"/>
        <v>1.6371000000000002</v>
      </c>
      <c r="EC87" s="82">
        <f t="shared" si="178"/>
        <v>1.6371000000000002</v>
      </c>
      <c r="EF87" s="83">
        <f t="shared" si="107"/>
        <v>-68.857142857142762</v>
      </c>
    </row>
    <row r="88" spans="1:136" ht="15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2"/>
        <v>MESUS303-8x3-H7C14</v>
      </c>
      <c r="H88" s="46" t="str">
        <f t="shared" si="133"/>
        <v>SUS303ME80DH7</v>
      </c>
      <c r="I88" s="46" t="str">
        <f t="shared" si="134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5"/>
        <v>22</v>
      </c>
      <c r="T88" s="51">
        <f>'02.02'!BG88</f>
        <v>0</v>
      </c>
      <c r="U88" s="92"/>
      <c r="V88" s="100">
        <v>15.11</v>
      </c>
      <c r="W88" s="93">
        <f t="shared" si="114"/>
        <v>0</v>
      </c>
      <c r="X88" s="93">
        <f t="shared" si="115"/>
        <v>0</v>
      </c>
      <c r="Y88" s="93">
        <f t="shared" si="116"/>
        <v>0</v>
      </c>
      <c r="Z88" s="93">
        <f t="shared" si="117"/>
        <v>0</v>
      </c>
      <c r="AA88" s="93">
        <f t="shared" si="118"/>
        <v>0</v>
      </c>
      <c r="AB88" s="93">
        <f t="shared" si="119"/>
        <v>0</v>
      </c>
      <c r="AC88" s="93">
        <f t="shared" si="120"/>
        <v>0</v>
      </c>
      <c r="AD88" s="93">
        <f t="shared" si="121"/>
        <v>0</v>
      </c>
      <c r="AE88" s="93">
        <f t="shared" si="136"/>
        <v>0</v>
      </c>
      <c r="AF88" s="54">
        <f>AE88+'02.02'!AF88</f>
        <v>0</v>
      </c>
      <c r="AG88" s="94">
        <f t="shared" si="162"/>
        <v>0</v>
      </c>
      <c r="AH88" s="56">
        <f t="shared" si="137"/>
        <v>0</v>
      </c>
      <c r="AI88" s="93"/>
      <c r="AJ88" s="93">
        <f t="shared" si="163"/>
        <v>0</v>
      </c>
      <c r="AK88" s="95">
        <f t="shared" si="138"/>
        <v>1</v>
      </c>
      <c r="AL88" s="58">
        <f t="shared" si="174"/>
        <v>0</v>
      </c>
      <c r="AM88" s="55">
        <f t="shared" si="164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39"/>
        <v>0</v>
      </c>
      <c r="AV88" s="96">
        <f t="shared" si="139"/>
        <v>0</v>
      </c>
      <c r="AW88" s="96">
        <f t="shared" si="140"/>
        <v>0</v>
      </c>
      <c r="AX88" s="96">
        <f t="shared" si="141"/>
        <v>0</v>
      </c>
      <c r="AY88" s="94">
        <f t="shared" si="165"/>
        <v>0</v>
      </c>
      <c r="AZ88" s="94">
        <f t="shared" si="142"/>
        <v>0</v>
      </c>
      <c r="BA88" s="94">
        <f t="shared" si="171"/>
        <v>0</v>
      </c>
      <c r="BB88" s="97">
        <f t="shared" si="172"/>
        <v>0</v>
      </c>
      <c r="BC88" s="93"/>
      <c r="BD88" s="93">
        <f t="shared" si="143"/>
        <v>0</v>
      </c>
      <c r="BE88" s="95">
        <f t="shared" si="144"/>
        <v>1</v>
      </c>
      <c r="BF88" s="58">
        <f t="shared" si="175"/>
        <v>0</v>
      </c>
      <c r="BG88" s="94">
        <f t="shared" si="145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6"/>
        <v>0</v>
      </c>
      <c r="BP88" s="92">
        <f t="shared" si="166"/>
        <v>0</v>
      </c>
      <c r="BQ88" s="96">
        <f t="shared" si="146"/>
        <v>0</v>
      </c>
      <c r="BR88" s="96">
        <f t="shared" si="147"/>
        <v>0</v>
      </c>
      <c r="BS88" s="96">
        <f t="shared" si="167"/>
        <v>0</v>
      </c>
      <c r="BT88" s="96">
        <f t="shared" si="148"/>
        <v>0</v>
      </c>
      <c r="BU88" s="92">
        <f t="shared" si="122"/>
        <v>0</v>
      </c>
      <c r="BV88" s="98">
        <f t="shared" si="168"/>
        <v>0</v>
      </c>
      <c r="BW88" s="92">
        <f t="shared" si="123"/>
        <v>0</v>
      </c>
      <c r="BX88" s="98">
        <f t="shared" si="149"/>
        <v>0</v>
      </c>
      <c r="BY88" s="61">
        <f t="shared" si="173"/>
        <v>0</v>
      </c>
      <c r="BZ88" s="62">
        <f t="shared" si="150"/>
        <v>0</v>
      </c>
      <c r="CA88" s="98">
        <f t="shared" si="151"/>
        <v>0</v>
      </c>
      <c r="CB88" s="92">
        <f t="shared" si="124"/>
        <v>0</v>
      </c>
      <c r="CC88" s="92">
        <f t="shared" si="124"/>
        <v>0</v>
      </c>
      <c r="CD88" s="92">
        <f t="shared" si="124"/>
        <v>0</v>
      </c>
      <c r="CE88" s="99"/>
      <c r="CF88" s="99"/>
      <c r="CG88" s="51">
        <f t="shared" si="152"/>
        <v>0</v>
      </c>
      <c r="CH88" s="62">
        <f t="shared" si="153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101"/>
        <v>0</v>
      </c>
      <c r="CR88" s="102">
        <f t="shared" si="101"/>
        <v>0</v>
      </c>
      <c r="CS88" s="102">
        <f t="shared" si="101"/>
        <v>0</v>
      </c>
      <c r="CT88" s="92">
        <f t="shared" si="154"/>
        <v>0</v>
      </c>
      <c r="CU88" s="92">
        <f t="shared" si="102"/>
        <v>0</v>
      </c>
      <c r="CV88" s="103">
        <f t="shared" si="102"/>
        <v>0</v>
      </c>
      <c r="CW88" s="104"/>
      <c r="CX88" s="105">
        <v>61</v>
      </c>
      <c r="CY88" s="106">
        <f t="shared" si="155"/>
        <v>649</v>
      </c>
      <c r="CZ88" s="106">
        <f t="shared" si="156"/>
        <v>494.1</v>
      </c>
      <c r="DA88" s="106"/>
      <c r="DB88" s="106"/>
      <c r="DC88" s="105"/>
      <c r="DD88" s="107"/>
      <c r="DE88" s="92">
        <f t="shared" si="125"/>
        <v>0</v>
      </c>
      <c r="DF88" s="108">
        <f t="shared" si="126"/>
        <v>0</v>
      </c>
      <c r="DG88" s="115">
        <f t="shared" si="127"/>
        <v>0</v>
      </c>
      <c r="DH88" s="110">
        <f t="shared" si="128"/>
        <v>0</v>
      </c>
      <c r="DI88" s="108">
        <f t="shared" si="129"/>
        <v>0</v>
      </c>
      <c r="DJ88" s="112">
        <f t="shared" si="130"/>
        <v>0</v>
      </c>
      <c r="DK88" s="110">
        <f t="shared" ref="DK88:DM106" si="181">IFERROR(DE88+DH88,"")</f>
        <v>0</v>
      </c>
      <c r="DL88" s="108">
        <f t="shared" si="181"/>
        <v>0</v>
      </c>
      <c r="DM88" s="111">
        <f t="shared" si="181"/>
        <v>0</v>
      </c>
      <c r="DN88" s="76">
        <f t="shared" si="89"/>
        <v>0</v>
      </c>
      <c r="DO88" s="76">
        <f t="shared" si="89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7"/>
        <v>0</v>
      </c>
      <c r="DX88" s="81">
        <f t="shared" si="131"/>
        <v>0</v>
      </c>
      <c r="DY88" s="80">
        <f t="shared" si="158"/>
        <v>0</v>
      </c>
      <c r="DZ88" s="82">
        <f t="shared" si="159"/>
        <v>0</v>
      </c>
      <c r="EA88" s="82">
        <f t="shared" si="160"/>
        <v>0</v>
      </c>
      <c r="EB88" s="82">
        <f t="shared" si="161"/>
        <v>0</v>
      </c>
      <c r="EC88" s="82">
        <f t="shared" si="178"/>
        <v>0</v>
      </c>
      <c r="EF88" s="83">
        <f t="shared" si="107"/>
        <v>0</v>
      </c>
    </row>
    <row r="89" spans="1:136" ht="15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2"/>
        <v>-xx-</v>
      </c>
      <c r="H89" s="46" t="str">
        <f t="shared" si="133"/>
        <v/>
      </c>
      <c r="I89" s="46" t="str">
        <f t="shared" si="134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5"/>
        <v>#DIV/0!</v>
      </c>
      <c r="T89" s="51">
        <f>'02.02'!BG89</f>
        <v>0</v>
      </c>
      <c r="U89" s="92"/>
      <c r="V89" s="100">
        <v>1</v>
      </c>
      <c r="W89" s="93">
        <f t="shared" si="114"/>
        <v>0</v>
      </c>
      <c r="X89" s="93">
        <f t="shared" si="115"/>
        <v>0</v>
      </c>
      <c r="Y89" s="93">
        <f t="shared" si="116"/>
        <v>0</v>
      </c>
      <c r="Z89" s="93">
        <f t="shared" si="117"/>
        <v>0</v>
      </c>
      <c r="AA89" s="93">
        <f t="shared" si="118"/>
        <v>0</v>
      </c>
      <c r="AB89" s="93">
        <f t="shared" si="119"/>
        <v>0</v>
      </c>
      <c r="AC89" s="93">
        <f t="shared" si="120"/>
        <v>0</v>
      </c>
      <c r="AD89" s="93">
        <f t="shared" si="121"/>
        <v>0</v>
      </c>
      <c r="AE89" s="93">
        <f t="shared" si="136"/>
        <v>0</v>
      </c>
      <c r="AF89" s="54">
        <f>AE89+'02.02'!AF89</f>
        <v>0</v>
      </c>
      <c r="AG89" s="94">
        <f t="shared" si="162"/>
        <v>0</v>
      </c>
      <c r="AH89" s="56">
        <f t="shared" si="137"/>
        <v>0</v>
      </c>
      <c r="AI89" s="93"/>
      <c r="AJ89" s="93">
        <f t="shared" si="163"/>
        <v>0</v>
      </c>
      <c r="AK89" s="95">
        <f t="shared" si="138"/>
        <v>1</v>
      </c>
      <c r="AL89" s="58">
        <f t="shared" si="174"/>
        <v>0</v>
      </c>
      <c r="AM89" s="55">
        <f t="shared" si="164"/>
        <v>0</v>
      </c>
      <c r="AN89" s="93"/>
      <c r="AO89" s="96"/>
      <c r="AP89" s="96"/>
      <c r="AQ89" s="96"/>
      <c r="AR89" s="96"/>
      <c r="AS89" s="96"/>
      <c r="AT89" s="96"/>
      <c r="AU89" s="96">
        <f t="shared" si="139"/>
        <v>0</v>
      </c>
      <c r="AV89" s="96">
        <f t="shared" si="139"/>
        <v>0</v>
      </c>
      <c r="AW89" s="96">
        <f t="shared" si="140"/>
        <v>0</v>
      </c>
      <c r="AX89" s="96">
        <f t="shared" si="141"/>
        <v>0</v>
      </c>
      <c r="AY89" s="94">
        <f t="shared" si="165"/>
        <v>0</v>
      </c>
      <c r="AZ89" s="94">
        <f t="shared" si="142"/>
        <v>0</v>
      </c>
      <c r="BA89" s="94">
        <f t="shared" si="171"/>
        <v>0</v>
      </c>
      <c r="BB89" s="97">
        <f t="shared" si="172"/>
        <v>0</v>
      </c>
      <c r="BC89" s="93"/>
      <c r="BD89" s="93">
        <f t="shared" si="143"/>
        <v>0</v>
      </c>
      <c r="BE89" s="95">
        <f t="shared" si="144"/>
        <v>1</v>
      </c>
      <c r="BF89" s="58">
        <f t="shared" si="175"/>
        <v>0</v>
      </c>
      <c r="BG89" s="94">
        <f t="shared" si="145"/>
        <v>0</v>
      </c>
      <c r="BH89" s="89"/>
      <c r="BI89" s="89"/>
      <c r="BJ89" s="89"/>
      <c r="BK89" s="89"/>
      <c r="BL89" s="89"/>
      <c r="BM89" s="89"/>
      <c r="BN89" s="89"/>
      <c r="BO89" s="92">
        <f t="shared" si="166"/>
        <v>0</v>
      </c>
      <c r="BP89" s="92">
        <f t="shared" si="166"/>
        <v>0</v>
      </c>
      <c r="BQ89" s="96">
        <f t="shared" si="146"/>
        <v>0</v>
      </c>
      <c r="BR89" s="96">
        <f>IF(AA89="","",INT(BQ89/$V89))</f>
        <v>0</v>
      </c>
      <c r="BS89" s="96">
        <f t="shared" si="167"/>
        <v>0</v>
      </c>
      <c r="BT89" s="96">
        <f t="shared" si="148"/>
        <v>0</v>
      </c>
      <c r="BU89" s="92">
        <f t="shared" si="122"/>
        <v>0</v>
      </c>
      <c r="BV89" s="98">
        <f t="shared" si="168"/>
        <v>0</v>
      </c>
      <c r="BW89" s="92">
        <f t="shared" si="123"/>
        <v>0</v>
      </c>
      <c r="BX89" s="98" t="str">
        <f t="shared" si="149"/>
        <v/>
      </c>
      <c r="BY89" s="61">
        <f t="shared" si="173"/>
        <v>0</v>
      </c>
      <c r="BZ89" s="62">
        <f t="shared" si="150"/>
        <v>0</v>
      </c>
      <c r="CA89" s="98">
        <f t="shared" si="151"/>
        <v>0</v>
      </c>
      <c r="CB89" s="92">
        <f t="shared" si="124"/>
        <v>0</v>
      </c>
      <c r="CC89" s="92">
        <f t="shared" si="124"/>
        <v>0</v>
      </c>
      <c r="CD89" s="92">
        <f t="shared" si="124"/>
        <v>0</v>
      </c>
      <c r="CE89" s="99"/>
      <c r="CF89" s="99"/>
      <c r="CG89" s="51">
        <f t="shared" si="152"/>
        <v>0</v>
      </c>
      <c r="CH89" s="62">
        <f t="shared" si="153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101"/>
        <v>0</v>
      </c>
      <c r="CR89" s="102">
        <f t="shared" si="101"/>
        <v>0</v>
      </c>
      <c r="CS89" s="102">
        <f t="shared" si="101"/>
        <v>0</v>
      </c>
      <c r="CT89" s="92">
        <f t="shared" si="154"/>
        <v>0</v>
      </c>
      <c r="CU89" s="92">
        <f t="shared" si="102"/>
        <v>0</v>
      </c>
      <c r="CV89" s="103">
        <f t="shared" si="102"/>
        <v>0</v>
      </c>
      <c r="CW89" s="104"/>
      <c r="CX89" s="105"/>
      <c r="CY89" s="106" t="e">
        <f t="shared" si="155"/>
        <v>#DIV/0!</v>
      </c>
      <c r="CZ89" s="106">
        <f t="shared" si="156"/>
        <v>0</v>
      </c>
      <c r="DA89" s="106"/>
      <c r="DB89" s="106"/>
      <c r="DC89" s="105"/>
      <c r="DD89" s="107"/>
      <c r="DE89" s="92">
        <f t="shared" si="125"/>
        <v>0</v>
      </c>
      <c r="DF89" s="108">
        <f t="shared" si="126"/>
        <v>0</v>
      </c>
      <c r="DG89" s="115">
        <f t="shared" si="127"/>
        <v>0</v>
      </c>
      <c r="DH89" s="110">
        <f t="shared" si="128"/>
        <v>0</v>
      </c>
      <c r="DI89" s="108">
        <f t="shared" si="129"/>
        <v>0</v>
      </c>
      <c r="DJ89" s="112">
        <f t="shared" si="130"/>
        <v>0</v>
      </c>
      <c r="DK89" s="110">
        <f t="shared" si="181"/>
        <v>0</v>
      </c>
      <c r="DL89" s="108">
        <f t="shared" si="181"/>
        <v>0</v>
      </c>
      <c r="DM89" s="111">
        <f t="shared" si="181"/>
        <v>0</v>
      </c>
      <c r="DN89" s="76">
        <f t="shared" si="89"/>
        <v>0</v>
      </c>
      <c r="DO89" s="76">
        <f t="shared" si="89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7"/>
        <v>0</v>
      </c>
      <c r="DX89" s="81">
        <f t="shared" si="131"/>
        <v>0</v>
      </c>
      <c r="DY89" s="80">
        <f t="shared" si="158"/>
        <v>0</v>
      </c>
      <c r="DZ89" s="82">
        <f t="shared" si="159"/>
        <v>0</v>
      </c>
      <c r="EA89" s="82">
        <f t="shared" si="160"/>
        <v>0</v>
      </c>
      <c r="EB89" s="82" t="e">
        <f t="shared" si="161"/>
        <v>#VALUE!</v>
      </c>
      <c r="EC89" s="82" t="e">
        <f t="shared" si="178"/>
        <v>#VALUE!</v>
      </c>
    </row>
    <row r="90" spans="1:136" ht="15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2"/>
        <v>-xx-</v>
      </c>
      <c r="H90" s="46" t="str">
        <f t="shared" si="133"/>
        <v/>
      </c>
      <c r="I90" s="46" t="str">
        <f t="shared" si="134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5"/>
        <v>#DIV/0!</v>
      </c>
      <c r="T90" s="51">
        <f>'02.02'!BG90</f>
        <v>0</v>
      </c>
      <c r="U90" s="92"/>
      <c r="V90" s="100">
        <v>1</v>
      </c>
      <c r="W90" s="93">
        <f t="shared" si="114"/>
        <v>0</v>
      </c>
      <c r="X90" s="93">
        <f t="shared" si="115"/>
        <v>0</v>
      </c>
      <c r="Y90" s="93">
        <f t="shared" si="116"/>
        <v>0</v>
      </c>
      <c r="Z90" s="93">
        <f t="shared" si="117"/>
        <v>0</v>
      </c>
      <c r="AA90" s="93">
        <f t="shared" si="118"/>
        <v>0</v>
      </c>
      <c r="AB90" s="93">
        <f t="shared" si="119"/>
        <v>0</v>
      </c>
      <c r="AC90" s="93">
        <f t="shared" si="120"/>
        <v>0</v>
      </c>
      <c r="AD90" s="93">
        <f t="shared" si="121"/>
        <v>0</v>
      </c>
      <c r="AE90" s="93">
        <f t="shared" si="136"/>
        <v>0</v>
      </c>
      <c r="AF90" s="54">
        <f>AE90+'02.02'!AF90</f>
        <v>0</v>
      </c>
      <c r="AG90" s="94">
        <f t="shared" si="162"/>
        <v>0</v>
      </c>
      <c r="AH90" s="56">
        <f t="shared" si="137"/>
        <v>0</v>
      </c>
      <c r="AI90" s="93"/>
      <c r="AJ90" s="93">
        <f t="shared" si="163"/>
        <v>0</v>
      </c>
      <c r="AK90" s="95">
        <f t="shared" si="138"/>
        <v>1</v>
      </c>
      <c r="AL90" s="58">
        <f t="shared" si="174"/>
        <v>0</v>
      </c>
      <c r="AM90" s="55">
        <f t="shared" si="164"/>
        <v>0</v>
      </c>
      <c r="AN90" s="93"/>
      <c r="AO90" s="96"/>
      <c r="AP90" s="96"/>
      <c r="AQ90" s="96"/>
      <c r="AR90" s="96"/>
      <c r="AS90" s="96"/>
      <c r="AT90" s="96"/>
      <c r="AU90" s="96">
        <f t="shared" si="139"/>
        <v>0</v>
      </c>
      <c r="AV90" s="96">
        <f t="shared" si="139"/>
        <v>0</v>
      </c>
      <c r="AW90" s="96">
        <f t="shared" si="140"/>
        <v>0</v>
      </c>
      <c r="AX90" s="96">
        <f t="shared" si="141"/>
        <v>0</v>
      </c>
      <c r="AY90" s="94">
        <f t="shared" si="165"/>
        <v>0</v>
      </c>
      <c r="AZ90" s="94">
        <f t="shared" si="142"/>
        <v>0</v>
      </c>
      <c r="BA90" s="94">
        <f t="shared" si="171"/>
        <v>0</v>
      </c>
      <c r="BB90" s="97">
        <f t="shared" si="172"/>
        <v>0</v>
      </c>
      <c r="BC90" s="93"/>
      <c r="BD90" s="93">
        <f t="shared" si="143"/>
        <v>0</v>
      </c>
      <c r="BE90" s="95">
        <f t="shared" si="144"/>
        <v>1</v>
      </c>
      <c r="BF90" s="58">
        <f t="shared" si="175"/>
        <v>0</v>
      </c>
      <c r="BG90" s="94">
        <f t="shared" si="145"/>
        <v>0</v>
      </c>
      <c r="BH90" s="89"/>
      <c r="BI90" s="89"/>
      <c r="BJ90" s="89"/>
      <c r="BK90" s="89"/>
      <c r="BL90" s="89"/>
      <c r="BM90" s="89"/>
      <c r="BN90" s="89"/>
      <c r="BO90" s="92">
        <f t="shared" si="166"/>
        <v>0</v>
      </c>
      <c r="BP90" s="92">
        <f t="shared" si="166"/>
        <v>0</v>
      </c>
      <c r="BQ90" s="96">
        <f t="shared" si="146"/>
        <v>0</v>
      </c>
      <c r="BR90" s="96">
        <f t="shared" si="147"/>
        <v>0</v>
      </c>
      <c r="BS90" s="96">
        <f t="shared" si="167"/>
        <v>0</v>
      </c>
      <c r="BT90" s="96">
        <f t="shared" si="148"/>
        <v>0</v>
      </c>
      <c r="BU90" s="92">
        <f t="shared" si="122"/>
        <v>0</v>
      </c>
      <c r="BV90" s="98">
        <f t="shared" si="168"/>
        <v>0</v>
      </c>
      <c r="BW90" s="92">
        <f t="shared" si="123"/>
        <v>0</v>
      </c>
      <c r="BX90" s="98" t="str">
        <f t="shared" si="149"/>
        <v/>
      </c>
      <c r="BY90" s="61">
        <f t="shared" si="173"/>
        <v>0</v>
      </c>
      <c r="BZ90" s="62">
        <f t="shared" si="150"/>
        <v>0</v>
      </c>
      <c r="CA90" s="98">
        <f t="shared" si="151"/>
        <v>0</v>
      </c>
      <c r="CB90" s="92">
        <f t="shared" si="124"/>
        <v>0</v>
      </c>
      <c r="CC90" s="92">
        <f t="shared" si="124"/>
        <v>0</v>
      </c>
      <c r="CD90" s="92">
        <f t="shared" si="124"/>
        <v>0</v>
      </c>
      <c r="CE90" s="99"/>
      <c r="CF90" s="99"/>
      <c r="CG90" s="51">
        <f t="shared" si="152"/>
        <v>0</v>
      </c>
      <c r="CH90" s="62">
        <f t="shared" si="153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101"/>
        <v>0</v>
      </c>
      <c r="CR90" s="102">
        <f t="shared" si="101"/>
        <v>0</v>
      </c>
      <c r="CS90" s="102">
        <f t="shared" si="101"/>
        <v>0</v>
      </c>
      <c r="CT90" s="92">
        <f t="shared" si="154"/>
        <v>0</v>
      </c>
      <c r="CU90" s="92">
        <f t="shared" si="102"/>
        <v>0</v>
      </c>
      <c r="CV90" s="103">
        <f t="shared" si="102"/>
        <v>0</v>
      </c>
      <c r="CW90" s="104"/>
      <c r="CX90" s="105"/>
      <c r="CY90" s="106" t="e">
        <f t="shared" si="155"/>
        <v>#DIV/0!</v>
      </c>
      <c r="CZ90" s="106">
        <f t="shared" si="156"/>
        <v>0</v>
      </c>
      <c r="DA90" s="106"/>
      <c r="DB90" s="106"/>
      <c r="DC90" s="105"/>
      <c r="DD90" s="107"/>
      <c r="DE90" s="92">
        <f t="shared" si="125"/>
        <v>0</v>
      </c>
      <c r="DF90" s="108">
        <f t="shared" si="126"/>
        <v>0</v>
      </c>
      <c r="DG90" s="115">
        <f t="shared" si="127"/>
        <v>0</v>
      </c>
      <c r="DH90" s="110">
        <f t="shared" si="128"/>
        <v>0</v>
      </c>
      <c r="DI90" s="108">
        <f t="shared" si="129"/>
        <v>0</v>
      </c>
      <c r="DJ90" s="112">
        <f t="shared" si="130"/>
        <v>0</v>
      </c>
      <c r="DK90" s="110">
        <f t="shared" si="181"/>
        <v>0</v>
      </c>
      <c r="DL90" s="108">
        <f t="shared" si="181"/>
        <v>0</v>
      </c>
      <c r="DM90" s="111">
        <f t="shared" si="181"/>
        <v>0</v>
      </c>
      <c r="DN90" s="76">
        <f t="shared" ref="DN90:DO106" si="182">T90</f>
        <v>0</v>
      </c>
      <c r="DO90" s="76">
        <f t="shared" si="182"/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7"/>
        <v>0</v>
      </c>
      <c r="DX90" s="81">
        <f t="shared" si="131"/>
        <v>0</v>
      </c>
      <c r="DY90" s="80">
        <f t="shared" si="158"/>
        <v>0</v>
      </c>
      <c r="DZ90" s="82">
        <f t="shared" si="159"/>
        <v>0</v>
      </c>
      <c r="EA90" s="82">
        <f t="shared" si="160"/>
        <v>0</v>
      </c>
      <c r="EB90" s="82" t="e">
        <f t="shared" si="161"/>
        <v>#VALUE!</v>
      </c>
      <c r="EC90" s="82" t="e">
        <f t="shared" si="178"/>
        <v>#VALUE!</v>
      </c>
    </row>
    <row r="91" spans="1:136" ht="15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2"/>
        <v>GWA6063-T5-17x3-H9I14</v>
      </c>
      <c r="H91" s="46" t="str">
        <f t="shared" si="133"/>
        <v>A6063-T5GW170DH9</v>
      </c>
      <c r="I91" s="46" t="str">
        <f t="shared" si="134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5"/>
        <v>8</v>
      </c>
      <c r="T91" s="51">
        <f>'02.02'!BG91</f>
        <v>0</v>
      </c>
      <c r="U91" s="92"/>
      <c r="V91" s="100">
        <v>5.133</v>
      </c>
      <c r="W91" s="93">
        <f t="shared" si="114"/>
        <v>0</v>
      </c>
      <c r="X91" s="93">
        <f t="shared" si="115"/>
        <v>0</v>
      </c>
      <c r="Y91" s="93">
        <f t="shared" si="116"/>
        <v>0</v>
      </c>
      <c r="Z91" s="93">
        <f t="shared" si="117"/>
        <v>0</v>
      </c>
      <c r="AA91" s="93">
        <f t="shared" si="118"/>
        <v>0</v>
      </c>
      <c r="AB91" s="93">
        <f t="shared" si="119"/>
        <v>0</v>
      </c>
      <c r="AC91" s="93">
        <f t="shared" si="120"/>
        <v>0</v>
      </c>
      <c r="AD91" s="93">
        <f t="shared" si="121"/>
        <v>0</v>
      </c>
      <c r="AE91" s="93">
        <f t="shared" si="136"/>
        <v>0</v>
      </c>
      <c r="AF91" s="54">
        <f>AE91+'02.02'!AF91</f>
        <v>0</v>
      </c>
      <c r="AG91" s="94">
        <f t="shared" si="162"/>
        <v>0</v>
      </c>
      <c r="AH91" s="56">
        <f t="shared" si="137"/>
        <v>0</v>
      </c>
      <c r="AI91" s="93"/>
      <c r="AJ91" s="93">
        <f t="shared" si="163"/>
        <v>0</v>
      </c>
      <c r="AK91" s="95">
        <f t="shared" si="138"/>
        <v>1</v>
      </c>
      <c r="AL91" s="58">
        <f t="shared" si="174"/>
        <v>0</v>
      </c>
      <c r="AM91" s="55">
        <f t="shared" si="164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39"/>
        <v>0</v>
      </c>
      <c r="AV91" s="96">
        <f t="shared" si="139"/>
        <v>0</v>
      </c>
      <c r="AW91" s="96">
        <f t="shared" si="140"/>
        <v>0</v>
      </c>
      <c r="AX91" s="96">
        <f t="shared" si="141"/>
        <v>0</v>
      </c>
      <c r="AY91" s="94">
        <f t="shared" si="165"/>
        <v>0</v>
      </c>
      <c r="AZ91" s="94">
        <f t="shared" si="142"/>
        <v>0</v>
      </c>
      <c r="BA91" s="94">
        <f t="shared" si="171"/>
        <v>0</v>
      </c>
      <c r="BB91" s="97">
        <f t="shared" si="172"/>
        <v>0</v>
      </c>
      <c r="BC91" s="93"/>
      <c r="BD91" s="93">
        <f t="shared" si="143"/>
        <v>0</v>
      </c>
      <c r="BE91" s="95">
        <f t="shared" si="144"/>
        <v>1</v>
      </c>
      <c r="BF91" s="58">
        <f t="shared" si="175"/>
        <v>0</v>
      </c>
      <c r="BG91" s="94">
        <f t="shared" si="145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6"/>
        <v>0</v>
      </c>
      <c r="BP91" s="92">
        <f t="shared" si="166"/>
        <v>0</v>
      </c>
      <c r="BQ91" s="96">
        <f t="shared" si="146"/>
        <v>0</v>
      </c>
      <c r="BR91" s="96">
        <f t="shared" si="147"/>
        <v>0</v>
      </c>
      <c r="BS91" s="96">
        <f t="shared" si="167"/>
        <v>0</v>
      </c>
      <c r="BT91" s="96">
        <f t="shared" si="148"/>
        <v>0</v>
      </c>
      <c r="BU91" s="92">
        <f t="shared" si="122"/>
        <v>0</v>
      </c>
      <c r="BV91" s="98">
        <f t="shared" si="168"/>
        <v>0</v>
      </c>
      <c r="BW91" s="92">
        <f t="shared" si="123"/>
        <v>0</v>
      </c>
      <c r="BX91" s="98">
        <f t="shared" si="149"/>
        <v>0</v>
      </c>
      <c r="BY91" s="61">
        <f t="shared" si="173"/>
        <v>0</v>
      </c>
      <c r="BZ91" s="62">
        <f t="shared" si="150"/>
        <v>0</v>
      </c>
      <c r="CA91" s="98">
        <f t="shared" si="151"/>
        <v>0</v>
      </c>
      <c r="CB91" s="92">
        <f t="shared" si="124"/>
        <v>0</v>
      </c>
      <c r="CC91" s="92">
        <f t="shared" si="124"/>
        <v>0</v>
      </c>
      <c r="CD91" s="92">
        <f t="shared" si="124"/>
        <v>0</v>
      </c>
      <c r="CE91" s="99"/>
      <c r="CF91" s="99"/>
      <c r="CG91" s="51">
        <f t="shared" si="152"/>
        <v>0</v>
      </c>
      <c r="CH91" s="62">
        <f t="shared" si="153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101"/>
        <v>0</v>
      </c>
      <c r="CR91" s="102">
        <f t="shared" si="101"/>
        <v>0</v>
      </c>
      <c r="CS91" s="102">
        <f t="shared" si="101"/>
        <v>0</v>
      </c>
      <c r="CT91" s="92">
        <f t="shared" si="154"/>
        <v>0</v>
      </c>
      <c r="CU91" s="92">
        <f t="shared" si="102"/>
        <v>0</v>
      </c>
      <c r="CV91" s="103">
        <f t="shared" si="102"/>
        <v>0</v>
      </c>
      <c r="CW91" s="104"/>
      <c r="CX91" s="105">
        <v>56</v>
      </c>
      <c r="CY91" s="106">
        <f t="shared" si="155"/>
        <v>744</v>
      </c>
      <c r="CZ91" s="106">
        <f t="shared" si="156"/>
        <v>453.6</v>
      </c>
      <c r="DA91" s="106"/>
      <c r="DB91" s="106"/>
      <c r="DC91" s="105"/>
      <c r="DD91" s="107"/>
      <c r="DE91" s="92">
        <f t="shared" si="125"/>
        <v>0</v>
      </c>
      <c r="DF91" s="108">
        <f t="shared" si="126"/>
        <v>0</v>
      </c>
      <c r="DG91" s="115">
        <f t="shared" si="127"/>
        <v>0</v>
      </c>
      <c r="DH91" s="110">
        <f t="shared" si="128"/>
        <v>0</v>
      </c>
      <c r="DI91" s="108">
        <f t="shared" si="129"/>
        <v>0</v>
      </c>
      <c r="DJ91" s="112">
        <f t="shared" si="130"/>
        <v>0</v>
      </c>
      <c r="DK91" s="110">
        <f t="shared" si="181"/>
        <v>0</v>
      </c>
      <c r="DL91" s="108">
        <f t="shared" si="181"/>
        <v>0</v>
      </c>
      <c r="DM91" s="111">
        <f t="shared" si="181"/>
        <v>0</v>
      </c>
      <c r="DN91" s="76">
        <f t="shared" si="182"/>
        <v>0</v>
      </c>
      <c r="DO91" s="76">
        <f t="shared" si="182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7"/>
        <v>0</v>
      </c>
      <c r="DX91" s="81">
        <f t="shared" si="131"/>
        <v>0</v>
      </c>
      <c r="DY91" s="80">
        <f t="shared" si="158"/>
        <v>0</v>
      </c>
      <c r="DZ91" s="82">
        <f t="shared" si="159"/>
        <v>0</v>
      </c>
      <c r="EA91" s="82">
        <f t="shared" si="160"/>
        <v>0</v>
      </c>
      <c r="EB91" s="82">
        <f t="shared" si="161"/>
        <v>0</v>
      </c>
      <c r="EC91" s="82">
        <f t="shared" si="178"/>
        <v>0</v>
      </c>
      <c r="EF91" s="83">
        <f t="shared" ref="EF91:EF101" si="183">DG91+DJ91</f>
        <v>0</v>
      </c>
    </row>
    <row r="92" spans="1:136" ht="15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2"/>
        <v>TVSUS303Cu-H15.87x2.5-H11B14</v>
      </c>
      <c r="H92" s="46" t="str">
        <f t="shared" si="133"/>
        <v>SUS303CuTV15.870HH11</v>
      </c>
      <c r="I92" s="46" t="str">
        <f t="shared" si="134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5"/>
        <v>18</v>
      </c>
      <c r="T92" s="51">
        <f>'02.02'!BG92</f>
        <v>0</v>
      </c>
      <c r="U92" s="92"/>
      <c r="V92" s="100">
        <v>27.35</v>
      </c>
      <c r="W92" s="93">
        <f t="shared" si="114"/>
        <v>0</v>
      </c>
      <c r="X92" s="93">
        <f t="shared" si="115"/>
        <v>0</v>
      </c>
      <c r="Y92" s="93">
        <f t="shared" si="116"/>
        <v>0</v>
      </c>
      <c r="Z92" s="93">
        <f t="shared" si="117"/>
        <v>0</v>
      </c>
      <c r="AA92" s="93">
        <f t="shared" si="118"/>
        <v>0</v>
      </c>
      <c r="AB92" s="93">
        <f t="shared" si="119"/>
        <v>0</v>
      </c>
      <c r="AC92" s="93">
        <f t="shared" si="120"/>
        <v>0</v>
      </c>
      <c r="AD92" s="93">
        <f t="shared" si="121"/>
        <v>0</v>
      </c>
      <c r="AE92" s="93">
        <f t="shared" si="136"/>
        <v>0</v>
      </c>
      <c r="AF92" s="54">
        <f>AE92+'02.02'!AF92</f>
        <v>0</v>
      </c>
      <c r="AG92" s="94">
        <f t="shared" si="162"/>
        <v>0</v>
      </c>
      <c r="AH92" s="56">
        <f t="shared" si="137"/>
        <v>0</v>
      </c>
      <c r="AI92" s="93"/>
      <c r="AJ92" s="93">
        <f t="shared" si="163"/>
        <v>0</v>
      </c>
      <c r="AK92" s="95">
        <f t="shared" si="138"/>
        <v>1</v>
      </c>
      <c r="AL92" s="58">
        <f t="shared" si="174"/>
        <v>0</v>
      </c>
      <c r="AM92" s="55">
        <f t="shared" si="164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39"/>
        <v>0</v>
      </c>
      <c r="AV92" s="96">
        <f t="shared" si="139"/>
        <v>0</v>
      </c>
      <c r="AW92" s="96">
        <f t="shared" si="140"/>
        <v>0</v>
      </c>
      <c r="AX92" s="96">
        <f t="shared" si="141"/>
        <v>0</v>
      </c>
      <c r="AY92" s="94">
        <f t="shared" si="165"/>
        <v>0</v>
      </c>
      <c r="AZ92" s="94">
        <f t="shared" si="142"/>
        <v>0</v>
      </c>
      <c r="BA92" s="94">
        <f t="shared" si="171"/>
        <v>0</v>
      </c>
      <c r="BB92" s="97">
        <f t="shared" si="172"/>
        <v>0</v>
      </c>
      <c r="BC92" s="93"/>
      <c r="BD92" s="93">
        <f t="shared" si="143"/>
        <v>0</v>
      </c>
      <c r="BE92" s="95">
        <f t="shared" si="144"/>
        <v>1</v>
      </c>
      <c r="BF92" s="58">
        <f t="shared" si="175"/>
        <v>0</v>
      </c>
      <c r="BG92" s="94">
        <f t="shared" si="145"/>
        <v>0</v>
      </c>
      <c r="BH92" s="89"/>
      <c r="BI92" s="92">
        <f t="shared" ref="BI92:BJ97" si="184">$CN92</f>
        <v>0</v>
      </c>
      <c r="BJ92" s="92"/>
      <c r="BK92" s="89"/>
      <c r="BL92" s="89"/>
      <c r="BM92" s="89"/>
      <c r="BN92" s="92"/>
      <c r="BO92" s="92">
        <f t="shared" si="166"/>
        <v>0</v>
      </c>
      <c r="BP92" s="92">
        <f t="shared" si="166"/>
        <v>0</v>
      </c>
      <c r="BQ92" s="96">
        <f t="shared" si="146"/>
        <v>0</v>
      </c>
      <c r="BR92" s="96">
        <f t="shared" si="147"/>
        <v>0</v>
      </c>
      <c r="BS92" s="96">
        <f t="shared" si="167"/>
        <v>0</v>
      </c>
      <c r="BT92" s="96">
        <f t="shared" si="148"/>
        <v>0</v>
      </c>
      <c r="BU92" s="92">
        <f t="shared" si="122"/>
        <v>0</v>
      </c>
      <c r="BV92" s="98">
        <f t="shared" si="168"/>
        <v>0</v>
      </c>
      <c r="BW92" s="92">
        <f t="shared" si="123"/>
        <v>0</v>
      </c>
      <c r="BX92" s="98">
        <f t="shared" si="149"/>
        <v>0</v>
      </c>
      <c r="BY92" s="61">
        <f t="shared" si="173"/>
        <v>0</v>
      </c>
      <c r="BZ92" s="62">
        <f t="shared" si="150"/>
        <v>0</v>
      </c>
      <c r="CA92" s="98">
        <f t="shared" si="151"/>
        <v>0</v>
      </c>
      <c r="CB92" s="92">
        <f t="shared" si="124"/>
        <v>0</v>
      </c>
      <c r="CC92" s="92">
        <f t="shared" si="124"/>
        <v>0</v>
      </c>
      <c r="CD92" s="92">
        <f t="shared" si="124"/>
        <v>0</v>
      </c>
      <c r="CE92" s="99"/>
      <c r="CF92" s="99"/>
      <c r="CG92" s="51">
        <f t="shared" si="152"/>
        <v>0</v>
      </c>
      <c r="CH92" s="62">
        <f t="shared" si="153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101"/>
        <v>0</v>
      </c>
      <c r="CR92" s="102">
        <f t="shared" si="101"/>
        <v>0</v>
      </c>
      <c r="CS92" s="102">
        <f t="shared" si="101"/>
        <v>0</v>
      </c>
      <c r="CT92" s="92">
        <f t="shared" si="154"/>
        <v>0</v>
      </c>
      <c r="CU92" s="92">
        <f t="shared" si="102"/>
        <v>0</v>
      </c>
      <c r="CV92" s="103">
        <f t="shared" si="102"/>
        <v>0</v>
      </c>
      <c r="CW92" s="104"/>
      <c r="CX92" s="105">
        <v>60</v>
      </c>
      <c r="CY92" s="106">
        <f t="shared" si="155"/>
        <v>670</v>
      </c>
      <c r="CZ92" s="106">
        <f t="shared" si="156"/>
        <v>486.00000000000006</v>
      </c>
      <c r="DA92" s="106"/>
      <c r="DB92" s="106"/>
      <c r="DC92" s="105"/>
      <c r="DD92" s="107"/>
      <c r="DE92" s="92">
        <f t="shared" si="125"/>
        <v>0</v>
      </c>
      <c r="DF92" s="108">
        <f t="shared" si="126"/>
        <v>0</v>
      </c>
      <c r="DG92" s="115">
        <f t="shared" si="127"/>
        <v>0</v>
      </c>
      <c r="DH92" s="110">
        <f t="shared" si="128"/>
        <v>0</v>
      </c>
      <c r="DI92" s="108">
        <f t="shared" si="129"/>
        <v>0</v>
      </c>
      <c r="DJ92" s="112">
        <f t="shared" si="130"/>
        <v>0</v>
      </c>
      <c r="DK92" s="110">
        <f t="shared" si="181"/>
        <v>0</v>
      </c>
      <c r="DL92" s="108">
        <f t="shared" si="181"/>
        <v>0</v>
      </c>
      <c r="DM92" s="111">
        <f t="shared" si="181"/>
        <v>0</v>
      </c>
      <c r="DN92" s="76">
        <f t="shared" si="182"/>
        <v>0</v>
      </c>
      <c r="DO92" s="76">
        <f t="shared" si="182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7"/>
        <v>0</v>
      </c>
      <c r="DX92" s="81">
        <f t="shared" si="131"/>
        <v>0</v>
      </c>
      <c r="DY92" s="80">
        <f t="shared" si="158"/>
        <v>0</v>
      </c>
      <c r="DZ92" s="82">
        <f t="shared" si="159"/>
        <v>0</v>
      </c>
      <c r="EA92" s="82">
        <f t="shared" si="160"/>
        <v>0</v>
      </c>
      <c r="EB92" s="82">
        <f t="shared" si="161"/>
        <v>0</v>
      </c>
      <c r="EC92" s="82">
        <f t="shared" si="178"/>
        <v>0</v>
      </c>
      <c r="EF92" s="83">
        <f t="shared" si="183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2"/>
        <v>GWA6061-T6-16x3-H9A15</v>
      </c>
      <c r="H93" s="46" t="str">
        <f t="shared" si="133"/>
        <v>A6061-T6GW160DH9</v>
      </c>
      <c r="I93" s="46" t="str">
        <f t="shared" si="134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5"/>
        <v>22</v>
      </c>
      <c r="T93" s="51">
        <f>'02.02'!BG93</f>
        <v>0</v>
      </c>
      <c r="U93" s="92"/>
      <c r="V93" s="100">
        <v>14.1</v>
      </c>
      <c r="W93" s="93">
        <f t="shared" si="114"/>
        <v>278</v>
      </c>
      <c r="X93" s="93">
        <f t="shared" si="115"/>
        <v>0</v>
      </c>
      <c r="Y93" s="93">
        <f t="shared" si="116"/>
        <v>0</v>
      </c>
      <c r="Z93" s="93">
        <f t="shared" si="117"/>
        <v>0</v>
      </c>
      <c r="AA93" s="93">
        <f t="shared" si="118"/>
        <v>0</v>
      </c>
      <c r="AB93" s="93">
        <f t="shared" si="119"/>
        <v>0</v>
      </c>
      <c r="AC93" s="93">
        <f t="shared" si="120"/>
        <v>0</v>
      </c>
      <c r="AD93" s="93">
        <f t="shared" si="121"/>
        <v>0</v>
      </c>
      <c r="AE93" s="93">
        <f t="shared" si="136"/>
        <v>278</v>
      </c>
      <c r="AF93" s="54">
        <f>AE93+'02.02'!AF93</f>
        <v>278</v>
      </c>
      <c r="AG93" s="94">
        <f t="shared" si="162"/>
        <v>0</v>
      </c>
      <c r="AH93" s="56">
        <f t="shared" si="137"/>
        <v>0</v>
      </c>
      <c r="AI93" s="93"/>
      <c r="AJ93" s="93">
        <f t="shared" si="163"/>
        <v>0</v>
      </c>
      <c r="AK93" s="95">
        <f t="shared" si="138"/>
        <v>1</v>
      </c>
      <c r="AL93" s="58">
        <f t="shared" si="174"/>
        <v>0</v>
      </c>
      <c r="AM93" s="55">
        <f t="shared" si="164"/>
        <v>0</v>
      </c>
      <c r="AN93" s="93"/>
      <c r="AO93" s="96">
        <f>$CJ93</f>
        <v>0</v>
      </c>
      <c r="AP93" s="96"/>
      <c r="AQ93" s="96"/>
      <c r="AR93" s="96"/>
      <c r="AS93" s="96"/>
      <c r="AT93" s="96"/>
      <c r="AU93" s="96">
        <f t="shared" si="139"/>
        <v>0</v>
      </c>
      <c r="AV93" s="96">
        <f t="shared" si="139"/>
        <v>0</v>
      </c>
      <c r="AW93" s="96">
        <f t="shared" si="140"/>
        <v>0</v>
      </c>
      <c r="AX93" s="96">
        <f t="shared" si="141"/>
        <v>0</v>
      </c>
      <c r="AY93" s="94">
        <f t="shared" si="165"/>
        <v>0</v>
      </c>
      <c r="AZ93" s="94">
        <f t="shared" si="142"/>
        <v>0</v>
      </c>
      <c r="BA93" s="94">
        <f t="shared" si="171"/>
        <v>0</v>
      </c>
      <c r="BB93" s="97">
        <f t="shared" si="172"/>
        <v>0</v>
      </c>
      <c r="BC93" s="93">
        <v>9</v>
      </c>
      <c r="BD93" s="93">
        <f t="shared" si="143"/>
        <v>0</v>
      </c>
      <c r="BE93" s="95">
        <f t="shared" si="144"/>
        <v>1</v>
      </c>
      <c r="BF93" s="58">
        <f t="shared" si="175"/>
        <v>9</v>
      </c>
      <c r="BG93" s="94">
        <f t="shared" si="145"/>
        <v>-9</v>
      </c>
      <c r="BH93" s="89"/>
      <c r="BI93" s="92">
        <f t="shared" si="184"/>
        <v>3919.7999999999997</v>
      </c>
      <c r="BJ93" s="92"/>
      <c r="BK93" s="89"/>
      <c r="BL93" s="89"/>
      <c r="BM93" s="89"/>
      <c r="BN93" s="89"/>
      <c r="BO93" s="92">
        <f t="shared" si="166"/>
        <v>0</v>
      </c>
      <c r="BP93" s="92">
        <f t="shared" si="166"/>
        <v>0</v>
      </c>
      <c r="BQ93" s="96">
        <f t="shared" si="146"/>
        <v>3919.7999999999997</v>
      </c>
      <c r="BR93" s="96">
        <f t="shared" si="147"/>
        <v>278</v>
      </c>
      <c r="BS93" s="96">
        <f t="shared" si="167"/>
        <v>-267.90000000000009</v>
      </c>
      <c r="BT93" s="96">
        <f t="shared" si="148"/>
        <v>-19.000000000000007</v>
      </c>
      <c r="BU93" s="92">
        <f t="shared" si="122"/>
        <v>278</v>
      </c>
      <c r="BV93" s="98">
        <f t="shared" si="168"/>
        <v>9</v>
      </c>
      <c r="BW93" s="92">
        <f t="shared" si="123"/>
        <v>-19.000000000000007</v>
      </c>
      <c r="BX93" s="98">
        <f t="shared" si="149"/>
        <v>14.580000000000002</v>
      </c>
      <c r="BY93" s="61">
        <f>IFERROR(BF93+AL93,0)</f>
        <v>9</v>
      </c>
      <c r="BZ93" s="62">
        <f t="shared" si="150"/>
        <v>9</v>
      </c>
      <c r="CA93" s="98">
        <f t="shared" si="151"/>
        <v>3.9197999999999995</v>
      </c>
      <c r="CB93" s="92">
        <f t="shared" si="124"/>
        <v>278</v>
      </c>
      <c r="CC93" s="92">
        <f t="shared" si="124"/>
        <v>-267.90000000000009</v>
      </c>
      <c r="CD93" s="92">
        <f t="shared" si="124"/>
        <v>-19.000000000000007</v>
      </c>
      <c r="CE93" s="99"/>
      <c r="CF93" s="99"/>
      <c r="CG93" s="51">
        <f t="shared" si="152"/>
        <v>10.660200000000003</v>
      </c>
      <c r="CH93" s="62">
        <f t="shared" si="153"/>
        <v>10.660200000000003</v>
      </c>
      <c r="CI93" s="89"/>
      <c r="CJ93" s="89"/>
      <c r="CK93" s="89"/>
      <c r="CL93" s="96"/>
      <c r="CM93" s="89"/>
      <c r="CN93" s="89">
        <f>278*14.1</f>
        <v>3919.7999999999997</v>
      </c>
      <c r="CO93" s="92"/>
      <c r="CP93" s="101"/>
      <c r="CQ93" s="102">
        <f t="shared" si="101"/>
        <v>0</v>
      </c>
      <c r="CR93" s="102">
        <f t="shared" si="101"/>
        <v>0</v>
      </c>
      <c r="CS93" s="102">
        <f t="shared" si="101"/>
        <v>0</v>
      </c>
      <c r="CT93" s="92">
        <f t="shared" si="154"/>
        <v>278</v>
      </c>
      <c r="CU93" s="92">
        <f t="shared" si="102"/>
        <v>0</v>
      </c>
      <c r="CV93" s="103">
        <f t="shared" si="102"/>
        <v>0</v>
      </c>
      <c r="CW93" s="104"/>
      <c r="CX93" s="105">
        <v>110</v>
      </c>
      <c r="CY93" s="106">
        <f t="shared" si="155"/>
        <v>360</v>
      </c>
      <c r="CZ93" s="106">
        <f t="shared" si="156"/>
        <v>891.00000000000011</v>
      </c>
      <c r="DA93" s="106"/>
      <c r="DB93" s="106"/>
      <c r="DC93" s="105"/>
      <c r="DD93" s="107"/>
      <c r="DE93" s="92">
        <f t="shared" si="125"/>
        <v>0</v>
      </c>
      <c r="DF93" s="108">
        <f t="shared" si="126"/>
        <v>0</v>
      </c>
      <c r="DG93" s="115">
        <f t="shared" si="127"/>
        <v>0</v>
      </c>
      <c r="DH93" s="110">
        <f t="shared" si="128"/>
        <v>278</v>
      </c>
      <c r="DI93" s="108">
        <f t="shared" si="129"/>
        <v>9</v>
      </c>
      <c r="DJ93" s="115">
        <f t="shared" si="130"/>
        <v>-19.000000000000007</v>
      </c>
      <c r="DK93" s="110">
        <f t="shared" si="181"/>
        <v>278</v>
      </c>
      <c r="DL93" s="108">
        <f t="shared" si="181"/>
        <v>9</v>
      </c>
      <c r="DM93" s="111">
        <f t="shared" si="181"/>
        <v>-19.000000000000007</v>
      </c>
      <c r="DN93" s="76">
        <f t="shared" si="182"/>
        <v>0</v>
      </c>
      <c r="DO93" s="76">
        <v>20</v>
      </c>
      <c r="DP93" s="112"/>
      <c r="DQ93" s="112"/>
      <c r="DR93" s="113" t="s">
        <v>481</v>
      </c>
      <c r="DS93" s="112"/>
      <c r="DT93" s="112"/>
      <c r="DU93" s="111"/>
      <c r="DV93" s="114"/>
      <c r="DW93" s="80">
        <f t="shared" ref="DW93:DW94" si="185">IFERROR(AL93+BF93,"")</f>
        <v>9</v>
      </c>
      <c r="DX93" s="81">
        <f t="shared" si="131"/>
        <v>268</v>
      </c>
      <c r="DY93" s="80">
        <f t="shared" si="158"/>
        <v>278</v>
      </c>
      <c r="DZ93" s="82">
        <f t="shared" si="159"/>
        <v>0</v>
      </c>
      <c r="EA93" s="82">
        <f t="shared" si="160"/>
        <v>3.9197999999999995</v>
      </c>
      <c r="EB93" s="82">
        <f t="shared" si="161"/>
        <v>10.660200000000003</v>
      </c>
      <c r="EC93" s="82">
        <f>(BX93-CA93)+((AV93+BP93)/1000)</f>
        <v>10.660200000000003</v>
      </c>
      <c r="EF93" s="83">
        <f t="shared" si="183"/>
        <v>-19.000000000000007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2"/>
        <v>GWA6061-T6-19.1x3-H9A14</v>
      </c>
      <c r="H94" s="46" t="str">
        <f t="shared" si="133"/>
        <v>A6061-T6GW19.10DH9</v>
      </c>
      <c r="I94" s="46" t="str">
        <f t="shared" si="134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5"/>
        <v>22</v>
      </c>
      <c r="T94" s="51">
        <f>'02.02'!BG94</f>
        <v>13</v>
      </c>
      <c r="U94" s="92">
        <v>10</v>
      </c>
      <c r="V94" s="100">
        <v>20.25</v>
      </c>
      <c r="W94" s="93">
        <f t="shared" si="114"/>
        <v>365</v>
      </c>
      <c r="X94" s="93">
        <f t="shared" si="115"/>
        <v>0</v>
      </c>
      <c r="Y94" s="93">
        <f t="shared" si="116"/>
        <v>0</v>
      </c>
      <c r="Z94" s="93">
        <f t="shared" si="117"/>
        <v>0</v>
      </c>
      <c r="AA94" s="93">
        <f t="shared" si="118"/>
        <v>0</v>
      </c>
      <c r="AB94" s="93">
        <f t="shared" si="119"/>
        <v>0</v>
      </c>
      <c r="AC94" s="93">
        <f t="shared" si="120"/>
        <v>0</v>
      </c>
      <c r="AD94" s="93">
        <f t="shared" si="121"/>
        <v>0</v>
      </c>
      <c r="AE94" s="93">
        <f t="shared" si="136"/>
        <v>365</v>
      </c>
      <c r="AF94" s="54">
        <f>AE94+'02.02'!AF94</f>
        <v>931</v>
      </c>
      <c r="AG94" s="94">
        <f t="shared" si="162"/>
        <v>13</v>
      </c>
      <c r="AH94" s="56">
        <f t="shared" si="137"/>
        <v>0</v>
      </c>
      <c r="AI94" s="93">
        <v>8</v>
      </c>
      <c r="AJ94" s="93">
        <f t="shared" si="163"/>
        <v>0</v>
      </c>
      <c r="AK94" s="95">
        <f t="shared" si="138"/>
        <v>1</v>
      </c>
      <c r="AL94" s="58">
        <f t="shared" si="174"/>
        <v>8</v>
      </c>
      <c r="AM94" s="55">
        <f t="shared" si="164"/>
        <v>15</v>
      </c>
      <c r="AN94" s="93"/>
      <c r="AO94" s="96">
        <f>$CJ94</f>
        <v>3827.25</v>
      </c>
      <c r="AP94" s="96"/>
      <c r="AQ94" s="96"/>
      <c r="AR94" s="96"/>
      <c r="AS94" s="96"/>
      <c r="AT94" s="96"/>
      <c r="AU94" s="96">
        <f t="shared" si="139"/>
        <v>0</v>
      </c>
      <c r="AV94" s="96">
        <f t="shared" si="139"/>
        <v>0</v>
      </c>
      <c r="AW94" s="96">
        <f t="shared" si="140"/>
        <v>3827.25</v>
      </c>
      <c r="AX94" s="96">
        <f t="shared" si="141"/>
        <v>189</v>
      </c>
      <c r="AY94" s="94">
        <f t="shared" si="165"/>
        <v>-60.75</v>
      </c>
      <c r="AZ94" s="94">
        <f t="shared" si="142"/>
        <v>-3</v>
      </c>
      <c r="BA94" s="94">
        <f t="shared" si="171"/>
        <v>15</v>
      </c>
      <c r="BB94" s="97">
        <f t="shared" si="172"/>
        <v>0</v>
      </c>
      <c r="BC94" s="93">
        <v>8</v>
      </c>
      <c r="BD94" s="93">
        <f t="shared" si="143"/>
        <v>0</v>
      </c>
      <c r="BE94" s="95">
        <f t="shared" si="144"/>
        <v>1</v>
      </c>
      <c r="BF94" s="58">
        <f t="shared" si="175"/>
        <v>8</v>
      </c>
      <c r="BG94" s="94">
        <f t="shared" si="145"/>
        <v>7</v>
      </c>
      <c r="BH94" s="89"/>
      <c r="BI94" s="92">
        <f t="shared" si="184"/>
        <v>3564</v>
      </c>
      <c r="BJ94" s="92"/>
      <c r="BK94" s="89"/>
      <c r="BL94" s="89"/>
      <c r="BM94" s="89"/>
      <c r="BN94" s="89"/>
      <c r="BO94" s="92">
        <f t="shared" si="166"/>
        <v>0</v>
      </c>
      <c r="BP94" s="92">
        <f t="shared" si="166"/>
        <v>0</v>
      </c>
      <c r="BQ94" s="96">
        <f t="shared" si="146"/>
        <v>3564</v>
      </c>
      <c r="BR94" s="96">
        <f t="shared" si="147"/>
        <v>176</v>
      </c>
      <c r="BS94" s="96">
        <f t="shared" si="167"/>
        <v>-324</v>
      </c>
      <c r="BT94" s="96">
        <f t="shared" si="148"/>
        <v>-16</v>
      </c>
      <c r="BU94" s="92">
        <f t="shared" si="122"/>
        <v>365</v>
      </c>
      <c r="BV94" s="98">
        <f t="shared" si="168"/>
        <v>16</v>
      </c>
      <c r="BW94" s="92">
        <f t="shared" si="123"/>
        <v>-19</v>
      </c>
      <c r="BX94" s="98">
        <f t="shared" si="149"/>
        <v>37.024000000000001</v>
      </c>
      <c r="BY94" s="61">
        <f t="shared" si="173"/>
        <v>16</v>
      </c>
      <c r="BZ94" s="62">
        <f t="shared" si="150"/>
        <v>16</v>
      </c>
      <c r="CA94" s="98">
        <f t="shared" si="151"/>
        <v>7.3912500000000003</v>
      </c>
      <c r="CB94" s="92">
        <f t="shared" si="124"/>
        <v>365</v>
      </c>
      <c r="CC94" s="92">
        <f t="shared" si="124"/>
        <v>-384.75</v>
      </c>
      <c r="CD94" s="92">
        <f t="shared" si="124"/>
        <v>-19</v>
      </c>
      <c r="CE94" s="99"/>
      <c r="CF94" s="99"/>
      <c r="CG94" s="51">
        <f t="shared" si="152"/>
        <v>29.632750000000001</v>
      </c>
      <c r="CH94" s="62">
        <f t="shared" si="153"/>
        <v>29.632750000000001</v>
      </c>
      <c r="CI94" s="89"/>
      <c r="CJ94" s="89">
        <f>189*20.25</f>
        <v>3827.25</v>
      </c>
      <c r="CK94" s="89"/>
      <c r="CL94" s="96"/>
      <c r="CM94" s="89"/>
      <c r="CN94" s="89">
        <f>176*20.25</f>
        <v>3564</v>
      </c>
      <c r="CO94" s="92"/>
      <c r="CP94" s="101"/>
      <c r="CQ94" s="102">
        <f t="shared" si="101"/>
        <v>189</v>
      </c>
      <c r="CR94" s="102">
        <f t="shared" si="101"/>
        <v>0</v>
      </c>
      <c r="CS94" s="102">
        <f t="shared" si="101"/>
        <v>0</v>
      </c>
      <c r="CT94" s="92">
        <f t="shared" si="154"/>
        <v>176</v>
      </c>
      <c r="CU94" s="92">
        <f t="shared" si="102"/>
        <v>0</v>
      </c>
      <c r="CV94" s="103">
        <f t="shared" si="102"/>
        <v>0</v>
      </c>
      <c r="CW94" s="104"/>
      <c r="CX94" s="105">
        <v>150</v>
      </c>
      <c r="CY94" s="106">
        <f t="shared" si="155"/>
        <v>264</v>
      </c>
      <c r="CZ94" s="106">
        <f t="shared" si="156"/>
        <v>1215</v>
      </c>
      <c r="DA94" s="106"/>
      <c r="DB94" s="106"/>
      <c r="DC94" s="105"/>
      <c r="DD94" s="107"/>
      <c r="DE94" s="92">
        <f t="shared" si="125"/>
        <v>189</v>
      </c>
      <c r="DF94" s="108">
        <f t="shared" si="126"/>
        <v>8</v>
      </c>
      <c r="DG94" s="115">
        <f t="shared" si="127"/>
        <v>-3</v>
      </c>
      <c r="DH94" s="110">
        <f t="shared" si="128"/>
        <v>176</v>
      </c>
      <c r="DI94" s="108">
        <f t="shared" si="129"/>
        <v>8</v>
      </c>
      <c r="DJ94" s="115">
        <f t="shared" si="130"/>
        <v>-16</v>
      </c>
      <c r="DK94" s="110">
        <f t="shared" si="181"/>
        <v>365</v>
      </c>
      <c r="DL94" s="108">
        <f t="shared" si="181"/>
        <v>16</v>
      </c>
      <c r="DM94" s="111">
        <f t="shared" si="181"/>
        <v>-19</v>
      </c>
      <c r="DN94" s="76">
        <f t="shared" si="182"/>
        <v>13</v>
      </c>
      <c r="DO94" s="76">
        <f t="shared" si="182"/>
        <v>10</v>
      </c>
      <c r="DP94" s="112"/>
      <c r="DQ94" s="112"/>
      <c r="DR94" s="113" t="s">
        <v>474</v>
      </c>
      <c r="DS94" s="112"/>
      <c r="DT94" s="112"/>
      <c r="DU94" s="111"/>
      <c r="DV94" s="114"/>
      <c r="DW94" s="80">
        <f t="shared" si="185"/>
        <v>16</v>
      </c>
      <c r="DX94" s="81">
        <f t="shared" si="131"/>
        <v>362</v>
      </c>
      <c r="DY94" s="80">
        <f t="shared" si="158"/>
        <v>365</v>
      </c>
      <c r="DZ94" s="82">
        <f t="shared" si="159"/>
        <v>0</v>
      </c>
      <c r="EA94" s="82">
        <f t="shared" si="160"/>
        <v>7.3912500000000003</v>
      </c>
      <c r="EB94" s="82">
        <f t="shared" si="161"/>
        <v>29.632750000000001</v>
      </c>
      <c r="EC94" s="82">
        <f t="shared" si="178"/>
        <v>29.632750000000001</v>
      </c>
      <c r="EF94" s="83">
        <f t="shared" si="183"/>
        <v>-19</v>
      </c>
    </row>
    <row r="95" spans="1:136" ht="15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2"/>
        <v>TVSUS303-10x2.5-H7A14</v>
      </c>
      <c r="H95" s="46" t="str">
        <f t="shared" si="133"/>
        <v>SUS303TV100DH7</v>
      </c>
      <c r="I95" s="46" t="str">
        <f t="shared" si="134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5"/>
        <v>42</v>
      </c>
      <c r="T95" s="51">
        <f>'02.02'!BG95</f>
        <v>0</v>
      </c>
      <c r="U95" s="92"/>
      <c r="V95" s="100">
        <v>67.7</v>
      </c>
      <c r="W95" s="93">
        <f t="shared" si="114"/>
        <v>0</v>
      </c>
      <c r="X95" s="93">
        <f t="shared" si="115"/>
        <v>0</v>
      </c>
      <c r="Y95" s="93">
        <f t="shared" si="116"/>
        <v>0</v>
      </c>
      <c r="Z95" s="93">
        <f t="shared" si="117"/>
        <v>0</v>
      </c>
      <c r="AA95" s="93">
        <f t="shared" si="118"/>
        <v>0</v>
      </c>
      <c r="AB95" s="93">
        <f t="shared" si="119"/>
        <v>0</v>
      </c>
      <c r="AC95" s="93">
        <f t="shared" si="120"/>
        <v>0</v>
      </c>
      <c r="AD95" s="93">
        <f t="shared" si="121"/>
        <v>0</v>
      </c>
      <c r="AE95" s="93">
        <f t="shared" si="136"/>
        <v>0</v>
      </c>
      <c r="AF95" s="54">
        <f>AE95+'02.02'!AF95</f>
        <v>0</v>
      </c>
      <c r="AG95" s="94">
        <f t="shared" si="162"/>
        <v>0</v>
      </c>
      <c r="AH95" s="56">
        <f t="shared" si="137"/>
        <v>0</v>
      </c>
      <c r="AI95" s="93"/>
      <c r="AJ95" s="93">
        <f t="shared" si="163"/>
        <v>0</v>
      </c>
      <c r="AK95" s="95">
        <f t="shared" si="138"/>
        <v>1</v>
      </c>
      <c r="AL95" s="58">
        <f t="shared" si="174"/>
        <v>0</v>
      </c>
      <c r="AM95" s="55">
        <f t="shared" si="164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39"/>
        <v>0</v>
      </c>
      <c r="AV95" s="96">
        <f t="shared" si="139"/>
        <v>0</v>
      </c>
      <c r="AW95" s="96">
        <f t="shared" si="140"/>
        <v>0</v>
      </c>
      <c r="AX95" s="96">
        <f t="shared" si="141"/>
        <v>0</v>
      </c>
      <c r="AY95" s="94">
        <f t="shared" si="165"/>
        <v>0</v>
      </c>
      <c r="AZ95" s="94">
        <f t="shared" si="142"/>
        <v>0</v>
      </c>
      <c r="BA95" s="94">
        <f t="shared" si="171"/>
        <v>0</v>
      </c>
      <c r="BB95" s="97">
        <f t="shared" si="172"/>
        <v>0</v>
      </c>
      <c r="BC95" s="93"/>
      <c r="BD95" s="93">
        <f t="shared" si="143"/>
        <v>0</v>
      </c>
      <c r="BE95" s="95">
        <f t="shared" si="144"/>
        <v>1</v>
      </c>
      <c r="BF95" s="58">
        <f t="shared" si="175"/>
        <v>0</v>
      </c>
      <c r="BG95" s="94">
        <f t="shared" si="145"/>
        <v>0</v>
      </c>
      <c r="BH95" s="89"/>
      <c r="BI95" s="92">
        <f t="shared" si="184"/>
        <v>0</v>
      </c>
      <c r="BJ95" s="89"/>
      <c r="BK95" s="89"/>
      <c r="BL95" s="89"/>
      <c r="BM95" s="89"/>
      <c r="BN95" s="89"/>
      <c r="BO95" s="92">
        <f t="shared" si="166"/>
        <v>0</v>
      </c>
      <c r="BP95" s="92">
        <f t="shared" si="166"/>
        <v>0</v>
      </c>
      <c r="BQ95" s="96">
        <f t="shared" si="146"/>
        <v>0</v>
      </c>
      <c r="BR95" s="96">
        <f t="shared" si="147"/>
        <v>0</v>
      </c>
      <c r="BS95" s="96">
        <f t="shared" si="167"/>
        <v>0</v>
      </c>
      <c r="BT95" s="96">
        <f t="shared" si="148"/>
        <v>0</v>
      </c>
      <c r="BU95" s="92">
        <f t="shared" si="122"/>
        <v>0</v>
      </c>
      <c r="BV95" s="98">
        <f t="shared" si="168"/>
        <v>0</v>
      </c>
      <c r="BW95" s="92">
        <f t="shared" si="123"/>
        <v>0</v>
      </c>
      <c r="BX95" s="98">
        <f t="shared" si="149"/>
        <v>0</v>
      </c>
      <c r="BY95" s="61">
        <f t="shared" si="173"/>
        <v>0</v>
      </c>
      <c r="BZ95" s="62">
        <f t="shared" si="150"/>
        <v>0</v>
      </c>
      <c r="CA95" s="98">
        <f t="shared" si="151"/>
        <v>0</v>
      </c>
      <c r="CB95" s="92">
        <f t="shared" si="124"/>
        <v>0</v>
      </c>
      <c r="CC95" s="92">
        <f t="shared" si="124"/>
        <v>0</v>
      </c>
      <c r="CD95" s="92">
        <f t="shared" si="124"/>
        <v>0</v>
      </c>
      <c r="CE95" s="99"/>
      <c r="CF95" s="99"/>
      <c r="CG95" s="51">
        <f t="shared" si="152"/>
        <v>0</v>
      </c>
      <c r="CH95" s="62">
        <f t="shared" si="153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101"/>
        <v>0</v>
      </c>
      <c r="CR95" s="102">
        <f t="shared" si="101"/>
        <v>0</v>
      </c>
      <c r="CS95" s="102">
        <f t="shared" si="101"/>
        <v>0</v>
      </c>
      <c r="CT95" s="92">
        <f t="shared" si="154"/>
        <v>0</v>
      </c>
      <c r="CU95" s="92">
        <f t="shared" si="102"/>
        <v>0</v>
      </c>
      <c r="CV95" s="103">
        <f t="shared" si="102"/>
        <v>0</v>
      </c>
      <c r="CW95" s="104"/>
      <c r="CX95" s="105">
        <v>90</v>
      </c>
      <c r="CY95" s="106">
        <f t="shared" si="155"/>
        <v>393</v>
      </c>
      <c r="CZ95" s="106">
        <f t="shared" si="156"/>
        <v>729</v>
      </c>
      <c r="DA95" s="106"/>
      <c r="DB95" s="106"/>
      <c r="DC95" s="105"/>
      <c r="DD95" s="107"/>
      <c r="DE95" s="92">
        <f t="shared" si="125"/>
        <v>0</v>
      </c>
      <c r="DF95" s="108">
        <f t="shared" si="126"/>
        <v>0</v>
      </c>
      <c r="DG95" s="115">
        <f t="shared" si="127"/>
        <v>0</v>
      </c>
      <c r="DH95" s="110">
        <f t="shared" si="128"/>
        <v>0</v>
      </c>
      <c r="DI95" s="108">
        <f t="shared" si="129"/>
        <v>0</v>
      </c>
      <c r="DJ95" s="112">
        <f t="shared" si="130"/>
        <v>0</v>
      </c>
      <c r="DK95" s="110">
        <f t="shared" si="181"/>
        <v>0</v>
      </c>
      <c r="DL95" s="108">
        <f t="shared" si="181"/>
        <v>0</v>
      </c>
      <c r="DM95" s="111">
        <f t="shared" si="181"/>
        <v>0</v>
      </c>
      <c r="DN95" s="76">
        <f t="shared" si="182"/>
        <v>0</v>
      </c>
      <c r="DO95" s="76">
        <f t="shared" si="182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7"/>
        <v>0</v>
      </c>
      <c r="DX95" s="81">
        <f t="shared" si="131"/>
        <v>0</v>
      </c>
      <c r="DY95" s="80">
        <f t="shared" si="158"/>
        <v>0</v>
      </c>
      <c r="DZ95" s="82">
        <f t="shared" si="159"/>
        <v>0</v>
      </c>
      <c r="EA95" s="82">
        <f t="shared" si="160"/>
        <v>0</v>
      </c>
      <c r="EB95" s="82">
        <f t="shared" si="161"/>
        <v>0</v>
      </c>
      <c r="EC95" s="82">
        <f t="shared" si="178"/>
        <v>0</v>
      </c>
      <c r="EF95" s="83">
        <f t="shared" si="183"/>
        <v>0</v>
      </c>
    </row>
    <row r="96" spans="1:136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2"/>
        <v>TVSUS303-6x2.5-H9A14</v>
      </c>
      <c r="H96" s="46" t="str">
        <f t="shared" si="133"/>
        <v>SUS303TV60DH9</v>
      </c>
      <c r="I96" s="46" t="str">
        <f t="shared" si="134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5"/>
        <v>8</v>
      </c>
      <c r="T96" s="51">
        <f>'02.02'!BG96</f>
        <v>0</v>
      </c>
      <c r="U96" s="92"/>
      <c r="V96" s="100">
        <v>1.875</v>
      </c>
      <c r="W96" s="93">
        <f t="shared" si="114"/>
        <v>0</v>
      </c>
      <c r="X96" s="93">
        <f t="shared" si="115"/>
        <v>0</v>
      </c>
      <c r="Y96" s="93">
        <f t="shared" si="116"/>
        <v>0</v>
      </c>
      <c r="Z96" s="93">
        <f t="shared" si="117"/>
        <v>0</v>
      </c>
      <c r="AA96" s="93">
        <f t="shared" si="118"/>
        <v>0</v>
      </c>
      <c r="AB96" s="93">
        <f t="shared" si="119"/>
        <v>0</v>
      </c>
      <c r="AC96" s="93">
        <f t="shared" si="120"/>
        <v>0</v>
      </c>
      <c r="AD96" s="93">
        <f t="shared" si="121"/>
        <v>0</v>
      </c>
      <c r="AE96" s="93">
        <f t="shared" si="136"/>
        <v>0</v>
      </c>
      <c r="AF96" s="54">
        <f>AE96+'02.02'!AF96</f>
        <v>0</v>
      </c>
      <c r="AG96" s="94">
        <f t="shared" si="162"/>
        <v>0</v>
      </c>
      <c r="AH96" s="56">
        <f t="shared" si="137"/>
        <v>0</v>
      </c>
      <c r="AI96" s="93"/>
      <c r="AJ96" s="93">
        <f t="shared" si="163"/>
        <v>0</v>
      </c>
      <c r="AK96" s="95">
        <f t="shared" si="138"/>
        <v>1</v>
      </c>
      <c r="AL96" s="58">
        <f t="shared" si="174"/>
        <v>0</v>
      </c>
      <c r="AM96" s="55">
        <f t="shared" si="164"/>
        <v>0</v>
      </c>
      <c r="AN96" s="93"/>
      <c r="AO96" s="96"/>
      <c r="AP96" s="96">
        <f t="shared" ref="AP96" si="186">$CJ96</f>
        <v>0</v>
      </c>
      <c r="AQ96" s="96"/>
      <c r="AR96" s="96"/>
      <c r="AS96" s="96"/>
      <c r="AT96" s="96"/>
      <c r="AU96" s="96">
        <f t="shared" si="139"/>
        <v>0</v>
      </c>
      <c r="AV96" s="96">
        <f t="shared" si="139"/>
        <v>0</v>
      </c>
      <c r="AW96" s="96">
        <f t="shared" si="140"/>
        <v>0</v>
      </c>
      <c r="AX96" s="96">
        <f t="shared" si="141"/>
        <v>0</v>
      </c>
      <c r="AY96" s="94">
        <f t="shared" si="165"/>
        <v>0</v>
      </c>
      <c r="AZ96" s="94">
        <f t="shared" si="142"/>
        <v>0</v>
      </c>
      <c r="BA96" s="94">
        <f t="shared" si="171"/>
        <v>0</v>
      </c>
      <c r="BB96" s="97">
        <f t="shared" si="172"/>
        <v>0</v>
      </c>
      <c r="BC96" s="93"/>
      <c r="BD96" s="93">
        <f t="shared" si="143"/>
        <v>0</v>
      </c>
      <c r="BE96" s="95">
        <f t="shared" si="144"/>
        <v>1</v>
      </c>
      <c r="BF96" s="58">
        <f t="shared" si="175"/>
        <v>0</v>
      </c>
      <c r="BG96" s="94">
        <f t="shared" si="145"/>
        <v>0</v>
      </c>
      <c r="BH96" s="89"/>
      <c r="BI96" s="92"/>
      <c r="BJ96" s="92">
        <f t="shared" si="184"/>
        <v>0</v>
      </c>
      <c r="BK96" s="89"/>
      <c r="BL96" s="89"/>
      <c r="BM96" s="89"/>
      <c r="BN96" s="92"/>
      <c r="BO96" s="92">
        <f t="shared" si="166"/>
        <v>0</v>
      </c>
      <c r="BP96" s="92">
        <f t="shared" si="166"/>
        <v>0</v>
      </c>
      <c r="BQ96" s="96">
        <f t="shared" si="146"/>
        <v>0</v>
      </c>
      <c r="BR96" s="96">
        <f t="shared" si="147"/>
        <v>0</v>
      </c>
      <c r="BS96" s="96">
        <f t="shared" si="167"/>
        <v>0</v>
      </c>
      <c r="BT96" s="96">
        <f t="shared" si="148"/>
        <v>0</v>
      </c>
      <c r="BU96" s="92">
        <f t="shared" si="122"/>
        <v>0</v>
      </c>
      <c r="BV96" s="98">
        <f t="shared" si="168"/>
        <v>0</v>
      </c>
      <c r="BW96" s="92">
        <f t="shared" si="123"/>
        <v>0</v>
      </c>
      <c r="BX96" s="98">
        <f t="shared" si="149"/>
        <v>0</v>
      </c>
      <c r="BY96" s="61">
        <f t="shared" si="173"/>
        <v>0</v>
      </c>
      <c r="BZ96" s="62">
        <f t="shared" si="150"/>
        <v>0</v>
      </c>
      <c r="CA96" s="98">
        <f t="shared" si="151"/>
        <v>0</v>
      </c>
      <c r="CB96" s="92">
        <f t="shared" si="124"/>
        <v>0</v>
      </c>
      <c r="CC96" s="92">
        <f t="shared" si="124"/>
        <v>0</v>
      </c>
      <c r="CD96" s="92">
        <f t="shared" si="124"/>
        <v>0</v>
      </c>
      <c r="CE96" s="99"/>
      <c r="CF96" s="99"/>
      <c r="CG96" s="51">
        <f t="shared" si="152"/>
        <v>0</v>
      </c>
      <c r="CH96" s="62">
        <f t="shared" si="153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101"/>
        <v>0</v>
      </c>
      <c r="CR96" s="102">
        <f t="shared" si="101"/>
        <v>0</v>
      </c>
      <c r="CS96" s="102">
        <f t="shared" si="101"/>
        <v>0</v>
      </c>
      <c r="CT96" s="92">
        <f t="shared" si="154"/>
        <v>0</v>
      </c>
      <c r="CU96" s="92">
        <f t="shared" si="102"/>
        <v>0</v>
      </c>
      <c r="CV96" s="103">
        <f t="shared" si="102"/>
        <v>0</v>
      </c>
      <c r="CW96" s="104"/>
      <c r="CX96" s="105">
        <v>56</v>
      </c>
      <c r="CY96" s="106">
        <f t="shared" si="155"/>
        <v>744</v>
      </c>
      <c r="CZ96" s="106">
        <f t="shared" si="156"/>
        <v>453.6</v>
      </c>
      <c r="DA96" s="106"/>
      <c r="DB96" s="106"/>
      <c r="DC96" s="105"/>
      <c r="DD96" s="107"/>
      <c r="DE96" s="92">
        <f t="shared" si="125"/>
        <v>0</v>
      </c>
      <c r="DF96" s="108">
        <f t="shared" si="126"/>
        <v>0</v>
      </c>
      <c r="DG96" s="115">
        <f t="shared" si="127"/>
        <v>0</v>
      </c>
      <c r="DH96" s="110">
        <f t="shared" si="128"/>
        <v>0</v>
      </c>
      <c r="DI96" s="108">
        <f t="shared" si="129"/>
        <v>0</v>
      </c>
      <c r="DJ96" s="112">
        <f t="shared" si="130"/>
        <v>0</v>
      </c>
      <c r="DK96" s="110">
        <f t="shared" si="181"/>
        <v>0</v>
      </c>
      <c r="DL96" s="108">
        <f t="shared" si="181"/>
        <v>0</v>
      </c>
      <c r="DM96" s="111">
        <f t="shared" si="181"/>
        <v>0</v>
      </c>
      <c r="DN96" s="76">
        <f t="shared" si="182"/>
        <v>0</v>
      </c>
      <c r="DO96" s="76">
        <f t="shared" si="182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7"/>
        <v>0</v>
      </c>
      <c r="DX96" s="81">
        <f t="shared" si="131"/>
        <v>0</v>
      </c>
      <c r="DY96" s="80">
        <f t="shared" si="158"/>
        <v>0</v>
      </c>
      <c r="DZ96" s="82">
        <f t="shared" si="159"/>
        <v>0</v>
      </c>
      <c r="EA96" s="82">
        <f t="shared" si="160"/>
        <v>0</v>
      </c>
      <c r="EB96" s="82">
        <f t="shared" si="161"/>
        <v>0</v>
      </c>
      <c r="EC96" s="82">
        <f>(BX96-CA96)+((AV96+BP96)/1000)</f>
        <v>0</v>
      </c>
      <c r="EF96" s="83">
        <f t="shared" si="183"/>
        <v>0</v>
      </c>
    </row>
    <row r="97" spans="1:136" ht="15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2"/>
        <v>MESUS304-10x3-H7C14</v>
      </c>
      <c r="H97" s="46" t="str">
        <f t="shared" si="133"/>
        <v>SUS304ME100DH7</v>
      </c>
      <c r="I97" s="46" t="str">
        <f t="shared" si="134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5"/>
        <v>24</v>
      </c>
      <c r="T97" s="51">
        <f>'02.02'!BG97</f>
        <v>0</v>
      </c>
      <c r="U97" s="92"/>
      <c r="V97" s="100">
        <v>54.7</v>
      </c>
      <c r="W97" s="93">
        <f t="shared" si="114"/>
        <v>0</v>
      </c>
      <c r="X97" s="93">
        <f t="shared" si="115"/>
        <v>0</v>
      </c>
      <c r="Y97" s="93">
        <f t="shared" si="116"/>
        <v>0</v>
      </c>
      <c r="Z97" s="93">
        <f t="shared" si="117"/>
        <v>0</v>
      </c>
      <c r="AA97" s="93">
        <f t="shared" si="118"/>
        <v>0</v>
      </c>
      <c r="AB97" s="93">
        <f t="shared" si="119"/>
        <v>0</v>
      </c>
      <c r="AC97" s="93">
        <f t="shared" si="120"/>
        <v>0</v>
      </c>
      <c r="AD97" s="93">
        <f t="shared" si="121"/>
        <v>0</v>
      </c>
      <c r="AE97" s="93">
        <f t="shared" si="136"/>
        <v>0</v>
      </c>
      <c r="AF97" s="54">
        <f>AE97+'02.02'!AF97</f>
        <v>0</v>
      </c>
      <c r="AG97" s="94">
        <f t="shared" si="162"/>
        <v>0</v>
      </c>
      <c r="AH97" s="56">
        <f t="shared" si="137"/>
        <v>0</v>
      </c>
      <c r="AI97" s="93"/>
      <c r="AJ97" s="93">
        <f t="shared" si="163"/>
        <v>0</v>
      </c>
      <c r="AK97" s="95">
        <f t="shared" si="138"/>
        <v>1</v>
      </c>
      <c r="AL97" s="58">
        <f t="shared" si="174"/>
        <v>0</v>
      </c>
      <c r="AM97" s="55">
        <f t="shared" si="164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39"/>
        <v>0</v>
      </c>
      <c r="AV97" s="96">
        <f t="shared" si="139"/>
        <v>0</v>
      </c>
      <c r="AW97" s="96">
        <f t="shared" si="140"/>
        <v>0</v>
      </c>
      <c r="AX97" s="96">
        <f t="shared" si="141"/>
        <v>0</v>
      </c>
      <c r="AY97" s="94">
        <f t="shared" si="165"/>
        <v>0</v>
      </c>
      <c r="AZ97" s="94">
        <f t="shared" si="142"/>
        <v>0</v>
      </c>
      <c r="BA97" s="94">
        <f t="shared" si="171"/>
        <v>0</v>
      </c>
      <c r="BB97" s="97">
        <f t="shared" si="172"/>
        <v>0</v>
      </c>
      <c r="BC97" s="93"/>
      <c r="BD97" s="93">
        <f t="shared" si="143"/>
        <v>0</v>
      </c>
      <c r="BE97" s="95">
        <f t="shared" si="144"/>
        <v>1</v>
      </c>
      <c r="BF97" s="58">
        <f t="shared" si="175"/>
        <v>0</v>
      </c>
      <c r="BG97" s="94">
        <f t="shared" si="145"/>
        <v>0</v>
      </c>
      <c r="BH97" s="89"/>
      <c r="BI97" s="92">
        <f t="shared" si="184"/>
        <v>0</v>
      </c>
      <c r="BJ97" s="89"/>
      <c r="BK97" s="89"/>
      <c r="BL97" s="89"/>
      <c r="BM97" s="89"/>
      <c r="BN97" s="89"/>
      <c r="BO97" s="92">
        <f t="shared" si="166"/>
        <v>0</v>
      </c>
      <c r="BP97" s="92">
        <f t="shared" si="166"/>
        <v>0</v>
      </c>
      <c r="BQ97" s="96">
        <f t="shared" si="146"/>
        <v>0</v>
      </c>
      <c r="BR97" s="96">
        <f t="shared" si="147"/>
        <v>0</v>
      </c>
      <c r="BS97" s="96">
        <f t="shared" si="167"/>
        <v>0</v>
      </c>
      <c r="BT97" s="96">
        <f t="shared" si="148"/>
        <v>0</v>
      </c>
      <c r="BU97" s="92">
        <f t="shared" si="122"/>
        <v>0</v>
      </c>
      <c r="BV97" s="98">
        <f t="shared" si="168"/>
        <v>0</v>
      </c>
      <c r="BW97" s="92">
        <f t="shared" si="123"/>
        <v>0</v>
      </c>
      <c r="BX97" s="98">
        <f t="shared" si="149"/>
        <v>0</v>
      </c>
      <c r="BY97" s="61">
        <f t="shared" si="173"/>
        <v>0</v>
      </c>
      <c r="BZ97" s="62">
        <f t="shared" si="150"/>
        <v>0</v>
      </c>
      <c r="CA97" s="98">
        <f t="shared" si="151"/>
        <v>0</v>
      </c>
      <c r="CB97" s="92">
        <f t="shared" si="124"/>
        <v>0</v>
      </c>
      <c r="CC97" s="92">
        <f t="shared" si="124"/>
        <v>0</v>
      </c>
      <c r="CD97" s="92">
        <f t="shared" si="124"/>
        <v>0</v>
      </c>
      <c r="CE97" s="99"/>
      <c r="CF97" s="99"/>
      <c r="CG97" s="51">
        <f t="shared" si="152"/>
        <v>0</v>
      </c>
      <c r="CH97" s="62">
        <f t="shared" si="153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101"/>
        <v>0</v>
      </c>
      <c r="CR97" s="102">
        <f t="shared" si="101"/>
        <v>0</v>
      </c>
      <c r="CS97" s="102">
        <f t="shared" si="101"/>
        <v>0</v>
      </c>
      <c r="CT97" s="92">
        <f t="shared" si="154"/>
        <v>0</v>
      </c>
      <c r="CU97" s="92">
        <f t="shared" si="102"/>
        <v>0</v>
      </c>
      <c r="CV97" s="103">
        <f t="shared" si="102"/>
        <v>0</v>
      </c>
      <c r="CW97" s="104"/>
      <c r="CX97" s="105">
        <v>120</v>
      </c>
      <c r="CY97" s="106">
        <f t="shared" si="155"/>
        <v>325</v>
      </c>
      <c r="CZ97" s="106">
        <f t="shared" si="156"/>
        <v>972.00000000000011</v>
      </c>
      <c r="DA97" s="106"/>
      <c r="DB97" s="106"/>
      <c r="DC97" s="105"/>
      <c r="DD97" s="107"/>
      <c r="DE97" s="92">
        <f t="shared" si="125"/>
        <v>0</v>
      </c>
      <c r="DF97" s="108">
        <f t="shared" si="126"/>
        <v>0</v>
      </c>
      <c r="DG97" s="115">
        <f t="shared" si="127"/>
        <v>0</v>
      </c>
      <c r="DH97" s="110">
        <f t="shared" si="128"/>
        <v>0</v>
      </c>
      <c r="DI97" s="108">
        <f t="shared" si="129"/>
        <v>0</v>
      </c>
      <c r="DJ97" s="112">
        <f t="shared" si="130"/>
        <v>0</v>
      </c>
      <c r="DK97" s="110">
        <f t="shared" si="181"/>
        <v>0</v>
      </c>
      <c r="DL97" s="108">
        <f t="shared" si="181"/>
        <v>0</v>
      </c>
      <c r="DM97" s="111">
        <f t="shared" si="181"/>
        <v>0</v>
      </c>
      <c r="DN97" s="76">
        <f t="shared" si="182"/>
        <v>0</v>
      </c>
      <c r="DO97" s="76">
        <f t="shared" si="182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7"/>
        <v>0</v>
      </c>
      <c r="DX97" s="81">
        <f t="shared" si="131"/>
        <v>0</v>
      </c>
      <c r="DY97" s="80">
        <f t="shared" si="158"/>
        <v>0</v>
      </c>
      <c r="DZ97" s="82">
        <f t="shared" si="159"/>
        <v>0</v>
      </c>
      <c r="EA97" s="82">
        <f t="shared" si="160"/>
        <v>0</v>
      </c>
      <c r="EB97" s="82">
        <f t="shared" si="161"/>
        <v>0</v>
      </c>
      <c r="EC97" s="82">
        <f t="shared" si="178"/>
        <v>0</v>
      </c>
      <c r="EF97" s="83">
        <f t="shared" si="183"/>
        <v>0</v>
      </c>
    </row>
    <row r="98" spans="1:136" ht="15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2"/>
        <v>ORC17300-3.5x3-H9A14</v>
      </c>
      <c r="H98" s="46" t="str">
        <f t="shared" si="133"/>
        <v>C17300OR3.50DH9</v>
      </c>
      <c r="I98" s="46" t="str">
        <f t="shared" si="134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5"/>
        <v>4</v>
      </c>
      <c r="T98" s="51">
        <f>'02.02'!BG98</f>
        <v>0</v>
      </c>
      <c r="U98" s="92"/>
      <c r="V98" s="100">
        <v>0.06</v>
      </c>
      <c r="W98" s="93">
        <f t="shared" si="114"/>
        <v>0</v>
      </c>
      <c r="X98" s="93">
        <f t="shared" si="115"/>
        <v>0</v>
      </c>
      <c r="Y98" s="93">
        <f t="shared" si="116"/>
        <v>0</v>
      </c>
      <c r="Z98" s="93">
        <f t="shared" si="117"/>
        <v>0</v>
      </c>
      <c r="AA98" s="93">
        <f t="shared" si="118"/>
        <v>0</v>
      </c>
      <c r="AB98" s="93">
        <f t="shared" si="119"/>
        <v>0</v>
      </c>
      <c r="AC98" s="93">
        <f t="shared" si="120"/>
        <v>0</v>
      </c>
      <c r="AD98" s="93">
        <f t="shared" si="121"/>
        <v>0</v>
      </c>
      <c r="AE98" s="93">
        <f t="shared" si="136"/>
        <v>0</v>
      </c>
      <c r="AF98" s="54">
        <f>AE98+'02.02'!AF98</f>
        <v>0</v>
      </c>
      <c r="AG98" s="94">
        <f t="shared" si="162"/>
        <v>0</v>
      </c>
      <c r="AH98" s="56">
        <f t="shared" si="137"/>
        <v>0</v>
      </c>
      <c r="AI98" s="93"/>
      <c r="AJ98" s="93">
        <f t="shared" si="163"/>
        <v>0</v>
      </c>
      <c r="AK98" s="95">
        <f t="shared" si="138"/>
        <v>1</v>
      </c>
      <c r="AL98" s="58">
        <f t="shared" si="174"/>
        <v>0</v>
      </c>
      <c r="AM98" s="55">
        <f t="shared" si="164"/>
        <v>0</v>
      </c>
      <c r="AN98" s="93"/>
      <c r="AO98" s="96"/>
      <c r="AP98" s="96"/>
      <c r="AQ98" s="96"/>
      <c r="AR98" s="96"/>
      <c r="AS98" s="96"/>
      <c r="AT98" s="96">
        <f t="shared" ref="AT98:AT100" si="187">$CJ98</f>
        <v>0</v>
      </c>
      <c r="AU98" s="96">
        <f t="shared" si="139"/>
        <v>0</v>
      </c>
      <c r="AV98" s="96">
        <f t="shared" si="139"/>
        <v>0</v>
      </c>
      <c r="AW98" s="96">
        <f t="shared" si="140"/>
        <v>0</v>
      </c>
      <c r="AX98" s="96">
        <f t="shared" si="141"/>
        <v>0</v>
      </c>
      <c r="AY98" s="94">
        <f t="shared" si="165"/>
        <v>0</v>
      </c>
      <c r="AZ98" s="94">
        <f t="shared" si="142"/>
        <v>0</v>
      </c>
      <c r="BA98" s="94">
        <f t="shared" si="171"/>
        <v>0</v>
      </c>
      <c r="BB98" s="97">
        <f t="shared" si="172"/>
        <v>0</v>
      </c>
      <c r="BC98" s="93"/>
      <c r="BD98" s="93">
        <f t="shared" si="143"/>
        <v>0</v>
      </c>
      <c r="BE98" s="95">
        <f t="shared" si="144"/>
        <v>1</v>
      </c>
      <c r="BF98" s="58">
        <f t="shared" si="175"/>
        <v>0</v>
      </c>
      <c r="BG98" s="94">
        <f t="shared" si="145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6"/>
        <v>0</v>
      </c>
      <c r="BP98" s="92">
        <f t="shared" si="166"/>
        <v>0</v>
      </c>
      <c r="BQ98" s="96">
        <f t="shared" si="146"/>
        <v>0</v>
      </c>
      <c r="BR98" s="96">
        <f t="shared" si="147"/>
        <v>0</v>
      </c>
      <c r="BS98" s="96">
        <f t="shared" si="167"/>
        <v>0</v>
      </c>
      <c r="BT98" s="96">
        <f t="shared" si="148"/>
        <v>0</v>
      </c>
      <c r="BU98" s="92">
        <f t="shared" si="122"/>
        <v>0</v>
      </c>
      <c r="BV98" s="98">
        <f t="shared" si="168"/>
        <v>0</v>
      </c>
      <c r="BW98" s="92">
        <f t="shared" si="123"/>
        <v>0</v>
      </c>
      <c r="BX98" s="98">
        <f t="shared" si="149"/>
        <v>0</v>
      </c>
      <c r="BY98" s="61">
        <f>IFERROR(BF98+AL98,0)</f>
        <v>0</v>
      </c>
      <c r="BZ98" s="62">
        <f t="shared" si="150"/>
        <v>0</v>
      </c>
      <c r="CA98" s="98">
        <f t="shared" si="151"/>
        <v>0</v>
      </c>
      <c r="CB98" s="92">
        <f t="shared" si="124"/>
        <v>0</v>
      </c>
      <c r="CC98" s="92">
        <f t="shared" si="124"/>
        <v>0</v>
      </c>
      <c r="CD98" s="92">
        <f t="shared" si="124"/>
        <v>0</v>
      </c>
      <c r="CE98" s="99"/>
      <c r="CF98" s="99"/>
      <c r="CG98" s="51">
        <f t="shared" si="152"/>
        <v>0</v>
      </c>
      <c r="CH98" s="62">
        <f t="shared" si="153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101"/>
        <v>0</v>
      </c>
      <c r="CR98" s="102">
        <f t="shared" si="101"/>
        <v>0</v>
      </c>
      <c r="CS98" s="102">
        <f t="shared" si="101"/>
        <v>0</v>
      </c>
      <c r="CT98" s="92">
        <f t="shared" si="154"/>
        <v>0</v>
      </c>
      <c r="CU98" s="92">
        <f t="shared" si="102"/>
        <v>0</v>
      </c>
      <c r="CV98" s="103">
        <f t="shared" si="102"/>
        <v>0</v>
      </c>
      <c r="CW98" s="104"/>
      <c r="CX98" s="105">
        <v>60</v>
      </c>
      <c r="CY98" s="106">
        <f t="shared" si="155"/>
        <v>710</v>
      </c>
      <c r="CZ98" s="106">
        <f t="shared" si="156"/>
        <v>486.00000000000006</v>
      </c>
      <c r="DA98" s="106"/>
      <c r="DB98" s="106"/>
      <c r="DC98" s="105"/>
      <c r="DD98" s="107"/>
      <c r="DE98" s="92">
        <f t="shared" si="125"/>
        <v>0</v>
      </c>
      <c r="DF98" s="108">
        <f t="shared" si="126"/>
        <v>0</v>
      </c>
      <c r="DG98" s="115">
        <f t="shared" si="127"/>
        <v>0</v>
      </c>
      <c r="DH98" s="110">
        <f t="shared" si="128"/>
        <v>0</v>
      </c>
      <c r="DI98" s="108">
        <f t="shared" si="129"/>
        <v>0</v>
      </c>
      <c r="DJ98" s="112">
        <f t="shared" si="130"/>
        <v>0</v>
      </c>
      <c r="DK98" s="110">
        <f t="shared" si="181"/>
        <v>0</v>
      </c>
      <c r="DL98" s="108">
        <f t="shared" si="181"/>
        <v>0</v>
      </c>
      <c r="DM98" s="111">
        <f t="shared" si="181"/>
        <v>0</v>
      </c>
      <c r="DN98" s="76">
        <f t="shared" si="182"/>
        <v>0</v>
      </c>
      <c r="DO98" s="76">
        <f t="shared" si="182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31"/>
        <v>0</v>
      </c>
      <c r="DY98" s="80">
        <f t="shared" si="158"/>
        <v>0</v>
      </c>
      <c r="DZ98" s="82">
        <f t="shared" si="159"/>
        <v>0</v>
      </c>
      <c r="EA98" s="82">
        <f t="shared" si="160"/>
        <v>0</v>
      </c>
      <c r="EB98" s="82">
        <f t="shared" si="161"/>
        <v>0</v>
      </c>
      <c r="EC98" s="82">
        <f t="shared" si="178"/>
        <v>0</v>
      </c>
      <c r="EF98" s="83">
        <f t="shared" si="183"/>
        <v>0</v>
      </c>
    </row>
    <row r="99" spans="1:136" ht="14.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2"/>
        <v>TVSUS303-6x2.5-H9A14</v>
      </c>
      <c r="H99" s="46" t="str">
        <f t="shared" si="133"/>
        <v>SUS303TV60DH9</v>
      </c>
      <c r="I99" s="46" t="str">
        <f t="shared" si="134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5"/>
        <v>12</v>
      </c>
      <c r="T99" s="51">
        <f>'02.02'!BG99</f>
        <v>0</v>
      </c>
      <c r="U99" s="92"/>
      <c r="V99" s="100">
        <v>3.0150000000000001</v>
      </c>
      <c r="W99" s="93">
        <f t="shared" si="114"/>
        <v>0</v>
      </c>
      <c r="X99" s="93">
        <f t="shared" si="115"/>
        <v>0</v>
      </c>
      <c r="Y99" s="93">
        <f t="shared" si="116"/>
        <v>0</v>
      </c>
      <c r="Z99" s="93">
        <f t="shared" si="117"/>
        <v>0</v>
      </c>
      <c r="AA99" s="93">
        <f t="shared" si="118"/>
        <v>0</v>
      </c>
      <c r="AB99" s="93">
        <f t="shared" si="119"/>
        <v>0</v>
      </c>
      <c r="AC99" s="93">
        <f t="shared" si="120"/>
        <v>0</v>
      </c>
      <c r="AD99" s="93">
        <f t="shared" si="121"/>
        <v>0</v>
      </c>
      <c r="AE99" s="93">
        <f t="shared" si="136"/>
        <v>0</v>
      </c>
      <c r="AF99" s="54">
        <f>AE99+'02.02'!AF99</f>
        <v>0</v>
      </c>
      <c r="AG99" s="94">
        <f t="shared" si="162"/>
        <v>0</v>
      </c>
      <c r="AH99" s="56">
        <f t="shared" si="137"/>
        <v>0</v>
      </c>
      <c r="AI99" s="93"/>
      <c r="AJ99" s="93">
        <f t="shared" si="163"/>
        <v>0</v>
      </c>
      <c r="AK99" s="95">
        <f t="shared" si="138"/>
        <v>1</v>
      </c>
      <c r="AL99" s="58">
        <f t="shared" si="174"/>
        <v>0</v>
      </c>
      <c r="AM99" s="55">
        <f t="shared" si="164"/>
        <v>0</v>
      </c>
      <c r="AN99" s="93"/>
      <c r="AO99" s="96"/>
      <c r="AP99" s="96"/>
      <c r="AQ99" s="96"/>
      <c r="AR99" s="96"/>
      <c r="AS99" s="96"/>
      <c r="AT99" s="96">
        <f t="shared" si="187"/>
        <v>0</v>
      </c>
      <c r="AU99" s="96">
        <f t="shared" si="139"/>
        <v>0</v>
      </c>
      <c r="AV99" s="96">
        <f t="shared" si="139"/>
        <v>0</v>
      </c>
      <c r="AW99" s="96">
        <f t="shared" si="140"/>
        <v>0</v>
      </c>
      <c r="AX99" s="96">
        <f t="shared" si="141"/>
        <v>0</v>
      </c>
      <c r="AY99" s="94">
        <f t="shared" si="165"/>
        <v>0</v>
      </c>
      <c r="AZ99" s="94">
        <f t="shared" si="142"/>
        <v>0</v>
      </c>
      <c r="BA99" s="94">
        <f t="shared" si="171"/>
        <v>0</v>
      </c>
      <c r="BB99" s="97">
        <f t="shared" si="172"/>
        <v>0</v>
      </c>
      <c r="BC99" s="93"/>
      <c r="BD99" s="93">
        <f t="shared" si="143"/>
        <v>0</v>
      </c>
      <c r="BE99" s="95">
        <f t="shared" si="144"/>
        <v>1</v>
      </c>
      <c r="BF99" s="58">
        <f t="shared" si="175"/>
        <v>0</v>
      </c>
      <c r="BG99" s="94">
        <f t="shared" si="145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6"/>
        <v>0</v>
      </c>
      <c r="BP99" s="92">
        <f t="shared" si="166"/>
        <v>0</v>
      </c>
      <c r="BQ99" s="96">
        <f t="shared" si="146"/>
        <v>0</v>
      </c>
      <c r="BR99" s="96">
        <f t="shared" si="147"/>
        <v>0</v>
      </c>
      <c r="BS99" s="96">
        <f t="shared" si="167"/>
        <v>0</v>
      </c>
      <c r="BT99" s="96">
        <f t="shared" si="148"/>
        <v>0</v>
      </c>
      <c r="BU99" s="92">
        <f t="shared" si="122"/>
        <v>0</v>
      </c>
      <c r="BV99" s="98">
        <f t="shared" si="168"/>
        <v>0</v>
      </c>
      <c r="BW99" s="92">
        <f t="shared" si="123"/>
        <v>0</v>
      </c>
      <c r="BX99" s="98">
        <f t="shared" si="149"/>
        <v>0</v>
      </c>
      <c r="BY99" s="61">
        <f t="shared" si="173"/>
        <v>0</v>
      </c>
      <c r="BZ99" s="62">
        <f t="shared" si="150"/>
        <v>0</v>
      </c>
      <c r="CA99" s="98">
        <f t="shared" si="151"/>
        <v>0</v>
      </c>
      <c r="CB99" s="92">
        <f t="shared" si="124"/>
        <v>0</v>
      </c>
      <c r="CC99" s="92">
        <f t="shared" si="124"/>
        <v>0</v>
      </c>
      <c r="CD99" s="92">
        <f t="shared" si="124"/>
        <v>0</v>
      </c>
      <c r="CE99" s="99"/>
      <c r="CF99" s="99"/>
      <c r="CG99" s="51">
        <f t="shared" si="152"/>
        <v>0</v>
      </c>
      <c r="CH99" s="62">
        <f t="shared" si="153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88">INT(IFERROR( CJ99/$V99,0))</f>
        <v>0</v>
      </c>
      <c r="CR99" s="102">
        <f t="shared" si="188"/>
        <v>0</v>
      </c>
      <c r="CS99" s="102">
        <f t="shared" si="188"/>
        <v>0</v>
      </c>
      <c r="CT99" s="92">
        <f t="shared" si="154"/>
        <v>0</v>
      </c>
      <c r="CU99" s="92">
        <f t="shared" si="102"/>
        <v>0</v>
      </c>
      <c r="CV99" s="103">
        <f t="shared" si="102"/>
        <v>0</v>
      </c>
      <c r="CW99" s="104"/>
      <c r="CX99" s="105">
        <v>123</v>
      </c>
      <c r="CY99" s="106">
        <f t="shared" si="155"/>
        <v>336</v>
      </c>
      <c r="CZ99" s="106">
        <f t="shared" si="156"/>
        <v>996.30000000000007</v>
      </c>
      <c r="DA99" s="106"/>
      <c r="DB99" s="106"/>
      <c r="DC99" s="105"/>
      <c r="DD99" s="107"/>
      <c r="DE99" s="92">
        <f t="shared" si="125"/>
        <v>0</v>
      </c>
      <c r="DF99" s="108">
        <f t="shared" si="126"/>
        <v>0</v>
      </c>
      <c r="DG99" s="115">
        <f t="shared" si="127"/>
        <v>0</v>
      </c>
      <c r="DH99" s="110">
        <f t="shared" si="128"/>
        <v>0</v>
      </c>
      <c r="DI99" s="108">
        <f t="shared" si="129"/>
        <v>0</v>
      </c>
      <c r="DJ99" s="112">
        <f t="shared" si="130"/>
        <v>0</v>
      </c>
      <c r="DK99" s="110">
        <f t="shared" si="181"/>
        <v>0</v>
      </c>
      <c r="DL99" s="108">
        <f t="shared" si="181"/>
        <v>0</v>
      </c>
      <c r="DM99" s="111">
        <f t="shared" si="181"/>
        <v>0</v>
      </c>
      <c r="DN99" s="76">
        <f t="shared" si="182"/>
        <v>0</v>
      </c>
      <c r="DO99" s="76">
        <f t="shared" si="182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7"/>
        <v>0</v>
      </c>
      <c r="DX99" s="81">
        <f t="shared" si="131"/>
        <v>0</v>
      </c>
      <c r="DY99" s="80">
        <f t="shared" si="158"/>
        <v>0</v>
      </c>
      <c r="DZ99" s="82">
        <f t="shared" si="159"/>
        <v>0</v>
      </c>
      <c r="EA99" s="82">
        <f t="shared" si="160"/>
        <v>0</v>
      </c>
      <c r="EB99" s="82">
        <f t="shared" si="161"/>
        <v>0</v>
      </c>
      <c r="EC99" s="82">
        <f t="shared" si="178"/>
        <v>0</v>
      </c>
      <c r="EF99" s="83">
        <f t="shared" si="183"/>
        <v>0</v>
      </c>
    </row>
    <row r="100" spans="1:136" ht="14.1" customHeight="1">
      <c r="A100" s="84">
        <v>93</v>
      </c>
      <c r="B100" s="85" t="s">
        <v>391</v>
      </c>
      <c r="C100" s="86"/>
      <c r="D100" s="116" t="s">
        <v>478</v>
      </c>
      <c r="E100" s="88">
        <v>388</v>
      </c>
      <c r="F100" s="89" t="s">
        <v>128</v>
      </c>
      <c r="G100" s="45" t="str">
        <f t="shared" si="132"/>
        <v>WTA6061-T6-T17x7x3-H9B13</v>
      </c>
      <c r="H100" s="46" t="str">
        <f t="shared" si="133"/>
        <v>A6061-T6WT177TH9</v>
      </c>
      <c r="I100" s="46" t="str">
        <f t="shared" si="134"/>
        <v>A6061-T6WT177TH93B13</v>
      </c>
      <c r="J100" s="90" t="s">
        <v>374</v>
      </c>
      <c r="K100" s="90" t="s">
        <v>393</v>
      </c>
      <c r="L100" s="90">
        <v>17</v>
      </c>
      <c r="M100" s="90">
        <v>7</v>
      </c>
      <c r="N100" s="90" t="s">
        <v>157</v>
      </c>
      <c r="O100" s="90" t="s">
        <v>131</v>
      </c>
      <c r="P100" s="90">
        <v>3</v>
      </c>
      <c r="Q100" s="91">
        <v>1.522</v>
      </c>
      <c r="R100" s="49" t="s">
        <v>228</v>
      </c>
      <c r="S100" s="89">
        <f t="shared" si="135"/>
        <v>4</v>
      </c>
      <c r="T100" s="51">
        <v>0</v>
      </c>
      <c r="U100" s="92"/>
      <c r="V100" s="100">
        <v>0.71699999999999997</v>
      </c>
      <c r="W100" s="93">
        <f t="shared" si="114"/>
        <v>0</v>
      </c>
      <c r="X100" s="93">
        <f t="shared" si="115"/>
        <v>0</v>
      </c>
      <c r="Y100" s="93">
        <f t="shared" si="116"/>
        <v>0</v>
      </c>
      <c r="Z100" s="93">
        <f t="shared" si="117"/>
        <v>0</v>
      </c>
      <c r="AA100" s="93">
        <f t="shared" si="118"/>
        <v>0</v>
      </c>
      <c r="AB100" s="93">
        <f t="shared" si="119"/>
        <v>0</v>
      </c>
      <c r="AC100" s="93">
        <f t="shared" si="120"/>
        <v>0</v>
      </c>
      <c r="AD100" s="93">
        <f t="shared" si="121"/>
        <v>0</v>
      </c>
      <c r="AE100" s="93">
        <f t="shared" si="136"/>
        <v>0</v>
      </c>
      <c r="AF100" s="54">
        <f>AE100+'02.02'!AF100</f>
        <v>286</v>
      </c>
      <c r="AG100" s="94">
        <f t="shared" si="162"/>
        <v>0</v>
      </c>
      <c r="AH100" s="56">
        <f t="shared" si="137"/>
        <v>0</v>
      </c>
      <c r="AI100" s="93"/>
      <c r="AJ100" s="93">
        <f t="shared" si="163"/>
        <v>0</v>
      </c>
      <c r="AK100" s="95">
        <f t="shared" si="138"/>
        <v>1</v>
      </c>
      <c r="AL100" s="58">
        <f t="shared" si="174"/>
        <v>0</v>
      </c>
      <c r="AM100" s="55">
        <f t="shared" si="164"/>
        <v>0</v>
      </c>
      <c r="AN100" s="93"/>
      <c r="AO100" s="96"/>
      <c r="AP100" s="96"/>
      <c r="AQ100" s="96"/>
      <c r="AR100" s="96"/>
      <c r="AS100" s="96"/>
      <c r="AT100" s="96">
        <f t="shared" si="187"/>
        <v>0</v>
      </c>
      <c r="AU100" s="96">
        <f t="shared" si="139"/>
        <v>0</v>
      </c>
      <c r="AV100" s="96">
        <f t="shared" si="139"/>
        <v>0</v>
      </c>
      <c r="AW100" s="96">
        <f t="shared" si="140"/>
        <v>0</v>
      </c>
      <c r="AX100" s="96">
        <f t="shared" si="141"/>
        <v>0</v>
      </c>
      <c r="AY100" s="94">
        <f t="shared" si="165"/>
        <v>0</v>
      </c>
      <c r="AZ100" s="94">
        <f t="shared" si="142"/>
        <v>0</v>
      </c>
      <c r="BA100" s="94">
        <f t="shared" si="171"/>
        <v>0</v>
      </c>
      <c r="BB100" s="97">
        <f t="shared" si="172"/>
        <v>0</v>
      </c>
      <c r="BC100" s="93"/>
      <c r="BD100" s="93">
        <f t="shared" si="143"/>
        <v>0</v>
      </c>
      <c r="BE100" s="95">
        <f t="shared" si="144"/>
        <v>1</v>
      </c>
      <c r="BF100" s="58">
        <f t="shared" si="175"/>
        <v>0</v>
      </c>
      <c r="BG100" s="94">
        <f t="shared" si="145"/>
        <v>0</v>
      </c>
      <c r="BH100" s="89"/>
      <c r="BI100" s="89"/>
      <c r="BJ100" s="89"/>
      <c r="BK100" s="89"/>
      <c r="BL100" s="89"/>
      <c r="BM100" s="89"/>
      <c r="BN100" s="92">
        <f>$CN100</f>
        <v>0</v>
      </c>
      <c r="BO100" s="92">
        <f t="shared" si="166"/>
        <v>0</v>
      </c>
      <c r="BP100" s="92">
        <f t="shared" si="166"/>
        <v>0</v>
      </c>
      <c r="BQ100" s="96">
        <f t="shared" si="146"/>
        <v>0</v>
      </c>
      <c r="BR100" s="96">
        <f t="shared" si="147"/>
        <v>0</v>
      </c>
      <c r="BS100" s="96">
        <f t="shared" si="167"/>
        <v>0</v>
      </c>
      <c r="BT100" s="96">
        <f t="shared" si="148"/>
        <v>0</v>
      </c>
      <c r="BU100" s="92">
        <f t="shared" si="122"/>
        <v>0</v>
      </c>
      <c r="BV100" s="98">
        <f t="shared" si="168"/>
        <v>0</v>
      </c>
      <c r="BW100" s="92">
        <f t="shared" si="123"/>
        <v>0</v>
      </c>
      <c r="BX100" s="98">
        <f t="shared" si="149"/>
        <v>0</v>
      </c>
      <c r="BY100" s="61">
        <f>IFERROR(BF100+AL100,0)</f>
        <v>0</v>
      </c>
      <c r="BZ100" s="62">
        <f t="shared" si="150"/>
        <v>0</v>
      </c>
      <c r="CA100" s="98">
        <f t="shared" si="151"/>
        <v>0</v>
      </c>
      <c r="CB100" s="92">
        <f t="shared" si="124"/>
        <v>0</v>
      </c>
      <c r="CC100" s="92">
        <f t="shared" si="124"/>
        <v>0</v>
      </c>
      <c r="CD100" s="92">
        <f t="shared" si="124"/>
        <v>0</v>
      </c>
      <c r="CE100" s="99"/>
      <c r="CF100" s="99"/>
      <c r="CG100" s="51">
        <f t="shared" si="152"/>
        <v>0</v>
      </c>
      <c r="CH100" s="62">
        <f t="shared" si="153"/>
        <v>0</v>
      </c>
      <c r="CI100" s="89"/>
      <c r="CJ100" s="89"/>
      <c r="CK100" s="89"/>
      <c r="CL100" s="96"/>
      <c r="CM100" s="89"/>
      <c r="CN100" s="89"/>
      <c r="CO100" s="92"/>
      <c r="CP100" s="101"/>
      <c r="CQ100" s="102">
        <f t="shared" si="188"/>
        <v>0</v>
      </c>
      <c r="CR100" s="102">
        <f t="shared" si="188"/>
        <v>0</v>
      </c>
      <c r="CS100" s="102">
        <f t="shared" si="188"/>
        <v>0</v>
      </c>
      <c r="CT100" s="92">
        <f t="shared" si="154"/>
        <v>0</v>
      </c>
      <c r="CU100" s="92">
        <f t="shared" si="102"/>
        <v>0</v>
      </c>
      <c r="CV100" s="103">
        <f t="shared" si="102"/>
        <v>0</v>
      </c>
      <c r="CW100" s="104"/>
      <c r="CX100" s="105">
        <v>60</v>
      </c>
      <c r="CY100" s="106">
        <f t="shared" si="155"/>
        <v>710</v>
      </c>
      <c r="CZ100" s="106">
        <f t="shared" si="156"/>
        <v>486.00000000000006</v>
      </c>
      <c r="DA100" s="106"/>
      <c r="DB100" s="106"/>
      <c r="DC100" s="105"/>
      <c r="DD100" s="107"/>
      <c r="DE100" s="92">
        <f t="shared" si="125"/>
        <v>0</v>
      </c>
      <c r="DF100" s="108">
        <f t="shared" si="126"/>
        <v>0</v>
      </c>
      <c r="DG100" s="115">
        <f t="shared" si="127"/>
        <v>0</v>
      </c>
      <c r="DH100" s="110">
        <f t="shared" si="128"/>
        <v>0</v>
      </c>
      <c r="DI100" s="108">
        <f t="shared" si="129"/>
        <v>0</v>
      </c>
      <c r="DJ100" s="112">
        <f t="shared" si="130"/>
        <v>0</v>
      </c>
      <c r="DK100" s="110">
        <f t="shared" si="181"/>
        <v>0</v>
      </c>
      <c r="DL100" s="108">
        <f t="shared" si="181"/>
        <v>0</v>
      </c>
      <c r="DM100" s="111">
        <f t="shared" si="181"/>
        <v>0</v>
      </c>
      <c r="DN100" s="76">
        <f t="shared" si="182"/>
        <v>0</v>
      </c>
      <c r="DO100" s="76">
        <f t="shared" si="182"/>
        <v>0</v>
      </c>
      <c r="DP100" s="112"/>
      <c r="DQ100" s="112"/>
      <c r="DR100" s="113" t="s">
        <v>475</v>
      </c>
      <c r="DS100" s="112"/>
      <c r="DT100" s="112"/>
      <c r="DU100" s="111"/>
      <c r="DV100" s="114"/>
      <c r="DW100" s="80">
        <f t="shared" si="157"/>
        <v>0</v>
      </c>
      <c r="DX100" s="81">
        <f t="shared" si="131"/>
        <v>0</v>
      </c>
      <c r="DY100" s="80">
        <f t="shared" si="158"/>
        <v>0</v>
      </c>
      <c r="DZ100" s="82">
        <f t="shared" si="159"/>
        <v>0</v>
      </c>
      <c r="EA100" s="82">
        <f t="shared" si="160"/>
        <v>0</v>
      </c>
      <c r="EB100" s="82">
        <f t="shared" si="161"/>
        <v>0</v>
      </c>
      <c r="EC100" s="82">
        <f t="shared" si="178"/>
        <v>0</v>
      </c>
      <c r="EF100" s="83">
        <f t="shared" si="183"/>
        <v>0</v>
      </c>
    </row>
    <row r="101" spans="1:136" ht="15" customHeight="1">
      <c r="A101" s="84">
        <v>94</v>
      </c>
      <c r="B101" s="85" t="s">
        <v>395</v>
      </c>
      <c r="C101" s="86"/>
      <c r="D101" s="119">
        <v>3228</v>
      </c>
      <c r="E101" s="88">
        <v>174</v>
      </c>
      <c r="F101" s="89" t="s">
        <v>136</v>
      </c>
      <c r="G101" s="45" t="str">
        <f t="shared" si="132"/>
        <v>GWA6063-T5-12x3-H9A14</v>
      </c>
      <c r="H101" s="46" t="str">
        <f t="shared" si="133"/>
        <v>A6063-T5GW120DH9</v>
      </c>
      <c r="I101" s="46" t="str">
        <f t="shared" si="134"/>
        <v>A6063-T5GW120DH93A14</v>
      </c>
      <c r="J101" s="90" t="s">
        <v>129</v>
      </c>
      <c r="K101" s="90" t="s">
        <v>130</v>
      </c>
      <c r="L101" s="90">
        <v>12</v>
      </c>
      <c r="M101" s="90">
        <v>0</v>
      </c>
      <c r="N101" s="90" t="s">
        <v>128</v>
      </c>
      <c r="O101" s="90" t="s">
        <v>131</v>
      </c>
      <c r="P101" s="90">
        <v>3</v>
      </c>
      <c r="Q101" s="91">
        <v>0.92200000000000004</v>
      </c>
      <c r="R101" s="90" t="s">
        <v>139</v>
      </c>
      <c r="S101" s="89">
        <f t="shared" si="135"/>
        <v>4</v>
      </c>
      <c r="T101" s="51">
        <f>'02.02'!BG101</f>
        <v>12</v>
      </c>
      <c r="U101" s="92"/>
      <c r="V101" s="100">
        <v>1.28</v>
      </c>
      <c r="W101" s="93">
        <f t="shared" si="114"/>
        <v>0</v>
      </c>
      <c r="X101" s="93">
        <f t="shared" si="115"/>
        <v>0</v>
      </c>
      <c r="Y101" s="93">
        <f t="shared" si="116"/>
        <v>0</v>
      </c>
      <c r="Z101" s="93">
        <f t="shared" si="117"/>
        <v>0</v>
      </c>
      <c r="AA101" s="93">
        <f t="shared" si="118"/>
        <v>0</v>
      </c>
      <c r="AB101" s="93">
        <f t="shared" si="119"/>
        <v>0</v>
      </c>
      <c r="AC101" s="93">
        <f t="shared" si="120"/>
        <v>0</v>
      </c>
      <c r="AD101" s="93">
        <f t="shared" si="121"/>
        <v>0</v>
      </c>
      <c r="AE101" s="93">
        <f t="shared" si="136"/>
        <v>0</v>
      </c>
      <c r="AF101" s="54">
        <f>AE101+'02.02'!AF101</f>
        <v>0</v>
      </c>
      <c r="AG101" s="94">
        <f t="shared" si="162"/>
        <v>12</v>
      </c>
      <c r="AH101" s="56">
        <f t="shared" si="137"/>
        <v>0</v>
      </c>
      <c r="AI101" s="93"/>
      <c r="AJ101" s="93">
        <f t="shared" si="163"/>
        <v>0</v>
      </c>
      <c r="AK101" s="95">
        <f t="shared" si="138"/>
        <v>1</v>
      </c>
      <c r="AL101" s="58">
        <f t="shared" si="174"/>
        <v>0</v>
      </c>
      <c r="AM101" s="55">
        <f t="shared" si="164"/>
        <v>12</v>
      </c>
      <c r="AN101" s="93"/>
      <c r="AO101" s="96"/>
      <c r="AP101" s="96"/>
      <c r="AQ101" s="96"/>
      <c r="AR101" s="96"/>
      <c r="AS101" s="96"/>
      <c r="AT101" s="96">
        <f>$CJ101</f>
        <v>0</v>
      </c>
      <c r="AU101" s="96">
        <f t="shared" si="139"/>
        <v>0</v>
      </c>
      <c r="AV101" s="96">
        <f t="shared" si="139"/>
        <v>0</v>
      </c>
      <c r="AW101" s="96">
        <f t="shared" si="140"/>
        <v>0</v>
      </c>
      <c r="AX101" s="96">
        <f t="shared" si="141"/>
        <v>0</v>
      </c>
      <c r="AY101" s="94">
        <f t="shared" si="165"/>
        <v>0</v>
      </c>
      <c r="AZ101" s="94">
        <f t="shared" si="142"/>
        <v>0</v>
      </c>
      <c r="BA101" s="94">
        <f t="shared" si="171"/>
        <v>12</v>
      </c>
      <c r="BB101" s="97">
        <f t="shared" si="172"/>
        <v>0</v>
      </c>
      <c r="BC101" s="93"/>
      <c r="BD101" s="93">
        <f t="shared" si="143"/>
        <v>0</v>
      </c>
      <c r="BE101" s="95">
        <f t="shared" si="144"/>
        <v>1</v>
      </c>
      <c r="BF101" s="58">
        <f t="shared" si="175"/>
        <v>0</v>
      </c>
      <c r="BG101" s="94">
        <f t="shared" si="145"/>
        <v>12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6"/>
        <v>0</v>
      </c>
      <c r="BP101" s="92">
        <f t="shared" si="166"/>
        <v>0</v>
      </c>
      <c r="BQ101" s="96">
        <f t="shared" si="146"/>
        <v>0</v>
      </c>
      <c r="BR101" s="96">
        <f t="shared" si="147"/>
        <v>0</v>
      </c>
      <c r="BS101" s="96">
        <f t="shared" si="167"/>
        <v>0</v>
      </c>
      <c r="BT101" s="96">
        <f t="shared" si="148"/>
        <v>0</v>
      </c>
      <c r="BU101" s="92">
        <f t="shared" si="122"/>
        <v>0</v>
      </c>
      <c r="BV101" s="98">
        <f t="shared" si="168"/>
        <v>0</v>
      </c>
      <c r="BW101" s="92">
        <f t="shared" si="123"/>
        <v>0</v>
      </c>
      <c r="BX101" s="98">
        <f t="shared" si="149"/>
        <v>0</v>
      </c>
      <c r="BY101" s="61">
        <f t="shared" si="173"/>
        <v>0</v>
      </c>
      <c r="BZ101" s="62">
        <f t="shared" si="150"/>
        <v>0</v>
      </c>
      <c r="CA101" s="98">
        <f t="shared" si="151"/>
        <v>0</v>
      </c>
      <c r="CB101" s="92">
        <f t="shared" si="124"/>
        <v>0</v>
      </c>
      <c r="CC101" s="92">
        <f t="shared" si="124"/>
        <v>0</v>
      </c>
      <c r="CD101" s="92">
        <f t="shared" si="124"/>
        <v>0</v>
      </c>
      <c r="CE101" s="99"/>
      <c r="CF101" s="99"/>
      <c r="CG101" s="51">
        <f t="shared" si="152"/>
        <v>0</v>
      </c>
      <c r="CH101" s="62">
        <f t="shared" si="153"/>
        <v>0</v>
      </c>
      <c r="CI101" s="89"/>
      <c r="CJ101" s="89"/>
      <c r="CK101" s="89"/>
      <c r="CL101" s="96"/>
      <c r="CM101" s="89"/>
      <c r="CN101" s="89"/>
      <c r="CO101" s="92"/>
      <c r="CP101" s="101"/>
      <c r="CQ101" s="102">
        <f t="shared" si="188"/>
        <v>0</v>
      </c>
      <c r="CR101" s="102">
        <f t="shared" si="188"/>
        <v>0</v>
      </c>
      <c r="CS101" s="102">
        <f t="shared" si="188"/>
        <v>0</v>
      </c>
      <c r="CT101" s="92">
        <f t="shared" si="154"/>
        <v>0</v>
      </c>
      <c r="CU101" s="92">
        <f t="shared" si="102"/>
        <v>0</v>
      </c>
      <c r="CV101" s="103">
        <f t="shared" si="102"/>
        <v>0</v>
      </c>
      <c r="CW101" s="104"/>
      <c r="CX101" s="105">
        <v>128</v>
      </c>
      <c r="CY101" s="106">
        <f t="shared" si="155"/>
        <v>332</v>
      </c>
      <c r="CZ101" s="106">
        <f t="shared" si="156"/>
        <v>1036.8000000000002</v>
      </c>
      <c r="DA101" s="106"/>
      <c r="DB101" s="106"/>
      <c r="DC101" s="105"/>
      <c r="DD101" s="107"/>
      <c r="DE101" s="92">
        <f t="shared" si="125"/>
        <v>0</v>
      </c>
      <c r="DF101" s="108">
        <f t="shared" si="126"/>
        <v>0</v>
      </c>
      <c r="DG101" s="115">
        <f t="shared" si="127"/>
        <v>0</v>
      </c>
      <c r="DH101" s="110">
        <f t="shared" si="128"/>
        <v>0</v>
      </c>
      <c r="DI101" s="108">
        <f t="shared" si="129"/>
        <v>0</v>
      </c>
      <c r="DJ101" s="112">
        <f t="shared" si="130"/>
        <v>0</v>
      </c>
      <c r="DK101" s="110">
        <f t="shared" si="181"/>
        <v>0</v>
      </c>
      <c r="DL101" s="108">
        <f t="shared" si="181"/>
        <v>0</v>
      </c>
      <c r="DM101" s="111">
        <f t="shared" si="181"/>
        <v>0</v>
      </c>
      <c r="DN101" s="76">
        <f t="shared" si="182"/>
        <v>12</v>
      </c>
      <c r="DO101" s="76">
        <f t="shared" si="182"/>
        <v>0</v>
      </c>
      <c r="DP101" s="112"/>
      <c r="DQ101" s="112"/>
      <c r="DR101" s="113" t="s">
        <v>476</v>
      </c>
      <c r="DS101" s="112"/>
      <c r="DT101" s="112"/>
      <c r="DU101" s="111"/>
      <c r="DV101" s="114"/>
      <c r="DW101" s="80">
        <f t="shared" si="157"/>
        <v>0</v>
      </c>
      <c r="DX101" s="81">
        <f t="shared" si="131"/>
        <v>0</v>
      </c>
      <c r="DY101" s="80">
        <f t="shared" si="158"/>
        <v>0</v>
      </c>
      <c r="DZ101" s="82">
        <f t="shared" si="159"/>
        <v>0</v>
      </c>
      <c r="EA101" s="82">
        <f t="shared" si="160"/>
        <v>0</v>
      </c>
      <c r="EB101" s="82">
        <f t="shared" si="161"/>
        <v>0</v>
      </c>
      <c r="EC101" s="82">
        <f t="shared" si="178"/>
        <v>0</v>
      </c>
      <c r="EF101" s="83">
        <f t="shared" si="183"/>
        <v>0</v>
      </c>
    </row>
    <row r="102" spans="1:136" ht="15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2"/>
        <v>-xx-</v>
      </c>
      <c r="H102" s="46" t="str">
        <f t="shared" si="133"/>
        <v/>
      </c>
      <c r="I102" s="46" t="str">
        <f t="shared" si="134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5"/>
        <v>#DIV/0!</v>
      </c>
      <c r="T102" s="51">
        <f>'02.02'!BG102</f>
        <v>0</v>
      </c>
      <c r="U102" s="92"/>
      <c r="V102" s="100">
        <v>1</v>
      </c>
      <c r="W102" s="93">
        <f t="shared" si="114"/>
        <v>0</v>
      </c>
      <c r="X102" s="93">
        <f t="shared" si="115"/>
        <v>0</v>
      </c>
      <c r="Y102" s="93">
        <f t="shared" si="116"/>
        <v>0</v>
      </c>
      <c r="Z102" s="93">
        <f t="shared" si="117"/>
        <v>0</v>
      </c>
      <c r="AA102" s="93">
        <f t="shared" si="118"/>
        <v>0</v>
      </c>
      <c r="AB102" s="93">
        <f t="shared" si="119"/>
        <v>0</v>
      </c>
      <c r="AC102" s="93">
        <f t="shared" si="120"/>
        <v>0</v>
      </c>
      <c r="AD102" s="93">
        <f t="shared" si="121"/>
        <v>0</v>
      </c>
      <c r="AE102" s="93">
        <f t="shared" si="136"/>
        <v>0</v>
      </c>
      <c r="AF102" s="54">
        <f>AE102+'02.02'!AF102</f>
        <v>0</v>
      </c>
      <c r="AG102" s="94">
        <f t="shared" si="162"/>
        <v>0</v>
      </c>
      <c r="AH102" s="56">
        <f t="shared" si="137"/>
        <v>0</v>
      </c>
      <c r="AI102" s="93"/>
      <c r="AJ102" s="93">
        <f t="shared" si="163"/>
        <v>0</v>
      </c>
      <c r="AK102" s="95">
        <f>IF(V102="","",IF(AJ102=0,1,AJ102/$V102/$E102))</f>
        <v>1</v>
      </c>
      <c r="AL102" s="58">
        <f t="shared" si="174"/>
        <v>0</v>
      </c>
      <c r="AM102" s="55">
        <f t="shared" si="164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39"/>
        <v>0</v>
      </c>
      <c r="AV102" s="96">
        <f t="shared" si="139"/>
        <v>0</v>
      </c>
      <c r="AW102" s="96">
        <f t="shared" si="140"/>
        <v>0</v>
      </c>
      <c r="AX102" s="96">
        <f t="shared" si="141"/>
        <v>0</v>
      </c>
      <c r="AY102" s="94">
        <f t="shared" si="165"/>
        <v>0</v>
      </c>
      <c r="AZ102" s="94">
        <f t="shared" si="142"/>
        <v>0</v>
      </c>
      <c r="BA102" s="94">
        <f t="shared" si="171"/>
        <v>0</v>
      </c>
      <c r="BB102" s="97">
        <f t="shared" si="172"/>
        <v>0</v>
      </c>
      <c r="BC102" s="93"/>
      <c r="BD102" s="93">
        <f t="shared" si="143"/>
        <v>0</v>
      </c>
      <c r="BE102" s="95">
        <f t="shared" si="144"/>
        <v>1</v>
      </c>
      <c r="BF102" s="58">
        <f t="shared" si="175"/>
        <v>0</v>
      </c>
      <c r="BG102" s="94">
        <f t="shared" si="145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6"/>
        <v>0</v>
      </c>
      <c r="BP102" s="92">
        <f t="shared" si="166"/>
        <v>0</v>
      </c>
      <c r="BQ102" s="96">
        <f t="shared" si="146"/>
        <v>0</v>
      </c>
      <c r="BR102" s="96">
        <f t="shared" si="147"/>
        <v>0</v>
      </c>
      <c r="BS102" s="96">
        <f t="shared" si="167"/>
        <v>0</v>
      </c>
      <c r="BT102" s="96">
        <f t="shared" si="148"/>
        <v>0</v>
      </c>
      <c r="BU102" s="92">
        <f t="shared" si="122"/>
        <v>0</v>
      </c>
      <c r="BV102" s="98">
        <f t="shared" si="168"/>
        <v>0</v>
      </c>
      <c r="BW102" s="92">
        <f t="shared" si="123"/>
        <v>0</v>
      </c>
      <c r="BX102" s="98" t="str">
        <f t="shared" si="149"/>
        <v/>
      </c>
      <c r="BY102" s="61">
        <f t="shared" si="173"/>
        <v>0</v>
      </c>
      <c r="BZ102" s="62">
        <f t="shared" si="150"/>
        <v>0</v>
      </c>
      <c r="CA102" s="98">
        <f t="shared" si="151"/>
        <v>0</v>
      </c>
      <c r="CB102" s="92">
        <f t="shared" si="124"/>
        <v>0</v>
      </c>
      <c r="CC102" s="92">
        <f t="shared" si="124"/>
        <v>0</v>
      </c>
      <c r="CD102" s="92">
        <f t="shared" si="124"/>
        <v>0</v>
      </c>
      <c r="CE102" s="99"/>
      <c r="CF102" s="99"/>
      <c r="CG102" s="51">
        <f t="shared" si="152"/>
        <v>0</v>
      </c>
      <c r="CH102" s="62">
        <f t="shared" si="153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88"/>
        <v>0</v>
      </c>
      <c r="CR102" s="102">
        <f t="shared" si="188"/>
        <v>0</v>
      </c>
      <c r="CS102" s="102">
        <f t="shared" si="188"/>
        <v>0</v>
      </c>
      <c r="CT102" s="92">
        <f t="shared" si="154"/>
        <v>0</v>
      </c>
      <c r="CU102" s="92">
        <f t="shared" si="102"/>
        <v>0</v>
      </c>
      <c r="CV102" s="103">
        <f t="shared" si="102"/>
        <v>0</v>
      </c>
      <c r="CW102" s="104"/>
      <c r="CX102" s="105"/>
      <c r="CY102" s="106" t="e">
        <f t="shared" si="155"/>
        <v>#DIV/0!</v>
      </c>
      <c r="CZ102" s="106">
        <f t="shared" si="156"/>
        <v>0</v>
      </c>
      <c r="DA102" s="106"/>
      <c r="DB102" s="106"/>
      <c r="DC102" s="105"/>
      <c r="DD102" s="107"/>
      <c r="DE102" s="92">
        <f t="shared" si="125"/>
        <v>0</v>
      </c>
      <c r="DF102" s="108">
        <f t="shared" si="126"/>
        <v>0</v>
      </c>
      <c r="DG102" s="115">
        <f t="shared" si="127"/>
        <v>0</v>
      </c>
      <c r="DH102" s="110">
        <f t="shared" si="128"/>
        <v>0</v>
      </c>
      <c r="DI102" s="108">
        <f t="shared" si="129"/>
        <v>0</v>
      </c>
      <c r="DJ102" s="112">
        <f t="shared" si="130"/>
        <v>0</v>
      </c>
      <c r="DK102" s="110">
        <f t="shared" si="181"/>
        <v>0</v>
      </c>
      <c r="DL102" s="108">
        <f t="shared" si="181"/>
        <v>0</v>
      </c>
      <c r="DM102" s="111">
        <f t="shared" si="181"/>
        <v>0</v>
      </c>
      <c r="DN102" s="76">
        <f t="shared" si="182"/>
        <v>0</v>
      </c>
      <c r="DO102" s="76">
        <f t="shared" si="182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7"/>
        <v>0</v>
      </c>
      <c r="DX102" s="81">
        <f t="shared" si="131"/>
        <v>0</v>
      </c>
      <c r="DY102" s="80">
        <f t="shared" si="158"/>
        <v>0</v>
      </c>
      <c r="DZ102" s="82">
        <f t="shared" si="159"/>
        <v>0</v>
      </c>
      <c r="EA102" s="82">
        <f t="shared" si="160"/>
        <v>0</v>
      </c>
      <c r="EB102" s="82" t="e">
        <f t="shared" si="161"/>
        <v>#VALUE!</v>
      </c>
      <c r="EC102" s="82" t="e">
        <f t="shared" si="178"/>
        <v>#VALUE!</v>
      </c>
    </row>
    <row r="103" spans="1:136" ht="15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2"/>
        <v>TVSUS303-5x3-H7B13</v>
      </c>
      <c r="H103" s="46" t="str">
        <f t="shared" si="133"/>
        <v>SUS303TV50DH7</v>
      </c>
      <c r="I103" s="46" t="str">
        <f t="shared" si="134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5"/>
        <v>2</v>
      </c>
      <c r="T103" s="51">
        <f>'02.02'!BG103</f>
        <v>0</v>
      </c>
      <c r="U103" s="92"/>
      <c r="V103" s="100">
        <v>0.1</v>
      </c>
      <c r="W103" s="93">
        <f t="shared" si="114"/>
        <v>0</v>
      </c>
      <c r="X103" s="93">
        <f t="shared" si="115"/>
        <v>0</v>
      </c>
      <c r="Y103" s="93">
        <f t="shared" si="116"/>
        <v>0</v>
      </c>
      <c r="Z103" s="93">
        <f t="shared" si="117"/>
        <v>0</v>
      </c>
      <c r="AA103" s="93">
        <f t="shared" si="118"/>
        <v>0</v>
      </c>
      <c r="AB103" s="93">
        <f t="shared" si="119"/>
        <v>0</v>
      </c>
      <c r="AC103" s="93">
        <f t="shared" si="120"/>
        <v>0</v>
      </c>
      <c r="AD103" s="93">
        <f t="shared" si="121"/>
        <v>0</v>
      </c>
      <c r="AE103" s="93">
        <f t="shared" si="136"/>
        <v>0</v>
      </c>
      <c r="AF103" s="54">
        <f>AE103+'02.02'!AF103</f>
        <v>0</v>
      </c>
      <c r="AG103" s="94">
        <f t="shared" si="162"/>
        <v>0</v>
      </c>
      <c r="AH103" s="56">
        <f t="shared" si="137"/>
        <v>0</v>
      </c>
      <c r="AI103" s="93"/>
      <c r="AJ103" s="93">
        <f t="shared" si="163"/>
        <v>0</v>
      </c>
      <c r="AK103" s="95">
        <f t="shared" ref="AK103:AK106" si="189">IF(V103="","",IF(AJ103=0,1,AJ103/$V103/$E103))</f>
        <v>1</v>
      </c>
      <c r="AL103" s="58">
        <f t="shared" si="174"/>
        <v>0</v>
      </c>
      <c r="AM103" s="55">
        <f t="shared" si="164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39"/>
        <v>0</v>
      </c>
      <c r="AV103" s="96">
        <f t="shared" si="139"/>
        <v>0</v>
      </c>
      <c r="AW103" s="96">
        <f t="shared" si="140"/>
        <v>0</v>
      </c>
      <c r="AX103" s="96">
        <f t="shared" si="141"/>
        <v>0</v>
      </c>
      <c r="AY103" s="94">
        <f t="shared" si="165"/>
        <v>0</v>
      </c>
      <c r="AZ103" s="94">
        <f t="shared" si="142"/>
        <v>0</v>
      </c>
      <c r="BA103" s="94">
        <f t="shared" si="171"/>
        <v>0</v>
      </c>
      <c r="BB103" s="97">
        <f t="shared" si="172"/>
        <v>0</v>
      </c>
      <c r="BC103" s="93"/>
      <c r="BD103" s="93">
        <f t="shared" si="143"/>
        <v>0</v>
      </c>
      <c r="BE103" s="95">
        <f t="shared" si="144"/>
        <v>1</v>
      </c>
      <c r="BF103" s="58">
        <f t="shared" si="175"/>
        <v>0</v>
      </c>
      <c r="BG103" s="94">
        <f t="shared" si="145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6"/>
        <v>0</v>
      </c>
      <c r="BP103" s="92">
        <f t="shared" si="166"/>
        <v>0</v>
      </c>
      <c r="BQ103" s="96">
        <f t="shared" si="146"/>
        <v>0</v>
      </c>
      <c r="BR103" s="96">
        <f t="shared" si="147"/>
        <v>0</v>
      </c>
      <c r="BS103" s="96">
        <f t="shared" si="167"/>
        <v>0</v>
      </c>
      <c r="BT103" s="96">
        <f t="shared" si="148"/>
        <v>0</v>
      </c>
      <c r="BU103" s="92">
        <f t="shared" si="122"/>
        <v>0</v>
      </c>
      <c r="BV103" s="98">
        <f t="shared" si="168"/>
        <v>0</v>
      </c>
      <c r="BW103" s="92">
        <f t="shared" si="123"/>
        <v>0</v>
      </c>
      <c r="BX103" s="98">
        <f t="shared" si="149"/>
        <v>0</v>
      </c>
      <c r="BY103" s="61">
        <f t="shared" si="173"/>
        <v>0</v>
      </c>
      <c r="BZ103" s="62">
        <f t="shared" si="150"/>
        <v>0</v>
      </c>
      <c r="CA103" s="98">
        <f t="shared" si="151"/>
        <v>0</v>
      </c>
      <c r="CB103" s="92">
        <f t="shared" si="124"/>
        <v>0</v>
      </c>
      <c r="CC103" s="92">
        <f t="shared" si="124"/>
        <v>0</v>
      </c>
      <c r="CD103" s="92">
        <f t="shared" si="124"/>
        <v>0</v>
      </c>
      <c r="CE103" s="99"/>
      <c r="CF103" s="99"/>
      <c r="CG103" s="51">
        <f t="shared" si="152"/>
        <v>0</v>
      </c>
      <c r="CH103" s="62">
        <f t="shared" si="153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88"/>
        <v>0</v>
      </c>
      <c r="CR103" s="102">
        <f t="shared" si="188"/>
        <v>0</v>
      </c>
      <c r="CS103" s="102">
        <f t="shared" si="188"/>
        <v>0</v>
      </c>
      <c r="CT103" s="92">
        <f t="shared" si="154"/>
        <v>0</v>
      </c>
      <c r="CU103" s="92">
        <f t="shared" si="102"/>
        <v>0</v>
      </c>
      <c r="CV103" s="103">
        <f t="shared" si="102"/>
        <v>0</v>
      </c>
      <c r="CW103" s="104"/>
      <c r="CX103" s="105">
        <v>90</v>
      </c>
      <c r="CY103" s="106">
        <f t="shared" si="155"/>
        <v>476</v>
      </c>
      <c r="CZ103" s="106">
        <f t="shared" si="156"/>
        <v>729</v>
      </c>
      <c r="DA103" s="106"/>
      <c r="DB103" s="106"/>
      <c r="DC103" s="105"/>
      <c r="DD103" s="107"/>
      <c r="DE103" s="92">
        <f t="shared" si="125"/>
        <v>0</v>
      </c>
      <c r="DF103" s="108">
        <f t="shared" si="126"/>
        <v>0</v>
      </c>
      <c r="DG103" s="115">
        <f t="shared" si="127"/>
        <v>0</v>
      </c>
      <c r="DH103" s="110">
        <f t="shared" si="128"/>
        <v>0</v>
      </c>
      <c r="DI103" s="108">
        <f t="shared" si="129"/>
        <v>0</v>
      </c>
      <c r="DJ103" s="112">
        <f t="shared" si="130"/>
        <v>0</v>
      </c>
      <c r="DK103" s="110">
        <f t="shared" si="181"/>
        <v>0</v>
      </c>
      <c r="DL103" s="108">
        <f t="shared" si="181"/>
        <v>0</v>
      </c>
      <c r="DM103" s="111">
        <f t="shared" si="181"/>
        <v>0</v>
      </c>
      <c r="DN103" s="76">
        <f t="shared" si="182"/>
        <v>0</v>
      </c>
      <c r="DO103" s="76">
        <f t="shared" si="182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7"/>
        <v>0</v>
      </c>
      <c r="DX103" s="81">
        <f t="shared" si="131"/>
        <v>0</v>
      </c>
      <c r="DY103" s="80">
        <f t="shared" si="158"/>
        <v>0</v>
      </c>
      <c r="DZ103" s="82">
        <f t="shared" si="159"/>
        <v>0</v>
      </c>
      <c r="EA103" s="82">
        <f t="shared" si="160"/>
        <v>0</v>
      </c>
      <c r="EB103" s="82">
        <f t="shared" si="161"/>
        <v>0</v>
      </c>
      <c r="EC103" s="82">
        <f t="shared" si="178"/>
        <v>0</v>
      </c>
      <c r="EF103" s="83">
        <f t="shared" ref="EF103:EF106" si="190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2"/>
        <v>TVSUS303-6x2.5-H9A14</v>
      </c>
      <c r="H104" s="46" t="str">
        <f t="shared" si="133"/>
        <v>SUS303TV60DH9</v>
      </c>
      <c r="I104" s="46" t="str">
        <f t="shared" si="134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5"/>
        <v>20</v>
      </c>
      <c r="T104" s="51">
        <f>'02.02'!BG104</f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5"/>
        <v>0</v>
      </c>
      <c r="Y104" s="93">
        <f t="shared" si="116"/>
        <v>0</v>
      </c>
      <c r="Z104" s="93">
        <f t="shared" si="117"/>
        <v>0</v>
      </c>
      <c r="AA104" s="93">
        <f t="shared" si="118"/>
        <v>0</v>
      </c>
      <c r="AB104" s="93">
        <f t="shared" si="119"/>
        <v>0</v>
      </c>
      <c r="AC104" s="93">
        <f t="shared" si="120"/>
        <v>0</v>
      </c>
      <c r="AD104" s="93">
        <f t="shared" si="121"/>
        <v>0</v>
      </c>
      <c r="AE104" s="93">
        <f t="shared" si="136"/>
        <v>0</v>
      </c>
      <c r="AF104" s="54">
        <f>AE104+'02.02'!AF104</f>
        <v>0</v>
      </c>
      <c r="AG104" s="94">
        <f t="shared" si="162"/>
        <v>18</v>
      </c>
      <c r="AH104" s="56">
        <f t="shared" si="137"/>
        <v>0</v>
      </c>
      <c r="AI104" s="93"/>
      <c r="AJ104" s="93">
        <f t="shared" si="163"/>
        <v>0</v>
      </c>
      <c r="AK104" s="95">
        <f t="shared" si="189"/>
        <v>1</v>
      </c>
      <c r="AL104" s="58">
        <f t="shared" si="174"/>
        <v>0</v>
      </c>
      <c r="AM104" s="55">
        <f t="shared" si="164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39"/>
        <v>0</v>
      </c>
      <c r="AV104" s="96">
        <f t="shared" si="139"/>
        <v>0</v>
      </c>
      <c r="AW104" s="96">
        <f t="shared" si="140"/>
        <v>0</v>
      </c>
      <c r="AX104" s="96">
        <f t="shared" si="141"/>
        <v>0</v>
      </c>
      <c r="AY104" s="94">
        <f t="shared" si="165"/>
        <v>0</v>
      </c>
      <c r="AZ104" s="94">
        <f t="shared" si="142"/>
        <v>0</v>
      </c>
      <c r="BA104" s="94">
        <f t="shared" si="171"/>
        <v>18</v>
      </c>
      <c r="BB104" s="97">
        <f t="shared" si="172"/>
        <v>0</v>
      </c>
      <c r="BC104" s="93"/>
      <c r="BD104" s="93">
        <f t="shared" si="143"/>
        <v>0</v>
      </c>
      <c r="BE104" s="95">
        <f t="shared" si="144"/>
        <v>1</v>
      </c>
      <c r="BF104" s="58">
        <f t="shared" si="175"/>
        <v>0</v>
      </c>
      <c r="BG104" s="94">
        <f t="shared" si="145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91">CO104</f>
        <v>0</v>
      </c>
      <c r="BP104" s="92">
        <f t="shared" si="191"/>
        <v>0</v>
      </c>
      <c r="BQ104" s="96">
        <f t="shared" si="146"/>
        <v>0</v>
      </c>
      <c r="BR104" s="96">
        <f t="shared" si="147"/>
        <v>0</v>
      </c>
      <c r="BS104" s="96">
        <f t="shared" si="167"/>
        <v>0</v>
      </c>
      <c r="BT104" s="96">
        <f t="shared" si="148"/>
        <v>0</v>
      </c>
      <c r="BU104" s="92">
        <f t="shared" si="122"/>
        <v>0</v>
      </c>
      <c r="BV104" s="98">
        <f t="shared" si="168"/>
        <v>0</v>
      </c>
      <c r="BW104" s="92">
        <f t="shared" si="123"/>
        <v>0</v>
      </c>
      <c r="BX104" s="98">
        <f t="shared" si="149"/>
        <v>0</v>
      </c>
      <c r="BY104" s="61">
        <f t="shared" si="173"/>
        <v>0</v>
      </c>
      <c r="BZ104" s="62">
        <f t="shared" si="150"/>
        <v>0</v>
      </c>
      <c r="CA104" s="98">
        <f t="shared" si="151"/>
        <v>0</v>
      </c>
      <c r="CB104" s="92">
        <f t="shared" si="124"/>
        <v>0</v>
      </c>
      <c r="CC104" s="92">
        <f t="shared" si="124"/>
        <v>0</v>
      </c>
      <c r="CD104" s="92">
        <f t="shared" si="124"/>
        <v>0</v>
      </c>
      <c r="CE104" s="99"/>
      <c r="CF104" s="99"/>
      <c r="CG104" s="51">
        <f t="shared" si="152"/>
        <v>0</v>
      </c>
      <c r="CH104" s="62">
        <f t="shared" si="153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88"/>
        <v>0</v>
      </c>
      <c r="CR104" s="102">
        <f t="shared" si="188"/>
        <v>0</v>
      </c>
      <c r="CS104" s="102">
        <f t="shared" si="188"/>
        <v>0</v>
      </c>
      <c r="CT104" s="92">
        <f t="shared" si="154"/>
        <v>0</v>
      </c>
      <c r="CU104" s="92">
        <f t="shared" ref="CU104:CV106" si="192">INT(IFERROR( AC104-CR104,0))</f>
        <v>0</v>
      </c>
      <c r="CV104" s="103">
        <f t="shared" si="192"/>
        <v>0</v>
      </c>
      <c r="CW104" s="178"/>
      <c r="CX104" s="179">
        <v>70</v>
      </c>
      <c r="CY104" s="180">
        <f t="shared" si="155"/>
        <v>570</v>
      </c>
      <c r="CZ104" s="180">
        <f t="shared" si="156"/>
        <v>567</v>
      </c>
      <c r="DA104" s="181"/>
      <c r="DB104" s="181"/>
      <c r="DC104" s="179"/>
      <c r="DD104" s="182"/>
      <c r="DE104" s="92">
        <f t="shared" si="125"/>
        <v>0</v>
      </c>
      <c r="DF104" s="108">
        <f t="shared" si="126"/>
        <v>0</v>
      </c>
      <c r="DG104" s="115">
        <f t="shared" si="127"/>
        <v>0</v>
      </c>
      <c r="DH104" s="110">
        <f t="shared" si="128"/>
        <v>0</v>
      </c>
      <c r="DI104" s="108">
        <f t="shared" si="129"/>
        <v>0</v>
      </c>
      <c r="DJ104" s="112">
        <f t="shared" si="130"/>
        <v>0</v>
      </c>
      <c r="DK104" s="110">
        <f t="shared" si="181"/>
        <v>0</v>
      </c>
      <c r="DL104" s="108">
        <f t="shared" si="181"/>
        <v>0</v>
      </c>
      <c r="DM104" s="111">
        <f t="shared" si="181"/>
        <v>0</v>
      </c>
      <c r="DN104" s="76">
        <f t="shared" si="182"/>
        <v>18</v>
      </c>
      <c r="DO104" s="76">
        <f t="shared" si="182"/>
        <v>0</v>
      </c>
      <c r="DP104" s="183"/>
      <c r="DQ104" s="183"/>
      <c r="DR104" s="184" t="s">
        <v>477</v>
      </c>
      <c r="DS104" s="183"/>
      <c r="DT104" s="183"/>
      <c r="DU104" s="185"/>
      <c r="DV104" s="186"/>
      <c r="DW104" s="80">
        <f t="shared" si="157"/>
        <v>0</v>
      </c>
      <c r="DX104" s="81">
        <f t="shared" si="131"/>
        <v>0</v>
      </c>
      <c r="DY104" s="80">
        <f t="shared" si="158"/>
        <v>0</v>
      </c>
      <c r="DZ104" s="82">
        <f t="shared" si="159"/>
        <v>0</v>
      </c>
      <c r="EA104" s="82">
        <f t="shared" si="160"/>
        <v>0</v>
      </c>
      <c r="EB104" s="82">
        <f t="shared" si="161"/>
        <v>0</v>
      </c>
      <c r="EC104" s="82">
        <f t="shared" si="178"/>
        <v>0</v>
      </c>
      <c r="EF104" s="83">
        <f t="shared" si="190"/>
        <v>0</v>
      </c>
    </row>
    <row r="105" spans="1:136" ht="14.1" customHeight="1">
      <c r="A105" s="84">
        <v>98</v>
      </c>
      <c r="B105" s="187" t="s">
        <v>402</v>
      </c>
      <c r="C105" s="86"/>
      <c r="D105" s="244" t="s">
        <v>403</v>
      </c>
      <c r="E105" s="189">
        <v>66</v>
      </c>
      <c r="F105" s="190" t="s">
        <v>147</v>
      </c>
      <c r="G105" s="191" t="str">
        <f t="shared" si="132"/>
        <v>TV12L14-H17x3-H11A14</v>
      </c>
      <c r="H105" s="191" t="str">
        <f t="shared" si="133"/>
        <v>12L14TV170HH11</v>
      </c>
      <c r="I105" s="191" t="str">
        <f t="shared" si="134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5"/>
        <v>16</v>
      </c>
      <c r="T105" s="51">
        <f>'02.02'!BG105</f>
        <v>0</v>
      </c>
      <c r="U105" s="194">
        <v>22</v>
      </c>
      <c r="V105" s="195">
        <v>60.8</v>
      </c>
      <c r="W105" s="196">
        <f>IF(V105="","",INT((AO105+BI105)/$V105))</f>
        <v>0</v>
      </c>
      <c r="X105" s="196">
        <f t="shared" si="115"/>
        <v>0</v>
      </c>
      <c r="Y105" s="196">
        <f t="shared" si="116"/>
        <v>0</v>
      </c>
      <c r="Z105" s="196">
        <f t="shared" si="117"/>
        <v>0</v>
      </c>
      <c r="AA105" s="196">
        <f t="shared" si="118"/>
        <v>0</v>
      </c>
      <c r="AB105" s="196">
        <f t="shared" si="119"/>
        <v>472</v>
      </c>
      <c r="AC105" s="196">
        <f t="shared" si="120"/>
        <v>0</v>
      </c>
      <c r="AD105" s="196">
        <f t="shared" si="121"/>
        <v>8</v>
      </c>
      <c r="AE105" s="196">
        <f t="shared" si="136"/>
        <v>472</v>
      </c>
      <c r="AF105" s="54">
        <f>AE105+'02.02'!AF105</f>
        <v>472</v>
      </c>
      <c r="AG105" s="94">
        <f t="shared" si="162"/>
        <v>0</v>
      </c>
      <c r="AH105" s="56">
        <f t="shared" si="137"/>
        <v>0</v>
      </c>
      <c r="AI105" s="196">
        <v>3</v>
      </c>
      <c r="AJ105" s="93">
        <f t="shared" si="163"/>
        <v>0</v>
      </c>
      <c r="AK105" s="197">
        <f t="shared" si="189"/>
        <v>1</v>
      </c>
      <c r="AL105" s="58">
        <f t="shared" si="174"/>
        <v>3</v>
      </c>
      <c r="AM105" s="55">
        <f t="shared" si="164"/>
        <v>19</v>
      </c>
      <c r="AN105" s="196"/>
      <c r="AO105" s="198"/>
      <c r="AP105" s="198"/>
      <c r="AQ105" s="198"/>
      <c r="AR105" s="198"/>
      <c r="AS105" s="198"/>
      <c r="AT105" s="198">
        <f>$CJ105</f>
        <v>11612.8</v>
      </c>
      <c r="AU105" s="198">
        <f t="shared" si="139"/>
        <v>0</v>
      </c>
      <c r="AV105" s="198">
        <f t="shared" si="139"/>
        <v>0</v>
      </c>
      <c r="AW105" s="198">
        <f t="shared" si="140"/>
        <v>11612.8</v>
      </c>
      <c r="AX105" s="198">
        <f t="shared" si="141"/>
        <v>191</v>
      </c>
      <c r="AY105" s="199">
        <f t="shared" si="165"/>
        <v>-425.60000000000036</v>
      </c>
      <c r="AZ105" s="199">
        <f t="shared" si="142"/>
        <v>-7.0000000000000062</v>
      </c>
      <c r="BA105" s="94">
        <f t="shared" si="171"/>
        <v>19</v>
      </c>
      <c r="BB105" s="200">
        <f t="shared" si="172"/>
        <v>0</v>
      </c>
      <c r="BC105" s="196">
        <v>5</v>
      </c>
      <c r="BD105" s="93">
        <f t="shared" si="143"/>
        <v>0</v>
      </c>
      <c r="BE105" s="197">
        <f t="shared" si="144"/>
        <v>1</v>
      </c>
      <c r="BF105" s="58">
        <f t="shared" si="175"/>
        <v>5</v>
      </c>
      <c r="BG105" s="94">
        <f t="shared" si="145"/>
        <v>14</v>
      </c>
      <c r="BH105" s="190"/>
      <c r="BI105" s="194"/>
      <c r="BJ105" s="194"/>
      <c r="BK105" s="190"/>
      <c r="BL105" s="190"/>
      <c r="BM105" s="190"/>
      <c r="BN105" s="194">
        <f>$CN105</f>
        <v>17084.8</v>
      </c>
      <c r="BO105" s="194">
        <f t="shared" si="191"/>
        <v>0</v>
      </c>
      <c r="BP105" s="194">
        <f t="shared" si="191"/>
        <v>495</v>
      </c>
      <c r="BQ105" s="198">
        <f t="shared" si="146"/>
        <v>17579.8</v>
      </c>
      <c r="BR105" s="198">
        <f t="shared" si="147"/>
        <v>289</v>
      </c>
      <c r="BS105" s="198">
        <f t="shared" si="167"/>
        <v>-2484.2000000000007</v>
      </c>
      <c r="BT105" s="198">
        <f t="shared" si="148"/>
        <v>-40.858552631578959</v>
      </c>
      <c r="BU105" s="194">
        <f t="shared" si="122"/>
        <v>472</v>
      </c>
      <c r="BV105" s="201">
        <f t="shared" si="168"/>
        <v>8</v>
      </c>
      <c r="BW105" s="194">
        <f t="shared" si="123"/>
        <v>-47.858552631578966</v>
      </c>
      <c r="BX105" s="201">
        <f t="shared" si="149"/>
        <v>46.4</v>
      </c>
      <c r="BY105" s="51">
        <f t="shared" si="173"/>
        <v>8</v>
      </c>
      <c r="BZ105" s="62">
        <f t="shared" si="150"/>
        <v>8</v>
      </c>
      <c r="CA105" s="201">
        <f t="shared" si="151"/>
        <v>29.192599999999999</v>
      </c>
      <c r="CB105" s="194">
        <f t="shared" si="124"/>
        <v>480</v>
      </c>
      <c r="CC105" s="194">
        <f t="shared" si="124"/>
        <v>-2909.8000000000011</v>
      </c>
      <c r="CD105" s="194">
        <f t="shared" si="124"/>
        <v>-47.858552631578966</v>
      </c>
      <c r="CE105" s="202"/>
      <c r="CF105" s="202"/>
      <c r="CG105" s="51">
        <f t="shared" si="152"/>
        <v>17.702400000000001</v>
      </c>
      <c r="CH105" s="62">
        <f t="shared" si="153"/>
        <v>17.702400000000001</v>
      </c>
      <c r="CI105" s="190"/>
      <c r="CJ105" s="190">
        <f>191*60.8</f>
        <v>11612.8</v>
      </c>
      <c r="CK105" s="190"/>
      <c r="CL105" s="198"/>
      <c r="CM105" s="190"/>
      <c r="CN105" s="190">
        <f>281*60.8</f>
        <v>17084.8</v>
      </c>
      <c r="CO105" s="190"/>
      <c r="CP105" s="190">
        <v>495</v>
      </c>
      <c r="CQ105" s="203">
        <f t="shared" si="188"/>
        <v>191</v>
      </c>
      <c r="CR105" s="203">
        <f t="shared" si="188"/>
        <v>0</v>
      </c>
      <c r="CS105" s="203">
        <f t="shared" si="188"/>
        <v>0</v>
      </c>
      <c r="CT105" s="194">
        <f t="shared" si="154"/>
        <v>281</v>
      </c>
      <c r="CU105" s="194">
        <f t="shared" si="192"/>
        <v>0</v>
      </c>
      <c r="CV105" s="204">
        <f t="shared" si="192"/>
        <v>8</v>
      </c>
      <c r="CW105" s="205"/>
      <c r="CX105" s="206">
        <v>81</v>
      </c>
      <c r="CY105" s="207">
        <f t="shared" si="155"/>
        <v>500</v>
      </c>
      <c r="CZ105" s="207">
        <f t="shared" si="156"/>
        <v>656.1</v>
      </c>
      <c r="DA105" s="207"/>
      <c r="DB105" s="207"/>
      <c r="DC105" s="206"/>
      <c r="DD105" s="208"/>
      <c r="DE105" s="194">
        <f t="shared" si="125"/>
        <v>191</v>
      </c>
      <c r="DF105" s="209">
        <f t="shared" si="126"/>
        <v>3</v>
      </c>
      <c r="DG105" s="115">
        <f t="shared" si="127"/>
        <v>-7.0000000000000062</v>
      </c>
      <c r="DH105" s="210">
        <f t="shared" si="128"/>
        <v>281</v>
      </c>
      <c r="DI105" s="209">
        <f t="shared" si="129"/>
        <v>5</v>
      </c>
      <c r="DJ105" s="76">
        <f t="shared" si="130"/>
        <v>-40.858552631578959</v>
      </c>
      <c r="DK105" s="210">
        <f t="shared" si="181"/>
        <v>472</v>
      </c>
      <c r="DL105" s="209">
        <f t="shared" si="181"/>
        <v>8</v>
      </c>
      <c r="DM105" s="211">
        <f t="shared" si="181"/>
        <v>-47.858552631578966</v>
      </c>
      <c r="DN105" s="76">
        <f t="shared" si="182"/>
        <v>0</v>
      </c>
      <c r="DO105" s="212">
        <f t="shared" si="182"/>
        <v>22</v>
      </c>
      <c r="DP105" s="212"/>
      <c r="DQ105" s="212"/>
      <c r="DR105" s="213" t="s">
        <v>480</v>
      </c>
      <c r="DS105" s="212"/>
      <c r="DT105" s="212"/>
      <c r="DU105" s="214"/>
      <c r="DV105" s="215"/>
      <c r="DW105" s="80">
        <f t="shared" si="157"/>
        <v>480</v>
      </c>
      <c r="DX105" s="81">
        <f t="shared" si="131"/>
        <v>432.14144736842104</v>
      </c>
      <c r="DY105" s="80">
        <f t="shared" si="158"/>
        <v>480</v>
      </c>
      <c r="DZ105" s="82">
        <f t="shared" si="159"/>
        <v>0.4864</v>
      </c>
      <c r="EA105" s="82">
        <f t="shared" si="160"/>
        <v>28.697599999999998</v>
      </c>
      <c r="EB105" s="82">
        <f t="shared" si="161"/>
        <v>17.702400000000001</v>
      </c>
      <c r="EC105" s="82">
        <f t="shared" si="178"/>
        <v>18.188800000000001</v>
      </c>
      <c r="EF105" s="83">
        <f t="shared" si="190"/>
        <v>-47.858552631578966</v>
      </c>
    </row>
    <row r="106" spans="1:136" ht="14.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2"/>
        <v>SSSUS316L-T2.2x0.78x2.5-H9A08</v>
      </c>
      <c r="H106" s="219" t="str">
        <f t="shared" si="133"/>
        <v>SUS316LSS2.20.78TH9</v>
      </c>
      <c r="I106" s="219" t="str">
        <f t="shared" si="134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5"/>
        <v>10</v>
      </c>
      <c r="T106" s="51">
        <f>'02.02'!BG106</f>
        <v>0</v>
      </c>
      <c r="U106" s="222"/>
      <c r="V106" s="223">
        <v>7.2999999999999995E-2</v>
      </c>
      <c r="W106" s="224">
        <f>IF(V106="","",INT((AO106+BI106)/$V106))</f>
        <v>0</v>
      </c>
      <c r="X106" s="224">
        <f t="shared" si="115"/>
        <v>0</v>
      </c>
      <c r="Y106" s="224">
        <f t="shared" si="116"/>
        <v>0</v>
      </c>
      <c r="Z106" s="224">
        <f t="shared" si="117"/>
        <v>0</v>
      </c>
      <c r="AA106" s="224">
        <f t="shared" si="118"/>
        <v>0</v>
      </c>
      <c r="AB106" s="224">
        <f t="shared" si="119"/>
        <v>0</v>
      </c>
      <c r="AC106" s="224">
        <f t="shared" si="120"/>
        <v>0</v>
      </c>
      <c r="AD106" s="224">
        <f t="shared" si="121"/>
        <v>0</v>
      </c>
      <c r="AE106" s="224">
        <f t="shared" si="136"/>
        <v>0</v>
      </c>
      <c r="AF106" s="54">
        <f>AE106+'02.02'!AF106</f>
        <v>0</v>
      </c>
      <c r="AG106" s="94">
        <f t="shared" si="162"/>
        <v>0</v>
      </c>
      <c r="AH106" s="56">
        <f t="shared" si="137"/>
        <v>0</v>
      </c>
      <c r="AI106" s="224"/>
      <c r="AJ106" s="93">
        <f t="shared" si="163"/>
        <v>0</v>
      </c>
      <c r="AK106" s="225">
        <f t="shared" si="189"/>
        <v>1</v>
      </c>
      <c r="AL106" s="58">
        <f t="shared" si="174"/>
        <v>0</v>
      </c>
      <c r="AM106" s="55">
        <f t="shared" si="164"/>
        <v>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39"/>
        <v>0</v>
      </c>
      <c r="AV106" s="226">
        <f t="shared" si="139"/>
        <v>0</v>
      </c>
      <c r="AW106" s="226">
        <f t="shared" si="140"/>
        <v>0</v>
      </c>
      <c r="AX106" s="226">
        <f t="shared" si="141"/>
        <v>0</v>
      </c>
      <c r="AY106" s="227">
        <f t="shared" si="165"/>
        <v>0</v>
      </c>
      <c r="AZ106" s="227">
        <f t="shared" si="142"/>
        <v>0</v>
      </c>
      <c r="BA106" s="94">
        <f t="shared" si="171"/>
        <v>0</v>
      </c>
      <c r="BB106" s="228">
        <f t="shared" si="172"/>
        <v>0</v>
      </c>
      <c r="BC106" s="224"/>
      <c r="BD106" s="93">
        <f t="shared" si="143"/>
        <v>0</v>
      </c>
      <c r="BE106" s="225">
        <f t="shared" si="144"/>
        <v>1</v>
      </c>
      <c r="BF106" s="58">
        <f t="shared" si="175"/>
        <v>0</v>
      </c>
      <c r="BG106" s="94">
        <f t="shared" si="145"/>
        <v>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91"/>
        <v>0</v>
      </c>
      <c r="BP106" s="222">
        <f t="shared" si="191"/>
        <v>0</v>
      </c>
      <c r="BQ106" s="226">
        <f t="shared" si="146"/>
        <v>0</v>
      </c>
      <c r="BR106" s="226">
        <f t="shared" si="147"/>
        <v>0</v>
      </c>
      <c r="BS106" s="226">
        <f t="shared" si="167"/>
        <v>0</v>
      </c>
      <c r="BT106" s="226">
        <f t="shared" si="148"/>
        <v>0</v>
      </c>
      <c r="BU106" s="222">
        <f t="shared" si="122"/>
        <v>0</v>
      </c>
      <c r="BV106" s="229">
        <f t="shared" si="168"/>
        <v>0</v>
      </c>
      <c r="BW106" s="222">
        <f t="shared" si="123"/>
        <v>0</v>
      </c>
      <c r="BX106" s="229" t="str">
        <f t="shared" si="149"/>
        <v/>
      </c>
      <c r="BY106" s="229">
        <f t="shared" si="173"/>
        <v>0</v>
      </c>
      <c r="BZ106" s="62">
        <f t="shared" si="150"/>
        <v>0</v>
      </c>
      <c r="CA106" s="229">
        <f t="shared" si="151"/>
        <v>0</v>
      </c>
      <c r="CB106" s="222">
        <f t="shared" si="124"/>
        <v>0</v>
      </c>
      <c r="CC106" s="222">
        <f t="shared" si="124"/>
        <v>0</v>
      </c>
      <c r="CD106" s="222">
        <f t="shared" si="124"/>
        <v>0</v>
      </c>
      <c r="CE106" s="230"/>
      <c r="CF106" s="230"/>
      <c r="CG106" s="229">
        <f t="shared" si="152"/>
        <v>0</v>
      </c>
      <c r="CH106" s="62">
        <f t="shared" si="153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88"/>
        <v>0</v>
      </c>
      <c r="CR106" s="222">
        <f t="shared" si="188"/>
        <v>0</v>
      </c>
      <c r="CS106" s="222">
        <f t="shared" si="188"/>
        <v>0</v>
      </c>
      <c r="CT106" s="222">
        <f t="shared" si="154"/>
        <v>0</v>
      </c>
      <c r="CU106" s="222">
        <f t="shared" si="192"/>
        <v>0</v>
      </c>
      <c r="CV106" s="222">
        <f t="shared" si="192"/>
        <v>0</v>
      </c>
      <c r="CW106" s="218"/>
      <c r="CX106" s="218">
        <v>43</v>
      </c>
      <c r="CY106" s="222">
        <f t="shared" si="155"/>
        <v>962</v>
      </c>
      <c r="CZ106" s="222">
        <f t="shared" si="156"/>
        <v>348.3</v>
      </c>
      <c r="DA106" s="222"/>
      <c r="DB106" s="222"/>
      <c r="DC106" s="218"/>
      <c r="DD106" s="218"/>
      <c r="DE106" s="222">
        <f t="shared" si="125"/>
        <v>0</v>
      </c>
      <c r="DF106" s="231">
        <f t="shared" si="126"/>
        <v>0</v>
      </c>
      <c r="DG106" s="115">
        <f t="shared" si="127"/>
        <v>0</v>
      </c>
      <c r="DH106" s="232">
        <f t="shared" si="128"/>
        <v>0</v>
      </c>
      <c r="DI106" s="231">
        <f t="shared" si="129"/>
        <v>0</v>
      </c>
      <c r="DJ106" s="183">
        <f t="shared" si="130"/>
        <v>0</v>
      </c>
      <c r="DK106" s="232">
        <f t="shared" si="181"/>
        <v>0</v>
      </c>
      <c r="DL106" s="231">
        <f t="shared" si="181"/>
        <v>0</v>
      </c>
      <c r="DM106" s="183">
        <f t="shared" si="181"/>
        <v>0</v>
      </c>
      <c r="DN106" s="76">
        <f t="shared" si="182"/>
        <v>0</v>
      </c>
      <c r="DO106" s="76">
        <f t="shared" si="182"/>
        <v>0</v>
      </c>
      <c r="DP106" s="183"/>
      <c r="DQ106" s="183"/>
      <c r="DR106" s="184"/>
      <c r="DS106" s="183"/>
      <c r="DT106" s="183"/>
      <c r="DU106" s="183"/>
      <c r="DV106" s="186"/>
      <c r="DW106" s="80">
        <f t="shared" si="157"/>
        <v>0</v>
      </c>
      <c r="DX106" s="81">
        <f t="shared" si="131"/>
        <v>0</v>
      </c>
      <c r="DY106" s="80">
        <f t="shared" si="158"/>
        <v>0</v>
      </c>
      <c r="DZ106" s="82">
        <f t="shared" si="159"/>
        <v>0</v>
      </c>
      <c r="EA106" s="82">
        <f t="shared" si="160"/>
        <v>0</v>
      </c>
      <c r="EB106" s="82" t="e">
        <f t="shared" si="161"/>
        <v>#VALUE!</v>
      </c>
      <c r="EC106" s="82" t="e">
        <f t="shared" si="178"/>
        <v>#VALUE!</v>
      </c>
      <c r="EF106" s="83">
        <f t="shared" si="190"/>
        <v>0</v>
      </c>
    </row>
    <row r="107" spans="1:136" ht="15" customHeight="1">
      <c r="A107" s="301" t="s">
        <v>407</v>
      </c>
      <c r="B107" s="301"/>
      <c r="C107" s="301"/>
      <c r="D107" s="302"/>
      <c r="AF107" s="54">
        <f>AE107+'02.02'!AF107</f>
        <v>0</v>
      </c>
      <c r="AK107" s="233" t="str">
        <f t="shared" si="138"/>
        <v/>
      </c>
      <c r="AL107" s="58" t="str">
        <f t="shared" si="174"/>
        <v/>
      </c>
      <c r="BZ107" s="62">
        <f t="shared" si="150"/>
        <v>0</v>
      </c>
      <c r="CH107" s="62">
        <f t="shared" si="153"/>
        <v>0</v>
      </c>
    </row>
    <row r="108" spans="1:136" ht="0.75" customHeight="1">
      <c r="X108" s="234"/>
      <c r="AF108" s="54">
        <f>AE108+'02.02'!AF108</f>
        <v>0</v>
      </c>
      <c r="AL108" s="58" t="str">
        <f t="shared" si="174"/>
        <v/>
      </c>
      <c r="BZ108" s="62">
        <f t="shared" si="150"/>
        <v>0</v>
      </c>
      <c r="CH108" s="62">
        <f t="shared" si="153"/>
        <v>0</v>
      </c>
    </row>
    <row r="109" spans="1:136">
      <c r="AF109" s="235"/>
      <c r="BZ109" s="62"/>
      <c r="CH109" s="62"/>
    </row>
    <row r="110" spans="1:136">
      <c r="A110">
        <v>37</v>
      </c>
      <c r="B110" t="s">
        <v>244</v>
      </c>
      <c r="D110" s="143" t="s">
        <v>245</v>
      </c>
      <c r="E110">
        <v>172</v>
      </c>
      <c r="F110" t="s">
        <v>136</v>
      </c>
      <c r="G110" t="s">
        <v>482</v>
      </c>
      <c r="H110" t="s">
        <v>483</v>
      </c>
      <c r="I110" t="s">
        <v>484</v>
      </c>
      <c r="J110" t="s">
        <v>226</v>
      </c>
      <c r="K110" t="s">
        <v>227</v>
      </c>
      <c r="L110">
        <v>4</v>
      </c>
      <c r="M110">
        <v>0</v>
      </c>
      <c r="N110" t="s">
        <v>128</v>
      </c>
      <c r="O110" t="s">
        <v>131</v>
      </c>
      <c r="P110">
        <v>3</v>
      </c>
      <c r="Q110">
        <v>0.29599999999999999</v>
      </c>
      <c r="R110" t="s">
        <v>246</v>
      </c>
      <c r="S110">
        <v>38</v>
      </c>
      <c r="T110">
        <v>24</v>
      </c>
      <c r="V110">
        <v>0.82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s="54">
        <v>4849</v>
      </c>
      <c r="AG110">
        <v>24</v>
      </c>
      <c r="AH110">
        <v>0</v>
      </c>
      <c r="AJ110">
        <v>0</v>
      </c>
      <c r="AK110">
        <v>1</v>
      </c>
      <c r="AL110">
        <v>0</v>
      </c>
      <c r="AM110">
        <v>24</v>
      </c>
      <c r="AP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24</v>
      </c>
      <c r="BB110">
        <v>0</v>
      </c>
      <c r="BD110">
        <v>0</v>
      </c>
      <c r="BE110">
        <v>1</v>
      </c>
      <c r="BF110">
        <v>0</v>
      </c>
      <c r="BG110">
        <v>24</v>
      </c>
      <c r="BJ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H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147</v>
      </c>
      <c r="CX110">
        <v>12</v>
      </c>
      <c r="CY110">
        <v>3285</v>
      </c>
      <c r="CZ110">
        <v>48.6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24</v>
      </c>
      <c r="DO110">
        <v>0</v>
      </c>
      <c r="DR110" t="s">
        <v>441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F110">
        <v>0</v>
      </c>
    </row>
    <row r="111" spans="1:136">
      <c r="AF111" s="54"/>
    </row>
    <row r="112" spans="1:136">
      <c r="F112" s="218"/>
      <c r="G112" s="219"/>
      <c r="H112" s="219"/>
      <c r="I112" s="219"/>
      <c r="J112" s="220"/>
      <c r="K112" s="220"/>
      <c r="L112" s="220"/>
      <c r="M112" s="220"/>
      <c r="N112" s="220"/>
      <c r="O112" s="220"/>
      <c r="P112" s="220"/>
      <c r="Q112" s="221"/>
      <c r="R112" s="220"/>
    </row>
    <row r="113" spans="6:18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1341.9099999999999</v>
      </c>
      <c r="DO160" s="83">
        <f>SUM(DO8:DO106)</f>
        <v>736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8"/>
    <filterColumn colId="123"/>
    <filterColumn colId="132"/>
  </autoFilter>
  <mergeCells count="162"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A1:D1"/>
    <mergeCell ref="J1:DT1"/>
    <mergeCell ref="DU1:DV1"/>
    <mergeCell ref="A2:D2"/>
    <mergeCell ref="E2:U2"/>
    <mergeCell ref="CW2:DD2"/>
    <mergeCell ref="DE2:DG2"/>
    <mergeCell ref="DH2:DJ2"/>
    <mergeCell ref="DK2:DM2"/>
  </mergeCells>
  <conditionalFormatting sqref="AL8:AL985">
    <cfRule type="cellIs" dxfId="25" priority="3" operator="greaterThan">
      <formula>0</formula>
    </cfRule>
  </conditionalFormatting>
  <conditionalFormatting sqref="BF8:BF985">
    <cfRule type="cellIs" dxfId="24" priority="2" operator="greaterThan">
      <formula>0</formula>
    </cfRule>
  </conditionalFormatting>
  <conditionalFormatting sqref="CI8:CP985">
    <cfRule type="cellIs" dxfId="23" priority="1" operator="greaterThan">
      <formula>0</formula>
    </cfRule>
  </conditionalFormatting>
  <pageMargins left="0.33" right="0.22" top="0.38" bottom="0.4" header="0.31496062992126" footer="0.31496062992126"/>
  <pageSetup paperSize="9" orientation="portrait" verticalDpi="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EF163"/>
  <sheetViews>
    <sheetView workbookViewId="0">
      <pane xSplit="4" ySplit="7" topLeftCell="E50" activePane="bottomRight" state="frozen"/>
      <selection pane="topRight" activeCell="E1" sqref="E1"/>
      <selection pane="bottomLeft" activeCell="A8" sqref="A8"/>
      <selection pane="bottomRight" activeCell="U105" sqref="U105"/>
    </sheetView>
  </sheetViews>
  <sheetFormatPr defaultRowHeight="15"/>
  <cols>
    <col min="1" max="1" width="4.140625" customWidth="1"/>
    <col min="2" max="2" width="6.5703125" customWidth="1"/>
    <col min="3" max="3" width="9.140625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108" width="9.140625" customWidth="1"/>
    <col min="109" max="117" width="9" customWidth="1"/>
    <col min="118" max="118" width="7" customWidth="1"/>
    <col min="119" max="120" width="6.7109375" customWidth="1"/>
    <col min="121" max="121" width="7.42578125" customWidth="1"/>
    <col min="122" max="122" width="12.28515625" customWidth="1"/>
    <col min="123" max="123" width="6.7109375" customWidth="1"/>
    <col min="124" max="124" width="9.140625" customWidth="1"/>
    <col min="125" max="125" width="13.7109375" customWidth="1"/>
    <col min="126" max="126" width="10.7109375" customWidth="1"/>
    <col min="127" max="152" width="9.140625" customWidth="1"/>
  </cols>
  <sheetData>
    <row r="1" spans="1:136" s="3" customFormat="1" ht="27" customHeight="1" thickBot="1">
      <c r="A1" s="402" t="s">
        <v>486</v>
      </c>
      <c r="B1" s="402"/>
      <c r="C1" s="402"/>
      <c r="D1" s="402"/>
      <c r="E1" s="241"/>
      <c r="F1" s="241"/>
      <c r="G1" s="241"/>
      <c r="H1" s="241"/>
      <c r="I1" s="241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43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42" t="s">
        <v>124</v>
      </c>
      <c r="AK6" s="242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42" t="s">
        <v>124</v>
      </c>
      <c r="BE6" s="242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132308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customHeight="1" thickBot="1">
      <c r="A7" s="30"/>
      <c r="D7" s="32"/>
      <c r="Q7" s="33"/>
      <c r="S7" s="31">
        <f>SUMIF(S8:S106,"&gt;0")</f>
        <v>2734</v>
      </c>
      <c r="T7" s="31">
        <f>SUM(T8:T106)</f>
        <v>1321.5</v>
      </c>
      <c r="U7" s="31">
        <f>SUM(U8:U106)</f>
        <v>809</v>
      </c>
      <c r="W7" s="31">
        <f t="shared" ref="W7:AD7" si="0">SUM(W8:W777)</f>
        <v>1106</v>
      </c>
      <c r="X7" s="31">
        <f t="shared" si="0"/>
        <v>48897</v>
      </c>
      <c r="Y7" s="31">
        <f t="shared" si="0"/>
        <v>6126</v>
      </c>
      <c r="Z7" s="31">
        <f t="shared" si="0"/>
        <v>11705</v>
      </c>
      <c r="AA7" s="31">
        <f t="shared" si="0"/>
        <v>3393</v>
      </c>
      <c r="AB7" s="31">
        <f t="shared" si="0"/>
        <v>61020</v>
      </c>
      <c r="AC7" s="31">
        <f t="shared" si="0"/>
        <v>61</v>
      </c>
      <c r="AD7" s="31">
        <f t="shared" si="0"/>
        <v>2116</v>
      </c>
      <c r="AE7" s="31">
        <f>SUM(AE8:AE777)</f>
        <v>132308</v>
      </c>
      <c r="AF7" s="31">
        <f>SUM(AF8:AF249)</f>
        <v>509609</v>
      </c>
      <c r="AG7" s="31">
        <f t="shared" ref="AG7:CP7" si="1">SUM(AG8:AG285)</f>
        <v>1345.5</v>
      </c>
      <c r="AH7" s="31">
        <f t="shared" si="1"/>
        <v>4.5</v>
      </c>
      <c r="AI7" s="31">
        <f t="shared" si="1"/>
        <v>402</v>
      </c>
      <c r="AJ7" s="31">
        <f t="shared" si="1"/>
        <v>1042</v>
      </c>
      <c r="AK7" s="31">
        <f t="shared" si="1"/>
        <v>94.168188931201485</v>
      </c>
      <c r="AL7" s="34">
        <f>SUM(AL8:AL285)</f>
        <v>400.73</v>
      </c>
      <c r="AM7" s="31">
        <f t="shared" si="1"/>
        <v>1753.77</v>
      </c>
      <c r="AN7" s="31">
        <f t="shared" si="1"/>
        <v>0</v>
      </c>
      <c r="AO7" s="31">
        <f t="shared" si="1"/>
        <v>12603.7</v>
      </c>
      <c r="AP7" s="31">
        <f t="shared" si="1"/>
        <v>92729.7</v>
      </c>
      <c r="AQ7" s="31">
        <f t="shared" si="1"/>
        <v>3826</v>
      </c>
      <c r="AR7" s="31">
        <f t="shared" si="1"/>
        <v>382</v>
      </c>
      <c r="AS7" s="31">
        <f t="shared" si="1"/>
        <v>4565.79</v>
      </c>
      <c r="AT7" s="31">
        <f t="shared" si="1"/>
        <v>23342</v>
      </c>
      <c r="AU7" s="31">
        <f t="shared" si="1"/>
        <v>1000</v>
      </c>
      <c r="AV7" s="31">
        <f t="shared" si="1"/>
        <v>3142</v>
      </c>
      <c r="AW7" s="31">
        <f t="shared" si="1"/>
        <v>141591.19</v>
      </c>
      <c r="AX7" s="31">
        <f t="shared" si="1"/>
        <v>69605</v>
      </c>
      <c r="AY7" s="31">
        <f t="shared" si="1"/>
        <v>-3216.977899999998</v>
      </c>
      <c r="AZ7" s="31">
        <f t="shared" si="1"/>
        <v>-976.77039980909512</v>
      </c>
      <c r="BA7" s="31">
        <f t="shared" si="1"/>
        <v>1753.77</v>
      </c>
      <c r="BB7" s="31">
        <f t="shared" si="1"/>
        <v>5.7700000000000005</v>
      </c>
      <c r="BC7" s="31">
        <f t="shared" si="1"/>
        <v>324</v>
      </c>
      <c r="BD7" s="31">
        <f t="shared" si="1"/>
        <v>22</v>
      </c>
      <c r="BE7" s="31">
        <f t="shared" si="1"/>
        <v>99.611111111111114</v>
      </c>
      <c r="BF7" s="34">
        <f t="shared" si="1"/>
        <v>329.39000000000004</v>
      </c>
      <c r="BG7" s="31">
        <f t="shared" si="1"/>
        <v>1424.38</v>
      </c>
      <c r="BH7" s="31">
        <f t="shared" si="1"/>
        <v>0</v>
      </c>
      <c r="BI7" s="31">
        <f t="shared" si="1"/>
        <v>12074.4</v>
      </c>
      <c r="BJ7" s="31">
        <f t="shared" si="1"/>
        <v>68774.799999999988</v>
      </c>
      <c r="BK7" s="31">
        <f t="shared" si="1"/>
        <v>3710</v>
      </c>
      <c r="BL7" s="31">
        <f t="shared" si="1"/>
        <v>861</v>
      </c>
      <c r="BM7" s="31">
        <f t="shared" si="1"/>
        <v>3571</v>
      </c>
      <c r="BN7" s="31">
        <f t="shared" si="1"/>
        <v>16114.4</v>
      </c>
      <c r="BO7" s="31">
        <f t="shared" si="1"/>
        <v>0</v>
      </c>
      <c r="BP7" s="31">
        <f t="shared" si="1"/>
        <v>1883</v>
      </c>
      <c r="BQ7" s="31">
        <f t="shared" si="1"/>
        <v>106988.59999999998</v>
      </c>
      <c r="BR7" s="31">
        <f t="shared" si="1"/>
        <v>64814</v>
      </c>
      <c r="BS7" s="31">
        <f t="shared" si="1"/>
        <v>-2378.6405999999993</v>
      </c>
      <c r="BT7" s="31">
        <f t="shared" si="1"/>
        <v>-1324.7407107466938</v>
      </c>
      <c r="BU7" s="31">
        <f t="shared" si="1"/>
        <v>132308</v>
      </c>
      <c r="BV7" s="34">
        <f t="shared" si="1"/>
        <v>730.12</v>
      </c>
      <c r="BW7" s="31">
        <f t="shared" si="1"/>
        <v>-2301.511110555788</v>
      </c>
      <c r="BX7" s="31">
        <f t="shared" si="1"/>
        <v>630.04124999999999</v>
      </c>
      <c r="BY7" s="34">
        <f t="shared" si="1"/>
        <v>730.12</v>
      </c>
      <c r="BZ7" s="35">
        <f t="shared" si="1"/>
        <v>730.12</v>
      </c>
      <c r="CA7" s="31">
        <f t="shared" si="1"/>
        <v>248.57979</v>
      </c>
      <c r="CB7" s="31">
        <f t="shared" si="1"/>
        <v>134419</v>
      </c>
      <c r="CC7" s="31">
        <f t="shared" si="1"/>
        <v>-5595.6184999999969</v>
      </c>
      <c r="CD7" s="31">
        <f t="shared" si="1"/>
        <v>-2301.511110555788</v>
      </c>
      <c r="CE7" s="36">
        <f t="shared" si="1"/>
        <v>0</v>
      </c>
      <c r="CF7" s="36">
        <f t="shared" si="1"/>
        <v>0</v>
      </c>
      <c r="CG7" s="34">
        <f t="shared" si="1"/>
        <v>408.25746000000015</v>
      </c>
      <c r="CH7" s="35">
        <f t="shared" si="1"/>
        <v>408.25746000000015</v>
      </c>
      <c r="CI7" s="31">
        <f t="shared" si="1"/>
        <v>1042</v>
      </c>
      <c r="CJ7" s="31">
        <f t="shared" si="1"/>
        <v>137449.19</v>
      </c>
      <c r="CK7" s="31">
        <f t="shared" si="1"/>
        <v>1000</v>
      </c>
      <c r="CL7" s="31">
        <f t="shared" si="1"/>
        <v>3142</v>
      </c>
      <c r="CM7" s="31">
        <f t="shared" si="1"/>
        <v>22</v>
      </c>
      <c r="CN7" s="31">
        <f t="shared" si="1"/>
        <v>105105.59999999998</v>
      </c>
      <c r="CO7" s="31">
        <f t="shared" si="1"/>
        <v>0</v>
      </c>
      <c r="CP7" s="31">
        <f t="shared" si="1"/>
        <v>1883</v>
      </c>
      <c r="CQ7" s="31">
        <f t="shared" ref="CQ7:CV7" si="2">SUM(CQ8:CQ777)</f>
        <v>68477</v>
      </c>
      <c r="CR7" s="31">
        <f t="shared" si="2"/>
        <v>61</v>
      </c>
      <c r="CS7" s="31">
        <f t="shared" si="2"/>
        <v>1059</v>
      </c>
      <c r="CT7" s="31">
        <f t="shared" si="2"/>
        <v>63770</v>
      </c>
      <c r="CU7" s="31">
        <f t="shared" si="2"/>
        <v>0</v>
      </c>
      <c r="CV7" s="31">
        <f t="shared" si="2"/>
        <v>1057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68538</v>
      </c>
      <c r="DF7" s="38">
        <f t="shared" si="4"/>
        <v>400.73</v>
      </c>
      <c r="DG7" s="37">
        <f t="shared" si="4"/>
        <v>-976.77039980909512</v>
      </c>
      <c r="DH7" s="37">
        <f t="shared" si="4"/>
        <v>63770</v>
      </c>
      <c r="DI7" s="38">
        <f t="shared" si="4"/>
        <v>329.39000000000004</v>
      </c>
      <c r="DJ7" s="37">
        <f t="shared" si="4"/>
        <v>-1324.7407107466938</v>
      </c>
      <c r="DK7" s="37">
        <f t="shared" si="4"/>
        <v>132308</v>
      </c>
      <c r="DL7" s="38">
        <f t="shared" si="4"/>
        <v>730.12</v>
      </c>
      <c r="DM7" s="37">
        <f t="shared" si="4"/>
        <v>-2301.511110555788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v>15</v>
      </c>
      <c r="U8" s="52"/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0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0</v>
      </c>
      <c r="AE8" s="53">
        <f>IF(V8="","",SUM(W8:AC8))</f>
        <v>0</v>
      </c>
      <c r="AF8" s="54">
        <f>AE8+'03.02'!AF8</f>
        <v>148</v>
      </c>
      <c r="AG8" s="55">
        <f>T8</f>
        <v>15</v>
      </c>
      <c r="AH8" s="56">
        <f t="shared" ref="AH8:AH72" si="13">IFERROR(VALUE("0"&amp;RIGHT(AG8,(LEN(AG8)-LEN(TRUNC(AG8))))),"")</f>
        <v>0</v>
      </c>
      <c r="AI8" s="53"/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0</v>
      </c>
      <c r="AM8" s="55">
        <f>IF(V8="","",AG8+U8-AL8)</f>
        <v>15</v>
      </c>
      <c r="AN8" s="53"/>
      <c r="AO8" s="59"/>
      <c r="AP8" s="59">
        <f t="shared" ref="AP8:AP13" si="14">$CJ8</f>
        <v>0</v>
      </c>
      <c r="AQ8" s="59"/>
      <c r="AR8" s="59"/>
      <c r="AS8" s="59"/>
      <c r="AT8" s="59"/>
      <c r="AU8" s="59">
        <f>CK8</f>
        <v>0</v>
      </c>
      <c r="AV8" s="59">
        <f>CL8</f>
        <v>0</v>
      </c>
      <c r="AW8" s="59">
        <f>SUM(AO8:AV8)</f>
        <v>0</v>
      </c>
      <c r="AX8" s="59">
        <f>IF(V8="","",INT(AW8/$V8))</f>
        <v>0</v>
      </c>
      <c r="AY8" s="55">
        <f>IF(V8="","",AW8-AL8*$E8*$V8)</f>
        <v>0</v>
      </c>
      <c r="AZ8" s="59">
        <f>IF($V8="","",AY8/$V8)</f>
        <v>0</v>
      </c>
      <c r="BA8" s="55">
        <f>AM8</f>
        <v>15</v>
      </c>
      <c r="BB8" s="60">
        <f>VALUE("0"&amp;RIGHT(BA8,(LEN(BA8)-LEN(TRUNC(BA8)))))</f>
        <v>0</v>
      </c>
      <c r="BC8" s="53"/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0</v>
      </c>
      <c r="BG8" s="55">
        <f>IF(AA8="","",BA8-BF8)</f>
        <v>15</v>
      </c>
      <c r="BH8" s="44"/>
      <c r="BI8" s="44"/>
      <c r="BJ8" s="52">
        <f t="shared" ref="BJ8:BJ13" si="15">$CN8</f>
        <v>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0</v>
      </c>
      <c r="BR8" s="59">
        <f>IF(AA8="","",INT(BQ8/$V8))</f>
        <v>0</v>
      </c>
      <c r="BS8" s="59">
        <f>IF(AA8="","",-BF8*$E8*$V8+BQ8)</f>
        <v>0</v>
      </c>
      <c r="BT8" s="59">
        <f>IF($V8="","",BS8/$V8)</f>
        <v>0</v>
      </c>
      <c r="BU8" s="52">
        <f t="shared" ref="BU8:BU71" si="16">IFERROR(AE8,"")</f>
        <v>0</v>
      </c>
      <c r="BV8" s="61">
        <f t="shared" ref="BV8:BV73" si="17">IFERROR(BF8+AL8,"")</f>
        <v>0</v>
      </c>
      <c r="BW8" s="52">
        <f t="shared" ref="BW8:BW71" si="18">IFERROR(BT8+AZ8,"")</f>
        <v>0</v>
      </c>
      <c r="BX8" s="61">
        <f>IF($Q8="","",(BF8+AL8)*$Q8)</f>
        <v>0</v>
      </c>
      <c r="BY8" s="61">
        <f>IFERROR(BF8+AL8,0)</f>
        <v>0</v>
      </c>
      <c r="BZ8" s="62">
        <f>BY8</f>
        <v>0</v>
      </c>
      <c r="CA8" s="51">
        <f>IFERROR((BQ8+AW8)/1000,"")</f>
        <v>0</v>
      </c>
      <c r="CB8" s="63">
        <f t="shared" ref="CB8:CD39" si="19">IFERROR(BR8+AX8,"")</f>
        <v>0</v>
      </c>
      <c r="CC8" s="63">
        <f t="shared" si="19"/>
        <v>0</v>
      </c>
      <c r="CD8" s="63">
        <f t="shared" si="19"/>
        <v>0</v>
      </c>
      <c r="CE8" s="64"/>
      <c r="CF8" s="64"/>
      <c r="CG8" s="51">
        <f>IF(BX8="",0,(BX8-CA8)+((AV8+BP8)/1000))</f>
        <v>0</v>
      </c>
      <c r="CH8" s="62">
        <f>CG8</f>
        <v>0</v>
      </c>
      <c r="CI8" s="44"/>
      <c r="CJ8" s="44"/>
      <c r="CK8" s="44"/>
      <c r="CL8" s="59"/>
      <c r="CM8" s="44"/>
      <c r="CN8" s="44"/>
      <c r="CO8" s="52"/>
      <c r="CP8" s="65"/>
      <c r="CQ8" s="66">
        <f>INT(IFERROR( CJ8/$V8,0))</f>
        <v>0</v>
      </c>
      <c r="CR8" s="66">
        <f t="shared" ref="CR8:CS23" si="20">INT(IFERROR( CK8/$V8,0))</f>
        <v>0</v>
      </c>
      <c r="CS8" s="66">
        <f t="shared" si="20"/>
        <v>0</v>
      </c>
      <c r="CT8" s="63">
        <f>INT(IFERROR( AE8-CQ8-CU8-CR8,0))</f>
        <v>0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0</v>
      </c>
      <c r="DF8" s="72">
        <f t="shared" ref="DF8:DF71" si="22">IFERROR(AL8,"")</f>
        <v>0</v>
      </c>
      <c r="DG8" s="73">
        <f t="shared" ref="DG8:DG71" si="23">IFERROR(AZ8,"")</f>
        <v>0</v>
      </c>
      <c r="DH8" s="74">
        <f t="shared" ref="DH8:DH71" si="24">IFERROR(CT8+CU8,"")</f>
        <v>0</v>
      </c>
      <c r="DI8" s="72">
        <f t="shared" ref="DI8:DI71" si="25">IFERROR(BF8,"")</f>
        <v>0</v>
      </c>
      <c r="DJ8" s="73">
        <f t="shared" ref="DJ8:DJ71" si="26">IFERROR(BT8,"")</f>
        <v>0</v>
      </c>
      <c r="DK8" s="74">
        <f t="shared" ref="DK8:DM23" si="27">IFERROR(DE8+DH8,"")</f>
        <v>0</v>
      </c>
      <c r="DL8" s="72">
        <f t="shared" si="27"/>
        <v>0</v>
      </c>
      <c r="DM8" s="75">
        <f t="shared" si="27"/>
        <v>0</v>
      </c>
      <c r="DN8" s="76">
        <f t="shared" ref="DN8:DO25" si="28">T8</f>
        <v>15</v>
      </c>
      <c r="DO8" s="73">
        <f>U8</f>
        <v>0</v>
      </c>
      <c r="DP8" s="77"/>
      <c r="DQ8" s="77"/>
      <c r="DR8" s="78" t="s">
        <v>417</v>
      </c>
      <c r="DS8" s="77"/>
      <c r="DT8" s="77"/>
      <c r="DU8" s="75"/>
      <c r="DV8" s="79"/>
      <c r="DW8" s="80">
        <f>IFERROR(AL8+BC8,"")</f>
        <v>0</v>
      </c>
      <c r="DX8" s="81">
        <f t="shared" ref="DX8:DX71" si="29">IFERROR(DK8+DL8+DM8,"")</f>
        <v>0</v>
      </c>
      <c r="DY8" s="80">
        <f>CQ8+CR8+CS8+CT8+CU8+CV8</f>
        <v>0</v>
      </c>
      <c r="DZ8">
        <f>IFERROR((AD8*V8/1000),0)</f>
        <v>0</v>
      </c>
      <c r="EA8" s="82">
        <f>IFERROR((AE8*V8/1000),0)</f>
        <v>0</v>
      </c>
      <c r="EB8" s="82">
        <f>BX8-EA8</f>
        <v>0</v>
      </c>
      <c r="EC8" s="82">
        <f t="shared" ref="EC8:EC13" si="30">(BX8-CA8)+((AV8+BP8)/1000)</f>
        <v>0</v>
      </c>
      <c r="EF8" s="83">
        <f>DG8+DJ8</f>
        <v>0</v>
      </c>
    </row>
    <row r="9" spans="1:136" ht="15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1">CONCATENATE(K9,J9,"-",IF(N9="D",L9,IF(N9="H",CONCATENATE(N9,L9),CONCATENATE(N9,L9,"x",M9))),"x",P9,"-",O9,R9)</f>
        <v>TV12L14-10x2.5-H9A14</v>
      </c>
      <c r="H9" s="46" t="str">
        <f t="shared" ref="H9:H72" si="32">CONCATENATE(J9,,K9,L9,M9,N9,O9)</f>
        <v>12L14TV100DH9</v>
      </c>
      <c r="I9" s="46" t="str">
        <f t="shared" ref="I9:I72" si="33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4">ROUND(CY9/E9,0)*2</f>
        <v>70</v>
      </c>
      <c r="T9" s="51">
        <f>'03.02'!BG9</f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5">IF(V9="","",SUM(W9:AC9))</f>
        <v>0</v>
      </c>
      <c r="AF9" s="54">
        <f>AE9+'03.02'!AF9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6">IF(V9="","",IF(AJ9=0,1,AJ9/$V9/$E9))</f>
        <v>1</v>
      </c>
      <c r="AL9" s="58">
        <f t="shared" ref="AL9:AL75" si="37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8">CL9</f>
        <v>0</v>
      </c>
      <c r="AW9" s="96">
        <f t="shared" ref="AW9:AW72" si="39">SUM(AO9:AV9)</f>
        <v>0</v>
      </c>
      <c r="AX9" s="96">
        <f t="shared" ref="AX9:AX72" si="40">IF(V9="","",INT(AW9/$V9))</f>
        <v>0</v>
      </c>
      <c r="AY9" s="94">
        <f>IF(V9="","",AW9-AL9*$E9*$V9)</f>
        <v>0</v>
      </c>
      <c r="AZ9" s="94">
        <f t="shared" ref="AZ9:AZ72" si="41">IF($V9="","",AY9/$V9)</f>
        <v>0</v>
      </c>
      <c r="BA9" s="94">
        <f t="shared" ref="BA9:BA74" si="42">AM9</f>
        <v>0</v>
      </c>
      <c r="BB9" s="97">
        <f t="shared" ref="BB9:BB74" si="43">VALUE("0"&amp;RIGHT(BA9,(LEN(BA9)-LEN(TRUNC(BA9)))))</f>
        <v>0</v>
      </c>
      <c r="BC9" s="93"/>
      <c r="BD9" s="93">
        <f t="shared" ref="BD9:BD72" si="44">$CM9</f>
        <v>0</v>
      </c>
      <c r="BE9" s="95">
        <f t="shared" ref="BE9:BE72" si="45">IF(AA9="","",IF(BD9=0,1,BD9/$V9/$E9))</f>
        <v>1</v>
      </c>
      <c r="BF9" s="58">
        <f t="shared" ref="BF9:BF76" si="46">IF(V9="","",MAX(ROUNDUP((IF(BC9+BD9=0,0,BB9)+BC9+BE9-1),2),0))</f>
        <v>0</v>
      </c>
      <c r="BG9" s="94">
        <f t="shared" ref="BG9:BG72" si="47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8">SUM(BI9:BP9)</f>
        <v>0</v>
      </c>
      <c r="BR9" s="96">
        <f t="shared" ref="BR9:BR72" si="49">IF(AA9="","",INT(BQ9/$V9))</f>
        <v>0</v>
      </c>
      <c r="BS9" s="96">
        <f>IF(AA9="","",-BF9*$E9*$V9+BQ9)</f>
        <v>0</v>
      </c>
      <c r="BT9" s="96">
        <f t="shared" ref="BT9:BT72" si="50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1">IF($Q9="","",(BF9+AL9)*$Q9)</f>
        <v>0</v>
      </c>
      <c r="BY9" s="61">
        <f>IFERROR(BF9+AL9,0)</f>
        <v>0</v>
      </c>
      <c r="BZ9" s="62">
        <f t="shared" ref="BZ9:BZ72" si="52">BY9</f>
        <v>0</v>
      </c>
      <c r="CA9" s="98">
        <f t="shared" ref="CA9:CA72" si="53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4">IF(BX9="",0,(BX9-CA9)+((AV9+BP9)/1000))</f>
        <v>0</v>
      </c>
      <c r="CH9" s="62">
        <f t="shared" ref="CH9:CH72" si="55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6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7">INT(IFERROR( AE9-CQ9-CU9-CR9,0))</f>
        <v>0</v>
      </c>
      <c r="CU9" s="92">
        <f t="shared" ref="CU9:CV24" si="58">INT(IFERROR( AC9-CR9,0))</f>
        <v>0</v>
      </c>
      <c r="CV9" s="103">
        <f t="shared" si="58"/>
        <v>0</v>
      </c>
      <c r="CW9" s="104"/>
      <c r="CX9" s="105">
        <v>67</v>
      </c>
      <c r="CY9" s="106">
        <f t="shared" ref="CY9:CY72" si="59">INT(60/CX9*60*(12-(CEILING((60/CX9*60*12)/E9,1)*IF(CW9="T",0.45,IF(CW9="",5,3))/60)))</f>
        <v>282</v>
      </c>
      <c r="CZ9" s="106">
        <f t="shared" ref="CZ9:CZ72" si="60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si="28"/>
        <v>0</v>
      </c>
      <c r="DO9" s="76">
        <f t="shared" si="28"/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1">IFERROR(BU9+BV9,"")</f>
        <v>0</v>
      </c>
      <c r="DX9" s="81">
        <f t="shared" si="29"/>
        <v>0</v>
      </c>
      <c r="DY9" s="80">
        <f t="shared" ref="DY9:DY72" si="62">CQ9+CR9+CS9+CT9+CU9+CV9</f>
        <v>0</v>
      </c>
      <c r="DZ9">
        <f t="shared" ref="DZ9:DZ72" si="63">IFERROR((AD9*V9/1000),0)</f>
        <v>0</v>
      </c>
      <c r="EA9" s="82">
        <f t="shared" ref="EA9:EA72" si="64">IFERROR((AE9*V9/1000),0)</f>
        <v>0</v>
      </c>
      <c r="EB9" s="82">
        <f t="shared" ref="EB9:EB72" si="65">BX9-EA9</f>
        <v>0</v>
      </c>
      <c r="EC9" s="82">
        <f t="shared" si="30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1"/>
        <v>GWA6063-T5-17x3-H9B15</v>
      </c>
      <c r="H10" s="46" t="str">
        <f t="shared" si="32"/>
        <v>A6063-T5GW170DH9</v>
      </c>
      <c r="I10" s="46" t="str">
        <f t="shared" si="33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4"/>
        <v>22</v>
      </c>
      <c r="T10" s="51">
        <f>'03.02'!BG10</f>
        <v>0</v>
      </c>
      <c r="U10" s="92">
        <v>20</v>
      </c>
      <c r="V10" s="89">
        <v>10.1</v>
      </c>
      <c r="W10" s="93">
        <f t="shared" si="5"/>
        <v>0</v>
      </c>
      <c r="X10" s="93">
        <f t="shared" si="6"/>
        <v>1069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26</v>
      </c>
      <c r="AE10" s="93">
        <f t="shared" si="35"/>
        <v>1069</v>
      </c>
      <c r="AF10" s="54">
        <f>AE10+'03.02'!AF10</f>
        <v>4880</v>
      </c>
      <c r="AG10" s="94">
        <f t="shared" ref="AG10:AG73" si="66">T10</f>
        <v>0</v>
      </c>
      <c r="AH10" s="56">
        <f t="shared" si="13"/>
        <v>0</v>
      </c>
      <c r="AI10" s="89">
        <v>9</v>
      </c>
      <c r="AJ10" s="93">
        <f t="shared" ref="AJ10:AJ73" si="67">$CI10</f>
        <v>0</v>
      </c>
      <c r="AK10" s="95">
        <f t="shared" si="36"/>
        <v>1</v>
      </c>
      <c r="AL10" s="58">
        <f t="shared" si="37"/>
        <v>9</v>
      </c>
      <c r="AM10" s="55">
        <f t="shared" ref="AM10:AM73" si="68">IF(V10="","",AG10+U10-AL10)</f>
        <v>11</v>
      </c>
      <c r="AN10" s="93"/>
      <c r="AO10" s="96"/>
      <c r="AP10" s="96">
        <f t="shared" si="14"/>
        <v>6000</v>
      </c>
      <c r="AQ10" s="96"/>
      <c r="AR10" s="96"/>
      <c r="AS10" s="96"/>
      <c r="AT10" s="96"/>
      <c r="AU10" s="96">
        <f t="shared" si="38"/>
        <v>0</v>
      </c>
      <c r="AV10" s="96">
        <f t="shared" si="38"/>
        <v>268</v>
      </c>
      <c r="AW10" s="96">
        <f t="shared" si="39"/>
        <v>6268</v>
      </c>
      <c r="AX10" s="96">
        <f t="shared" si="40"/>
        <v>620</v>
      </c>
      <c r="AY10" s="94">
        <f t="shared" ref="AY10:AY73" si="69">IF(V10="","",AW10-AL10*$E10*$V10)</f>
        <v>-95</v>
      </c>
      <c r="AZ10" s="94">
        <f t="shared" si="41"/>
        <v>-9.4059405940594054</v>
      </c>
      <c r="BA10" s="94">
        <f t="shared" si="42"/>
        <v>11</v>
      </c>
      <c r="BB10" s="97">
        <f t="shared" si="43"/>
        <v>0</v>
      </c>
      <c r="BC10" s="93">
        <v>7</v>
      </c>
      <c r="BD10" s="93">
        <f t="shared" si="44"/>
        <v>0</v>
      </c>
      <c r="BE10" s="95">
        <f t="shared" si="45"/>
        <v>1</v>
      </c>
      <c r="BF10" s="58">
        <f t="shared" si="46"/>
        <v>7</v>
      </c>
      <c r="BG10" s="94">
        <f t="shared" si="47"/>
        <v>4</v>
      </c>
      <c r="BH10" s="89"/>
      <c r="BI10" s="89"/>
      <c r="BJ10" s="92">
        <f t="shared" si="15"/>
        <v>4800</v>
      </c>
      <c r="BK10" s="89"/>
      <c r="BL10" s="89"/>
      <c r="BM10" s="89"/>
      <c r="BN10" s="89"/>
      <c r="BO10" s="92">
        <f t="shared" ref="BO10:BP73" si="70">CO10</f>
        <v>0</v>
      </c>
      <c r="BP10" s="92">
        <f t="shared" si="70"/>
        <v>0</v>
      </c>
      <c r="BQ10" s="96">
        <f t="shared" si="48"/>
        <v>4800</v>
      </c>
      <c r="BR10" s="96">
        <f t="shared" si="49"/>
        <v>475</v>
      </c>
      <c r="BS10" s="96">
        <f t="shared" ref="BS10:BS73" si="71">IF(AA10="","",-BF10*$E10*$V10+BQ10)</f>
        <v>-149</v>
      </c>
      <c r="BT10" s="96">
        <f t="shared" si="50"/>
        <v>-14.752475247524753</v>
      </c>
      <c r="BU10" s="92">
        <f t="shared" si="16"/>
        <v>1069</v>
      </c>
      <c r="BV10" s="98">
        <f t="shared" si="17"/>
        <v>16</v>
      </c>
      <c r="BW10" s="92">
        <f t="shared" si="18"/>
        <v>-24.158415841584159</v>
      </c>
      <c r="BX10" s="61">
        <f t="shared" si="51"/>
        <v>29.312000000000001</v>
      </c>
      <c r="BY10" s="61">
        <f>IFERROR(BF10+AL10,0)</f>
        <v>16</v>
      </c>
      <c r="BZ10" s="62">
        <f t="shared" si="52"/>
        <v>16</v>
      </c>
      <c r="CA10" s="98">
        <f t="shared" si="53"/>
        <v>11.068</v>
      </c>
      <c r="CB10" s="92">
        <f t="shared" si="19"/>
        <v>1095</v>
      </c>
      <c r="CC10" s="92">
        <f t="shared" si="19"/>
        <v>-244</v>
      </c>
      <c r="CD10" s="92">
        <f t="shared" si="19"/>
        <v>-24.158415841584159</v>
      </c>
      <c r="CE10" s="99"/>
      <c r="CF10" s="99"/>
      <c r="CG10" s="51">
        <f t="shared" si="54"/>
        <v>18.512</v>
      </c>
      <c r="CH10" s="62">
        <f t="shared" si="55"/>
        <v>18.512</v>
      </c>
      <c r="CI10" s="89"/>
      <c r="CJ10" s="89">
        <v>6000</v>
      </c>
      <c r="CK10" s="89"/>
      <c r="CL10" s="96">
        <v>268</v>
      </c>
      <c r="CM10" s="89"/>
      <c r="CN10" s="89">
        <v>4800</v>
      </c>
      <c r="CO10" s="92"/>
      <c r="CP10" s="101"/>
      <c r="CQ10" s="102">
        <f t="shared" si="56"/>
        <v>594</v>
      </c>
      <c r="CR10" s="102">
        <f t="shared" si="20"/>
        <v>0</v>
      </c>
      <c r="CS10" s="102">
        <f t="shared" si="20"/>
        <v>26</v>
      </c>
      <c r="CT10" s="92">
        <f t="shared" si="57"/>
        <v>475</v>
      </c>
      <c r="CU10" s="92">
        <f t="shared" si="58"/>
        <v>0</v>
      </c>
      <c r="CV10" s="103">
        <f t="shared" si="58"/>
        <v>0</v>
      </c>
      <c r="CW10" s="104"/>
      <c r="CX10" s="105">
        <v>51</v>
      </c>
      <c r="CY10" s="106">
        <f t="shared" si="59"/>
        <v>770</v>
      </c>
      <c r="CZ10" s="106">
        <f t="shared" si="60"/>
        <v>413.1</v>
      </c>
      <c r="DA10" s="106"/>
      <c r="DB10" s="106"/>
      <c r="DC10" s="105"/>
      <c r="DD10" s="107"/>
      <c r="DE10" s="92">
        <f t="shared" si="21"/>
        <v>594</v>
      </c>
      <c r="DF10" s="108">
        <f t="shared" si="22"/>
        <v>9</v>
      </c>
      <c r="DG10" s="112">
        <f t="shared" si="23"/>
        <v>-9.4059405940594054</v>
      </c>
      <c r="DH10" s="110">
        <f t="shared" si="24"/>
        <v>475</v>
      </c>
      <c r="DI10" s="108">
        <f t="shared" si="25"/>
        <v>7</v>
      </c>
      <c r="DJ10" s="115">
        <f t="shared" si="26"/>
        <v>-14.752475247524753</v>
      </c>
      <c r="DK10" s="110">
        <f t="shared" si="27"/>
        <v>1069</v>
      </c>
      <c r="DL10" s="108">
        <f t="shared" si="27"/>
        <v>16</v>
      </c>
      <c r="DM10" s="111">
        <f t="shared" si="27"/>
        <v>-24.158415841584159</v>
      </c>
      <c r="DN10" s="76">
        <f t="shared" si="28"/>
        <v>0</v>
      </c>
      <c r="DO10" s="76">
        <f t="shared" si="28"/>
        <v>20</v>
      </c>
      <c r="DP10" s="112"/>
      <c r="DQ10" s="112"/>
      <c r="DR10" s="113" t="s">
        <v>418</v>
      </c>
      <c r="DS10" s="112"/>
      <c r="DT10" s="112"/>
      <c r="DU10" s="111"/>
      <c r="DV10" s="114"/>
      <c r="DW10" s="80">
        <f>IFERROR(AL10+BF10,"")</f>
        <v>16</v>
      </c>
      <c r="DX10" s="81">
        <f t="shared" si="29"/>
        <v>1060.8415841584158</v>
      </c>
      <c r="DY10" s="80">
        <f t="shared" si="62"/>
        <v>1095</v>
      </c>
      <c r="DZ10">
        <f t="shared" si="63"/>
        <v>0.26259999999999994</v>
      </c>
      <c r="EA10" s="82">
        <f t="shared" si="64"/>
        <v>10.796899999999999</v>
      </c>
      <c r="EB10" s="82">
        <f t="shared" si="65"/>
        <v>18.515100000000004</v>
      </c>
      <c r="EC10" s="82">
        <f t="shared" si="30"/>
        <v>18.512</v>
      </c>
      <c r="EF10" s="83">
        <f t="shared" ref="EF10:EF11" si="72">DG10+DJ10</f>
        <v>-24.158415841584159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1"/>
        <v>TV12L14-11x2.5-H9C14</v>
      </c>
      <c r="H11" s="46" t="str">
        <f t="shared" si="32"/>
        <v>12L14TV110DH9</v>
      </c>
      <c r="I11" s="46" t="str">
        <f t="shared" si="33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4"/>
        <v>12</v>
      </c>
      <c r="T11" s="51">
        <f>'03.02'!BG11</f>
        <v>5</v>
      </c>
      <c r="U11" s="92">
        <v>15</v>
      </c>
      <c r="V11" s="89">
        <v>2</v>
      </c>
      <c r="W11" s="93">
        <f t="shared" si="5"/>
        <v>0</v>
      </c>
      <c r="X11" s="93">
        <f t="shared" si="6"/>
        <v>2891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80</v>
      </c>
      <c r="AE11" s="93">
        <f t="shared" si="35"/>
        <v>2891</v>
      </c>
      <c r="AF11" s="54">
        <f>AE11+'03.02'!AF11</f>
        <v>12503</v>
      </c>
      <c r="AG11" s="94">
        <f t="shared" si="66"/>
        <v>5</v>
      </c>
      <c r="AH11" s="56">
        <f t="shared" si="13"/>
        <v>0</v>
      </c>
      <c r="AI11" s="89">
        <v>7</v>
      </c>
      <c r="AJ11" s="93">
        <f t="shared" si="67"/>
        <v>300</v>
      </c>
      <c r="AK11" s="95">
        <f t="shared" si="36"/>
        <v>0.53003533568904593</v>
      </c>
      <c r="AL11" s="58">
        <f t="shared" si="37"/>
        <v>6.54</v>
      </c>
      <c r="AM11" s="55">
        <f t="shared" si="68"/>
        <v>13.46</v>
      </c>
      <c r="AN11" s="93"/>
      <c r="AO11" s="96"/>
      <c r="AP11" s="96">
        <f t="shared" si="14"/>
        <v>3782</v>
      </c>
      <c r="AQ11" s="96"/>
      <c r="AR11" s="96"/>
      <c r="AS11" s="96"/>
      <c r="AT11" s="96"/>
      <c r="AU11" s="96">
        <f t="shared" si="38"/>
        <v>0</v>
      </c>
      <c r="AV11" s="96">
        <f t="shared" si="38"/>
        <v>0</v>
      </c>
      <c r="AW11" s="96">
        <f t="shared" si="39"/>
        <v>3782</v>
      </c>
      <c r="AX11" s="96">
        <f t="shared" si="40"/>
        <v>1891</v>
      </c>
      <c r="AY11" s="94">
        <f t="shared" si="69"/>
        <v>80.360000000000127</v>
      </c>
      <c r="AZ11" s="94">
        <f t="shared" si="41"/>
        <v>40.180000000000064</v>
      </c>
      <c r="BA11" s="94">
        <f t="shared" si="42"/>
        <v>13.46</v>
      </c>
      <c r="BB11" s="97">
        <f t="shared" si="43"/>
        <v>0.46</v>
      </c>
      <c r="BC11" s="93">
        <v>4</v>
      </c>
      <c r="BD11" s="93">
        <f t="shared" si="44"/>
        <v>0</v>
      </c>
      <c r="BE11" s="95">
        <f t="shared" si="45"/>
        <v>1</v>
      </c>
      <c r="BF11" s="58">
        <f t="shared" si="46"/>
        <v>4.46</v>
      </c>
      <c r="BG11" s="94">
        <f t="shared" si="47"/>
        <v>9</v>
      </c>
      <c r="BH11" s="89"/>
      <c r="BI11" s="89"/>
      <c r="BJ11" s="92">
        <f t="shared" si="15"/>
        <v>2000</v>
      </c>
      <c r="BK11" s="89"/>
      <c r="BL11" s="89"/>
      <c r="BM11" s="89"/>
      <c r="BN11" s="89"/>
      <c r="BO11" s="92">
        <f t="shared" si="70"/>
        <v>0</v>
      </c>
      <c r="BP11" s="92">
        <f t="shared" si="70"/>
        <v>160</v>
      </c>
      <c r="BQ11" s="96">
        <f t="shared" si="48"/>
        <v>2160</v>
      </c>
      <c r="BR11" s="96">
        <f t="shared" si="49"/>
        <v>1080</v>
      </c>
      <c r="BS11" s="96">
        <f t="shared" si="71"/>
        <v>-364.36000000000013</v>
      </c>
      <c r="BT11" s="96">
        <f t="shared" si="50"/>
        <v>-182.18000000000006</v>
      </c>
      <c r="BU11" s="92">
        <f t="shared" si="16"/>
        <v>2891</v>
      </c>
      <c r="BV11" s="98">
        <f t="shared" si="17"/>
        <v>11</v>
      </c>
      <c r="BW11" s="92">
        <f t="shared" si="18"/>
        <v>-142</v>
      </c>
      <c r="BX11" s="98" t="str">
        <f t="shared" si="51"/>
        <v/>
      </c>
      <c r="BY11" s="61">
        <f t="shared" ref="BY11:BY73" si="73">IFERROR(BF11+AL11,0)</f>
        <v>11</v>
      </c>
      <c r="BZ11" s="62">
        <f t="shared" si="52"/>
        <v>11</v>
      </c>
      <c r="CA11" s="98">
        <f t="shared" si="53"/>
        <v>5.9420000000000002</v>
      </c>
      <c r="CB11" s="92">
        <f t="shared" si="19"/>
        <v>2971</v>
      </c>
      <c r="CC11" s="92">
        <f t="shared" si="19"/>
        <v>-284</v>
      </c>
      <c r="CD11" s="92">
        <f t="shared" si="19"/>
        <v>-142</v>
      </c>
      <c r="CE11" s="99"/>
      <c r="CF11" s="99"/>
      <c r="CG11" s="51">
        <f t="shared" si="54"/>
        <v>0</v>
      </c>
      <c r="CH11" s="62">
        <f t="shared" si="55"/>
        <v>0</v>
      </c>
      <c r="CI11" s="89">
        <v>300</v>
      </c>
      <c r="CJ11" s="89">
        <v>3782</v>
      </c>
      <c r="CK11" s="89"/>
      <c r="CL11" s="96"/>
      <c r="CM11" s="89"/>
      <c r="CN11" s="89">
        <v>2000</v>
      </c>
      <c r="CO11" s="92"/>
      <c r="CP11" s="101">
        <v>160</v>
      </c>
      <c r="CQ11" s="102">
        <f t="shared" si="56"/>
        <v>1891</v>
      </c>
      <c r="CR11" s="102">
        <f t="shared" si="20"/>
        <v>0</v>
      </c>
      <c r="CS11" s="102">
        <f t="shared" si="20"/>
        <v>0</v>
      </c>
      <c r="CT11" s="92">
        <f t="shared" si="57"/>
        <v>1000</v>
      </c>
      <c r="CU11" s="92">
        <f t="shared" si="58"/>
        <v>0</v>
      </c>
      <c r="CV11" s="103">
        <f t="shared" si="58"/>
        <v>80</v>
      </c>
      <c r="CW11" s="104"/>
      <c r="CX11" s="105">
        <v>25</v>
      </c>
      <c r="CY11" s="106">
        <f t="shared" si="59"/>
        <v>1644</v>
      </c>
      <c r="CZ11" s="106">
        <f t="shared" si="60"/>
        <v>202.5</v>
      </c>
      <c r="DA11" s="106"/>
      <c r="DB11" s="106"/>
      <c r="DC11" s="105"/>
      <c r="DD11" s="107"/>
      <c r="DE11" s="92">
        <f t="shared" si="21"/>
        <v>1891</v>
      </c>
      <c r="DF11" s="108">
        <f t="shared" si="22"/>
        <v>6.54</v>
      </c>
      <c r="DG11" s="112">
        <f t="shared" si="23"/>
        <v>40.180000000000064</v>
      </c>
      <c r="DH11" s="110">
        <f t="shared" si="24"/>
        <v>1000</v>
      </c>
      <c r="DI11" s="108">
        <f t="shared" si="25"/>
        <v>4.46</v>
      </c>
      <c r="DJ11" s="112">
        <f t="shared" si="26"/>
        <v>-182.18000000000006</v>
      </c>
      <c r="DK11" s="110">
        <f t="shared" si="27"/>
        <v>2891</v>
      </c>
      <c r="DL11" s="108">
        <f t="shared" si="27"/>
        <v>11</v>
      </c>
      <c r="DM11" s="111">
        <f t="shared" si="27"/>
        <v>-142</v>
      </c>
      <c r="DN11" s="76">
        <f t="shared" si="28"/>
        <v>5</v>
      </c>
      <c r="DO11" s="76">
        <f t="shared" si="28"/>
        <v>15</v>
      </c>
      <c r="DP11" s="112"/>
      <c r="DQ11" s="112"/>
      <c r="DR11" s="113" t="s">
        <v>419</v>
      </c>
      <c r="DS11" s="112"/>
      <c r="DT11" s="112"/>
      <c r="DU11" s="111"/>
      <c r="DV11" s="114"/>
      <c r="DW11" s="80">
        <f t="shared" si="61"/>
        <v>2902</v>
      </c>
      <c r="DX11" s="81">
        <f t="shared" si="29"/>
        <v>2760</v>
      </c>
      <c r="DY11" s="80">
        <f t="shared" si="62"/>
        <v>2971</v>
      </c>
      <c r="DZ11" s="82">
        <f t="shared" si="63"/>
        <v>0.16</v>
      </c>
      <c r="EA11" s="82">
        <f t="shared" si="64"/>
        <v>5.782</v>
      </c>
      <c r="EB11" s="82" t="e">
        <f t="shared" si="65"/>
        <v>#VALUE!</v>
      </c>
      <c r="EC11" s="82" t="e">
        <f t="shared" si="30"/>
        <v>#VALUE!</v>
      </c>
      <c r="EF11" s="83">
        <f t="shared" si="72"/>
        <v>-142</v>
      </c>
    </row>
    <row r="12" spans="1:136" ht="15" customHeight="1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1"/>
        <v>DCC3604-10x3-H9B12</v>
      </c>
      <c r="H12" s="46" t="str">
        <f t="shared" si="32"/>
        <v>C3604DC100DH9</v>
      </c>
      <c r="I12" s="46" t="str">
        <f t="shared" si="33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4"/>
        <v>26</v>
      </c>
      <c r="T12" s="51">
        <f>'03.02'!BG12</f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5"/>
        <v>0</v>
      </c>
      <c r="AF12" s="54">
        <f>AE12+'03.02'!AF12</f>
        <v>0</v>
      </c>
      <c r="AG12" s="94">
        <f t="shared" si="66"/>
        <v>0</v>
      </c>
      <c r="AH12" s="56">
        <f t="shared" si="13"/>
        <v>0</v>
      </c>
      <c r="AI12" s="89"/>
      <c r="AJ12" s="93">
        <f t="shared" si="67"/>
        <v>0</v>
      </c>
      <c r="AK12" s="95">
        <f t="shared" si="36"/>
        <v>1</v>
      </c>
      <c r="AL12" s="58">
        <f t="shared" si="37"/>
        <v>0</v>
      </c>
      <c r="AM12" s="55">
        <f t="shared" si="68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8"/>
        <v>0</v>
      </c>
      <c r="AV12" s="96">
        <f t="shared" si="38"/>
        <v>0</v>
      </c>
      <c r="AW12" s="96">
        <f t="shared" si="39"/>
        <v>0</v>
      </c>
      <c r="AX12" s="96">
        <f t="shared" si="40"/>
        <v>0</v>
      </c>
      <c r="AY12" s="94">
        <f t="shared" si="69"/>
        <v>0</v>
      </c>
      <c r="AZ12" s="94">
        <f t="shared" si="41"/>
        <v>0</v>
      </c>
      <c r="BA12" s="94">
        <f t="shared" si="42"/>
        <v>0</v>
      </c>
      <c r="BB12" s="97">
        <f t="shared" si="43"/>
        <v>0</v>
      </c>
      <c r="BC12" s="93"/>
      <c r="BD12" s="93">
        <f t="shared" si="44"/>
        <v>0</v>
      </c>
      <c r="BE12" s="95">
        <f t="shared" si="45"/>
        <v>1</v>
      </c>
      <c r="BF12" s="58">
        <f t="shared" si="46"/>
        <v>0</v>
      </c>
      <c r="BG12" s="94">
        <f t="shared" si="47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0"/>
        <v>0</v>
      </c>
      <c r="BP12" s="92">
        <f t="shared" si="70"/>
        <v>0</v>
      </c>
      <c r="BQ12" s="96">
        <f t="shared" si="48"/>
        <v>0</v>
      </c>
      <c r="BR12" s="96">
        <f t="shared" si="49"/>
        <v>0</v>
      </c>
      <c r="BS12" s="96">
        <f t="shared" si="71"/>
        <v>0</v>
      </c>
      <c r="BT12" s="96">
        <f t="shared" si="50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1"/>
        <v>0</v>
      </c>
      <c r="BY12" s="61">
        <f>IFERROR(BF12+AL12,0)</f>
        <v>0</v>
      </c>
      <c r="BZ12" s="62">
        <f t="shared" si="52"/>
        <v>0</v>
      </c>
      <c r="CA12" s="98">
        <f t="shared" si="53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4"/>
        <v>0</v>
      </c>
      <c r="CH12" s="62">
        <f t="shared" si="55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6"/>
        <v>0</v>
      </c>
      <c r="CR12" s="102">
        <f t="shared" si="20"/>
        <v>0</v>
      </c>
      <c r="CS12" s="102">
        <f t="shared" si="20"/>
        <v>0</v>
      </c>
      <c r="CT12" s="92">
        <f t="shared" si="57"/>
        <v>0</v>
      </c>
      <c r="CU12" s="92">
        <f t="shared" si="58"/>
        <v>0</v>
      </c>
      <c r="CV12" s="103">
        <f t="shared" si="58"/>
        <v>0</v>
      </c>
      <c r="CW12" s="104"/>
      <c r="CX12" s="105">
        <v>24</v>
      </c>
      <c r="CY12" s="106">
        <f t="shared" si="59"/>
        <v>1612</v>
      </c>
      <c r="CZ12" s="106">
        <f t="shared" si="60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28"/>
        <v>0</v>
      </c>
      <c r="DO12" s="76">
        <f t="shared" si="28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1"/>
        <v>0</v>
      </c>
      <c r="DX12" s="81">
        <f t="shared" si="29"/>
        <v>0</v>
      </c>
      <c r="DY12" s="80">
        <f t="shared" si="62"/>
        <v>0</v>
      </c>
      <c r="DZ12" s="82">
        <f t="shared" si="63"/>
        <v>0</v>
      </c>
      <c r="EA12" s="82">
        <f t="shared" si="64"/>
        <v>0</v>
      </c>
      <c r="EB12" s="82">
        <f t="shared" si="65"/>
        <v>0</v>
      </c>
      <c r="EC12" s="82">
        <f t="shared" si="30"/>
        <v>0</v>
      </c>
    </row>
    <row r="13" spans="1:136" ht="15" customHeight="1">
      <c r="A13" s="84">
        <v>6</v>
      </c>
      <c r="B13" s="85" t="s">
        <v>151</v>
      </c>
      <c r="C13" s="86"/>
      <c r="D13" s="117">
        <v>10620</v>
      </c>
      <c r="E13" s="88">
        <v>127</v>
      </c>
      <c r="F13" s="89" t="s">
        <v>128</v>
      </c>
      <c r="G13" s="45" t="str">
        <f t="shared" si="31"/>
        <v>DCC3604-10x3-H9B12</v>
      </c>
      <c r="H13" s="46" t="str">
        <f t="shared" si="32"/>
        <v>C3604DC100DH9</v>
      </c>
      <c r="I13" s="46" t="str">
        <f t="shared" si="33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4"/>
        <v>40</v>
      </c>
      <c r="T13" s="51">
        <f>'03.02'!BG13</f>
        <v>24</v>
      </c>
      <c r="U13" s="92">
        <v>11</v>
      </c>
      <c r="V13" s="89">
        <v>7.64</v>
      </c>
      <c r="W13" s="93">
        <f t="shared" si="5"/>
        <v>0</v>
      </c>
      <c r="X13" s="93">
        <f t="shared" si="6"/>
        <v>2931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33</v>
      </c>
      <c r="AE13" s="93">
        <f t="shared" si="35"/>
        <v>2931</v>
      </c>
      <c r="AF13" s="54">
        <f>AE13+'03.02'!AF13</f>
        <v>7333</v>
      </c>
      <c r="AG13" s="94">
        <f t="shared" si="66"/>
        <v>24</v>
      </c>
      <c r="AH13" s="56">
        <f t="shared" si="13"/>
        <v>0</v>
      </c>
      <c r="AI13" s="89">
        <v>11</v>
      </c>
      <c r="AJ13" s="93">
        <f t="shared" si="67"/>
        <v>0</v>
      </c>
      <c r="AK13" s="95">
        <f t="shared" si="36"/>
        <v>1</v>
      </c>
      <c r="AL13" s="58">
        <f t="shared" si="37"/>
        <v>11</v>
      </c>
      <c r="AM13" s="55">
        <f t="shared" si="68"/>
        <v>24</v>
      </c>
      <c r="AN13" s="93"/>
      <c r="AO13" s="96"/>
      <c r="AP13" s="96">
        <f t="shared" si="14"/>
        <v>10480</v>
      </c>
      <c r="AQ13" s="96"/>
      <c r="AR13" s="96"/>
      <c r="AS13" s="96"/>
      <c r="AT13" s="96"/>
      <c r="AU13" s="96">
        <f t="shared" si="38"/>
        <v>0</v>
      </c>
      <c r="AV13" s="96">
        <f t="shared" si="38"/>
        <v>155</v>
      </c>
      <c r="AW13" s="96">
        <f t="shared" si="39"/>
        <v>10635</v>
      </c>
      <c r="AX13" s="96">
        <f t="shared" si="40"/>
        <v>1392</v>
      </c>
      <c r="AY13" s="94">
        <f t="shared" si="69"/>
        <v>-38.079999999999927</v>
      </c>
      <c r="AZ13" s="94">
        <f t="shared" si="41"/>
        <v>-4.9842931937172681</v>
      </c>
      <c r="BA13" s="94">
        <f t="shared" si="42"/>
        <v>24</v>
      </c>
      <c r="BB13" s="97">
        <f t="shared" si="43"/>
        <v>0</v>
      </c>
      <c r="BC13" s="93">
        <v>13</v>
      </c>
      <c r="BD13" s="93">
        <f t="shared" si="44"/>
        <v>0</v>
      </c>
      <c r="BE13" s="95">
        <f t="shared" si="45"/>
        <v>1</v>
      </c>
      <c r="BF13" s="58">
        <f t="shared" si="46"/>
        <v>13</v>
      </c>
      <c r="BG13" s="94">
        <f t="shared" si="47"/>
        <v>11</v>
      </c>
      <c r="BH13" s="89"/>
      <c r="BI13" s="89"/>
      <c r="BJ13" s="92">
        <f t="shared" si="15"/>
        <v>11914</v>
      </c>
      <c r="BK13" s="89"/>
      <c r="BL13" s="89"/>
      <c r="BM13" s="89"/>
      <c r="BN13" s="89"/>
      <c r="BO13" s="92">
        <f t="shared" si="70"/>
        <v>0</v>
      </c>
      <c r="BP13" s="92">
        <f t="shared" si="70"/>
        <v>100</v>
      </c>
      <c r="BQ13" s="96">
        <f t="shared" si="48"/>
        <v>12014</v>
      </c>
      <c r="BR13" s="96">
        <f t="shared" si="49"/>
        <v>1572</v>
      </c>
      <c r="BS13" s="96">
        <f t="shared" si="71"/>
        <v>-599.63999999999942</v>
      </c>
      <c r="BT13" s="96">
        <f t="shared" si="50"/>
        <v>-78.48691099476433</v>
      </c>
      <c r="BU13" s="92">
        <f t="shared" si="16"/>
        <v>2931</v>
      </c>
      <c r="BV13" s="98">
        <f t="shared" si="17"/>
        <v>24</v>
      </c>
      <c r="BW13" s="92">
        <f t="shared" si="18"/>
        <v>-83.471204188481593</v>
      </c>
      <c r="BX13" s="98">
        <f t="shared" si="51"/>
        <v>48</v>
      </c>
      <c r="BY13" s="61">
        <f t="shared" si="73"/>
        <v>24</v>
      </c>
      <c r="BZ13" s="62">
        <f t="shared" si="52"/>
        <v>24</v>
      </c>
      <c r="CA13" s="98">
        <f t="shared" si="53"/>
        <v>22.649000000000001</v>
      </c>
      <c r="CB13" s="92">
        <f t="shared" si="19"/>
        <v>2964</v>
      </c>
      <c r="CC13" s="92">
        <f t="shared" si="19"/>
        <v>-637.71999999999935</v>
      </c>
      <c r="CD13" s="92">
        <f t="shared" si="19"/>
        <v>-83.471204188481593</v>
      </c>
      <c r="CE13" s="99"/>
      <c r="CF13" s="99"/>
      <c r="CG13" s="51">
        <f t="shared" si="54"/>
        <v>25.605999999999998</v>
      </c>
      <c r="CH13" s="62">
        <f t="shared" si="55"/>
        <v>25.605999999999998</v>
      </c>
      <c r="CI13" s="89"/>
      <c r="CJ13" s="89">
        <v>10480</v>
      </c>
      <c r="CK13" s="89"/>
      <c r="CL13" s="96">
        <v>155</v>
      </c>
      <c r="CM13" s="89"/>
      <c r="CN13" s="89">
        <v>11914</v>
      </c>
      <c r="CO13" s="92"/>
      <c r="CP13" s="101">
        <v>100</v>
      </c>
      <c r="CQ13" s="102">
        <f t="shared" si="56"/>
        <v>1371</v>
      </c>
      <c r="CR13" s="102">
        <f t="shared" si="20"/>
        <v>0</v>
      </c>
      <c r="CS13" s="102">
        <f t="shared" si="20"/>
        <v>20</v>
      </c>
      <c r="CT13" s="92">
        <f t="shared" si="57"/>
        <v>1560</v>
      </c>
      <c r="CU13" s="92">
        <f t="shared" si="58"/>
        <v>0</v>
      </c>
      <c r="CV13" s="103">
        <f t="shared" si="58"/>
        <v>13</v>
      </c>
      <c r="CW13" s="104"/>
      <c r="CX13" s="105">
        <v>14</v>
      </c>
      <c r="CY13" s="106">
        <f t="shared" si="59"/>
        <v>2550</v>
      </c>
      <c r="CZ13" s="106">
        <f t="shared" si="60"/>
        <v>113.4</v>
      </c>
      <c r="DA13" s="106"/>
      <c r="DB13" s="106"/>
      <c r="DC13" s="105"/>
      <c r="DD13" s="107"/>
      <c r="DE13" s="92">
        <f t="shared" si="21"/>
        <v>1371</v>
      </c>
      <c r="DF13" s="108">
        <f t="shared" si="22"/>
        <v>11</v>
      </c>
      <c r="DG13" s="112">
        <f t="shared" si="23"/>
        <v>-4.9842931937172681</v>
      </c>
      <c r="DH13" s="110">
        <f t="shared" si="24"/>
        <v>1560</v>
      </c>
      <c r="DI13" s="108">
        <f t="shared" si="25"/>
        <v>13</v>
      </c>
      <c r="DJ13" s="112">
        <f t="shared" si="26"/>
        <v>-78.48691099476433</v>
      </c>
      <c r="DK13" s="110">
        <f t="shared" si="27"/>
        <v>2931</v>
      </c>
      <c r="DL13" s="108">
        <f t="shared" si="27"/>
        <v>24</v>
      </c>
      <c r="DM13" s="111">
        <f t="shared" si="27"/>
        <v>-83.471204188481593</v>
      </c>
      <c r="DN13" s="76">
        <f t="shared" si="28"/>
        <v>24</v>
      </c>
      <c r="DO13" s="76">
        <f t="shared" si="28"/>
        <v>11</v>
      </c>
      <c r="DP13" s="112"/>
      <c r="DQ13" s="112"/>
      <c r="DR13" s="113" t="s">
        <v>420</v>
      </c>
      <c r="DS13" s="112"/>
      <c r="DT13" s="112"/>
      <c r="DU13" s="111"/>
      <c r="DV13" s="114"/>
      <c r="DW13" s="80">
        <f t="shared" si="61"/>
        <v>2955</v>
      </c>
      <c r="DX13" s="81">
        <f t="shared" si="29"/>
        <v>2871.5287958115182</v>
      </c>
      <c r="DY13" s="80">
        <f t="shared" si="62"/>
        <v>2964</v>
      </c>
      <c r="DZ13" s="82">
        <f t="shared" si="63"/>
        <v>0.25211999999999996</v>
      </c>
      <c r="EA13" s="82">
        <f t="shared" si="64"/>
        <v>22.39284</v>
      </c>
      <c r="EB13" s="82">
        <f t="shared" si="65"/>
        <v>25.60716</v>
      </c>
      <c r="EC13" s="82">
        <f t="shared" si="30"/>
        <v>25.605999999999998</v>
      </c>
    </row>
    <row r="14" spans="1:136" ht="15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1"/>
        <v>IBC3602-7.5x3-H9A14</v>
      </c>
      <c r="H14" s="46" t="str">
        <f t="shared" si="32"/>
        <v>C3602IB7.50DH9</v>
      </c>
      <c r="I14" s="46" t="str">
        <f t="shared" si="33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4"/>
        <v>100</v>
      </c>
      <c r="T14" s="51">
        <f>'03.02'!BG14</f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5"/>
        <v>0</v>
      </c>
      <c r="AF14" s="54">
        <f>AE14+'03.02'!AF14</f>
        <v>0</v>
      </c>
      <c r="AG14" s="94">
        <f t="shared" si="66"/>
        <v>0</v>
      </c>
      <c r="AH14" s="56">
        <f t="shared" si="13"/>
        <v>0</v>
      </c>
      <c r="AI14" s="89"/>
      <c r="AJ14" s="93">
        <f t="shared" si="67"/>
        <v>0</v>
      </c>
      <c r="AK14" s="95">
        <f t="shared" si="36"/>
        <v>1</v>
      </c>
      <c r="AL14" s="58">
        <f t="shared" si="37"/>
        <v>0</v>
      </c>
      <c r="AM14" s="55">
        <f t="shared" si="68"/>
        <v>0</v>
      </c>
      <c r="AN14" s="93"/>
      <c r="AO14" s="96"/>
      <c r="AP14" s="96"/>
      <c r="AQ14" s="96"/>
      <c r="AR14" s="96"/>
      <c r="AS14" s="96"/>
      <c r="AT14" s="96">
        <f t="shared" ref="AT14" si="74">$CJ14</f>
        <v>0</v>
      </c>
      <c r="AU14" s="96">
        <f t="shared" si="38"/>
        <v>0</v>
      </c>
      <c r="AV14" s="96">
        <f t="shared" si="38"/>
        <v>0</v>
      </c>
      <c r="AW14" s="96">
        <f t="shared" si="39"/>
        <v>0</v>
      </c>
      <c r="AX14" s="96">
        <f t="shared" si="40"/>
        <v>0</v>
      </c>
      <c r="AY14" s="94">
        <f t="shared" si="69"/>
        <v>0</v>
      </c>
      <c r="AZ14" s="94">
        <f t="shared" si="41"/>
        <v>0</v>
      </c>
      <c r="BA14" s="94">
        <f t="shared" si="42"/>
        <v>0</v>
      </c>
      <c r="BB14" s="97">
        <f t="shared" si="43"/>
        <v>0</v>
      </c>
      <c r="BC14" s="93"/>
      <c r="BD14" s="93">
        <f t="shared" si="44"/>
        <v>0</v>
      </c>
      <c r="BE14" s="95">
        <f t="shared" si="45"/>
        <v>1</v>
      </c>
      <c r="BF14" s="58">
        <f t="shared" si="46"/>
        <v>0</v>
      </c>
      <c r="BG14" s="94">
        <f t="shared" si="47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0"/>
        <v>0</v>
      </c>
      <c r="BP14" s="92">
        <f t="shared" si="70"/>
        <v>0</v>
      </c>
      <c r="BQ14" s="96">
        <f t="shared" si="48"/>
        <v>0</v>
      </c>
      <c r="BR14" s="96">
        <f t="shared" si="49"/>
        <v>0</v>
      </c>
      <c r="BS14" s="96">
        <f t="shared" si="71"/>
        <v>0</v>
      </c>
      <c r="BT14" s="96">
        <f t="shared" si="50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1"/>
        <v>0</v>
      </c>
      <c r="BY14" s="61">
        <f t="shared" si="73"/>
        <v>0</v>
      </c>
      <c r="BZ14" s="62">
        <f t="shared" si="52"/>
        <v>0</v>
      </c>
      <c r="CA14" s="98">
        <f t="shared" si="53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4"/>
        <v>0</v>
      </c>
      <c r="CH14" s="62">
        <f t="shared" si="55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6"/>
        <v>0</v>
      </c>
      <c r="CR14" s="102">
        <f t="shared" si="20"/>
        <v>0</v>
      </c>
      <c r="CS14" s="102">
        <f t="shared" si="20"/>
        <v>0</v>
      </c>
      <c r="CT14" s="92">
        <f t="shared" si="57"/>
        <v>0</v>
      </c>
      <c r="CU14" s="92">
        <f t="shared" si="58"/>
        <v>0</v>
      </c>
      <c r="CV14" s="103">
        <f t="shared" si="58"/>
        <v>0</v>
      </c>
      <c r="CW14" s="104" t="s">
        <v>157</v>
      </c>
      <c r="CX14" s="105">
        <v>14</v>
      </c>
      <c r="CY14" s="106">
        <f t="shared" si="59"/>
        <v>2985</v>
      </c>
      <c r="CZ14" s="106">
        <f t="shared" si="60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28"/>
        <v>0</v>
      </c>
      <c r="DO14" s="76">
        <f t="shared" si="28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1"/>
        <v>0</v>
      </c>
      <c r="DX14" s="81">
        <f t="shared" si="29"/>
        <v>0</v>
      </c>
      <c r="DY14" s="80">
        <f t="shared" si="62"/>
        <v>0</v>
      </c>
      <c r="DZ14" s="82">
        <f t="shared" si="63"/>
        <v>0</v>
      </c>
      <c r="EA14" s="82">
        <f t="shared" si="64"/>
        <v>0</v>
      </c>
      <c r="EB14" s="82">
        <f t="shared" si="65"/>
        <v>0</v>
      </c>
      <c r="EC14" s="82">
        <f>(BX14-CA14)+((AV14+BP14)/1000)</f>
        <v>0</v>
      </c>
    </row>
    <row r="15" spans="1:136">
      <c r="A15" s="84">
        <v>8</v>
      </c>
      <c r="B15" s="85" t="s">
        <v>158</v>
      </c>
      <c r="C15" s="86"/>
      <c r="D15" s="87" t="s">
        <v>159</v>
      </c>
      <c r="E15" s="88">
        <v>30</v>
      </c>
      <c r="F15" s="89" t="s">
        <v>136</v>
      </c>
      <c r="G15" s="45" t="str">
        <f t="shared" si="31"/>
        <v>TV12L14-H6x2.5-H11A14</v>
      </c>
      <c r="H15" s="46" t="str">
        <f t="shared" si="32"/>
        <v>12L14TV60HH11</v>
      </c>
      <c r="I15" s="46" t="str">
        <f t="shared" si="33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4"/>
        <v>50</v>
      </c>
      <c r="T15" s="51">
        <v>16</v>
      </c>
      <c r="U15" s="92">
        <v>54</v>
      </c>
      <c r="V15" s="89">
        <v>16.149999999999999</v>
      </c>
      <c r="W15" s="93">
        <f t="shared" si="5"/>
        <v>0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61</v>
      </c>
      <c r="AD15" s="93">
        <f t="shared" si="12"/>
        <v>0</v>
      </c>
      <c r="AE15" s="93">
        <f t="shared" si="35"/>
        <v>61</v>
      </c>
      <c r="AF15" s="54">
        <f>AE15+'03.02'!AF15</f>
        <v>648</v>
      </c>
      <c r="AG15" s="94">
        <f t="shared" si="66"/>
        <v>16</v>
      </c>
      <c r="AH15" s="56">
        <f t="shared" si="13"/>
        <v>0</v>
      </c>
      <c r="AI15" s="89">
        <v>1</v>
      </c>
      <c r="AJ15" s="93">
        <f t="shared" si="67"/>
        <v>0</v>
      </c>
      <c r="AK15" s="95">
        <f t="shared" si="36"/>
        <v>1</v>
      </c>
      <c r="AL15" s="58">
        <f t="shared" si="37"/>
        <v>1</v>
      </c>
      <c r="AM15" s="55">
        <f t="shared" si="68"/>
        <v>69</v>
      </c>
      <c r="AN15" s="93"/>
      <c r="AO15" s="96">
        <f>$CJ15</f>
        <v>0</v>
      </c>
      <c r="AP15" s="96"/>
      <c r="AQ15" s="96"/>
      <c r="AR15" s="96"/>
      <c r="AS15" s="96"/>
      <c r="AT15" s="96"/>
      <c r="AU15" s="96">
        <f t="shared" si="38"/>
        <v>1000</v>
      </c>
      <c r="AV15" s="96">
        <f t="shared" si="38"/>
        <v>0</v>
      </c>
      <c r="AW15" s="96">
        <f t="shared" si="39"/>
        <v>1000</v>
      </c>
      <c r="AX15" s="96">
        <f t="shared" si="40"/>
        <v>61</v>
      </c>
      <c r="AY15" s="94">
        <f t="shared" si="69"/>
        <v>515.5</v>
      </c>
      <c r="AZ15" s="94">
        <f t="shared" si="41"/>
        <v>31.919504643962853</v>
      </c>
      <c r="BA15" s="94">
        <f t="shared" si="42"/>
        <v>69</v>
      </c>
      <c r="BB15" s="97">
        <f t="shared" si="43"/>
        <v>0</v>
      </c>
      <c r="BC15" s="93"/>
      <c r="BD15" s="93">
        <f t="shared" si="44"/>
        <v>0</v>
      </c>
      <c r="BE15" s="95">
        <f t="shared" si="45"/>
        <v>1</v>
      </c>
      <c r="BF15" s="58">
        <f t="shared" si="46"/>
        <v>0</v>
      </c>
      <c r="BG15" s="94">
        <f t="shared" si="47"/>
        <v>69</v>
      </c>
      <c r="BH15" s="89"/>
      <c r="BI15" s="92">
        <f>$CN15</f>
        <v>0</v>
      </c>
      <c r="BJ15" s="89"/>
      <c r="BK15" s="89"/>
      <c r="BL15" s="89"/>
      <c r="BM15" s="89"/>
      <c r="BN15" s="89"/>
      <c r="BO15" s="92">
        <f t="shared" si="70"/>
        <v>0</v>
      </c>
      <c r="BP15" s="92">
        <f t="shared" si="70"/>
        <v>0</v>
      </c>
      <c r="BQ15" s="96">
        <f t="shared" si="48"/>
        <v>0</v>
      </c>
      <c r="BR15" s="96">
        <f t="shared" si="49"/>
        <v>0</v>
      </c>
      <c r="BS15" s="96">
        <f t="shared" si="71"/>
        <v>0</v>
      </c>
      <c r="BT15" s="96">
        <f t="shared" si="50"/>
        <v>0</v>
      </c>
      <c r="BU15" s="92">
        <f t="shared" si="16"/>
        <v>61</v>
      </c>
      <c r="BV15" s="98">
        <f t="shared" si="17"/>
        <v>1</v>
      </c>
      <c r="BW15" s="92">
        <f t="shared" si="18"/>
        <v>31.919504643962853</v>
      </c>
      <c r="BX15" s="98">
        <f t="shared" si="51"/>
        <v>0.60599999999999998</v>
      </c>
      <c r="BY15" s="61">
        <f t="shared" si="73"/>
        <v>1</v>
      </c>
      <c r="BZ15" s="62">
        <f t="shared" si="52"/>
        <v>1</v>
      </c>
      <c r="CA15" s="98">
        <f t="shared" si="53"/>
        <v>1</v>
      </c>
      <c r="CB15" s="92">
        <f t="shared" si="19"/>
        <v>61</v>
      </c>
      <c r="CC15" s="92">
        <f t="shared" si="19"/>
        <v>515.5</v>
      </c>
      <c r="CD15" s="92">
        <f t="shared" si="19"/>
        <v>31.919504643962853</v>
      </c>
      <c r="CE15" s="99"/>
      <c r="CF15" s="99"/>
      <c r="CG15" s="51">
        <f t="shared" si="54"/>
        <v>-0.39400000000000002</v>
      </c>
      <c r="CH15" s="62">
        <f t="shared" si="55"/>
        <v>-0.39400000000000002</v>
      </c>
      <c r="CI15" s="89"/>
      <c r="CJ15" s="89"/>
      <c r="CK15" s="89">
        <v>1000</v>
      </c>
      <c r="CL15" s="96"/>
      <c r="CM15" s="89"/>
      <c r="CN15" s="89"/>
      <c r="CO15" s="92"/>
      <c r="CP15" s="101"/>
      <c r="CQ15" s="102">
        <f t="shared" si="56"/>
        <v>0</v>
      </c>
      <c r="CR15" s="102">
        <f t="shared" si="20"/>
        <v>61</v>
      </c>
      <c r="CS15" s="102">
        <f t="shared" si="20"/>
        <v>0</v>
      </c>
      <c r="CT15" s="92">
        <f t="shared" si="57"/>
        <v>0</v>
      </c>
      <c r="CU15" s="92">
        <f t="shared" si="58"/>
        <v>0</v>
      </c>
      <c r="CV15" s="103">
        <f t="shared" si="58"/>
        <v>0</v>
      </c>
      <c r="CW15" s="104"/>
      <c r="CX15" s="105">
        <v>45</v>
      </c>
      <c r="CY15" s="106">
        <f t="shared" si="59"/>
        <v>746</v>
      </c>
      <c r="CZ15" s="106">
        <f t="shared" si="60"/>
        <v>364.5</v>
      </c>
      <c r="DA15" s="106"/>
      <c r="DB15" s="106"/>
      <c r="DC15" s="105"/>
      <c r="DD15" s="107"/>
      <c r="DE15" s="92">
        <f t="shared" si="21"/>
        <v>61</v>
      </c>
      <c r="DF15" s="108">
        <f t="shared" si="22"/>
        <v>1</v>
      </c>
      <c r="DG15" s="112">
        <f t="shared" si="23"/>
        <v>31.919504643962853</v>
      </c>
      <c r="DH15" s="110">
        <f t="shared" si="24"/>
        <v>0</v>
      </c>
      <c r="DI15" s="108">
        <f t="shared" si="25"/>
        <v>0</v>
      </c>
      <c r="DJ15" s="115">
        <f t="shared" si="26"/>
        <v>0</v>
      </c>
      <c r="DK15" s="110">
        <f t="shared" si="27"/>
        <v>61</v>
      </c>
      <c r="DL15" s="108">
        <f t="shared" si="27"/>
        <v>1</v>
      </c>
      <c r="DM15" s="111">
        <f t="shared" si="27"/>
        <v>31.919504643962853</v>
      </c>
      <c r="DN15" s="76">
        <f t="shared" si="28"/>
        <v>16</v>
      </c>
      <c r="DO15" s="76">
        <f t="shared" si="28"/>
        <v>54</v>
      </c>
      <c r="DP15" s="112"/>
      <c r="DQ15" s="112"/>
      <c r="DR15" s="113" t="s">
        <v>487</v>
      </c>
      <c r="DS15" s="112"/>
      <c r="DT15" s="112"/>
      <c r="DU15" s="111"/>
      <c r="DV15" s="114"/>
      <c r="DW15" s="80">
        <f t="shared" si="61"/>
        <v>62</v>
      </c>
      <c r="DX15" s="81">
        <f t="shared" si="29"/>
        <v>93.919504643962853</v>
      </c>
      <c r="DY15" s="80">
        <f t="shared" si="62"/>
        <v>61</v>
      </c>
      <c r="DZ15" s="82">
        <f t="shared" si="63"/>
        <v>0</v>
      </c>
      <c r="EA15" s="82">
        <f t="shared" si="64"/>
        <v>0.98514999999999986</v>
      </c>
      <c r="EB15" s="82">
        <f t="shared" si="65"/>
        <v>-0.37914999999999988</v>
      </c>
      <c r="EC15" s="82">
        <f t="shared" ref="EC15:EC78" si="75">EB15+DZ15</f>
        <v>-0.37914999999999988</v>
      </c>
      <c r="EF15" s="83">
        <f t="shared" ref="EF15:EF18" si="76">DG15+DJ15</f>
        <v>31.919504643962853</v>
      </c>
    </row>
    <row r="16" spans="1:136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1"/>
        <v>GWA6063-T5-T18.15x8.6x3-H9A15</v>
      </c>
      <c r="H16" s="46" t="str">
        <f t="shared" si="32"/>
        <v>A6063-T5GW18.158.6TH9</v>
      </c>
      <c r="I16" s="46" t="str">
        <f t="shared" si="33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4"/>
        <v>14</v>
      </c>
      <c r="T16" s="51">
        <f>'03.02'!BG16</f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5"/>
        <v>0</v>
      </c>
      <c r="AF16" s="54">
        <f>AE16+'03.02'!AF16</f>
        <v>0</v>
      </c>
      <c r="AG16" s="94">
        <f t="shared" si="66"/>
        <v>0</v>
      </c>
      <c r="AH16" s="56">
        <f t="shared" si="13"/>
        <v>0</v>
      </c>
      <c r="AI16" s="89"/>
      <c r="AJ16" s="93">
        <f t="shared" si="67"/>
        <v>0</v>
      </c>
      <c r="AK16" s="95">
        <f t="shared" si="36"/>
        <v>1</v>
      </c>
      <c r="AL16" s="58">
        <f t="shared" si="37"/>
        <v>0</v>
      </c>
      <c r="AM16" s="55">
        <f t="shared" si="68"/>
        <v>0</v>
      </c>
      <c r="AN16" s="93"/>
      <c r="AO16" s="96"/>
      <c r="AP16" s="96">
        <f t="shared" ref="AP16:AP19" si="77">$CJ16</f>
        <v>0</v>
      </c>
      <c r="AQ16" s="96"/>
      <c r="AR16" s="96"/>
      <c r="AS16" s="96"/>
      <c r="AT16" s="96"/>
      <c r="AU16" s="96">
        <f t="shared" si="38"/>
        <v>0</v>
      </c>
      <c r="AV16" s="96">
        <f t="shared" si="38"/>
        <v>0</v>
      </c>
      <c r="AW16" s="96">
        <f t="shared" si="39"/>
        <v>0</v>
      </c>
      <c r="AX16" s="96">
        <f t="shared" si="40"/>
        <v>0</v>
      </c>
      <c r="AY16" s="94">
        <f t="shared" si="69"/>
        <v>0</v>
      </c>
      <c r="AZ16" s="94">
        <f t="shared" si="41"/>
        <v>0</v>
      </c>
      <c r="BA16" s="94">
        <f t="shared" si="42"/>
        <v>0</v>
      </c>
      <c r="BB16" s="97">
        <f t="shared" si="43"/>
        <v>0</v>
      </c>
      <c r="BC16" s="93"/>
      <c r="BD16" s="93">
        <f t="shared" si="44"/>
        <v>0</v>
      </c>
      <c r="BE16" s="95">
        <f t="shared" si="45"/>
        <v>1</v>
      </c>
      <c r="BF16" s="58">
        <f t="shared" si="46"/>
        <v>0</v>
      </c>
      <c r="BG16" s="94">
        <f t="shared" si="47"/>
        <v>0</v>
      </c>
      <c r="BH16" s="89"/>
      <c r="BI16" s="89"/>
      <c r="BJ16" s="92">
        <f t="shared" ref="BJ16:BJ19" si="78">$CN16</f>
        <v>0</v>
      </c>
      <c r="BK16" s="89"/>
      <c r="BL16" s="89"/>
      <c r="BM16" s="89"/>
      <c r="BN16" s="89"/>
      <c r="BO16" s="92">
        <f t="shared" si="70"/>
        <v>0</v>
      </c>
      <c r="BP16" s="92">
        <f t="shared" si="70"/>
        <v>0</v>
      </c>
      <c r="BQ16" s="96">
        <f t="shared" si="48"/>
        <v>0</v>
      </c>
      <c r="BR16" s="96">
        <f t="shared" si="49"/>
        <v>0</v>
      </c>
      <c r="BS16" s="96">
        <f t="shared" si="71"/>
        <v>0</v>
      </c>
      <c r="BT16" s="96">
        <f t="shared" si="50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1"/>
        <v>0</v>
      </c>
      <c r="BY16" s="61">
        <f t="shared" si="73"/>
        <v>0</v>
      </c>
      <c r="BZ16" s="62">
        <f t="shared" si="52"/>
        <v>0</v>
      </c>
      <c r="CA16" s="98">
        <f t="shared" si="53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4"/>
        <v>0</v>
      </c>
      <c r="CH16" s="62">
        <f t="shared" si="55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6"/>
        <v>0</v>
      </c>
      <c r="CR16" s="102">
        <f t="shared" si="20"/>
        <v>0</v>
      </c>
      <c r="CS16" s="102">
        <f t="shared" si="20"/>
        <v>0</v>
      </c>
      <c r="CT16" s="92">
        <f t="shared" si="57"/>
        <v>0</v>
      </c>
      <c r="CU16" s="92">
        <f t="shared" si="58"/>
        <v>0</v>
      </c>
      <c r="CV16" s="103">
        <f t="shared" si="58"/>
        <v>0</v>
      </c>
      <c r="CW16" s="104"/>
      <c r="CX16" s="105">
        <v>83.56</v>
      </c>
      <c r="CY16" s="106">
        <f t="shared" si="59"/>
        <v>488</v>
      </c>
      <c r="CZ16" s="106">
        <f t="shared" si="60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28"/>
        <v>0</v>
      </c>
      <c r="DO16" s="76">
        <f t="shared" si="28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79">IFERROR(AL16+BF16,"")</f>
        <v>0</v>
      </c>
      <c r="DX16" s="81">
        <f t="shared" si="29"/>
        <v>0</v>
      </c>
      <c r="DY16" s="80">
        <f t="shared" si="62"/>
        <v>0</v>
      </c>
      <c r="DZ16" s="82">
        <f t="shared" si="63"/>
        <v>0</v>
      </c>
      <c r="EA16" s="82">
        <f t="shared" si="64"/>
        <v>0</v>
      </c>
      <c r="EB16" s="82">
        <f t="shared" si="65"/>
        <v>0</v>
      </c>
      <c r="EC16" s="82">
        <f t="shared" si="75"/>
        <v>0</v>
      </c>
      <c r="EF16" s="83">
        <f t="shared" si="76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1"/>
        <v>GWA6063-T5-T18.15x8.6x3-H9A15</v>
      </c>
      <c r="H17" s="46" t="str">
        <f t="shared" si="32"/>
        <v>A6063-T5GW18.158.6TH9</v>
      </c>
      <c r="I17" s="46" t="str">
        <f t="shared" si="33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4"/>
        <v>14</v>
      </c>
      <c r="T17" s="51">
        <f>'03.02'!BG17</f>
        <v>15</v>
      </c>
      <c r="U17" s="92">
        <v>10</v>
      </c>
      <c r="V17" s="89">
        <v>7.7</v>
      </c>
      <c r="W17" s="93">
        <f t="shared" si="5"/>
        <v>0</v>
      </c>
      <c r="X17" s="93">
        <f t="shared" si="6"/>
        <v>637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0</v>
      </c>
      <c r="AE17" s="93">
        <f t="shared" si="35"/>
        <v>637</v>
      </c>
      <c r="AF17" s="54">
        <f>AE17+'03.02'!AF17</f>
        <v>3526</v>
      </c>
      <c r="AG17" s="94">
        <f t="shared" si="66"/>
        <v>15</v>
      </c>
      <c r="AH17" s="56">
        <f t="shared" si="13"/>
        <v>0</v>
      </c>
      <c r="AI17" s="89">
        <v>4</v>
      </c>
      <c r="AJ17" s="93">
        <f t="shared" si="67"/>
        <v>0</v>
      </c>
      <c r="AK17" s="95">
        <f t="shared" si="36"/>
        <v>1</v>
      </c>
      <c r="AL17" s="58">
        <f t="shared" si="37"/>
        <v>4</v>
      </c>
      <c r="AM17" s="55">
        <f t="shared" si="68"/>
        <v>21</v>
      </c>
      <c r="AN17" s="93"/>
      <c r="AO17" s="96"/>
      <c r="AP17" s="96">
        <f t="shared" si="77"/>
        <v>2802.8</v>
      </c>
      <c r="AQ17" s="96"/>
      <c r="AR17" s="96"/>
      <c r="AS17" s="96"/>
      <c r="AT17" s="96"/>
      <c r="AU17" s="96">
        <f t="shared" si="38"/>
        <v>0</v>
      </c>
      <c r="AV17" s="96">
        <f t="shared" si="38"/>
        <v>0</v>
      </c>
      <c r="AW17" s="96">
        <f t="shared" si="39"/>
        <v>2802.8</v>
      </c>
      <c r="AX17" s="96">
        <f t="shared" si="40"/>
        <v>364</v>
      </c>
      <c r="AY17" s="94">
        <f t="shared" si="69"/>
        <v>0</v>
      </c>
      <c r="AZ17" s="94">
        <f t="shared" si="41"/>
        <v>0</v>
      </c>
      <c r="BA17" s="94">
        <f t="shared" si="42"/>
        <v>21</v>
      </c>
      <c r="BB17" s="97">
        <f t="shared" si="43"/>
        <v>0</v>
      </c>
      <c r="BC17" s="93">
        <v>3</v>
      </c>
      <c r="BD17" s="93">
        <f t="shared" si="44"/>
        <v>0</v>
      </c>
      <c r="BE17" s="95">
        <f t="shared" si="45"/>
        <v>1</v>
      </c>
      <c r="BF17" s="58">
        <f t="shared" si="46"/>
        <v>3</v>
      </c>
      <c r="BG17" s="94">
        <f t="shared" si="47"/>
        <v>18</v>
      </c>
      <c r="BH17" s="89"/>
      <c r="BI17" s="89"/>
      <c r="BJ17" s="92">
        <f t="shared" si="78"/>
        <v>2102.1</v>
      </c>
      <c r="BK17" s="89"/>
      <c r="BL17" s="89"/>
      <c r="BM17" s="89"/>
      <c r="BN17" s="89"/>
      <c r="BO17" s="92">
        <f t="shared" si="70"/>
        <v>0</v>
      </c>
      <c r="BP17" s="92">
        <f t="shared" si="70"/>
        <v>0</v>
      </c>
      <c r="BQ17" s="96">
        <f t="shared" si="48"/>
        <v>2102.1</v>
      </c>
      <c r="BR17" s="96">
        <f t="shared" si="49"/>
        <v>273</v>
      </c>
      <c r="BS17" s="96">
        <f t="shared" si="71"/>
        <v>0</v>
      </c>
      <c r="BT17" s="96">
        <f t="shared" si="50"/>
        <v>0</v>
      </c>
      <c r="BU17" s="92">
        <f t="shared" si="16"/>
        <v>637</v>
      </c>
      <c r="BV17" s="98">
        <f t="shared" si="17"/>
        <v>7</v>
      </c>
      <c r="BW17" s="92">
        <f t="shared" si="18"/>
        <v>0</v>
      </c>
      <c r="BX17" s="98">
        <f t="shared" si="51"/>
        <v>11.487</v>
      </c>
      <c r="BY17" s="61">
        <f t="shared" si="73"/>
        <v>7</v>
      </c>
      <c r="BZ17" s="62">
        <f t="shared" si="52"/>
        <v>7</v>
      </c>
      <c r="CA17" s="98">
        <f t="shared" si="53"/>
        <v>4.9048999999999996</v>
      </c>
      <c r="CB17" s="92">
        <f t="shared" si="19"/>
        <v>637</v>
      </c>
      <c r="CC17" s="92">
        <f t="shared" si="19"/>
        <v>0</v>
      </c>
      <c r="CD17" s="92">
        <f t="shared" si="19"/>
        <v>0</v>
      </c>
      <c r="CE17" s="99"/>
      <c r="CF17" s="99"/>
      <c r="CG17" s="51">
        <f t="shared" si="54"/>
        <v>6.5821000000000005</v>
      </c>
      <c r="CH17" s="62">
        <f t="shared" si="55"/>
        <v>6.5821000000000005</v>
      </c>
      <c r="CI17" s="89"/>
      <c r="CJ17" s="89">
        <f>364*7.7</f>
        <v>2802.8</v>
      </c>
      <c r="CK17" s="89"/>
      <c r="CL17" s="96"/>
      <c r="CM17" s="89"/>
      <c r="CN17" s="89">
        <f>273*7.7</f>
        <v>2102.1</v>
      </c>
      <c r="CO17" s="92"/>
      <c r="CP17" s="101"/>
      <c r="CQ17" s="102">
        <f t="shared" si="56"/>
        <v>364</v>
      </c>
      <c r="CR17" s="102">
        <f t="shared" si="20"/>
        <v>0</v>
      </c>
      <c r="CS17" s="102">
        <f t="shared" si="20"/>
        <v>0</v>
      </c>
      <c r="CT17" s="92">
        <f t="shared" si="57"/>
        <v>273</v>
      </c>
      <c r="CU17" s="92">
        <f t="shared" si="58"/>
        <v>0</v>
      </c>
      <c r="CV17" s="103">
        <f t="shared" si="58"/>
        <v>0</v>
      </c>
      <c r="CW17" s="104"/>
      <c r="CX17" s="105">
        <v>60</v>
      </c>
      <c r="CY17" s="106">
        <f t="shared" si="59"/>
        <v>680</v>
      </c>
      <c r="CZ17" s="106">
        <f t="shared" si="60"/>
        <v>486.00000000000006</v>
      </c>
      <c r="DA17" s="106"/>
      <c r="DB17" s="106"/>
      <c r="DC17" s="105"/>
      <c r="DD17" s="107"/>
      <c r="DE17" s="92">
        <f t="shared" si="21"/>
        <v>364</v>
      </c>
      <c r="DF17" s="108">
        <f t="shared" si="22"/>
        <v>4</v>
      </c>
      <c r="DG17" s="112">
        <f t="shared" si="23"/>
        <v>0</v>
      </c>
      <c r="DH17" s="110">
        <f t="shared" si="24"/>
        <v>273</v>
      </c>
      <c r="DI17" s="108">
        <f t="shared" si="25"/>
        <v>3</v>
      </c>
      <c r="DJ17" s="112">
        <f t="shared" si="26"/>
        <v>0</v>
      </c>
      <c r="DK17" s="110">
        <f t="shared" si="27"/>
        <v>637</v>
      </c>
      <c r="DL17" s="108">
        <f t="shared" si="27"/>
        <v>7</v>
      </c>
      <c r="DM17" s="111">
        <f t="shared" si="27"/>
        <v>0</v>
      </c>
      <c r="DN17" s="76">
        <f t="shared" si="28"/>
        <v>15</v>
      </c>
      <c r="DO17" s="76">
        <f t="shared" si="28"/>
        <v>10</v>
      </c>
      <c r="DP17" s="112"/>
      <c r="DQ17" s="112"/>
      <c r="DR17" s="113" t="s">
        <v>421</v>
      </c>
      <c r="DS17" s="112"/>
      <c r="DT17" s="112"/>
      <c r="DU17" s="111"/>
      <c r="DV17" s="114"/>
      <c r="DW17" s="80">
        <f t="shared" si="79"/>
        <v>7</v>
      </c>
      <c r="DX17" s="81">
        <f t="shared" si="29"/>
        <v>644</v>
      </c>
      <c r="DY17" s="80">
        <f t="shared" si="62"/>
        <v>637</v>
      </c>
      <c r="DZ17" s="82">
        <f t="shared" si="63"/>
        <v>0</v>
      </c>
      <c r="EA17" s="82">
        <f t="shared" si="64"/>
        <v>4.9049000000000005</v>
      </c>
      <c r="EB17" s="82">
        <f t="shared" si="65"/>
        <v>6.5820999999999996</v>
      </c>
      <c r="EC17" s="82">
        <f t="shared" si="75"/>
        <v>6.5820999999999996</v>
      </c>
      <c r="EF17" s="83">
        <f t="shared" si="76"/>
        <v>0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1"/>
        <v>GWA6063-T5-T18.15x8.6x3-H9A15</v>
      </c>
      <c r="H18" s="46" t="str">
        <f t="shared" si="32"/>
        <v>A6063-T5GW18.158.6TH9</v>
      </c>
      <c r="I18" s="46" t="str">
        <f t="shared" si="33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4"/>
        <v>16</v>
      </c>
      <c r="T18" s="51">
        <v>14</v>
      </c>
      <c r="U18" s="92">
        <v>10</v>
      </c>
      <c r="V18" s="89">
        <v>9.9</v>
      </c>
      <c r="W18" s="93">
        <f t="shared" si="5"/>
        <v>0</v>
      </c>
      <c r="X18" s="93">
        <f t="shared" si="6"/>
        <v>976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0</v>
      </c>
      <c r="AE18" s="93">
        <f t="shared" si="35"/>
        <v>976</v>
      </c>
      <c r="AF18" s="54">
        <f>AE18+'03.02'!AF18</f>
        <v>2997</v>
      </c>
      <c r="AG18" s="94">
        <f t="shared" si="66"/>
        <v>14</v>
      </c>
      <c r="AH18" s="56">
        <f t="shared" si="13"/>
        <v>0</v>
      </c>
      <c r="AI18" s="89">
        <v>8</v>
      </c>
      <c r="AJ18" s="93">
        <f t="shared" si="67"/>
        <v>0</v>
      </c>
      <c r="AK18" s="95">
        <f t="shared" si="36"/>
        <v>1</v>
      </c>
      <c r="AL18" s="58">
        <f t="shared" si="37"/>
        <v>8</v>
      </c>
      <c r="AM18" s="55">
        <f t="shared" si="68"/>
        <v>16</v>
      </c>
      <c r="AN18" s="93"/>
      <c r="AO18" s="96"/>
      <c r="AP18" s="96">
        <f t="shared" si="77"/>
        <v>5454.9000000000005</v>
      </c>
      <c r="AQ18" s="96"/>
      <c r="AR18" s="96"/>
      <c r="AS18" s="96"/>
      <c r="AT18" s="96"/>
      <c r="AU18" s="96">
        <f t="shared" si="38"/>
        <v>0</v>
      </c>
      <c r="AV18" s="96">
        <f t="shared" si="38"/>
        <v>0</v>
      </c>
      <c r="AW18" s="96">
        <f t="shared" si="39"/>
        <v>5454.9000000000005</v>
      </c>
      <c r="AX18" s="96">
        <f t="shared" si="40"/>
        <v>551</v>
      </c>
      <c r="AY18" s="94">
        <f t="shared" si="69"/>
        <v>69.300000000000182</v>
      </c>
      <c r="AZ18" s="94">
        <f t="shared" si="41"/>
        <v>7.0000000000000178</v>
      </c>
      <c r="BA18" s="94">
        <f t="shared" si="42"/>
        <v>16</v>
      </c>
      <c r="BB18" s="97">
        <f t="shared" si="43"/>
        <v>0</v>
      </c>
      <c r="BC18" s="93">
        <v>6</v>
      </c>
      <c r="BD18" s="93">
        <f t="shared" si="44"/>
        <v>0</v>
      </c>
      <c r="BE18" s="95">
        <f t="shared" si="45"/>
        <v>1</v>
      </c>
      <c r="BF18" s="58">
        <f t="shared" si="46"/>
        <v>6</v>
      </c>
      <c r="BG18" s="94">
        <f t="shared" si="47"/>
        <v>10</v>
      </c>
      <c r="BH18" s="89"/>
      <c r="BI18" s="89"/>
      <c r="BJ18" s="92">
        <f t="shared" si="78"/>
        <v>4207.5</v>
      </c>
      <c r="BK18" s="89"/>
      <c r="BL18" s="89"/>
      <c r="BM18" s="89"/>
      <c r="BN18" s="89"/>
      <c r="BO18" s="92">
        <f t="shared" si="70"/>
        <v>0</v>
      </c>
      <c r="BP18" s="92">
        <f t="shared" si="70"/>
        <v>0</v>
      </c>
      <c r="BQ18" s="96">
        <f t="shared" si="48"/>
        <v>4207.5</v>
      </c>
      <c r="BR18" s="96">
        <f t="shared" si="49"/>
        <v>425</v>
      </c>
      <c r="BS18" s="96">
        <f t="shared" si="71"/>
        <v>168.29999999999973</v>
      </c>
      <c r="BT18" s="96">
        <f t="shared" si="50"/>
        <v>16.999999999999972</v>
      </c>
      <c r="BU18" s="92">
        <f t="shared" si="16"/>
        <v>976</v>
      </c>
      <c r="BV18" s="98">
        <f t="shared" si="17"/>
        <v>14</v>
      </c>
      <c r="BW18" s="92">
        <f t="shared" si="18"/>
        <v>23.999999999999989</v>
      </c>
      <c r="BX18" s="98">
        <f t="shared" si="51"/>
        <v>22.974</v>
      </c>
      <c r="BY18" s="61">
        <f t="shared" si="73"/>
        <v>14</v>
      </c>
      <c r="BZ18" s="62">
        <f t="shared" si="52"/>
        <v>14</v>
      </c>
      <c r="CA18" s="98">
        <f t="shared" si="53"/>
        <v>9.6624000000000017</v>
      </c>
      <c r="CB18" s="92">
        <f t="shared" si="19"/>
        <v>976</v>
      </c>
      <c r="CC18" s="92">
        <f t="shared" si="19"/>
        <v>237.59999999999991</v>
      </c>
      <c r="CD18" s="92">
        <f t="shared" si="19"/>
        <v>23.999999999999989</v>
      </c>
      <c r="CE18" s="99"/>
      <c r="CF18" s="99"/>
      <c r="CG18" s="51">
        <f t="shared" si="54"/>
        <v>13.311599999999999</v>
      </c>
      <c r="CH18" s="62">
        <f t="shared" si="55"/>
        <v>13.311599999999999</v>
      </c>
      <c r="CI18" s="89"/>
      <c r="CJ18" s="89">
        <f>551*9.9</f>
        <v>5454.9000000000005</v>
      </c>
      <c r="CK18" s="89"/>
      <c r="CL18" s="96"/>
      <c r="CM18" s="89"/>
      <c r="CN18" s="89">
        <f>425*9.9</f>
        <v>4207.5</v>
      </c>
      <c r="CO18" s="92"/>
      <c r="CP18" s="101"/>
      <c r="CQ18" s="102">
        <f t="shared" si="56"/>
        <v>551</v>
      </c>
      <c r="CR18" s="102">
        <f t="shared" si="20"/>
        <v>0</v>
      </c>
      <c r="CS18" s="102">
        <f t="shared" si="20"/>
        <v>0</v>
      </c>
      <c r="CT18" s="92">
        <f t="shared" si="57"/>
        <v>425</v>
      </c>
      <c r="CU18" s="92">
        <f t="shared" si="58"/>
        <v>0</v>
      </c>
      <c r="CV18" s="103">
        <f t="shared" si="58"/>
        <v>0</v>
      </c>
      <c r="CW18" s="104"/>
      <c r="CX18" s="105">
        <v>79.33</v>
      </c>
      <c r="CY18" s="106">
        <f t="shared" si="59"/>
        <v>510</v>
      </c>
      <c r="CZ18" s="106">
        <f t="shared" si="60"/>
        <v>642.57299999999998</v>
      </c>
      <c r="DA18" s="106"/>
      <c r="DB18" s="106"/>
      <c r="DC18" s="105"/>
      <c r="DD18" s="107"/>
      <c r="DE18" s="92">
        <f t="shared" si="21"/>
        <v>551</v>
      </c>
      <c r="DF18" s="108">
        <f t="shared" si="22"/>
        <v>8</v>
      </c>
      <c r="DG18" s="112">
        <f t="shared" si="23"/>
        <v>7.0000000000000178</v>
      </c>
      <c r="DH18" s="110">
        <f t="shared" si="24"/>
        <v>425</v>
      </c>
      <c r="DI18" s="108">
        <f t="shared" si="25"/>
        <v>6</v>
      </c>
      <c r="DJ18" s="112">
        <f t="shared" si="26"/>
        <v>16.999999999999972</v>
      </c>
      <c r="DK18" s="110">
        <f t="shared" si="27"/>
        <v>976</v>
      </c>
      <c r="DL18" s="108">
        <f t="shared" si="27"/>
        <v>14</v>
      </c>
      <c r="DM18" s="111">
        <f t="shared" si="27"/>
        <v>23.999999999999989</v>
      </c>
      <c r="DN18" s="76">
        <f t="shared" si="28"/>
        <v>14</v>
      </c>
      <c r="DO18" s="76">
        <f t="shared" si="28"/>
        <v>10</v>
      </c>
      <c r="DP18" s="112"/>
      <c r="DQ18" s="112"/>
      <c r="DR18" s="113" t="s">
        <v>422</v>
      </c>
      <c r="DS18" s="112"/>
      <c r="DT18" s="112"/>
      <c r="DU18" s="111"/>
      <c r="DV18" s="114"/>
      <c r="DW18" s="80">
        <f t="shared" si="79"/>
        <v>14</v>
      </c>
      <c r="DX18" s="81">
        <f t="shared" si="29"/>
        <v>1014</v>
      </c>
      <c r="DY18" s="80">
        <f t="shared" si="62"/>
        <v>976</v>
      </c>
      <c r="DZ18" s="82">
        <f t="shared" si="63"/>
        <v>0</v>
      </c>
      <c r="EA18" s="82">
        <f t="shared" si="64"/>
        <v>9.6623999999999999</v>
      </c>
      <c r="EB18" s="82">
        <f t="shared" si="65"/>
        <v>13.3116</v>
      </c>
      <c r="EC18" s="82">
        <f t="shared" si="75"/>
        <v>13.3116</v>
      </c>
      <c r="EF18" s="83">
        <f t="shared" si="76"/>
        <v>23.999999999999989</v>
      </c>
    </row>
    <row r="19" spans="1:136">
      <c r="A19" s="84">
        <v>12</v>
      </c>
      <c r="B19" s="85" t="s">
        <v>169</v>
      </c>
      <c r="C19" s="86"/>
      <c r="D19" s="116" t="s">
        <v>170</v>
      </c>
      <c r="E19" s="88">
        <v>104</v>
      </c>
      <c r="F19" s="89" t="s">
        <v>136</v>
      </c>
      <c r="G19" s="45" t="str">
        <f t="shared" si="31"/>
        <v>TV12L14-12x3-H9B14</v>
      </c>
      <c r="H19" s="46" t="str">
        <f t="shared" si="32"/>
        <v>12L14TV120DH9</v>
      </c>
      <c r="I19" s="46" t="str">
        <f t="shared" si="33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4"/>
        <v>20</v>
      </c>
      <c r="T19" s="51">
        <f>'03.02'!BG19</f>
        <v>2.76</v>
      </c>
      <c r="U19" s="92">
        <v>28</v>
      </c>
      <c r="V19" s="89">
        <v>10.6</v>
      </c>
      <c r="W19" s="93">
        <f t="shared" si="5"/>
        <v>0</v>
      </c>
      <c r="X19" s="93">
        <f t="shared" si="6"/>
        <v>706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61</v>
      </c>
      <c r="AE19" s="93">
        <f t="shared" si="35"/>
        <v>706</v>
      </c>
      <c r="AF19" s="54">
        <f>AE19+'03.02'!AF19</f>
        <v>2009</v>
      </c>
      <c r="AG19" s="94">
        <f t="shared" si="66"/>
        <v>2.76</v>
      </c>
      <c r="AH19" s="56">
        <f t="shared" si="13"/>
        <v>0.76</v>
      </c>
      <c r="AI19" s="89">
        <v>7</v>
      </c>
      <c r="AJ19" s="93">
        <f t="shared" si="67"/>
        <v>100</v>
      </c>
      <c r="AK19" s="95">
        <f t="shared" si="36"/>
        <v>9.0711175616836004E-2</v>
      </c>
      <c r="AL19" s="58">
        <f t="shared" si="37"/>
        <v>6.8599999999999994</v>
      </c>
      <c r="AM19" s="55">
        <f t="shared" si="68"/>
        <v>23.9</v>
      </c>
      <c r="AN19" s="93"/>
      <c r="AO19" s="96"/>
      <c r="AP19" s="96">
        <f t="shared" si="77"/>
        <v>6948</v>
      </c>
      <c r="AQ19" s="96"/>
      <c r="AR19" s="96"/>
      <c r="AS19" s="96"/>
      <c r="AT19" s="96"/>
      <c r="AU19" s="96">
        <f t="shared" si="38"/>
        <v>0</v>
      </c>
      <c r="AV19" s="96">
        <f t="shared" si="38"/>
        <v>450</v>
      </c>
      <c r="AW19" s="96">
        <f>SUM(AO19:AV19)</f>
        <v>7398</v>
      </c>
      <c r="AX19" s="96">
        <f t="shared" si="40"/>
        <v>697</v>
      </c>
      <c r="AY19" s="94">
        <f t="shared" si="69"/>
        <v>-164.46399999999903</v>
      </c>
      <c r="AZ19" s="94">
        <f t="shared" si="41"/>
        <v>-15.515471698113117</v>
      </c>
      <c r="BA19" s="94">
        <f t="shared" si="42"/>
        <v>23.9</v>
      </c>
      <c r="BB19" s="97">
        <f t="shared" si="43"/>
        <v>0.9</v>
      </c>
      <c r="BC19" s="93">
        <v>1</v>
      </c>
      <c r="BD19" s="93">
        <f t="shared" si="44"/>
        <v>0</v>
      </c>
      <c r="BE19" s="95">
        <f t="shared" si="45"/>
        <v>1</v>
      </c>
      <c r="BF19" s="58">
        <f t="shared" si="46"/>
        <v>1.9</v>
      </c>
      <c r="BG19" s="94">
        <f t="shared" si="47"/>
        <v>22</v>
      </c>
      <c r="BH19" s="89"/>
      <c r="BI19" s="89"/>
      <c r="BJ19" s="92">
        <f t="shared" si="78"/>
        <v>540</v>
      </c>
      <c r="BK19" s="89"/>
      <c r="BL19" s="89"/>
      <c r="BM19" s="89"/>
      <c r="BN19" s="89"/>
      <c r="BO19" s="92">
        <f t="shared" si="70"/>
        <v>0</v>
      </c>
      <c r="BP19" s="92">
        <f t="shared" si="70"/>
        <v>200</v>
      </c>
      <c r="BQ19" s="96">
        <f t="shared" si="48"/>
        <v>740</v>
      </c>
      <c r="BR19" s="96">
        <f t="shared" si="49"/>
        <v>69</v>
      </c>
      <c r="BS19" s="96">
        <f t="shared" si="71"/>
        <v>-1354.56</v>
      </c>
      <c r="BT19" s="96">
        <f t="shared" si="50"/>
        <v>-127.78867924528302</v>
      </c>
      <c r="BU19" s="92">
        <f t="shared" si="16"/>
        <v>706</v>
      </c>
      <c r="BV19" s="98">
        <f t="shared" si="17"/>
        <v>8.76</v>
      </c>
      <c r="BW19" s="92">
        <f t="shared" si="18"/>
        <v>-143.30415094339614</v>
      </c>
      <c r="BX19" s="98">
        <f t="shared" si="51"/>
        <v>23.23152</v>
      </c>
      <c r="BY19" s="61">
        <f t="shared" si="73"/>
        <v>8.76</v>
      </c>
      <c r="BZ19" s="62">
        <f t="shared" si="52"/>
        <v>8.76</v>
      </c>
      <c r="CA19" s="98">
        <f t="shared" si="53"/>
        <v>8.1379999999999999</v>
      </c>
      <c r="CB19" s="92">
        <f t="shared" si="19"/>
        <v>766</v>
      </c>
      <c r="CC19" s="92">
        <f t="shared" si="19"/>
        <v>-1519.023999999999</v>
      </c>
      <c r="CD19" s="92">
        <f t="shared" si="19"/>
        <v>-143.30415094339614</v>
      </c>
      <c r="CE19" s="99"/>
      <c r="CF19" s="99"/>
      <c r="CG19" s="51">
        <f t="shared" si="54"/>
        <v>15.74352</v>
      </c>
      <c r="CH19" s="62">
        <f t="shared" si="55"/>
        <v>15.74352</v>
      </c>
      <c r="CI19" s="89">
        <v>100</v>
      </c>
      <c r="CJ19" s="89">
        <v>6948</v>
      </c>
      <c r="CK19" s="89"/>
      <c r="CL19" s="96">
        <v>450</v>
      </c>
      <c r="CM19" s="89"/>
      <c r="CN19" s="89">
        <v>540</v>
      </c>
      <c r="CO19" s="92"/>
      <c r="CP19" s="101">
        <v>200</v>
      </c>
      <c r="CQ19" s="102">
        <f t="shared" si="56"/>
        <v>655</v>
      </c>
      <c r="CR19" s="102">
        <f t="shared" si="20"/>
        <v>0</v>
      </c>
      <c r="CS19" s="102">
        <f t="shared" si="20"/>
        <v>42</v>
      </c>
      <c r="CT19" s="92">
        <f t="shared" si="57"/>
        <v>51</v>
      </c>
      <c r="CU19" s="92">
        <f t="shared" si="58"/>
        <v>0</v>
      </c>
      <c r="CV19" s="103">
        <f t="shared" si="58"/>
        <v>19</v>
      </c>
      <c r="CW19" s="104"/>
      <c r="CX19" s="105">
        <v>37.89</v>
      </c>
      <c r="CY19" s="106">
        <f t="shared" si="59"/>
        <v>1053</v>
      </c>
      <c r="CZ19" s="106">
        <f t="shared" si="60"/>
        <v>306.90900000000005</v>
      </c>
      <c r="DA19" s="106"/>
      <c r="DB19" s="106"/>
      <c r="DC19" s="105"/>
      <c r="DD19" s="107"/>
      <c r="DE19" s="92">
        <f t="shared" si="21"/>
        <v>655</v>
      </c>
      <c r="DF19" s="108">
        <f t="shared" si="22"/>
        <v>6.8599999999999994</v>
      </c>
      <c r="DG19" s="112">
        <f t="shared" si="23"/>
        <v>-15.515471698113117</v>
      </c>
      <c r="DH19" s="110">
        <f t="shared" si="24"/>
        <v>51</v>
      </c>
      <c r="DI19" s="108">
        <f t="shared" si="25"/>
        <v>1.9</v>
      </c>
      <c r="DJ19" s="112">
        <f t="shared" si="26"/>
        <v>-127.78867924528302</v>
      </c>
      <c r="DK19" s="110">
        <f t="shared" si="27"/>
        <v>706</v>
      </c>
      <c r="DL19" s="108">
        <f t="shared" si="27"/>
        <v>8.76</v>
      </c>
      <c r="DM19" s="111">
        <f t="shared" si="27"/>
        <v>-143.30415094339614</v>
      </c>
      <c r="DN19" s="76">
        <v>2</v>
      </c>
      <c r="DO19" s="76">
        <f t="shared" si="28"/>
        <v>28</v>
      </c>
      <c r="DP19" s="112"/>
      <c r="DQ19" s="112"/>
      <c r="DR19" s="113" t="s">
        <v>479</v>
      </c>
      <c r="DS19" s="112"/>
      <c r="DT19" s="112"/>
      <c r="DU19" s="111"/>
      <c r="DV19" s="114"/>
      <c r="DW19" s="80">
        <f t="shared" si="79"/>
        <v>8.76</v>
      </c>
      <c r="DX19" s="81">
        <f t="shared" si="29"/>
        <v>571.45584905660382</v>
      </c>
      <c r="DY19" s="80">
        <f t="shared" si="62"/>
        <v>767</v>
      </c>
      <c r="DZ19" s="82">
        <f t="shared" si="63"/>
        <v>0.64660000000000006</v>
      </c>
      <c r="EA19" s="82">
        <f t="shared" si="64"/>
        <v>7.4835999999999991</v>
      </c>
      <c r="EB19" s="82">
        <f t="shared" si="65"/>
        <v>15.747920000000001</v>
      </c>
      <c r="EC19" s="82">
        <f t="shared" si="75"/>
        <v>16.39452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1"/>
        <v>GWA6063-T5-8.3x3-H9B14</v>
      </c>
      <c r="H20" s="46" t="str">
        <f t="shared" si="32"/>
        <v>A6063-T5GW8.30DH9</v>
      </c>
      <c r="I20" s="46" t="str">
        <f t="shared" si="33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4"/>
        <v>18</v>
      </c>
      <c r="T20" s="51">
        <f>'03.02'!BG20</f>
        <v>41</v>
      </c>
      <c r="U20" s="92"/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35"/>
        <v>0</v>
      </c>
      <c r="AF20" s="54">
        <f>AE20+'03.02'!AF20</f>
        <v>848</v>
      </c>
      <c r="AG20" s="94">
        <f t="shared" si="66"/>
        <v>41</v>
      </c>
      <c r="AH20" s="56">
        <f t="shared" si="13"/>
        <v>0</v>
      </c>
      <c r="AI20" s="100"/>
      <c r="AJ20" s="93">
        <f t="shared" si="67"/>
        <v>0</v>
      </c>
      <c r="AK20" s="95">
        <f t="shared" si="36"/>
        <v>1</v>
      </c>
      <c r="AL20" s="58">
        <f t="shared" si="37"/>
        <v>0</v>
      </c>
      <c r="AM20" s="55">
        <f t="shared" si="68"/>
        <v>41</v>
      </c>
      <c r="AN20" s="93"/>
      <c r="AO20" s="96"/>
      <c r="AP20" s="96"/>
      <c r="AQ20" s="96"/>
      <c r="AR20" s="96"/>
      <c r="AS20" s="96"/>
      <c r="AT20" s="96">
        <f t="shared" ref="AT20" si="80">$CJ20</f>
        <v>0</v>
      </c>
      <c r="AU20" s="96">
        <f t="shared" si="38"/>
        <v>0</v>
      </c>
      <c r="AV20" s="96">
        <f t="shared" si="38"/>
        <v>0</v>
      </c>
      <c r="AW20" s="96">
        <f t="shared" si="39"/>
        <v>0</v>
      </c>
      <c r="AX20" s="96">
        <f t="shared" si="40"/>
        <v>0</v>
      </c>
      <c r="AY20" s="94">
        <f t="shared" si="69"/>
        <v>0</v>
      </c>
      <c r="AZ20" s="94">
        <f t="shared" si="41"/>
        <v>0</v>
      </c>
      <c r="BA20" s="94">
        <f t="shared" si="42"/>
        <v>41</v>
      </c>
      <c r="BB20" s="97">
        <f t="shared" si="43"/>
        <v>0</v>
      </c>
      <c r="BC20" s="93"/>
      <c r="BD20" s="93">
        <f t="shared" si="44"/>
        <v>0</v>
      </c>
      <c r="BE20" s="95">
        <f t="shared" si="45"/>
        <v>1</v>
      </c>
      <c r="BF20" s="58">
        <f t="shared" si="46"/>
        <v>0</v>
      </c>
      <c r="BG20" s="94">
        <f t="shared" si="47"/>
        <v>41</v>
      </c>
      <c r="BH20" s="89"/>
      <c r="BI20" s="89"/>
      <c r="BJ20" s="92"/>
      <c r="BK20" s="89"/>
      <c r="BL20" s="89"/>
      <c r="BM20" s="89"/>
      <c r="BN20" s="92">
        <f t="shared" ref="BN20" si="81">$CN20</f>
        <v>0</v>
      </c>
      <c r="BO20" s="92">
        <f t="shared" si="70"/>
        <v>0</v>
      </c>
      <c r="BP20" s="92">
        <f t="shared" si="70"/>
        <v>0</v>
      </c>
      <c r="BQ20" s="96">
        <f t="shared" si="48"/>
        <v>0</v>
      </c>
      <c r="BR20" s="96">
        <f t="shared" si="49"/>
        <v>0</v>
      </c>
      <c r="BS20" s="96">
        <f t="shared" si="71"/>
        <v>0</v>
      </c>
      <c r="BT20" s="96">
        <f t="shared" si="50"/>
        <v>0</v>
      </c>
      <c r="BU20" s="92">
        <f t="shared" si="16"/>
        <v>0</v>
      </c>
      <c r="BV20" s="98">
        <f t="shared" si="17"/>
        <v>0</v>
      </c>
      <c r="BW20" s="92">
        <f t="shared" si="18"/>
        <v>0</v>
      </c>
      <c r="BX20" s="98">
        <f t="shared" si="51"/>
        <v>0</v>
      </c>
      <c r="BY20" s="61">
        <f t="shared" si="73"/>
        <v>0</v>
      </c>
      <c r="BZ20" s="62">
        <f t="shared" si="52"/>
        <v>0</v>
      </c>
      <c r="CA20" s="98">
        <f t="shared" si="53"/>
        <v>0</v>
      </c>
      <c r="CB20" s="92">
        <f t="shared" si="19"/>
        <v>0</v>
      </c>
      <c r="CC20" s="92">
        <f t="shared" si="19"/>
        <v>0</v>
      </c>
      <c r="CD20" s="92">
        <f t="shared" si="19"/>
        <v>0</v>
      </c>
      <c r="CE20" s="99"/>
      <c r="CF20" s="99"/>
      <c r="CG20" s="51">
        <f t="shared" si="54"/>
        <v>0</v>
      </c>
      <c r="CH20" s="62">
        <f t="shared" si="55"/>
        <v>0</v>
      </c>
      <c r="CI20" s="89"/>
      <c r="CJ20" s="89"/>
      <c r="CK20" s="89"/>
      <c r="CL20" s="96"/>
      <c r="CM20" s="89"/>
      <c r="CN20" s="89"/>
      <c r="CO20" s="92"/>
      <c r="CP20" s="101"/>
      <c r="CQ20" s="102">
        <f t="shared" si="56"/>
        <v>0</v>
      </c>
      <c r="CR20" s="102">
        <f t="shared" si="20"/>
        <v>0</v>
      </c>
      <c r="CS20" s="102">
        <f t="shared" si="20"/>
        <v>0</v>
      </c>
      <c r="CT20" s="92">
        <f t="shared" si="57"/>
        <v>0</v>
      </c>
      <c r="CU20" s="92">
        <f t="shared" si="58"/>
        <v>0</v>
      </c>
      <c r="CV20" s="103">
        <f t="shared" si="58"/>
        <v>0</v>
      </c>
      <c r="CW20" s="104"/>
      <c r="CX20" s="105">
        <v>15</v>
      </c>
      <c r="CY20" s="106">
        <f t="shared" si="59"/>
        <v>2680</v>
      </c>
      <c r="CZ20" s="106">
        <f t="shared" si="60"/>
        <v>121.50000000000001</v>
      </c>
      <c r="DA20" s="106"/>
      <c r="DB20" s="106"/>
      <c r="DC20" s="105"/>
      <c r="DD20" s="107"/>
      <c r="DE20" s="92">
        <f t="shared" si="21"/>
        <v>0</v>
      </c>
      <c r="DF20" s="108">
        <f t="shared" si="22"/>
        <v>0</v>
      </c>
      <c r="DG20" s="112">
        <f t="shared" si="23"/>
        <v>0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0</v>
      </c>
      <c r="DL20" s="108">
        <f t="shared" si="27"/>
        <v>0</v>
      </c>
      <c r="DM20" s="111">
        <f t="shared" si="27"/>
        <v>0</v>
      </c>
      <c r="DN20" s="76">
        <f t="shared" si="28"/>
        <v>41</v>
      </c>
      <c r="DO20" s="76">
        <f t="shared" si="28"/>
        <v>0</v>
      </c>
      <c r="DP20" s="112"/>
      <c r="DQ20" s="112"/>
      <c r="DR20" s="113" t="s">
        <v>424</v>
      </c>
      <c r="DS20" s="112"/>
      <c r="DT20" s="112"/>
      <c r="DU20" s="111"/>
      <c r="DV20" s="114"/>
      <c r="DW20" s="80">
        <f t="shared" si="61"/>
        <v>0</v>
      </c>
      <c r="DX20" s="81">
        <f t="shared" si="29"/>
        <v>0</v>
      </c>
      <c r="DY20" s="80">
        <f t="shared" si="62"/>
        <v>0</v>
      </c>
      <c r="DZ20" s="82">
        <f t="shared" si="63"/>
        <v>0</v>
      </c>
      <c r="EA20" s="82">
        <f t="shared" si="64"/>
        <v>0</v>
      </c>
      <c r="EB20" s="82">
        <f t="shared" si="65"/>
        <v>0</v>
      </c>
      <c r="EC20" s="82">
        <f t="shared" si="75"/>
        <v>0</v>
      </c>
      <c r="EF20" s="83">
        <f t="shared" ref="EF20:EF25" si="82">DG20+DJ20</f>
        <v>0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1"/>
        <v>TV12L14-11x2.5-H9C14</v>
      </c>
      <c r="H21" s="123" t="str">
        <f t="shared" si="32"/>
        <v>12L14TV110DH9</v>
      </c>
      <c r="I21" s="123" t="str">
        <f t="shared" si="33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4"/>
        <v>10</v>
      </c>
      <c r="T21" s="51">
        <f>'03.02'!BG21</f>
        <v>7.61</v>
      </c>
      <c r="U21" s="124">
        <v>13</v>
      </c>
      <c r="V21" s="100">
        <v>2</v>
      </c>
      <c r="W21" s="125">
        <f t="shared" si="5"/>
        <v>0</v>
      </c>
      <c r="X21" s="125">
        <f t="shared" si="6"/>
        <v>4083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25</v>
      </c>
      <c r="AE21" s="125">
        <f t="shared" si="35"/>
        <v>4083</v>
      </c>
      <c r="AF21" s="54">
        <f>AE21+'03.02'!AF21</f>
        <v>13072</v>
      </c>
      <c r="AG21" s="94">
        <f t="shared" si="66"/>
        <v>7.61</v>
      </c>
      <c r="AH21" s="56">
        <f t="shared" si="13"/>
        <v>0.61</v>
      </c>
      <c r="AI21" s="89">
        <v>7</v>
      </c>
      <c r="AJ21" s="93">
        <f t="shared" si="67"/>
        <v>0</v>
      </c>
      <c r="AK21" s="95">
        <f t="shared" si="36"/>
        <v>1</v>
      </c>
      <c r="AL21" s="58">
        <f t="shared" si="37"/>
        <v>7.61</v>
      </c>
      <c r="AM21" s="55">
        <f t="shared" si="68"/>
        <v>13</v>
      </c>
      <c r="AN21" s="125"/>
      <c r="AO21" s="126"/>
      <c r="AP21" s="126">
        <f t="shared" ref="AP21" si="83">$CJ21</f>
        <v>4166</v>
      </c>
      <c r="AQ21" s="126"/>
      <c r="AR21" s="126"/>
      <c r="AS21" s="126"/>
      <c r="AT21" s="126"/>
      <c r="AU21" s="126">
        <f t="shared" si="38"/>
        <v>0</v>
      </c>
      <c r="AV21" s="126">
        <f t="shared" si="38"/>
        <v>50</v>
      </c>
      <c r="AW21" s="126">
        <f t="shared" si="39"/>
        <v>4216</v>
      </c>
      <c r="AX21" s="126">
        <f t="shared" si="40"/>
        <v>2108</v>
      </c>
      <c r="AY21" s="94">
        <f t="shared" si="69"/>
        <v>-91.260000000000218</v>
      </c>
      <c r="AZ21" s="94">
        <f t="shared" si="41"/>
        <v>-45.630000000000109</v>
      </c>
      <c r="BA21" s="94">
        <f t="shared" si="42"/>
        <v>13</v>
      </c>
      <c r="BB21" s="97">
        <f t="shared" si="43"/>
        <v>0</v>
      </c>
      <c r="BC21" s="125">
        <v>7</v>
      </c>
      <c r="BD21" s="93">
        <f t="shared" si="44"/>
        <v>0</v>
      </c>
      <c r="BE21" s="127">
        <f t="shared" si="45"/>
        <v>1</v>
      </c>
      <c r="BF21" s="58">
        <f t="shared" si="46"/>
        <v>7</v>
      </c>
      <c r="BG21" s="94">
        <f t="shared" si="47"/>
        <v>6</v>
      </c>
      <c r="BH21" s="100"/>
      <c r="BI21" s="100"/>
      <c r="BJ21" s="92">
        <f t="shared" ref="BJ21" si="84">$CN21</f>
        <v>4000</v>
      </c>
      <c r="BK21" s="100"/>
      <c r="BL21" s="100"/>
      <c r="BM21" s="100"/>
      <c r="BN21" s="92"/>
      <c r="BO21" s="124">
        <f t="shared" si="70"/>
        <v>0</v>
      </c>
      <c r="BP21" s="124">
        <f t="shared" si="70"/>
        <v>0</v>
      </c>
      <c r="BQ21" s="126">
        <f t="shared" si="48"/>
        <v>4000</v>
      </c>
      <c r="BR21" s="126">
        <f t="shared" si="49"/>
        <v>2000</v>
      </c>
      <c r="BS21" s="126">
        <f t="shared" si="71"/>
        <v>38</v>
      </c>
      <c r="BT21" s="126">
        <f t="shared" si="50"/>
        <v>19</v>
      </c>
      <c r="BU21" s="124">
        <f t="shared" si="16"/>
        <v>4083</v>
      </c>
      <c r="BV21" s="128">
        <f t="shared" si="17"/>
        <v>14.61</v>
      </c>
      <c r="BW21" s="124">
        <f t="shared" si="18"/>
        <v>-26.630000000000109</v>
      </c>
      <c r="BX21" s="128" t="str">
        <f t="shared" si="51"/>
        <v/>
      </c>
      <c r="BY21" s="129">
        <f t="shared" si="73"/>
        <v>14.61</v>
      </c>
      <c r="BZ21" s="62">
        <f t="shared" si="52"/>
        <v>14.61</v>
      </c>
      <c r="CA21" s="128">
        <f t="shared" si="53"/>
        <v>8.2159999999999993</v>
      </c>
      <c r="CB21" s="124">
        <f t="shared" si="19"/>
        <v>4108</v>
      </c>
      <c r="CC21" s="124">
        <f t="shared" si="19"/>
        <v>-53.260000000000218</v>
      </c>
      <c r="CD21" s="124">
        <f t="shared" si="19"/>
        <v>-26.630000000000109</v>
      </c>
      <c r="CE21" s="100"/>
      <c r="CF21" s="100"/>
      <c r="CG21" s="51">
        <f t="shared" si="54"/>
        <v>0</v>
      </c>
      <c r="CH21" s="62">
        <f t="shared" si="55"/>
        <v>0</v>
      </c>
      <c r="CI21" s="100"/>
      <c r="CJ21" s="100">
        <v>4166</v>
      </c>
      <c r="CK21" s="100"/>
      <c r="CL21" s="126">
        <v>50</v>
      </c>
      <c r="CM21" s="100"/>
      <c r="CN21" s="100">
        <v>4000</v>
      </c>
      <c r="CO21" s="124"/>
      <c r="CP21" s="130"/>
      <c r="CQ21" s="102">
        <f t="shared" si="56"/>
        <v>2083</v>
      </c>
      <c r="CR21" s="102">
        <f t="shared" si="20"/>
        <v>0</v>
      </c>
      <c r="CS21" s="102">
        <f t="shared" si="20"/>
        <v>25</v>
      </c>
      <c r="CT21" s="92">
        <f t="shared" si="57"/>
        <v>2000</v>
      </c>
      <c r="CU21" s="92">
        <f t="shared" si="58"/>
        <v>0</v>
      </c>
      <c r="CV21" s="103">
        <f t="shared" si="58"/>
        <v>0</v>
      </c>
      <c r="CW21" s="131"/>
      <c r="CX21" s="132">
        <v>30</v>
      </c>
      <c r="CY21" s="133">
        <f t="shared" si="59"/>
        <v>1380</v>
      </c>
      <c r="CZ21" s="133">
        <f t="shared" si="60"/>
        <v>243.00000000000003</v>
      </c>
      <c r="DA21" s="133"/>
      <c r="DB21" s="133"/>
      <c r="DC21" s="132"/>
      <c r="DD21" s="134"/>
      <c r="DE21" s="124">
        <f t="shared" si="21"/>
        <v>2083</v>
      </c>
      <c r="DF21" s="135">
        <f t="shared" si="22"/>
        <v>7.61</v>
      </c>
      <c r="DG21" s="112">
        <f t="shared" si="23"/>
        <v>-45.630000000000109</v>
      </c>
      <c r="DH21" s="136">
        <f t="shared" si="24"/>
        <v>2000</v>
      </c>
      <c r="DI21" s="135">
        <f t="shared" si="25"/>
        <v>7</v>
      </c>
      <c r="DJ21" s="115">
        <f t="shared" si="26"/>
        <v>19</v>
      </c>
      <c r="DK21" s="136">
        <f t="shared" si="27"/>
        <v>4083</v>
      </c>
      <c r="DL21" s="135">
        <f t="shared" si="27"/>
        <v>14.61</v>
      </c>
      <c r="DM21" s="137">
        <f t="shared" si="27"/>
        <v>-26.630000000000109</v>
      </c>
      <c r="DN21" s="76">
        <v>7</v>
      </c>
      <c r="DO21" s="76">
        <f t="shared" si="28"/>
        <v>13</v>
      </c>
      <c r="DP21" s="115"/>
      <c r="DQ21" s="115"/>
      <c r="DR21" s="138" t="s">
        <v>423</v>
      </c>
      <c r="DS21" s="115"/>
      <c r="DT21" s="115"/>
      <c r="DU21" s="137"/>
      <c r="DV21" s="139"/>
      <c r="DW21" s="140">
        <f t="shared" si="61"/>
        <v>4097.6099999999997</v>
      </c>
      <c r="DX21" s="141">
        <f t="shared" si="29"/>
        <v>4070.9799999999996</v>
      </c>
      <c r="DY21" s="140">
        <f t="shared" si="62"/>
        <v>4108</v>
      </c>
      <c r="DZ21" s="142">
        <f t="shared" si="63"/>
        <v>0.05</v>
      </c>
      <c r="EA21" s="142">
        <f t="shared" si="64"/>
        <v>8.1660000000000004</v>
      </c>
      <c r="EB21" s="142" t="e">
        <f t="shared" si="65"/>
        <v>#VALUE!</v>
      </c>
      <c r="EC21" s="142" t="e">
        <f t="shared" si="75"/>
        <v>#VALUE!</v>
      </c>
      <c r="EF21" s="83">
        <f t="shared" si="82"/>
        <v>-26.630000000000109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1"/>
        <v>TV12L14-5.97x2.5-H9B14</v>
      </c>
      <c r="H22" s="46" t="str">
        <f t="shared" si="32"/>
        <v>12L14TV5.970DH9</v>
      </c>
      <c r="I22" s="46" t="str">
        <f t="shared" si="33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4"/>
        <v>48</v>
      </c>
      <c r="T22" s="51">
        <f>'03.02'!BG22</f>
        <v>53</v>
      </c>
      <c r="U22" s="92">
        <v>47</v>
      </c>
      <c r="V22" s="89">
        <v>4.45</v>
      </c>
      <c r="W22" s="93">
        <f t="shared" si="5"/>
        <v>0</v>
      </c>
      <c r="X22" s="93">
        <f t="shared" si="6"/>
        <v>924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11</v>
      </c>
      <c r="AE22" s="93">
        <f t="shared" si="35"/>
        <v>924</v>
      </c>
      <c r="AF22" s="54">
        <f>AE22+'03.02'!AF22</f>
        <v>3978</v>
      </c>
      <c r="AG22" s="94">
        <f t="shared" si="66"/>
        <v>53</v>
      </c>
      <c r="AH22" s="56">
        <f t="shared" si="13"/>
        <v>0</v>
      </c>
      <c r="AI22" s="93">
        <v>23</v>
      </c>
      <c r="AJ22" s="93">
        <f t="shared" si="67"/>
        <v>0</v>
      </c>
      <c r="AK22" s="95">
        <f t="shared" si="36"/>
        <v>1</v>
      </c>
      <c r="AL22" s="58">
        <f t="shared" si="37"/>
        <v>23</v>
      </c>
      <c r="AM22" s="55">
        <f t="shared" si="68"/>
        <v>77</v>
      </c>
      <c r="AN22" s="93"/>
      <c r="AO22" s="96"/>
      <c r="AP22" s="96">
        <f>$CJ22</f>
        <v>4115</v>
      </c>
      <c r="AQ22" s="96"/>
      <c r="AR22" s="96"/>
      <c r="AS22" s="96"/>
      <c r="AT22" s="96"/>
      <c r="AU22" s="96">
        <f t="shared" si="38"/>
        <v>0</v>
      </c>
      <c r="AV22" s="96">
        <f t="shared" si="38"/>
        <v>50</v>
      </c>
      <c r="AW22" s="96">
        <f t="shared" si="39"/>
        <v>4165</v>
      </c>
      <c r="AX22" s="96">
        <f t="shared" si="40"/>
        <v>935</v>
      </c>
      <c r="AY22" s="94">
        <f t="shared" si="69"/>
        <v>71</v>
      </c>
      <c r="AZ22" s="94">
        <f t="shared" si="41"/>
        <v>15.95505617977528</v>
      </c>
      <c r="BA22" s="94">
        <f t="shared" si="42"/>
        <v>77</v>
      </c>
      <c r="BB22" s="97">
        <f t="shared" si="43"/>
        <v>0</v>
      </c>
      <c r="BC22" s="93"/>
      <c r="BD22" s="93">
        <f t="shared" si="44"/>
        <v>0</v>
      </c>
      <c r="BE22" s="95">
        <f t="shared" si="45"/>
        <v>1</v>
      </c>
      <c r="BF22" s="58">
        <f t="shared" si="46"/>
        <v>0</v>
      </c>
      <c r="BG22" s="94">
        <f t="shared" si="47"/>
        <v>77</v>
      </c>
      <c r="BH22" s="89"/>
      <c r="BI22" s="89"/>
      <c r="BJ22" s="92">
        <f>$CN22</f>
        <v>0</v>
      </c>
      <c r="BK22" s="89"/>
      <c r="BL22" s="89"/>
      <c r="BM22" s="89"/>
      <c r="BN22" s="89"/>
      <c r="BO22" s="92">
        <f t="shared" si="70"/>
        <v>0</v>
      </c>
      <c r="BP22" s="92">
        <f t="shared" si="70"/>
        <v>0</v>
      </c>
      <c r="BQ22" s="96">
        <f t="shared" si="48"/>
        <v>0</v>
      </c>
      <c r="BR22" s="96">
        <f t="shared" si="49"/>
        <v>0</v>
      </c>
      <c r="BS22" s="96">
        <f t="shared" si="71"/>
        <v>0</v>
      </c>
      <c r="BT22" s="96">
        <f t="shared" si="50"/>
        <v>0</v>
      </c>
      <c r="BU22" s="92">
        <f t="shared" si="16"/>
        <v>924</v>
      </c>
      <c r="BV22" s="98">
        <f t="shared" si="17"/>
        <v>23</v>
      </c>
      <c r="BW22" s="92">
        <f t="shared" si="18"/>
        <v>15.95505617977528</v>
      </c>
      <c r="BX22" s="98">
        <f t="shared" si="51"/>
        <v>12.581000000000001</v>
      </c>
      <c r="BY22" s="61">
        <f t="shared" si="73"/>
        <v>23</v>
      </c>
      <c r="BZ22" s="62">
        <f t="shared" si="52"/>
        <v>23</v>
      </c>
      <c r="CA22" s="98">
        <f t="shared" si="53"/>
        <v>4.165</v>
      </c>
      <c r="CB22" s="92">
        <f t="shared" si="19"/>
        <v>935</v>
      </c>
      <c r="CC22" s="92">
        <f t="shared" si="19"/>
        <v>71</v>
      </c>
      <c r="CD22" s="92">
        <f t="shared" si="19"/>
        <v>15.95505617977528</v>
      </c>
      <c r="CE22" s="99"/>
      <c r="CF22" s="99"/>
      <c r="CG22" s="51">
        <f t="shared" si="54"/>
        <v>8.4660000000000011</v>
      </c>
      <c r="CH22" s="62">
        <f t="shared" si="55"/>
        <v>8.4660000000000011</v>
      </c>
      <c r="CI22" s="89"/>
      <c r="CJ22" s="89">
        <v>4115</v>
      </c>
      <c r="CK22" s="89"/>
      <c r="CL22" s="96">
        <v>50</v>
      </c>
      <c r="CM22" s="89"/>
      <c r="CN22" s="89"/>
      <c r="CO22" s="92"/>
      <c r="CP22" s="101"/>
      <c r="CQ22" s="102">
        <f t="shared" si="56"/>
        <v>924</v>
      </c>
      <c r="CR22" s="102">
        <f t="shared" si="20"/>
        <v>0</v>
      </c>
      <c r="CS22" s="102">
        <f t="shared" si="20"/>
        <v>11</v>
      </c>
      <c r="CT22" s="92">
        <f t="shared" si="57"/>
        <v>0</v>
      </c>
      <c r="CU22" s="92">
        <f t="shared" si="58"/>
        <v>0</v>
      </c>
      <c r="CV22" s="103">
        <f t="shared" si="58"/>
        <v>0</v>
      </c>
      <c r="CW22" s="104"/>
      <c r="CX22" s="105">
        <v>36.090000000000003</v>
      </c>
      <c r="CY22" s="106">
        <f t="shared" si="59"/>
        <v>947</v>
      </c>
      <c r="CZ22" s="106">
        <f t="shared" si="60"/>
        <v>292.32900000000006</v>
      </c>
      <c r="DA22" s="106"/>
      <c r="DB22" s="106"/>
      <c r="DC22" s="105"/>
      <c r="DD22" s="107"/>
      <c r="DE22" s="92">
        <f t="shared" si="21"/>
        <v>924</v>
      </c>
      <c r="DF22" s="108">
        <f t="shared" si="22"/>
        <v>23</v>
      </c>
      <c r="DG22" s="112">
        <f t="shared" si="23"/>
        <v>15.95505617977528</v>
      </c>
      <c r="DH22" s="110">
        <f t="shared" si="24"/>
        <v>0</v>
      </c>
      <c r="DI22" s="108">
        <f t="shared" si="25"/>
        <v>0</v>
      </c>
      <c r="DJ22" s="112">
        <f t="shared" si="26"/>
        <v>0</v>
      </c>
      <c r="DK22" s="110">
        <f t="shared" si="27"/>
        <v>924</v>
      </c>
      <c r="DL22" s="108">
        <f t="shared" si="27"/>
        <v>23</v>
      </c>
      <c r="DM22" s="111">
        <f t="shared" si="27"/>
        <v>15.95505617977528</v>
      </c>
      <c r="DN22" s="76">
        <f t="shared" si="28"/>
        <v>53</v>
      </c>
      <c r="DO22" s="76">
        <f t="shared" si="28"/>
        <v>47</v>
      </c>
      <c r="DP22" s="112"/>
      <c r="DQ22" s="112"/>
      <c r="DR22" s="113" t="s">
        <v>425</v>
      </c>
      <c r="DS22" s="112"/>
      <c r="DT22" s="112"/>
      <c r="DU22" s="111"/>
      <c r="DV22" s="114"/>
      <c r="DW22" s="80">
        <f t="shared" si="61"/>
        <v>947</v>
      </c>
      <c r="DX22" s="81">
        <f t="shared" si="29"/>
        <v>962.95505617977528</v>
      </c>
      <c r="DY22" s="80">
        <f t="shared" si="62"/>
        <v>935</v>
      </c>
      <c r="DZ22" s="82">
        <f t="shared" si="63"/>
        <v>4.895E-2</v>
      </c>
      <c r="EA22" s="82">
        <f t="shared" si="64"/>
        <v>4.1118000000000006</v>
      </c>
      <c r="EB22" s="82">
        <f t="shared" si="65"/>
        <v>8.4692000000000007</v>
      </c>
      <c r="EC22" s="82">
        <f t="shared" si="75"/>
        <v>8.5181500000000003</v>
      </c>
      <c r="EF22" s="83">
        <f t="shared" si="82"/>
        <v>15.95505617977528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1"/>
        <v>YHC3604-10.03x3-H9B12</v>
      </c>
      <c r="H23" s="46" t="str">
        <f t="shared" si="32"/>
        <v>C3604YH10.030DH9</v>
      </c>
      <c r="I23" s="46" t="str">
        <f t="shared" si="33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4"/>
        <v>34</v>
      </c>
      <c r="T23" s="51">
        <f>'03.02'!BG23</f>
        <v>45</v>
      </c>
      <c r="U23" s="92"/>
      <c r="V23" s="89">
        <v>4.05</v>
      </c>
      <c r="W23" s="93">
        <f t="shared" si="5"/>
        <v>0</v>
      </c>
      <c r="X23" s="93">
        <f t="shared" si="6"/>
        <v>4161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78</v>
      </c>
      <c r="AE23" s="93">
        <f t="shared" si="35"/>
        <v>4161</v>
      </c>
      <c r="AF23" s="54">
        <f>AE23+'03.02'!AF23</f>
        <v>4161</v>
      </c>
      <c r="AG23" s="94">
        <f t="shared" si="66"/>
        <v>45</v>
      </c>
      <c r="AH23" s="56">
        <f t="shared" si="13"/>
        <v>0</v>
      </c>
      <c r="AI23" s="93">
        <v>13</v>
      </c>
      <c r="AJ23" s="93">
        <f t="shared" si="67"/>
        <v>0</v>
      </c>
      <c r="AK23" s="95">
        <f t="shared" si="36"/>
        <v>1</v>
      </c>
      <c r="AL23" s="58">
        <f t="shared" si="37"/>
        <v>13</v>
      </c>
      <c r="AM23" s="55">
        <f t="shared" si="68"/>
        <v>32</v>
      </c>
      <c r="AN23" s="93"/>
      <c r="AO23" s="96"/>
      <c r="AP23" s="96">
        <f>$CJ23</f>
        <v>6623</v>
      </c>
      <c r="AQ23" s="96"/>
      <c r="AR23" s="96"/>
      <c r="AS23" s="96"/>
      <c r="AT23" s="96"/>
      <c r="AU23" s="96">
        <f t="shared" si="38"/>
        <v>0</v>
      </c>
      <c r="AV23" s="96">
        <f t="shared" si="38"/>
        <v>116</v>
      </c>
      <c r="AW23" s="96">
        <f t="shared" si="39"/>
        <v>6739</v>
      </c>
      <c r="AX23" s="96">
        <f t="shared" si="40"/>
        <v>1663</v>
      </c>
      <c r="AY23" s="94">
        <f t="shared" si="69"/>
        <v>-52.849999999999454</v>
      </c>
      <c r="AZ23" s="94">
        <f t="shared" si="41"/>
        <v>-13.049382716049248</v>
      </c>
      <c r="BA23" s="94">
        <f t="shared" si="42"/>
        <v>32</v>
      </c>
      <c r="BB23" s="97">
        <f t="shared" si="43"/>
        <v>0</v>
      </c>
      <c r="BC23" s="93">
        <v>20</v>
      </c>
      <c r="BD23" s="93">
        <f t="shared" si="44"/>
        <v>0</v>
      </c>
      <c r="BE23" s="95">
        <f>IF(AA23="","",IF(BD23=0,1,BD23/$V23/$E23))</f>
        <v>1</v>
      </c>
      <c r="BF23" s="58">
        <f t="shared" si="46"/>
        <v>20</v>
      </c>
      <c r="BG23" s="94">
        <f t="shared" si="47"/>
        <v>12</v>
      </c>
      <c r="BH23" s="89"/>
      <c r="BI23" s="89"/>
      <c r="BJ23" s="92">
        <f>$CN23</f>
        <v>10230</v>
      </c>
      <c r="BK23" s="89"/>
      <c r="BL23" s="89"/>
      <c r="BM23" s="89"/>
      <c r="BN23" s="89"/>
      <c r="BO23" s="92">
        <f t="shared" si="70"/>
        <v>0</v>
      </c>
      <c r="BP23" s="92">
        <f t="shared" si="70"/>
        <v>200</v>
      </c>
      <c r="BQ23" s="96">
        <f t="shared" si="48"/>
        <v>10430</v>
      </c>
      <c r="BR23" s="96">
        <f t="shared" si="49"/>
        <v>2575</v>
      </c>
      <c r="BS23" s="96">
        <f t="shared" si="71"/>
        <v>-19</v>
      </c>
      <c r="BT23" s="96">
        <f t="shared" si="50"/>
        <v>-4.6913580246913584</v>
      </c>
      <c r="BU23" s="92">
        <f t="shared" si="16"/>
        <v>4161</v>
      </c>
      <c r="BV23" s="98">
        <f t="shared" si="17"/>
        <v>33</v>
      </c>
      <c r="BW23" s="92">
        <f t="shared" si="18"/>
        <v>-17.740740740740605</v>
      </c>
      <c r="BX23" s="98">
        <f t="shared" si="51"/>
        <v>66</v>
      </c>
      <c r="BY23" s="61">
        <f t="shared" si="73"/>
        <v>33</v>
      </c>
      <c r="BZ23" s="62">
        <f t="shared" si="52"/>
        <v>33</v>
      </c>
      <c r="CA23" s="98">
        <f t="shared" si="53"/>
        <v>17.169</v>
      </c>
      <c r="CB23" s="92">
        <f t="shared" si="19"/>
        <v>4238</v>
      </c>
      <c r="CC23" s="92">
        <f t="shared" si="19"/>
        <v>-71.849999999999454</v>
      </c>
      <c r="CD23" s="92">
        <f t="shared" si="19"/>
        <v>-17.740740740740605</v>
      </c>
      <c r="CE23" s="99"/>
      <c r="CF23" s="99"/>
      <c r="CG23" s="51">
        <f t="shared" si="54"/>
        <v>49.147000000000006</v>
      </c>
      <c r="CH23" s="62">
        <f t="shared" si="55"/>
        <v>49.147000000000006</v>
      </c>
      <c r="CI23" s="89"/>
      <c r="CJ23" s="89">
        <v>6623</v>
      </c>
      <c r="CK23" s="89"/>
      <c r="CL23" s="96">
        <v>116</v>
      </c>
      <c r="CM23" s="89"/>
      <c r="CN23" s="89">
        <v>10230</v>
      </c>
      <c r="CO23" s="92"/>
      <c r="CP23" s="101">
        <v>200</v>
      </c>
      <c r="CQ23" s="102">
        <f t="shared" si="56"/>
        <v>1635</v>
      </c>
      <c r="CR23" s="102">
        <f t="shared" si="20"/>
        <v>0</v>
      </c>
      <c r="CS23" s="102">
        <f t="shared" si="20"/>
        <v>28</v>
      </c>
      <c r="CT23" s="92">
        <f t="shared" si="57"/>
        <v>2526</v>
      </c>
      <c r="CU23" s="92">
        <f t="shared" si="58"/>
        <v>0</v>
      </c>
      <c r="CV23" s="103">
        <f t="shared" si="58"/>
        <v>50</v>
      </c>
      <c r="CW23" s="104"/>
      <c r="CX23" s="105">
        <v>17</v>
      </c>
      <c r="CY23" s="106">
        <f t="shared" si="59"/>
        <v>2188</v>
      </c>
      <c r="CZ23" s="106">
        <f t="shared" si="60"/>
        <v>137.70000000000002</v>
      </c>
      <c r="DA23" s="106"/>
      <c r="DB23" s="106"/>
      <c r="DC23" s="105"/>
      <c r="DD23" s="107"/>
      <c r="DE23" s="92">
        <f t="shared" si="21"/>
        <v>1635</v>
      </c>
      <c r="DF23" s="108">
        <f t="shared" si="22"/>
        <v>13</v>
      </c>
      <c r="DG23" s="112">
        <f t="shared" si="23"/>
        <v>-13.049382716049248</v>
      </c>
      <c r="DH23" s="110">
        <f t="shared" si="24"/>
        <v>2526</v>
      </c>
      <c r="DI23" s="108">
        <f t="shared" si="25"/>
        <v>20</v>
      </c>
      <c r="DJ23" s="112">
        <f t="shared" si="26"/>
        <v>-4.6913580246913584</v>
      </c>
      <c r="DK23" s="110">
        <f t="shared" si="27"/>
        <v>4161</v>
      </c>
      <c r="DL23" s="108">
        <f t="shared" si="27"/>
        <v>33</v>
      </c>
      <c r="DM23" s="111">
        <f t="shared" si="27"/>
        <v>-17.740740740740605</v>
      </c>
      <c r="DN23" s="76">
        <f t="shared" si="28"/>
        <v>45</v>
      </c>
      <c r="DO23" s="76">
        <f t="shared" si="28"/>
        <v>0</v>
      </c>
      <c r="DP23" s="112"/>
      <c r="DQ23" s="112"/>
      <c r="DR23" s="113" t="s">
        <v>426</v>
      </c>
      <c r="DS23" s="112"/>
      <c r="DT23" s="112"/>
      <c r="DU23" s="111"/>
      <c r="DV23" s="114"/>
      <c r="DW23" s="80">
        <f t="shared" ref="DW23:DW25" si="85">IFERROR(AL23+BF23,"")</f>
        <v>33</v>
      </c>
      <c r="DX23" s="81">
        <f t="shared" si="29"/>
        <v>4176.2592592592591</v>
      </c>
      <c r="DY23" s="80">
        <f t="shared" si="62"/>
        <v>4239</v>
      </c>
      <c r="DZ23" s="82">
        <f t="shared" si="63"/>
        <v>0.31589999999999996</v>
      </c>
      <c r="EA23" s="82">
        <f t="shared" si="64"/>
        <v>16.852049999999998</v>
      </c>
      <c r="EB23" s="82">
        <f t="shared" si="65"/>
        <v>49.147950000000002</v>
      </c>
      <c r="EC23" s="82">
        <f>(BX23-CA23)+((AV23+BP23)/1000)</f>
        <v>49.147000000000006</v>
      </c>
      <c r="EF23" s="83">
        <f t="shared" si="82"/>
        <v>-17.740740740740605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1"/>
        <v>GWA6063-T5-T18.15x8.6x3-H9A15</v>
      </c>
      <c r="H24" s="46" t="str">
        <f t="shared" si="32"/>
        <v>A6063-T5GW18.158.6TH9</v>
      </c>
      <c r="I24" s="46" t="str">
        <f t="shared" si="33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4"/>
        <v>14</v>
      </c>
      <c r="T24" s="51">
        <f>'03.02'!BG24</f>
        <v>8</v>
      </c>
      <c r="U24" s="92">
        <v>10</v>
      </c>
      <c r="V24" s="89">
        <v>9.9</v>
      </c>
      <c r="W24" s="93">
        <f t="shared" si="5"/>
        <v>0</v>
      </c>
      <c r="X24" s="93">
        <f t="shared" si="6"/>
        <v>408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30</v>
      </c>
      <c r="AE24" s="93">
        <f t="shared" si="35"/>
        <v>408</v>
      </c>
      <c r="AF24" s="54">
        <f>AE24+'03.02'!AF24</f>
        <v>2068</v>
      </c>
      <c r="AG24" s="94">
        <f t="shared" si="66"/>
        <v>8</v>
      </c>
      <c r="AH24" s="56">
        <f t="shared" si="13"/>
        <v>0</v>
      </c>
      <c r="AI24" s="93">
        <v>6</v>
      </c>
      <c r="AJ24" s="93">
        <f t="shared" si="67"/>
        <v>0</v>
      </c>
      <c r="AK24" s="95">
        <f t="shared" si="36"/>
        <v>1</v>
      </c>
      <c r="AL24" s="58">
        <f t="shared" si="37"/>
        <v>6</v>
      </c>
      <c r="AM24" s="55">
        <f t="shared" si="68"/>
        <v>12</v>
      </c>
      <c r="AN24" s="93"/>
      <c r="AO24" s="96"/>
      <c r="AP24" s="96">
        <f>$CJ24</f>
        <v>4039.2000000000003</v>
      </c>
      <c r="AQ24" s="96"/>
      <c r="AR24" s="96"/>
      <c r="AS24" s="96"/>
      <c r="AT24" s="96"/>
      <c r="AU24" s="96">
        <f t="shared" si="38"/>
        <v>0</v>
      </c>
      <c r="AV24" s="96">
        <f t="shared" si="38"/>
        <v>0</v>
      </c>
      <c r="AW24" s="96">
        <f t="shared" si="39"/>
        <v>4039.2000000000003</v>
      </c>
      <c r="AX24" s="96">
        <f t="shared" si="40"/>
        <v>408</v>
      </c>
      <c r="AY24" s="94">
        <f t="shared" si="69"/>
        <v>0</v>
      </c>
      <c r="AZ24" s="94">
        <f t="shared" si="41"/>
        <v>0</v>
      </c>
      <c r="BA24" s="94">
        <f t="shared" si="42"/>
        <v>12</v>
      </c>
      <c r="BB24" s="97">
        <f t="shared" si="43"/>
        <v>0</v>
      </c>
      <c r="BC24" s="93">
        <v>1</v>
      </c>
      <c r="BD24" s="93">
        <f t="shared" si="44"/>
        <v>0</v>
      </c>
      <c r="BE24" s="95">
        <f t="shared" si="45"/>
        <v>1</v>
      </c>
      <c r="BF24" s="58">
        <f t="shared" si="46"/>
        <v>1</v>
      </c>
      <c r="BG24" s="94">
        <f t="shared" si="47"/>
        <v>11</v>
      </c>
      <c r="BH24" s="89"/>
      <c r="BI24" s="89"/>
      <c r="BJ24" s="92">
        <f>$CN24</f>
        <v>0</v>
      </c>
      <c r="BK24" s="89"/>
      <c r="BL24" s="89"/>
      <c r="BM24" s="89"/>
      <c r="BN24" s="89"/>
      <c r="BO24" s="92">
        <f t="shared" si="70"/>
        <v>0</v>
      </c>
      <c r="BP24" s="92">
        <f t="shared" si="70"/>
        <v>300</v>
      </c>
      <c r="BQ24" s="96">
        <f t="shared" si="48"/>
        <v>300</v>
      </c>
      <c r="BR24" s="96">
        <f t="shared" si="49"/>
        <v>30</v>
      </c>
      <c r="BS24" s="96">
        <f t="shared" si="71"/>
        <v>-373.20000000000005</v>
      </c>
      <c r="BT24" s="96">
        <f t="shared" si="50"/>
        <v>-37.696969696969703</v>
      </c>
      <c r="BU24" s="92">
        <f t="shared" si="16"/>
        <v>408</v>
      </c>
      <c r="BV24" s="98">
        <f t="shared" si="17"/>
        <v>7</v>
      </c>
      <c r="BW24" s="92">
        <f t="shared" si="18"/>
        <v>-37.696969696969703</v>
      </c>
      <c r="BX24" s="98">
        <f t="shared" si="51"/>
        <v>11.487</v>
      </c>
      <c r="BY24" s="61">
        <f t="shared" si="73"/>
        <v>7</v>
      </c>
      <c r="BZ24" s="62">
        <f t="shared" si="52"/>
        <v>7</v>
      </c>
      <c r="CA24" s="98">
        <f t="shared" si="53"/>
        <v>4.3392000000000008</v>
      </c>
      <c r="CB24" s="92">
        <f t="shared" si="19"/>
        <v>438</v>
      </c>
      <c r="CC24" s="92">
        <f t="shared" si="19"/>
        <v>-373.20000000000005</v>
      </c>
      <c r="CD24" s="92">
        <f t="shared" si="19"/>
        <v>-37.696969696969703</v>
      </c>
      <c r="CE24" s="99"/>
      <c r="CF24" s="99"/>
      <c r="CG24" s="51">
        <f t="shared" si="54"/>
        <v>7.4477999999999991</v>
      </c>
      <c r="CH24" s="62">
        <f t="shared" si="55"/>
        <v>7.4477999999999991</v>
      </c>
      <c r="CI24" s="89"/>
      <c r="CJ24" s="89">
        <f>408*9.9</f>
        <v>4039.2000000000003</v>
      </c>
      <c r="CK24" s="89"/>
      <c r="CL24" s="96"/>
      <c r="CM24" s="89"/>
      <c r="CN24" s="89"/>
      <c r="CO24" s="92"/>
      <c r="CP24" s="101">
        <v>300</v>
      </c>
      <c r="CQ24" s="102">
        <f t="shared" si="56"/>
        <v>408</v>
      </c>
      <c r="CR24" s="102">
        <f t="shared" si="56"/>
        <v>0</v>
      </c>
      <c r="CS24" s="102">
        <f t="shared" si="56"/>
        <v>0</v>
      </c>
      <c r="CT24" s="92">
        <f t="shared" si="57"/>
        <v>0</v>
      </c>
      <c r="CU24" s="92">
        <f t="shared" si="58"/>
        <v>0</v>
      </c>
      <c r="CV24" s="103">
        <f t="shared" si="58"/>
        <v>30</v>
      </c>
      <c r="CW24" s="104"/>
      <c r="CX24" s="105">
        <v>80.33</v>
      </c>
      <c r="CY24" s="106">
        <f t="shared" si="59"/>
        <v>507</v>
      </c>
      <c r="CZ24" s="106">
        <f t="shared" si="60"/>
        <v>650.673</v>
      </c>
      <c r="DA24" s="106"/>
      <c r="DB24" s="106"/>
      <c r="DC24" s="105"/>
      <c r="DD24" s="107"/>
      <c r="DE24" s="92">
        <f t="shared" si="21"/>
        <v>408</v>
      </c>
      <c r="DF24" s="108">
        <f t="shared" si="22"/>
        <v>6</v>
      </c>
      <c r="DG24" s="112">
        <f t="shared" si="23"/>
        <v>0</v>
      </c>
      <c r="DH24" s="110">
        <f t="shared" si="24"/>
        <v>0</v>
      </c>
      <c r="DI24" s="108">
        <f t="shared" si="25"/>
        <v>1</v>
      </c>
      <c r="DJ24" s="112">
        <f t="shared" si="26"/>
        <v>-37.696969696969703</v>
      </c>
      <c r="DK24" s="110">
        <f t="shared" ref="DK24:DM87" si="86">IFERROR(DE24+DH24,"")</f>
        <v>408</v>
      </c>
      <c r="DL24" s="108">
        <f t="shared" si="86"/>
        <v>7</v>
      </c>
      <c r="DM24" s="111">
        <f t="shared" si="86"/>
        <v>-37.696969696969703</v>
      </c>
      <c r="DN24" s="76">
        <f t="shared" si="28"/>
        <v>8</v>
      </c>
      <c r="DO24" s="76">
        <f t="shared" si="28"/>
        <v>10</v>
      </c>
      <c r="DP24" s="112"/>
      <c r="DQ24" s="112"/>
      <c r="DR24" s="113" t="s">
        <v>427</v>
      </c>
      <c r="DS24" s="112"/>
      <c r="DT24" s="112"/>
      <c r="DU24" s="111"/>
      <c r="DV24" s="114"/>
      <c r="DW24" s="80">
        <f t="shared" si="85"/>
        <v>7</v>
      </c>
      <c r="DX24" s="81">
        <f t="shared" si="29"/>
        <v>377.30303030303031</v>
      </c>
      <c r="DY24" s="80">
        <f t="shared" si="62"/>
        <v>438</v>
      </c>
      <c r="DZ24" s="82">
        <f t="shared" si="63"/>
        <v>0.29699999999999999</v>
      </c>
      <c r="EA24" s="82">
        <f t="shared" si="64"/>
        <v>4.0392000000000001</v>
      </c>
      <c r="EB24" s="82">
        <f t="shared" si="65"/>
        <v>7.4478</v>
      </c>
      <c r="EC24" s="82">
        <f t="shared" si="75"/>
        <v>7.7447999999999997</v>
      </c>
      <c r="EF24" s="83">
        <f t="shared" si="82"/>
        <v>-37.696969696969703</v>
      </c>
    </row>
    <row r="25" spans="1:136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1"/>
        <v>GWA6063-T5-17x3-H9B15</v>
      </c>
      <c r="H25" s="46" t="str">
        <f t="shared" si="32"/>
        <v>A6063-T5GW170DH9</v>
      </c>
      <c r="I25" s="46" t="str">
        <f t="shared" si="33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4"/>
        <v>16</v>
      </c>
      <c r="T25" s="51">
        <f>'03.02'!BG25</f>
        <v>20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5"/>
        <v>0</v>
      </c>
      <c r="AF25" s="54">
        <f>AE25+'03.02'!AF25</f>
        <v>0</v>
      </c>
      <c r="AG25" s="94">
        <f t="shared" si="66"/>
        <v>20</v>
      </c>
      <c r="AH25" s="56">
        <f t="shared" si="13"/>
        <v>0</v>
      </c>
      <c r="AI25" s="93"/>
      <c r="AJ25" s="93">
        <f t="shared" si="67"/>
        <v>0</v>
      </c>
      <c r="AK25" s="95">
        <f t="shared" si="36"/>
        <v>1</v>
      </c>
      <c r="AL25" s="58">
        <f t="shared" si="37"/>
        <v>0</v>
      </c>
      <c r="AM25" s="55">
        <f t="shared" si="68"/>
        <v>20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8"/>
        <v>0</v>
      </c>
      <c r="AV25" s="96">
        <f t="shared" si="38"/>
        <v>0</v>
      </c>
      <c r="AW25" s="96">
        <f t="shared" si="39"/>
        <v>0</v>
      </c>
      <c r="AX25" s="96">
        <f t="shared" si="40"/>
        <v>0</v>
      </c>
      <c r="AY25" s="94">
        <f t="shared" si="69"/>
        <v>0</v>
      </c>
      <c r="AZ25" s="94">
        <f t="shared" si="41"/>
        <v>0</v>
      </c>
      <c r="BA25" s="94">
        <f t="shared" si="42"/>
        <v>20</v>
      </c>
      <c r="BB25" s="97">
        <f t="shared" si="43"/>
        <v>0</v>
      </c>
      <c r="BC25" s="93"/>
      <c r="BD25" s="93">
        <f t="shared" si="44"/>
        <v>0</v>
      </c>
      <c r="BE25" s="95">
        <f t="shared" si="45"/>
        <v>1</v>
      </c>
      <c r="BF25" s="58">
        <f t="shared" si="46"/>
        <v>0</v>
      </c>
      <c r="BG25" s="94">
        <f t="shared" si="47"/>
        <v>20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0"/>
        <v>0</v>
      </c>
      <c r="BP25" s="92">
        <f t="shared" si="70"/>
        <v>0</v>
      </c>
      <c r="BQ25" s="96">
        <f t="shared" si="48"/>
        <v>0</v>
      </c>
      <c r="BR25" s="96">
        <f t="shared" si="49"/>
        <v>0</v>
      </c>
      <c r="BS25" s="96">
        <f t="shared" si="71"/>
        <v>0</v>
      </c>
      <c r="BT25" s="96">
        <f t="shared" si="50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1"/>
        <v>0</v>
      </c>
      <c r="BY25" s="61">
        <f t="shared" si="73"/>
        <v>0</v>
      </c>
      <c r="BZ25" s="62">
        <f t="shared" si="52"/>
        <v>0</v>
      </c>
      <c r="CA25" s="98">
        <f t="shared" si="53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4"/>
        <v>0</v>
      </c>
      <c r="CH25" s="62">
        <f t="shared" si="55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7">INT(IFERROR( CJ25/$V25,0))</f>
        <v>0</v>
      </c>
      <c r="CR25" s="102">
        <f t="shared" si="87"/>
        <v>0</v>
      </c>
      <c r="CS25" s="102">
        <f t="shared" si="87"/>
        <v>0</v>
      </c>
      <c r="CT25" s="92">
        <f t="shared" si="57"/>
        <v>0</v>
      </c>
      <c r="CU25" s="92">
        <f t="shared" ref="CU25:CV40" si="88">INT(IFERROR( AC25-CR25,0))</f>
        <v>0</v>
      </c>
      <c r="CV25" s="103">
        <f t="shared" si="88"/>
        <v>0</v>
      </c>
      <c r="CW25" s="104"/>
      <c r="CX25" s="105">
        <v>69.16</v>
      </c>
      <c r="CY25" s="106">
        <f t="shared" si="59"/>
        <v>585</v>
      </c>
      <c r="CZ25" s="106">
        <f t="shared" si="60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6"/>
        <v>0</v>
      </c>
      <c r="DL25" s="108">
        <f t="shared" si="86"/>
        <v>0</v>
      </c>
      <c r="DM25" s="111">
        <f t="shared" si="86"/>
        <v>0</v>
      </c>
      <c r="DN25" s="76">
        <f t="shared" si="28"/>
        <v>20</v>
      </c>
      <c r="DO25" s="76">
        <f t="shared" si="28"/>
        <v>0</v>
      </c>
      <c r="DP25" s="112"/>
      <c r="DQ25" s="112"/>
      <c r="DR25" s="113" t="s">
        <v>428</v>
      </c>
      <c r="DS25" s="112"/>
      <c r="DT25" s="112"/>
      <c r="DU25" s="111"/>
      <c r="DV25" s="114"/>
      <c r="DW25" s="80">
        <f t="shared" si="85"/>
        <v>0</v>
      </c>
      <c r="DX25" s="81">
        <f t="shared" si="29"/>
        <v>0</v>
      </c>
      <c r="DY25" s="80">
        <f t="shared" si="62"/>
        <v>0</v>
      </c>
      <c r="DZ25" s="82">
        <f t="shared" si="63"/>
        <v>0</v>
      </c>
      <c r="EA25" s="82">
        <f t="shared" si="64"/>
        <v>0</v>
      </c>
      <c r="EB25" s="82">
        <f t="shared" si="65"/>
        <v>0</v>
      </c>
      <c r="EC25" s="82">
        <f>(BX25-CA25)+((AV25+BP25)/1000)</f>
        <v>0</v>
      </c>
      <c r="EF25" s="83">
        <f t="shared" si="82"/>
        <v>0</v>
      </c>
    </row>
    <row r="26" spans="1:136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1"/>
        <v>-xx-</v>
      </c>
      <c r="H26" s="46" t="str">
        <f t="shared" si="32"/>
        <v/>
      </c>
      <c r="I26" s="46" t="str">
        <f t="shared" si="33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4"/>
        <v>#DIV/0!</v>
      </c>
      <c r="T26" s="51">
        <f>'03.02'!BG26</f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5"/>
        <v>0</v>
      </c>
      <c r="AF26" s="54">
        <f>AE26+'03.02'!AF26</f>
        <v>0</v>
      </c>
      <c r="AG26" s="94">
        <f t="shared" si="66"/>
        <v>0</v>
      </c>
      <c r="AH26" s="56">
        <f t="shared" si="13"/>
        <v>0</v>
      </c>
      <c r="AI26" s="93"/>
      <c r="AJ26" s="93">
        <f t="shared" si="67"/>
        <v>0</v>
      </c>
      <c r="AK26" s="95">
        <f t="shared" si="36"/>
        <v>1</v>
      </c>
      <c r="AL26" s="58">
        <f t="shared" si="37"/>
        <v>0</v>
      </c>
      <c r="AM26" s="55">
        <f t="shared" si="68"/>
        <v>0</v>
      </c>
      <c r="AN26" s="93"/>
      <c r="AO26" s="96"/>
      <c r="AP26" s="96"/>
      <c r="AQ26" s="96"/>
      <c r="AR26" s="96"/>
      <c r="AS26" s="96"/>
      <c r="AT26" s="96"/>
      <c r="AU26" s="96">
        <f t="shared" si="38"/>
        <v>0</v>
      </c>
      <c r="AV26" s="96">
        <f t="shared" si="38"/>
        <v>0</v>
      </c>
      <c r="AW26" s="96">
        <f t="shared" si="39"/>
        <v>0</v>
      </c>
      <c r="AX26" s="96">
        <f t="shared" si="40"/>
        <v>0</v>
      </c>
      <c r="AY26" s="94">
        <f t="shared" si="69"/>
        <v>0</v>
      </c>
      <c r="AZ26" s="94">
        <f t="shared" si="41"/>
        <v>0</v>
      </c>
      <c r="BA26" s="94">
        <f t="shared" si="42"/>
        <v>0</v>
      </c>
      <c r="BB26" s="97">
        <f t="shared" si="43"/>
        <v>0</v>
      </c>
      <c r="BC26" s="93"/>
      <c r="BD26" s="93">
        <f t="shared" si="44"/>
        <v>0</v>
      </c>
      <c r="BE26" s="95">
        <f t="shared" si="45"/>
        <v>1</v>
      </c>
      <c r="BF26" s="58">
        <f t="shared" si="46"/>
        <v>0</v>
      </c>
      <c r="BG26" s="94">
        <f t="shared" si="47"/>
        <v>0</v>
      </c>
      <c r="BH26" s="89"/>
      <c r="BI26" s="89"/>
      <c r="BJ26" s="89"/>
      <c r="BK26" s="89"/>
      <c r="BL26" s="89"/>
      <c r="BM26" s="89"/>
      <c r="BN26" s="89"/>
      <c r="BO26" s="92">
        <f t="shared" si="70"/>
        <v>0</v>
      </c>
      <c r="BP26" s="92">
        <f t="shared" si="70"/>
        <v>0</v>
      </c>
      <c r="BQ26" s="96">
        <f t="shared" si="48"/>
        <v>0</v>
      </c>
      <c r="BR26" s="96">
        <f t="shared" si="49"/>
        <v>0</v>
      </c>
      <c r="BS26" s="96">
        <f t="shared" si="71"/>
        <v>0</v>
      </c>
      <c r="BT26" s="96">
        <f t="shared" si="50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1"/>
        <v/>
      </c>
      <c r="BY26" s="61">
        <f t="shared" si="73"/>
        <v>0</v>
      </c>
      <c r="BZ26" s="62">
        <f t="shared" si="52"/>
        <v>0</v>
      </c>
      <c r="CA26" s="98">
        <f t="shared" si="53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4"/>
        <v>0</v>
      </c>
      <c r="CH26" s="62">
        <f t="shared" si="55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7"/>
        <v>0</v>
      </c>
      <c r="CR26" s="102">
        <f t="shared" si="87"/>
        <v>0</v>
      </c>
      <c r="CS26" s="102">
        <f t="shared" si="87"/>
        <v>0</v>
      </c>
      <c r="CT26" s="92">
        <f t="shared" si="57"/>
        <v>0</v>
      </c>
      <c r="CU26" s="92">
        <f t="shared" si="88"/>
        <v>0</v>
      </c>
      <c r="CV26" s="103">
        <f t="shared" si="88"/>
        <v>0</v>
      </c>
      <c r="CW26" s="104"/>
      <c r="CX26" s="105"/>
      <c r="CY26" s="106" t="e">
        <f t="shared" si="59"/>
        <v>#DIV/0!</v>
      </c>
      <c r="CZ26" s="106">
        <f t="shared" si="60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6"/>
        <v>0</v>
      </c>
      <c r="DL26" s="108">
        <f t="shared" si="86"/>
        <v>0</v>
      </c>
      <c r="DM26" s="111">
        <f t="shared" si="86"/>
        <v>0</v>
      </c>
      <c r="DN26" s="76">
        <f t="shared" ref="DN26:DO89" si="89">T26</f>
        <v>0</v>
      </c>
      <c r="DO26" s="76">
        <f t="shared" si="89"/>
        <v>0</v>
      </c>
      <c r="DP26" s="112"/>
      <c r="DQ26" s="112"/>
      <c r="DR26" s="113"/>
      <c r="DS26" s="112"/>
      <c r="DT26" s="112"/>
      <c r="DU26" s="111"/>
      <c r="DV26" s="114"/>
      <c r="DW26" s="80">
        <f t="shared" si="61"/>
        <v>0</v>
      </c>
      <c r="DX26" s="81">
        <f t="shared" si="29"/>
        <v>0</v>
      </c>
      <c r="DY26" s="80">
        <f t="shared" si="62"/>
        <v>0</v>
      </c>
      <c r="DZ26" s="82">
        <f t="shared" si="63"/>
        <v>0</v>
      </c>
      <c r="EA26" s="82">
        <f t="shared" si="64"/>
        <v>0</v>
      </c>
      <c r="EB26" s="82" t="e">
        <f t="shared" si="65"/>
        <v>#VALUE!</v>
      </c>
      <c r="EC26" s="82" t="e">
        <f t="shared" si="75"/>
        <v>#VALUE!</v>
      </c>
    </row>
    <row r="27" spans="1:136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1"/>
        <v>TVSUJ2-8.1x3-H9C13</v>
      </c>
      <c r="H27" s="46" t="str">
        <f t="shared" si="32"/>
        <v>SUJ2TV8.10DH9</v>
      </c>
      <c r="I27" s="46" t="str">
        <f t="shared" si="33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4"/>
        <v>52</v>
      </c>
      <c r="T27" s="51">
        <f>'03.02'!BG27</f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5"/>
        <v>0</v>
      </c>
      <c r="AF27" s="54">
        <f>AE27+'03.02'!AF27</f>
        <v>0</v>
      </c>
      <c r="AG27" s="94">
        <f t="shared" si="66"/>
        <v>0</v>
      </c>
      <c r="AH27" s="56">
        <f t="shared" si="13"/>
        <v>0</v>
      </c>
      <c r="AI27" s="93"/>
      <c r="AJ27" s="93">
        <f t="shared" si="67"/>
        <v>0</v>
      </c>
      <c r="AK27" s="95">
        <f t="shared" si="36"/>
        <v>1</v>
      </c>
      <c r="AL27" s="58">
        <f t="shared" si="37"/>
        <v>0</v>
      </c>
      <c r="AM27" s="55">
        <f t="shared" si="68"/>
        <v>0</v>
      </c>
      <c r="AN27" s="93"/>
      <c r="AO27" s="96"/>
      <c r="AP27" s="96">
        <f t="shared" ref="AP27:AP33" si="90">$CJ27</f>
        <v>0</v>
      </c>
      <c r="AQ27" s="96"/>
      <c r="AR27" s="96"/>
      <c r="AS27" s="96"/>
      <c r="AT27" s="96"/>
      <c r="AU27" s="96">
        <f t="shared" si="38"/>
        <v>0</v>
      </c>
      <c r="AV27" s="96">
        <f t="shared" si="38"/>
        <v>0</v>
      </c>
      <c r="AW27" s="96">
        <f t="shared" si="39"/>
        <v>0</v>
      </c>
      <c r="AX27" s="96">
        <f t="shared" si="40"/>
        <v>0</v>
      </c>
      <c r="AY27" s="94">
        <f t="shared" si="69"/>
        <v>0</v>
      </c>
      <c r="AZ27" s="94">
        <f t="shared" si="41"/>
        <v>0</v>
      </c>
      <c r="BA27" s="94">
        <f t="shared" si="42"/>
        <v>0</v>
      </c>
      <c r="BB27" s="97">
        <f t="shared" si="43"/>
        <v>0</v>
      </c>
      <c r="BC27" s="93"/>
      <c r="BD27" s="93">
        <f t="shared" si="44"/>
        <v>0</v>
      </c>
      <c r="BE27" s="95">
        <f t="shared" si="45"/>
        <v>1</v>
      </c>
      <c r="BF27" s="58">
        <f t="shared" si="46"/>
        <v>0</v>
      </c>
      <c r="BG27" s="94">
        <f t="shared" si="47"/>
        <v>0</v>
      </c>
      <c r="BH27" s="89"/>
      <c r="BI27" s="89"/>
      <c r="BJ27" s="92">
        <f t="shared" ref="BJ27:BJ33" si="91">$CN27</f>
        <v>0</v>
      </c>
      <c r="BK27" s="89"/>
      <c r="BL27" s="89"/>
      <c r="BM27" s="89"/>
      <c r="BN27" s="89"/>
      <c r="BO27" s="92">
        <f t="shared" si="70"/>
        <v>0</v>
      </c>
      <c r="BP27" s="92">
        <f t="shared" si="70"/>
        <v>0</v>
      </c>
      <c r="BQ27" s="96">
        <f t="shared" si="48"/>
        <v>0</v>
      </c>
      <c r="BR27" s="96">
        <f t="shared" si="49"/>
        <v>0</v>
      </c>
      <c r="BS27" s="96">
        <f t="shared" si="71"/>
        <v>0</v>
      </c>
      <c r="BT27" s="96">
        <f t="shared" si="50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1"/>
        <v>0</v>
      </c>
      <c r="BY27" s="61">
        <f t="shared" si="73"/>
        <v>0</v>
      </c>
      <c r="BZ27" s="62">
        <f t="shared" si="52"/>
        <v>0</v>
      </c>
      <c r="CA27" s="98">
        <f t="shared" si="53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4"/>
        <v>0</v>
      </c>
      <c r="CH27" s="62">
        <f t="shared" si="55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7"/>
        <v>0</v>
      </c>
      <c r="CR27" s="102">
        <f t="shared" si="87"/>
        <v>0</v>
      </c>
      <c r="CS27" s="102">
        <f t="shared" si="87"/>
        <v>0</v>
      </c>
      <c r="CT27" s="92">
        <f t="shared" si="57"/>
        <v>0</v>
      </c>
      <c r="CU27" s="92">
        <f t="shared" si="88"/>
        <v>0</v>
      </c>
      <c r="CV27" s="103">
        <f t="shared" si="88"/>
        <v>0</v>
      </c>
      <c r="CW27" s="104"/>
      <c r="CX27" s="105">
        <v>17</v>
      </c>
      <c r="CY27" s="106">
        <f t="shared" si="59"/>
        <v>1941</v>
      </c>
      <c r="CZ27" s="106">
        <f t="shared" si="60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6"/>
        <v>0</v>
      </c>
      <c r="DL27" s="108">
        <f t="shared" si="86"/>
        <v>0</v>
      </c>
      <c r="DM27" s="111">
        <f t="shared" si="86"/>
        <v>0</v>
      </c>
      <c r="DN27" s="76">
        <f t="shared" si="89"/>
        <v>0</v>
      </c>
      <c r="DO27" s="76">
        <f t="shared" si="89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1"/>
        <v>0</v>
      </c>
      <c r="DX27" s="81">
        <f t="shared" si="29"/>
        <v>0</v>
      </c>
      <c r="DY27" s="80">
        <f t="shared" si="62"/>
        <v>0</v>
      </c>
      <c r="DZ27" s="82">
        <f t="shared" si="63"/>
        <v>0</v>
      </c>
      <c r="EA27" s="82">
        <f t="shared" si="64"/>
        <v>0</v>
      </c>
      <c r="EB27" s="82">
        <f t="shared" si="65"/>
        <v>0</v>
      </c>
      <c r="EC27" s="82">
        <f t="shared" si="75"/>
        <v>0</v>
      </c>
      <c r="EF27" s="83">
        <f t="shared" ref="EF27:EF58" si="92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1"/>
        <v>GWA6063-T5-T18.15x8.6x3-H9A15</v>
      </c>
      <c r="H28" s="46" t="str">
        <f t="shared" si="32"/>
        <v>A6063-T5GW18.158.6TH9</v>
      </c>
      <c r="I28" s="46" t="str">
        <f t="shared" si="33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4"/>
        <v>18</v>
      </c>
      <c r="T28" s="51">
        <f>'03.02'!BG28</f>
        <v>4</v>
      </c>
      <c r="U28" s="92">
        <v>20</v>
      </c>
      <c r="V28" s="89">
        <v>7.7</v>
      </c>
      <c r="W28" s="93">
        <f t="shared" si="5"/>
        <v>0</v>
      </c>
      <c r="X28" s="93">
        <f t="shared" si="6"/>
        <v>830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5</v>
      </c>
      <c r="AE28" s="93">
        <f t="shared" si="35"/>
        <v>830</v>
      </c>
      <c r="AF28" s="54">
        <f>AE28+'03.02'!AF28</f>
        <v>3993</v>
      </c>
      <c r="AG28" s="94">
        <f t="shared" si="66"/>
        <v>4</v>
      </c>
      <c r="AH28" s="56">
        <f t="shared" si="13"/>
        <v>0</v>
      </c>
      <c r="AI28" s="93">
        <v>5</v>
      </c>
      <c r="AJ28" s="93">
        <f t="shared" si="67"/>
        <v>0</v>
      </c>
      <c r="AK28" s="95">
        <f t="shared" si="36"/>
        <v>1</v>
      </c>
      <c r="AL28" s="58">
        <f t="shared" si="37"/>
        <v>5</v>
      </c>
      <c r="AM28" s="55">
        <f t="shared" si="68"/>
        <v>19</v>
      </c>
      <c r="AN28" s="93"/>
      <c r="AO28" s="96"/>
      <c r="AP28" s="96">
        <f t="shared" si="90"/>
        <v>3418.8</v>
      </c>
      <c r="AQ28" s="96"/>
      <c r="AR28" s="96"/>
      <c r="AS28" s="96"/>
      <c r="AT28" s="96"/>
      <c r="AU28" s="96">
        <f t="shared" si="38"/>
        <v>0</v>
      </c>
      <c r="AV28" s="96">
        <f t="shared" si="38"/>
        <v>40</v>
      </c>
      <c r="AW28" s="96">
        <f t="shared" si="39"/>
        <v>3458.8</v>
      </c>
      <c r="AX28" s="96">
        <f t="shared" si="40"/>
        <v>449</v>
      </c>
      <c r="AY28" s="94">
        <f t="shared" si="69"/>
        <v>-44.699999999999818</v>
      </c>
      <c r="AZ28" s="94">
        <f t="shared" si="41"/>
        <v>-5.8051948051947813</v>
      </c>
      <c r="BA28" s="94">
        <f t="shared" si="42"/>
        <v>19</v>
      </c>
      <c r="BB28" s="97">
        <f t="shared" si="43"/>
        <v>0</v>
      </c>
      <c r="BC28" s="93">
        <v>4</v>
      </c>
      <c r="BD28" s="93">
        <f t="shared" si="44"/>
        <v>0</v>
      </c>
      <c r="BE28" s="95">
        <f t="shared" si="45"/>
        <v>1</v>
      </c>
      <c r="BF28" s="58">
        <f t="shared" si="46"/>
        <v>4</v>
      </c>
      <c r="BG28" s="94">
        <f t="shared" si="47"/>
        <v>15</v>
      </c>
      <c r="BH28" s="89"/>
      <c r="BI28" s="89"/>
      <c r="BJ28" s="92">
        <f t="shared" si="91"/>
        <v>2972.2000000000003</v>
      </c>
      <c r="BK28" s="89"/>
      <c r="BL28" s="89"/>
      <c r="BM28" s="89"/>
      <c r="BN28" s="89"/>
      <c r="BO28" s="92">
        <f t="shared" si="70"/>
        <v>0</v>
      </c>
      <c r="BP28" s="92">
        <f t="shared" si="70"/>
        <v>0</v>
      </c>
      <c r="BQ28" s="96">
        <f t="shared" si="48"/>
        <v>2972.2000000000003</v>
      </c>
      <c r="BR28" s="96">
        <f t="shared" si="49"/>
        <v>386</v>
      </c>
      <c r="BS28" s="96">
        <f t="shared" si="71"/>
        <v>169.40000000000009</v>
      </c>
      <c r="BT28" s="96">
        <f t="shared" si="50"/>
        <v>22.000000000000011</v>
      </c>
      <c r="BU28" s="92">
        <f t="shared" si="16"/>
        <v>830</v>
      </c>
      <c r="BV28" s="98">
        <f t="shared" si="17"/>
        <v>9</v>
      </c>
      <c r="BW28" s="92">
        <f t="shared" si="18"/>
        <v>16.19480519480523</v>
      </c>
      <c r="BX28" s="98">
        <f t="shared" si="51"/>
        <v>14.769</v>
      </c>
      <c r="BY28" s="61">
        <f t="shared" si="73"/>
        <v>9</v>
      </c>
      <c r="BZ28" s="62">
        <f t="shared" si="52"/>
        <v>9</v>
      </c>
      <c r="CA28" s="98">
        <f t="shared" si="53"/>
        <v>6.431</v>
      </c>
      <c r="CB28" s="92">
        <f t="shared" si="19"/>
        <v>835</v>
      </c>
      <c r="CC28" s="92">
        <f t="shared" si="19"/>
        <v>124.70000000000027</v>
      </c>
      <c r="CD28" s="92">
        <f t="shared" si="19"/>
        <v>16.19480519480523</v>
      </c>
      <c r="CE28" s="99"/>
      <c r="CF28" s="99"/>
      <c r="CG28" s="51">
        <f t="shared" si="54"/>
        <v>8.3780000000000001</v>
      </c>
      <c r="CH28" s="62">
        <f t="shared" si="55"/>
        <v>8.3780000000000001</v>
      </c>
      <c r="CI28" s="89"/>
      <c r="CJ28" s="89">
        <f>444*7.7</f>
        <v>3418.8</v>
      </c>
      <c r="CK28" s="89"/>
      <c r="CL28" s="96">
        <v>40</v>
      </c>
      <c r="CM28" s="89"/>
      <c r="CN28" s="89">
        <f>386*7.7</f>
        <v>2972.2000000000003</v>
      </c>
      <c r="CO28" s="92"/>
      <c r="CP28" s="101"/>
      <c r="CQ28" s="102">
        <f t="shared" si="87"/>
        <v>444</v>
      </c>
      <c r="CR28" s="102">
        <f t="shared" si="87"/>
        <v>0</v>
      </c>
      <c r="CS28" s="102">
        <f t="shared" si="87"/>
        <v>5</v>
      </c>
      <c r="CT28" s="92">
        <f t="shared" si="57"/>
        <v>386</v>
      </c>
      <c r="CU28" s="92">
        <f t="shared" si="88"/>
        <v>0</v>
      </c>
      <c r="CV28" s="103">
        <f t="shared" si="88"/>
        <v>0</v>
      </c>
      <c r="CW28" s="104"/>
      <c r="CX28" s="105">
        <v>49.97</v>
      </c>
      <c r="CY28" s="106">
        <f t="shared" si="59"/>
        <v>804</v>
      </c>
      <c r="CZ28" s="106">
        <f t="shared" si="60"/>
        <v>404.75700000000001</v>
      </c>
      <c r="DA28" s="106"/>
      <c r="DB28" s="106"/>
      <c r="DC28" s="105"/>
      <c r="DD28" s="107"/>
      <c r="DE28" s="92">
        <f t="shared" si="21"/>
        <v>444</v>
      </c>
      <c r="DF28" s="108">
        <f t="shared" si="22"/>
        <v>5</v>
      </c>
      <c r="DG28" s="112">
        <f t="shared" si="23"/>
        <v>-5.8051948051947813</v>
      </c>
      <c r="DH28" s="110">
        <f t="shared" si="24"/>
        <v>386</v>
      </c>
      <c r="DI28" s="108">
        <f t="shared" si="25"/>
        <v>4</v>
      </c>
      <c r="DJ28" s="112">
        <f t="shared" si="26"/>
        <v>22.000000000000011</v>
      </c>
      <c r="DK28" s="110">
        <f t="shared" si="86"/>
        <v>830</v>
      </c>
      <c r="DL28" s="108">
        <f t="shared" si="86"/>
        <v>9</v>
      </c>
      <c r="DM28" s="111">
        <f t="shared" si="86"/>
        <v>16.19480519480523</v>
      </c>
      <c r="DN28" s="76">
        <f t="shared" si="89"/>
        <v>4</v>
      </c>
      <c r="DO28" s="76">
        <f t="shared" si="89"/>
        <v>20</v>
      </c>
      <c r="DP28" s="112"/>
      <c r="DQ28" s="112"/>
      <c r="DR28" s="113" t="s">
        <v>429</v>
      </c>
      <c r="DS28" s="112"/>
      <c r="DT28" s="112"/>
      <c r="DU28" s="111"/>
      <c r="DV28" s="114"/>
      <c r="DW28" s="80">
        <f t="shared" si="61"/>
        <v>839</v>
      </c>
      <c r="DX28" s="81">
        <f t="shared" si="29"/>
        <v>855.19480519480521</v>
      </c>
      <c r="DY28" s="80">
        <f t="shared" si="62"/>
        <v>835</v>
      </c>
      <c r="DZ28" s="82">
        <f t="shared" si="63"/>
        <v>3.85E-2</v>
      </c>
      <c r="EA28" s="82">
        <f t="shared" si="64"/>
        <v>6.391</v>
      </c>
      <c r="EB28" s="82">
        <f t="shared" si="65"/>
        <v>8.3780000000000001</v>
      </c>
      <c r="EC28" s="82">
        <f t="shared" si="75"/>
        <v>8.416500000000001</v>
      </c>
      <c r="EF28" s="83">
        <f t="shared" si="92"/>
        <v>16.19480519480523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1"/>
        <v>TV12L14-11x2.5-H9C14</v>
      </c>
      <c r="H29" s="46" t="str">
        <f t="shared" si="32"/>
        <v>12L14TV110DH9</v>
      </c>
      <c r="I29" s="46" t="str">
        <f t="shared" si="33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4"/>
        <v>6</v>
      </c>
      <c r="T29" s="51">
        <f>'03.02'!BG29</f>
        <v>5.480000000000004</v>
      </c>
      <c r="U29" s="92">
        <v>15</v>
      </c>
      <c r="V29" s="89">
        <v>2</v>
      </c>
      <c r="W29" s="93">
        <f t="shared" si="5"/>
        <v>0</v>
      </c>
      <c r="X29" s="93">
        <f t="shared" si="6"/>
        <v>3786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150</v>
      </c>
      <c r="AE29" s="93">
        <f t="shared" si="35"/>
        <v>3786</v>
      </c>
      <c r="AF29" s="54">
        <f>AE29+'03.02'!AF29</f>
        <v>14918</v>
      </c>
      <c r="AG29" s="94">
        <f t="shared" si="66"/>
        <v>5.480000000000004</v>
      </c>
      <c r="AH29" s="56">
        <f t="shared" si="13"/>
        <v>0.48</v>
      </c>
      <c r="AI29" s="93">
        <v>7</v>
      </c>
      <c r="AJ29" s="93">
        <f t="shared" si="67"/>
        <v>400</v>
      </c>
      <c r="AK29" s="95">
        <f t="shared" si="36"/>
        <v>0.70671378091872794</v>
      </c>
      <c r="AL29" s="58">
        <f t="shared" si="37"/>
        <v>7.1899999999999995</v>
      </c>
      <c r="AM29" s="55">
        <f t="shared" si="68"/>
        <v>13.290000000000004</v>
      </c>
      <c r="AN29" s="93"/>
      <c r="AO29" s="96"/>
      <c r="AP29" s="96">
        <f t="shared" si="90"/>
        <v>3670</v>
      </c>
      <c r="AQ29" s="96"/>
      <c r="AR29" s="96"/>
      <c r="AS29" s="96"/>
      <c r="AT29" s="96"/>
      <c r="AU29" s="96">
        <f t="shared" si="38"/>
        <v>0</v>
      </c>
      <c r="AV29" s="96">
        <f t="shared" si="38"/>
        <v>0</v>
      </c>
      <c r="AW29" s="96">
        <f t="shared" si="39"/>
        <v>3670</v>
      </c>
      <c r="AX29" s="96">
        <f t="shared" si="40"/>
        <v>1835</v>
      </c>
      <c r="AY29" s="94">
        <f t="shared" si="69"/>
        <v>-399.53999999999951</v>
      </c>
      <c r="AZ29" s="94">
        <f t="shared" si="41"/>
        <v>-199.76999999999975</v>
      </c>
      <c r="BA29" s="94">
        <f t="shared" si="42"/>
        <v>13.290000000000004</v>
      </c>
      <c r="BB29" s="97">
        <f t="shared" si="43"/>
        <v>0.28999999999999998</v>
      </c>
      <c r="BC29" s="93">
        <v>8</v>
      </c>
      <c r="BD29" s="93">
        <f t="shared" si="44"/>
        <v>0</v>
      </c>
      <c r="BE29" s="95">
        <f t="shared" si="45"/>
        <v>1</v>
      </c>
      <c r="BF29" s="58">
        <f t="shared" si="46"/>
        <v>8.2899999999999991</v>
      </c>
      <c r="BG29" s="94">
        <f t="shared" si="47"/>
        <v>5.0000000000000053</v>
      </c>
      <c r="BH29" s="89"/>
      <c r="BI29" s="89"/>
      <c r="BJ29" s="92">
        <f t="shared" si="91"/>
        <v>3903</v>
      </c>
      <c r="BK29" s="89"/>
      <c r="BL29" s="89"/>
      <c r="BM29" s="89"/>
      <c r="BN29" s="92"/>
      <c r="BO29" s="92">
        <f t="shared" si="70"/>
        <v>0</v>
      </c>
      <c r="BP29" s="92">
        <f t="shared" si="70"/>
        <v>300</v>
      </c>
      <c r="BQ29" s="96">
        <f t="shared" si="48"/>
        <v>4203</v>
      </c>
      <c r="BR29" s="96">
        <f t="shared" si="49"/>
        <v>2101</v>
      </c>
      <c r="BS29" s="96">
        <f t="shared" si="71"/>
        <v>-489.13999999999942</v>
      </c>
      <c r="BT29" s="96">
        <f t="shared" si="50"/>
        <v>-244.56999999999971</v>
      </c>
      <c r="BU29" s="92">
        <f t="shared" si="16"/>
        <v>3786</v>
      </c>
      <c r="BV29" s="98">
        <f t="shared" si="17"/>
        <v>15.479999999999999</v>
      </c>
      <c r="BW29" s="92">
        <f t="shared" si="18"/>
        <v>-444.33999999999946</v>
      </c>
      <c r="BX29" s="98" t="str">
        <f t="shared" si="51"/>
        <v/>
      </c>
      <c r="BY29" s="61">
        <f>IFERROR(BF29+AL29,0)</f>
        <v>15.479999999999999</v>
      </c>
      <c r="BZ29" s="62">
        <f t="shared" si="52"/>
        <v>15.479999999999999</v>
      </c>
      <c r="CA29" s="98">
        <f t="shared" si="53"/>
        <v>7.8730000000000002</v>
      </c>
      <c r="CB29" s="92">
        <f t="shared" si="19"/>
        <v>3936</v>
      </c>
      <c r="CC29" s="92">
        <f t="shared" si="19"/>
        <v>-888.67999999999893</v>
      </c>
      <c r="CD29" s="92">
        <f t="shared" si="19"/>
        <v>-444.33999999999946</v>
      </c>
      <c r="CE29" s="99"/>
      <c r="CF29" s="99"/>
      <c r="CG29" s="51">
        <f t="shared" si="54"/>
        <v>0</v>
      </c>
      <c r="CH29" s="62">
        <f t="shared" si="55"/>
        <v>0</v>
      </c>
      <c r="CI29" s="89">
        <v>400</v>
      </c>
      <c r="CJ29" s="89">
        <v>3670</v>
      </c>
      <c r="CK29" s="89"/>
      <c r="CL29" s="96"/>
      <c r="CM29" s="89"/>
      <c r="CN29" s="89">
        <v>3903</v>
      </c>
      <c r="CO29" s="92"/>
      <c r="CP29" s="101">
        <v>300</v>
      </c>
      <c r="CQ29" s="102">
        <f t="shared" si="87"/>
        <v>1835</v>
      </c>
      <c r="CR29" s="102">
        <f t="shared" si="87"/>
        <v>0</v>
      </c>
      <c r="CS29" s="102">
        <f t="shared" si="87"/>
        <v>0</v>
      </c>
      <c r="CT29" s="92">
        <f t="shared" si="57"/>
        <v>1951</v>
      </c>
      <c r="CU29" s="92">
        <f t="shared" si="88"/>
        <v>0</v>
      </c>
      <c r="CV29" s="103">
        <f t="shared" si="88"/>
        <v>150</v>
      </c>
      <c r="CW29" s="104"/>
      <c r="CX29" s="105">
        <v>48</v>
      </c>
      <c r="CY29" s="106">
        <f t="shared" si="59"/>
        <v>875</v>
      </c>
      <c r="CZ29" s="106">
        <f t="shared" si="60"/>
        <v>388.8</v>
      </c>
      <c r="DA29" s="106"/>
      <c r="DB29" s="106"/>
      <c r="DC29" s="105"/>
      <c r="DD29" s="107"/>
      <c r="DE29" s="92">
        <f t="shared" si="21"/>
        <v>1835</v>
      </c>
      <c r="DF29" s="108">
        <f t="shared" si="22"/>
        <v>7.1899999999999995</v>
      </c>
      <c r="DG29" s="112">
        <f t="shared" si="23"/>
        <v>-199.76999999999975</v>
      </c>
      <c r="DH29" s="110">
        <f t="shared" si="24"/>
        <v>1951</v>
      </c>
      <c r="DI29" s="108">
        <f t="shared" si="25"/>
        <v>8.2899999999999991</v>
      </c>
      <c r="DJ29" s="112">
        <f t="shared" si="26"/>
        <v>-244.56999999999971</v>
      </c>
      <c r="DK29" s="110">
        <f t="shared" si="86"/>
        <v>3786</v>
      </c>
      <c r="DL29" s="108">
        <f t="shared" si="86"/>
        <v>15.479999999999999</v>
      </c>
      <c r="DM29" s="111">
        <f t="shared" si="86"/>
        <v>-444.33999999999946</v>
      </c>
      <c r="DN29" s="76">
        <f t="shared" si="89"/>
        <v>5.480000000000004</v>
      </c>
      <c r="DO29" s="76">
        <f t="shared" si="89"/>
        <v>15</v>
      </c>
      <c r="DP29" s="112"/>
      <c r="DQ29" s="112"/>
      <c r="DR29" s="113" t="s">
        <v>430</v>
      </c>
      <c r="DS29" s="112"/>
      <c r="DT29" s="112"/>
      <c r="DU29" s="111"/>
      <c r="DV29" s="114"/>
      <c r="DW29" s="80">
        <f>IFERROR(AL29+BF29,"")</f>
        <v>15.479999999999999</v>
      </c>
      <c r="DX29" s="81">
        <f t="shared" si="29"/>
        <v>3357.1400000000003</v>
      </c>
      <c r="DY29" s="80">
        <f t="shared" si="62"/>
        <v>3936</v>
      </c>
      <c r="DZ29" s="82">
        <f t="shared" si="63"/>
        <v>0.3</v>
      </c>
      <c r="EA29" s="82">
        <f t="shared" si="64"/>
        <v>7.5720000000000001</v>
      </c>
      <c r="EB29" s="82" t="e">
        <f t="shared" si="65"/>
        <v>#VALUE!</v>
      </c>
      <c r="EC29" s="82" t="e">
        <f>(BX29-CA29)+((AV29+BP29)/1000)</f>
        <v>#VALUE!</v>
      </c>
      <c r="EF29" s="83">
        <f t="shared" si="92"/>
        <v>-444.33999999999946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1"/>
        <v>GWA6063-T5-T15x8.6x3-H9E14</v>
      </c>
      <c r="H30" s="46" t="str">
        <f t="shared" si="32"/>
        <v>A6063-T5GW158.6TH9</v>
      </c>
      <c r="I30" s="46" t="str">
        <f t="shared" si="33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4"/>
        <v>26</v>
      </c>
      <c r="T30" s="51">
        <f>'03.02'!BG30</f>
        <v>13</v>
      </c>
      <c r="U30" s="92">
        <v>20</v>
      </c>
      <c r="V30" s="108">
        <v>3</v>
      </c>
      <c r="W30" s="93">
        <f t="shared" si="5"/>
        <v>0</v>
      </c>
      <c r="X30" s="93">
        <f t="shared" si="6"/>
        <v>3100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66</v>
      </c>
      <c r="AE30" s="93">
        <f t="shared" si="35"/>
        <v>3100</v>
      </c>
      <c r="AF30" s="54">
        <f>AE30+'03.02'!AF30</f>
        <v>10866</v>
      </c>
      <c r="AG30" s="94">
        <f t="shared" si="66"/>
        <v>13</v>
      </c>
      <c r="AH30" s="56">
        <f t="shared" si="13"/>
        <v>0</v>
      </c>
      <c r="AI30" s="93">
        <v>12</v>
      </c>
      <c r="AJ30" s="93">
        <f t="shared" si="67"/>
        <v>0</v>
      </c>
      <c r="AK30" s="95">
        <f t="shared" si="36"/>
        <v>1</v>
      </c>
      <c r="AL30" s="58">
        <f t="shared" si="37"/>
        <v>12</v>
      </c>
      <c r="AM30" s="55">
        <f t="shared" si="68"/>
        <v>21</v>
      </c>
      <c r="AN30" s="93"/>
      <c r="AO30" s="96"/>
      <c r="AP30" s="96">
        <f t="shared" si="90"/>
        <v>5900</v>
      </c>
      <c r="AQ30" s="96"/>
      <c r="AR30" s="96"/>
      <c r="AS30" s="96"/>
      <c r="AT30" s="96"/>
      <c r="AU30" s="96">
        <f t="shared" si="38"/>
        <v>0</v>
      </c>
      <c r="AV30" s="96">
        <f t="shared" si="38"/>
        <v>0</v>
      </c>
      <c r="AW30" s="96">
        <f t="shared" si="39"/>
        <v>5900</v>
      </c>
      <c r="AX30" s="96">
        <f t="shared" si="40"/>
        <v>1966</v>
      </c>
      <c r="AY30" s="94">
        <f t="shared" si="69"/>
        <v>-148</v>
      </c>
      <c r="AZ30" s="94">
        <f t="shared" si="41"/>
        <v>-49.333333333333336</v>
      </c>
      <c r="BA30" s="94">
        <f t="shared" si="42"/>
        <v>21</v>
      </c>
      <c r="BB30" s="97">
        <f t="shared" si="43"/>
        <v>0</v>
      </c>
      <c r="BC30" s="93">
        <v>8</v>
      </c>
      <c r="BD30" s="93">
        <f t="shared" si="44"/>
        <v>0</v>
      </c>
      <c r="BE30" s="95">
        <f t="shared" si="45"/>
        <v>1</v>
      </c>
      <c r="BF30" s="58">
        <f t="shared" si="46"/>
        <v>8</v>
      </c>
      <c r="BG30" s="94">
        <f t="shared" si="47"/>
        <v>13</v>
      </c>
      <c r="BH30" s="89"/>
      <c r="BI30" s="89"/>
      <c r="BJ30" s="92">
        <f t="shared" si="91"/>
        <v>3400</v>
      </c>
      <c r="BK30" s="89"/>
      <c r="BL30" s="89"/>
      <c r="BM30" s="89"/>
      <c r="BN30" s="89"/>
      <c r="BO30" s="92">
        <f t="shared" si="70"/>
        <v>0</v>
      </c>
      <c r="BP30" s="92">
        <f t="shared" si="70"/>
        <v>200</v>
      </c>
      <c r="BQ30" s="96">
        <f t="shared" si="48"/>
        <v>3600</v>
      </c>
      <c r="BR30" s="96">
        <f t="shared" si="49"/>
        <v>1200</v>
      </c>
      <c r="BS30" s="96">
        <f t="shared" si="71"/>
        <v>-432</v>
      </c>
      <c r="BT30" s="96">
        <f t="shared" si="50"/>
        <v>-144</v>
      </c>
      <c r="BU30" s="92">
        <f t="shared" si="16"/>
        <v>3100</v>
      </c>
      <c r="BV30" s="98">
        <f t="shared" si="17"/>
        <v>20</v>
      </c>
      <c r="BW30" s="92">
        <f t="shared" si="18"/>
        <v>-193.33333333333334</v>
      </c>
      <c r="BX30" s="98">
        <f t="shared" si="51"/>
        <v>15.1</v>
      </c>
      <c r="BY30" s="61">
        <f>IFERROR(BF30+AL30,0)</f>
        <v>20</v>
      </c>
      <c r="BZ30" s="62">
        <f t="shared" si="52"/>
        <v>20</v>
      </c>
      <c r="CA30" s="98">
        <f t="shared" si="53"/>
        <v>9.5</v>
      </c>
      <c r="CB30" s="92">
        <f t="shared" si="19"/>
        <v>3166</v>
      </c>
      <c r="CC30" s="92">
        <f t="shared" si="19"/>
        <v>-580</v>
      </c>
      <c r="CD30" s="92">
        <f t="shared" si="19"/>
        <v>-193.33333333333334</v>
      </c>
      <c r="CE30" s="99"/>
      <c r="CF30" s="99"/>
      <c r="CG30" s="51">
        <f t="shared" si="54"/>
        <v>5.8</v>
      </c>
      <c r="CH30" s="62">
        <f t="shared" si="55"/>
        <v>5.8</v>
      </c>
      <c r="CI30" s="89"/>
      <c r="CJ30" s="89">
        <v>5900</v>
      </c>
      <c r="CK30" s="89"/>
      <c r="CL30" s="96"/>
      <c r="CM30" s="89"/>
      <c r="CN30" s="89">
        <v>3400</v>
      </c>
      <c r="CO30" s="92"/>
      <c r="CP30" s="101">
        <v>200</v>
      </c>
      <c r="CQ30" s="102">
        <f t="shared" si="87"/>
        <v>1966</v>
      </c>
      <c r="CR30" s="102">
        <f t="shared" si="87"/>
        <v>0</v>
      </c>
      <c r="CS30" s="102">
        <f t="shared" si="87"/>
        <v>0</v>
      </c>
      <c r="CT30" s="92">
        <f t="shared" si="57"/>
        <v>1134</v>
      </c>
      <c r="CU30" s="92">
        <f t="shared" si="88"/>
        <v>0</v>
      </c>
      <c r="CV30" s="103">
        <f t="shared" si="88"/>
        <v>66</v>
      </c>
      <c r="CW30" s="104"/>
      <c r="CX30" s="105">
        <v>18</v>
      </c>
      <c r="CY30" s="106">
        <f t="shared" si="59"/>
        <v>2150</v>
      </c>
      <c r="CZ30" s="106">
        <f t="shared" si="60"/>
        <v>145.80000000000001</v>
      </c>
      <c r="DA30" s="106"/>
      <c r="DB30" s="106"/>
      <c r="DC30" s="105"/>
      <c r="DD30" s="107"/>
      <c r="DE30" s="92">
        <f t="shared" si="21"/>
        <v>1966</v>
      </c>
      <c r="DF30" s="108">
        <f t="shared" si="22"/>
        <v>12</v>
      </c>
      <c r="DG30" s="112">
        <f>IFERROR(AZ30,"")</f>
        <v>-49.333333333333336</v>
      </c>
      <c r="DH30" s="110">
        <f t="shared" si="24"/>
        <v>1134</v>
      </c>
      <c r="DI30" s="108">
        <f t="shared" si="25"/>
        <v>8</v>
      </c>
      <c r="DJ30" s="112">
        <f t="shared" si="26"/>
        <v>-144</v>
      </c>
      <c r="DK30" s="110">
        <f t="shared" si="86"/>
        <v>3100</v>
      </c>
      <c r="DL30" s="108">
        <f t="shared" si="86"/>
        <v>20</v>
      </c>
      <c r="DM30" s="111">
        <f t="shared" si="86"/>
        <v>-193.33333333333334</v>
      </c>
      <c r="DN30" s="76">
        <f t="shared" si="89"/>
        <v>13</v>
      </c>
      <c r="DO30" s="76">
        <f t="shared" si="89"/>
        <v>20</v>
      </c>
      <c r="DP30" s="112"/>
      <c r="DQ30" s="112"/>
      <c r="DR30" s="113" t="s">
        <v>431</v>
      </c>
      <c r="DS30" s="112"/>
      <c r="DT30" s="112"/>
      <c r="DU30" s="111"/>
      <c r="DV30" s="114"/>
      <c r="DW30" s="80">
        <f t="shared" si="61"/>
        <v>3120</v>
      </c>
      <c r="DX30" s="81">
        <f t="shared" si="29"/>
        <v>2926.6666666666665</v>
      </c>
      <c r="DY30" s="80">
        <f t="shared" si="62"/>
        <v>3166</v>
      </c>
      <c r="DZ30" s="82">
        <f t="shared" si="63"/>
        <v>0.19800000000000001</v>
      </c>
      <c r="EA30" s="82">
        <f t="shared" si="64"/>
        <v>9.3000000000000007</v>
      </c>
      <c r="EB30" s="82">
        <f t="shared" si="65"/>
        <v>5.7999999999999989</v>
      </c>
      <c r="EC30" s="82">
        <f t="shared" si="75"/>
        <v>5.9979999999999993</v>
      </c>
      <c r="EF30" s="83">
        <f t="shared" si="92"/>
        <v>-193.33333333333334</v>
      </c>
    </row>
    <row r="31" spans="1:136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1"/>
        <v>YHC3604-4x3-H9A14</v>
      </c>
      <c r="H31" s="46" t="str">
        <f t="shared" si="32"/>
        <v>C3604YH40DH9</v>
      </c>
      <c r="I31" s="46" t="str">
        <f t="shared" si="33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4"/>
        <v>36</v>
      </c>
      <c r="T31" s="51">
        <v>0</v>
      </c>
      <c r="U31" s="92"/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0</v>
      </c>
      <c r="AC31" s="93">
        <f t="shared" si="11"/>
        <v>0</v>
      </c>
      <c r="AD31" s="93">
        <f t="shared" si="12"/>
        <v>0</v>
      </c>
      <c r="AE31" s="93">
        <f t="shared" si="35"/>
        <v>0</v>
      </c>
      <c r="AF31" s="54">
        <f>AE31+'03.02'!AF31</f>
        <v>6974</v>
      </c>
      <c r="AG31" s="94">
        <f t="shared" si="66"/>
        <v>0</v>
      </c>
      <c r="AH31" s="56">
        <f t="shared" si="13"/>
        <v>0</v>
      </c>
      <c r="AI31" s="93"/>
      <c r="AJ31" s="93">
        <f t="shared" si="67"/>
        <v>0</v>
      </c>
      <c r="AK31" s="95">
        <f t="shared" si="36"/>
        <v>1</v>
      </c>
      <c r="AL31" s="58">
        <f t="shared" si="37"/>
        <v>0</v>
      </c>
      <c r="AM31" s="55">
        <f t="shared" si="68"/>
        <v>0</v>
      </c>
      <c r="AN31" s="93"/>
      <c r="AO31" s="96"/>
      <c r="AP31" s="96"/>
      <c r="AQ31" s="96"/>
      <c r="AR31" s="96"/>
      <c r="AS31" s="96"/>
      <c r="AT31" s="96">
        <f t="shared" ref="AT31" si="93">$CJ31</f>
        <v>0</v>
      </c>
      <c r="AU31" s="96">
        <f t="shared" si="38"/>
        <v>0</v>
      </c>
      <c r="AV31" s="96">
        <f t="shared" si="38"/>
        <v>0</v>
      </c>
      <c r="AW31" s="96">
        <f t="shared" si="39"/>
        <v>0</v>
      </c>
      <c r="AX31" s="96">
        <f t="shared" si="40"/>
        <v>0</v>
      </c>
      <c r="AY31" s="94">
        <f t="shared" si="69"/>
        <v>0</v>
      </c>
      <c r="AZ31" s="94">
        <f t="shared" si="41"/>
        <v>0</v>
      </c>
      <c r="BA31" s="94">
        <f t="shared" si="42"/>
        <v>0</v>
      </c>
      <c r="BB31" s="97">
        <f t="shared" si="43"/>
        <v>0</v>
      </c>
      <c r="BC31" s="93"/>
      <c r="BD31" s="93">
        <f t="shared" si="44"/>
        <v>0</v>
      </c>
      <c r="BE31" s="95">
        <f t="shared" si="45"/>
        <v>1</v>
      </c>
      <c r="BF31" s="58">
        <f t="shared" si="46"/>
        <v>0</v>
      </c>
      <c r="BG31" s="94">
        <f t="shared" si="47"/>
        <v>0</v>
      </c>
      <c r="BH31" s="89"/>
      <c r="BI31" s="89"/>
      <c r="BJ31" s="92"/>
      <c r="BK31" s="89"/>
      <c r="BL31" s="89"/>
      <c r="BM31" s="92"/>
      <c r="BN31" s="92">
        <f t="shared" ref="BN31" si="94">$CN31</f>
        <v>0</v>
      </c>
      <c r="BO31" s="92">
        <f t="shared" si="70"/>
        <v>0</v>
      </c>
      <c r="BP31" s="92">
        <f t="shared" si="70"/>
        <v>0</v>
      </c>
      <c r="BQ31" s="96">
        <f t="shared" si="48"/>
        <v>0</v>
      </c>
      <c r="BR31" s="96">
        <f t="shared" si="49"/>
        <v>0</v>
      </c>
      <c r="BS31" s="96">
        <f t="shared" si="71"/>
        <v>0</v>
      </c>
      <c r="BT31" s="96">
        <f t="shared" si="50"/>
        <v>0</v>
      </c>
      <c r="BU31" s="92">
        <f t="shared" si="16"/>
        <v>0</v>
      </c>
      <c r="BV31" s="98">
        <f t="shared" si="17"/>
        <v>0</v>
      </c>
      <c r="BW31" s="92">
        <f t="shared" si="18"/>
        <v>0</v>
      </c>
      <c r="BX31" s="98">
        <f t="shared" si="51"/>
        <v>0</v>
      </c>
      <c r="BY31" s="61">
        <f t="shared" si="73"/>
        <v>0</v>
      </c>
      <c r="BZ31" s="62">
        <f t="shared" si="52"/>
        <v>0</v>
      </c>
      <c r="CA31" s="98">
        <f t="shared" si="53"/>
        <v>0</v>
      </c>
      <c r="CB31" s="92">
        <f t="shared" si="19"/>
        <v>0</v>
      </c>
      <c r="CC31" s="92">
        <f t="shared" si="19"/>
        <v>0</v>
      </c>
      <c r="CD31" s="92">
        <f t="shared" si="19"/>
        <v>0</v>
      </c>
      <c r="CE31" s="99"/>
      <c r="CF31" s="99"/>
      <c r="CG31" s="51">
        <f t="shared" si="54"/>
        <v>0</v>
      </c>
      <c r="CH31" s="62">
        <f t="shared" si="55"/>
        <v>0</v>
      </c>
      <c r="CI31" s="89"/>
      <c r="CJ31" s="89"/>
      <c r="CK31" s="89"/>
      <c r="CL31" s="96"/>
      <c r="CM31" s="89"/>
      <c r="CN31" s="89"/>
      <c r="CO31" s="92"/>
      <c r="CP31" s="101"/>
      <c r="CQ31" s="102">
        <f t="shared" si="87"/>
        <v>0</v>
      </c>
      <c r="CR31" s="102">
        <f t="shared" si="87"/>
        <v>0</v>
      </c>
      <c r="CS31" s="102">
        <f t="shared" si="87"/>
        <v>0</v>
      </c>
      <c r="CT31" s="92">
        <f t="shared" si="57"/>
        <v>0</v>
      </c>
      <c r="CU31" s="92">
        <f t="shared" si="88"/>
        <v>0</v>
      </c>
      <c r="CV31" s="103">
        <f t="shared" si="88"/>
        <v>0</v>
      </c>
      <c r="CW31" s="104" t="s">
        <v>157</v>
      </c>
      <c r="CX31" s="105">
        <v>14</v>
      </c>
      <c r="CY31" s="106">
        <f t="shared" si="59"/>
        <v>3051</v>
      </c>
      <c r="CZ31" s="106">
        <f t="shared" si="60"/>
        <v>56.7</v>
      </c>
      <c r="DA31" s="106"/>
      <c r="DB31" s="106"/>
      <c r="DC31" s="105"/>
      <c r="DD31" s="107"/>
      <c r="DE31" s="92">
        <f t="shared" si="21"/>
        <v>0</v>
      </c>
      <c r="DF31" s="108">
        <f t="shared" si="22"/>
        <v>0</v>
      </c>
      <c r="DG31" s="112">
        <f t="shared" si="23"/>
        <v>0</v>
      </c>
      <c r="DH31" s="110">
        <f t="shared" si="24"/>
        <v>0</v>
      </c>
      <c r="DI31" s="108">
        <f t="shared" si="25"/>
        <v>0</v>
      </c>
      <c r="DJ31" s="112">
        <f t="shared" si="26"/>
        <v>0</v>
      </c>
      <c r="DK31" s="110">
        <f t="shared" si="86"/>
        <v>0</v>
      </c>
      <c r="DL31" s="108">
        <f t="shared" si="86"/>
        <v>0</v>
      </c>
      <c r="DM31" s="111">
        <f t="shared" si="86"/>
        <v>0</v>
      </c>
      <c r="DN31" s="76">
        <f t="shared" si="89"/>
        <v>0</v>
      </c>
      <c r="DO31" s="76">
        <v>100</v>
      </c>
      <c r="DP31" s="112"/>
      <c r="DQ31" s="112"/>
      <c r="DR31" s="113" t="s">
        <v>432</v>
      </c>
      <c r="DS31" s="112"/>
      <c r="DT31" s="112"/>
      <c r="DU31" s="111"/>
      <c r="DV31" s="114"/>
      <c r="DW31" s="80">
        <f t="shared" si="61"/>
        <v>0</v>
      </c>
      <c r="DX31" s="81">
        <f t="shared" si="29"/>
        <v>0</v>
      </c>
      <c r="DY31" s="80">
        <f t="shared" si="62"/>
        <v>0</v>
      </c>
      <c r="DZ31" s="82">
        <f t="shared" si="63"/>
        <v>0</v>
      </c>
      <c r="EA31" s="82">
        <f t="shared" si="64"/>
        <v>0</v>
      </c>
      <c r="EB31" s="82">
        <f t="shared" si="65"/>
        <v>0</v>
      </c>
      <c r="EC31" s="82">
        <f t="shared" si="75"/>
        <v>0</v>
      </c>
      <c r="EF31" s="83">
        <f t="shared" si="92"/>
        <v>0</v>
      </c>
    </row>
    <row r="32" spans="1:136" ht="14.1" customHeight="1">
      <c r="A32" s="84">
        <v>25</v>
      </c>
      <c r="B32" s="85" t="s">
        <v>205</v>
      </c>
      <c r="C32" s="86"/>
      <c r="D32" s="119" t="s">
        <v>485</v>
      </c>
      <c r="E32" s="88">
        <v>97</v>
      </c>
      <c r="F32" s="89" t="s">
        <v>136</v>
      </c>
      <c r="G32" s="45" t="str">
        <f t="shared" si="31"/>
        <v>IBC3604-H7x3-H11C14</v>
      </c>
      <c r="H32" s="46" t="str">
        <f t="shared" si="32"/>
        <v>C3604IB70HH11</v>
      </c>
      <c r="I32" s="46" t="str">
        <f t="shared" si="33"/>
        <v>C3604IB70HH113C14</v>
      </c>
      <c r="J32" s="90" t="s">
        <v>148</v>
      </c>
      <c r="K32" s="90" t="s">
        <v>156</v>
      </c>
      <c r="L32" s="90">
        <v>7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1.08</v>
      </c>
      <c r="R32" s="90" t="s">
        <v>144</v>
      </c>
      <c r="S32" s="89">
        <f t="shared" si="34"/>
        <v>32</v>
      </c>
      <c r="T32" s="51">
        <f>'03.02'!BG32</f>
        <v>0</v>
      </c>
      <c r="U32" s="92"/>
      <c r="V32" s="89">
        <v>5.7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5"/>
        <v>0</v>
      </c>
      <c r="AF32" s="54">
        <f>AE32+'03.02'!AF32</f>
        <v>68</v>
      </c>
      <c r="AG32" s="94">
        <f t="shared" si="66"/>
        <v>0</v>
      </c>
      <c r="AH32" s="56">
        <f t="shared" si="13"/>
        <v>0</v>
      </c>
      <c r="AI32" s="93"/>
      <c r="AJ32" s="93">
        <f t="shared" si="67"/>
        <v>0</v>
      </c>
      <c r="AK32" s="95">
        <f t="shared" si="36"/>
        <v>1</v>
      </c>
      <c r="AL32" s="58">
        <f t="shared" si="37"/>
        <v>0</v>
      </c>
      <c r="AM32" s="55">
        <f t="shared" si="68"/>
        <v>0</v>
      </c>
      <c r="AN32" s="93"/>
      <c r="AO32" s="96"/>
      <c r="AP32" s="96"/>
      <c r="AQ32" s="96"/>
      <c r="AR32" s="96"/>
      <c r="AS32" s="96">
        <f t="shared" ref="AS32" si="95">$CJ32</f>
        <v>0</v>
      </c>
      <c r="AT32" s="96"/>
      <c r="AU32" s="96">
        <f t="shared" si="38"/>
        <v>0</v>
      </c>
      <c r="AV32" s="96">
        <f t="shared" si="38"/>
        <v>0</v>
      </c>
      <c r="AW32" s="96">
        <f t="shared" si="39"/>
        <v>0</v>
      </c>
      <c r="AX32" s="96">
        <f t="shared" si="40"/>
        <v>0</v>
      </c>
      <c r="AY32" s="94">
        <f t="shared" si="69"/>
        <v>0</v>
      </c>
      <c r="AZ32" s="94">
        <f t="shared" si="41"/>
        <v>0</v>
      </c>
      <c r="BA32" s="94">
        <f t="shared" si="42"/>
        <v>0</v>
      </c>
      <c r="BB32" s="97">
        <f t="shared" si="43"/>
        <v>0</v>
      </c>
      <c r="BC32" s="93"/>
      <c r="BD32" s="93">
        <f t="shared" si="44"/>
        <v>0</v>
      </c>
      <c r="BE32" s="95">
        <f t="shared" si="45"/>
        <v>1</v>
      </c>
      <c r="BF32" s="58">
        <f t="shared" si="46"/>
        <v>0</v>
      </c>
      <c r="BG32" s="94">
        <f t="shared" si="47"/>
        <v>0</v>
      </c>
      <c r="BH32" s="89"/>
      <c r="BI32" s="89"/>
      <c r="BJ32" s="92"/>
      <c r="BK32" s="89"/>
      <c r="BL32" s="89"/>
      <c r="BM32" s="92">
        <f t="shared" ref="BM32" si="96">$CN32</f>
        <v>0</v>
      </c>
      <c r="BN32" s="89"/>
      <c r="BO32" s="92">
        <f t="shared" si="70"/>
        <v>0</v>
      </c>
      <c r="BP32" s="92">
        <f t="shared" si="70"/>
        <v>0</v>
      </c>
      <c r="BQ32" s="96">
        <f t="shared" si="48"/>
        <v>0</v>
      </c>
      <c r="BR32" s="96">
        <f t="shared" si="49"/>
        <v>0</v>
      </c>
      <c r="BS32" s="96">
        <f t="shared" si="71"/>
        <v>0</v>
      </c>
      <c r="BT32" s="96">
        <f t="shared" si="50"/>
        <v>0</v>
      </c>
      <c r="BU32" s="92">
        <f t="shared" si="16"/>
        <v>0</v>
      </c>
      <c r="BV32" s="98">
        <f t="shared" si="17"/>
        <v>0</v>
      </c>
      <c r="BW32" s="92">
        <f t="shared" si="18"/>
        <v>0</v>
      </c>
      <c r="BX32" s="98">
        <f t="shared" si="51"/>
        <v>0</v>
      </c>
      <c r="BY32" s="61">
        <f t="shared" si="73"/>
        <v>0</v>
      </c>
      <c r="BZ32" s="62">
        <f t="shared" si="52"/>
        <v>0</v>
      </c>
      <c r="CA32" s="98">
        <f t="shared" si="53"/>
        <v>0</v>
      </c>
      <c r="CB32" s="92">
        <f t="shared" si="19"/>
        <v>0</v>
      </c>
      <c r="CC32" s="92">
        <f t="shared" si="19"/>
        <v>0</v>
      </c>
      <c r="CD32" s="92">
        <f t="shared" si="19"/>
        <v>0</v>
      </c>
      <c r="CE32" s="99"/>
      <c r="CF32" s="99"/>
      <c r="CG32" s="51">
        <f t="shared" si="54"/>
        <v>0</v>
      </c>
      <c r="CH32" s="62">
        <f t="shared" si="55"/>
        <v>0</v>
      </c>
      <c r="CI32" s="89"/>
      <c r="CJ32" s="89"/>
      <c r="CK32" s="89"/>
      <c r="CL32" s="96"/>
      <c r="CM32" s="89"/>
      <c r="CN32" s="89"/>
      <c r="CO32" s="92"/>
      <c r="CP32" s="101"/>
      <c r="CQ32" s="102">
        <f t="shared" si="87"/>
        <v>0</v>
      </c>
      <c r="CR32" s="102">
        <f t="shared" si="87"/>
        <v>0</v>
      </c>
      <c r="CS32" s="102">
        <f t="shared" si="87"/>
        <v>0</v>
      </c>
      <c r="CT32" s="92">
        <f t="shared" si="57"/>
        <v>0</v>
      </c>
      <c r="CU32" s="92">
        <f t="shared" si="88"/>
        <v>0</v>
      </c>
      <c r="CV32" s="103">
        <f t="shared" si="88"/>
        <v>0</v>
      </c>
      <c r="CW32" s="104"/>
      <c r="CX32" s="105">
        <v>24</v>
      </c>
      <c r="CY32" s="106">
        <f t="shared" si="59"/>
        <v>1562</v>
      </c>
      <c r="CZ32" s="106">
        <f t="shared" si="60"/>
        <v>194.4</v>
      </c>
      <c r="DA32" s="106"/>
      <c r="DB32" s="106"/>
      <c r="DC32" s="105"/>
      <c r="DD32" s="107"/>
      <c r="DE32" s="92">
        <f t="shared" si="21"/>
        <v>0</v>
      </c>
      <c r="DF32" s="108">
        <f t="shared" si="22"/>
        <v>0</v>
      </c>
      <c r="DG32" s="112">
        <f t="shared" si="23"/>
        <v>0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6"/>
        <v>0</v>
      </c>
      <c r="DL32" s="108">
        <f t="shared" si="86"/>
        <v>0</v>
      </c>
      <c r="DM32" s="111">
        <f t="shared" si="86"/>
        <v>0</v>
      </c>
      <c r="DN32" s="76">
        <f t="shared" si="89"/>
        <v>0</v>
      </c>
      <c r="DO32" s="76">
        <f t="shared" si="89"/>
        <v>0</v>
      </c>
      <c r="DP32" s="112"/>
      <c r="DQ32" s="112"/>
      <c r="DR32" s="113" t="s">
        <v>433</v>
      </c>
      <c r="DS32" s="112"/>
      <c r="DT32" s="112"/>
      <c r="DU32" s="111"/>
      <c r="DV32" s="114"/>
      <c r="DW32" s="80">
        <f t="shared" si="61"/>
        <v>0</v>
      </c>
      <c r="DX32" s="81">
        <f t="shared" si="29"/>
        <v>0</v>
      </c>
      <c r="DY32" s="80">
        <f t="shared" si="62"/>
        <v>0</v>
      </c>
      <c r="DZ32" s="82">
        <f t="shared" si="63"/>
        <v>0</v>
      </c>
      <c r="EA32" s="82">
        <f t="shared" si="64"/>
        <v>0</v>
      </c>
      <c r="EB32" s="82">
        <f t="shared" si="65"/>
        <v>0</v>
      </c>
      <c r="EC32" s="82">
        <f t="shared" si="75"/>
        <v>0</v>
      </c>
      <c r="EF32" s="83">
        <f t="shared" si="92"/>
        <v>0</v>
      </c>
    </row>
    <row r="33" spans="1:136" ht="15" customHeight="1">
      <c r="A33" s="84">
        <v>26</v>
      </c>
      <c r="B33" s="85" t="s">
        <v>210</v>
      </c>
      <c r="C33" s="86"/>
      <c r="D33" s="116" t="s">
        <v>211</v>
      </c>
      <c r="E33" s="88">
        <v>24</v>
      </c>
      <c r="F33" s="89" t="s">
        <v>147</v>
      </c>
      <c r="G33" s="45" t="str">
        <f t="shared" si="31"/>
        <v>YHC3604-4x3-H9A14</v>
      </c>
      <c r="H33" s="46" t="str">
        <f t="shared" si="32"/>
        <v>C3604YH40DH9</v>
      </c>
      <c r="I33" s="46" t="str">
        <f t="shared" si="33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4"/>
        <v>272</v>
      </c>
      <c r="T33" s="51">
        <f>'03.02'!BG33</f>
        <v>0</v>
      </c>
      <c r="U33" s="92"/>
      <c r="V33" s="89">
        <v>11.6</v>
      </c>
      <c r="W33" s="93">
        <f t="shared" si="5"/>
        <v>0</v>
      </c>
      <c r="X33" s="93">
        <f t="shared" si="6"/>
        <v>0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0</v>
      </c>
      <c r="AE33" s="93">
        <f t="shared" si="35"/>
        <v>0</v>
      </c>
      <c r="AF33" s="54">
        <f>AE33+'03.02'!AF33</f>
        <v>0</v>
      </c>
      <c r="AG33" s="94">
        <f t="shared" si="66"/>
        <v>0</v>
      </c>
      <c r="AH33" s="56">
        <f t="shared" si="13"/>
        <v>0</v>
      </c>
      <c r="AI33" s="93"/>
      <c r="AJ33" s="93">
        <f t="shared" si="67"/>
        <v>0</v>
      </c>
      <c r="AK33" s="95">
        <f t="shared" si="36"/>
        <v>1</v>
      </c>
      <c r="AL33" s="58">
        <f t="shared" si="37"/>
        <v>0</v>
      </c>
      <c r="AM33" s="55">
        <f t="shared" si="68"/>
        <v>0</v>
      </c>
      <c r="AN33" s="93"/>
      <c r="AO33" s="96"/>
      <c r="AP33" s="96">
        <f t="shared" si="90"/>
        <v>0</v>
      </c>
      <c r="AQ33" s="96"/>
      <c r="AR33" s="96"/>
      <c r="AS33" s="96"/>
      <c r="AT33" s="96"/>
      <c r="AU33" s="96">
        <f t="shared" si="38"/>
        <v>0</v>
      </c>
      <c r="AV33" s="96">
        <f t="shared" si="38"/>
        <v>0</v>
      </c>
      <c r="AW33" s="96">
        <f t="shared" si="39"/>
        <v>0</v>
      </c>
      <c r="AX33" s="96">
        <f t="shared" si="40"/>
        <v>0</v>
      </c>
      <c r="AY33" s="94">
        <f t="shared" si="69"/>
        <v>0</v>
      </c>
      <c r="AZ33" s="94">
        <f t="shared" si="41"/>
        <v>0</v>
      </c>
      <c r="BA33" s="94">
        <f t="shared" si="42"/>
        <v>0</v>
      </c>
      <c r="BB33" s="97">
        <f t="shared" si="43"/>
        <v>0</v>
      </c>
      <c r="BC33" s="93"/>
      <c r="BD33" s="93">
        <f t="shared" si="44"/>
        <v>0</v>
      </c>
      <c r="BE33" s="95">
        <f t="shared" si="45"/>
        <v>1</v>
      </c>
      <c r="BF33" s="58">
        <f t="shared" si="46"/>
        <v>0</v>
      </c>
      <c r="BG33" s="94">
        <f t="shared" si="47"/>
        <v>0</v>
      </c>
      <c r="BH33" s="89"/>
      <c r="BI33" s="89"/>
      <c r="BJ33" s="92">
        <f t="shared" si="91"/>
        <v>0</v>
      </c>
      <c r="BK33" s="89"/>
      <c r="BL33" s="89"/>
      <c r="BM33" s="89"/>
      <c r="BN33" s="89"/>
      <c r="BO33" s="92">
        <f t="shared" si="70"/>
        <v>0</v>
      </c>
      <c r="BP33" s="92">
        <f t="shared" si="70"/>
        <v>0</v>
      </c>
      <c r="BQ33" s="96">
        <f t="shared" si="48"/>
        <v>0</v>
      </c>
      <c r="BR33" s="96">
        <f t="shared" si="49"/>
        <v>0</v>
      </c>
      <c r="BS33" s="96">
        <f t="shared" si="71"/>
        <v>0</v>
      </c>
      <c r="BT33" s="96">
        <f t="shared" si="50"/>
        <v>0</v>
      </c>
      <c r="BU33" s="92">
        <f t="shared" si="16"/>
        <v>0</v>
      </c>
      <c r="BV33" s="98">
        <f t="shared" si="17"/>
        <v>0</v>
      </c>
      <c r="BW33" s="92">
        <f t="shared" si="18"/>
        <v>0</v>
      </c>
      <c r="BX33" s="98">
        <f t="shared" si="51"/>
        <v>0</v>
      </c>
      <c r="BY33" s="61">
        <f t="shared" si="73"/>
        <v>0</v>
      </c>
      <c r="BZ33" s="62">
        <f t="shared" si="52"/>
        <v>0</v>
      </c>
      <c r="CA33" s="98">
        <f t="shared" si="53"/>
        <v>0</v>
      </c>
      <c r="CB33" s="92">
        <f t="shared" si="19"/>
        <v>0</v>
      </c>
      <c r="CC33" s="92">
        <f t="shared" si="19"/>
        <v>0</v>
      </c>
      <c r="CD33" s="92">
        <f t="shared" si="19"/>
        <v>0</v>
      </c>
      <c r="CE33" s="99"/>
      <c r="CF33" s="99"/>
      <c r="CG33" s="51">
        <f t="shared" si="54"/>
        <v>0</v>
      </c>
      <c r="CH33" s="62">
        <f t="shared" si="55"/>
        <v>0</v>
      </c>
      <c r="CI33" s="89"/>
      <c r="CJ33" s="89"/>
      <c r="CK33" s="89"/>
      <c r="CL33" s="96"/>
      <c r="CM33" s="89"/>
      <c r="CN33" s="89"/>
      <c r="CO33" s="92"/>
      <c r="CP33" s="101"/>
      <c r="CQ33" s="102">
        <f t="shared" si="87"/>
        <v>0</v>
      </c>
      <c r="CR33" s="102">
        <f t="shared" si="87"/>
        <v>0</v>
      </c>
      <c r="CS33" s="102">
        <f t="shared" si="87"/>
        <v>0</v>
      </c>
      <c r="CT33" s="92">
        <f t="shared" si="57"/>
        <v>0</v>
      </c>
      <c r="CU33" s="92">
        <f t="shared" si="88"/>
        <v>0</v>
      </c>
      <c r="CV33" s="103">
        <f t="shared" si="88"/>
        <v>0</v>
      </c>
      <c r="CW33" s="104" t="s">
        <v>157</v>
      </c>
      <c r="CX33" s="105">
        <v>12</v>
      </c>
      <c r="CY33" s="106">
        <f t="shared" si="59"/>
        <v>3262</v>
      </c>
      <c r="CZ33" s="106">
        <f t="shared" si="60"/>
        <v>48.6</v>
      </c>
      <c r="DA33" s="106"/>
      <c r="DB33" s="106"/>
      <c r="DC33" s="105"/>
      <c r="DD33" s="107"/>
      <c r="DE33" s="92">
        <f t="shared" si="21"/>
        <v>0</v>
      </c>
      <c r="DF33" s="108">
        <f t="shared" si="22"/>
        <v>0</v>
      </c>
      <c r="DG33" s="112">
        <f t="shared" si="23"/>
        <v>0</v>
      </c>
      <c r="DH33" s="110">
        <f t="shared" si="24"/>
        <v>0</v>
      </c>
      <c r="DI33" s="108">
        <f t="shared" si="25"/>
        <v>0</v>
      </c>
      <c r="DJ33" s="112">
        <f t="shared" si="26"/>
        <v>0</v>
      </c>
      <c r="DK33" s="110">
        <f t="shared" si="86"/>
        <v>0</v>
      </c>
      <c r="DL33" s="108">
        <f t="shared" si="86"/>
        <v>0</v>
      </c>
      <c r="DM33" s="111">
        <f t="shared" si="86"/>
        <v>0</v>
      </c>
      <c r="DN33" s="76">
        <f t="shared" si="89"/>
        <v>0</v>
      </c>
      <c r="DO33" s="76">
        <f t="shared" si="89"/>
        <v>0</v>
      </c>
      <c r="DP33" s="112"/>
      <c r="DQ33" s="112"/>
      <c r="DR33" s="113"/>
      <c r="DS33" s="112"/>
      <c r="DT33" s="112"/>
      <c r="DU33" s="111"/>
      <c r="DV33" s="114"/>
      <c r="DW33" s="80">
        <f t="shared" si="61"/>
        <v>0</v>
      </c>
      <c r="DX33" s="81">
        <f t="shared" si="29"/>
        <v>0</v>
      </c>
      <c r="DY33" s="80">
        <f t="shared" si="62"/>
        <v>0</v>
      </c>
      <c r="DZ33" s="82">
        <f t="shared" si="63"/>
        <v>0</v>
      </c>
      <c r="EA33" s="82">
        <f t="shared" si="64"/>
        <v>0</v>
      </c>
      <c r="EB33" s="82">
        <f t="shared" si="65"/>
        <v>0</v>
      </c>
      <c r="EC33" s="82">
        <f t="shared" si="75"/>
        <v>0</v>
      </c>
      <c r="EF33" s="83">
        <f t="shared" si="92"/>
        <v>0</v>
      </c>
    </row>
    <row r="34" spans="1:136" ht="14.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1"/>
        <v>SSSUS304K-4x3-H9A08</v>
      </c>
      <c r="H34" s="46" t="str">
        <f t="shared" si="32"/>
        <v>SUS304KSS40DH9</v>
      </c>
      <c r="I34" s="46" t="str">
        <f t="shared" si="33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4"/>
        <v>46</v>
      </c>
      <c r="T34" s="51">
        <f>'03.02'!BG34</f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5"/>
        <v>0</v>
      </c>
      <c r="AF34" s="54">
        <f>AE34+'03.02'!AF34</f>
        <v>0</v>
      </c>
      <c r="AG34" s="94">
        <f t="shared" si="66"/>
        <v>0</v>
      </c>
      <c r="AH34" s="56">
        <f t="shared" si="13"/>
        <v>0</v>
      </c>
      <c r="AI34" s="93"/>
      <c r="AJ34" s="93">
        <f t="shared" si="67"/>
        <v>0</v>
      </c>
      <c r="AK34" s="95">
        <f t="shared" si="36"/>
        <v>1</v>
      </c>
      <c r="AL34" s="58">
        <f t="shared" si="37"/>
        <v>0</v>
      </c>
      <c r="AM34" s="55">
        <f t="shared" si="68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8"/>
        <v>0</v>
      </c>
      <c r="AV34" s="96">
        <f t="shared" si="38"/>
        <v>0</v>
      </c>
      <c r="AW34" s="96">
        <f t="shared" si="39"/>
        <v>0</v>
      </c>
      <c r="AX34" s="96">
        <f t="shared" si="40"/>
        <v>0</v>
      </c>
      <c r="AY34" s="94">
        <f t="shared" si="69"/>
        <v>0</v>
      </c>
      <c r="AZ34" s="94">
        <f t="shared" si="41"/>
        <v>0</v>
      </c>
      <c r="BA34" s="94">
        <f t="shared" si="42"/>
        <v>0</v>
      </c>
      <c r="BB34" s="97">
        <f t="shared" si="43"/>
        <v>0</v>
      </c>
      <c r="BC34" s="93"/>
      <c r="BD34" s="93">
        <f t="shared" si="44"/>
        <v>0</v>
      </c>
      <c r="BE34" s="95">
        <f t="shared" si="45"/>
        <v>1</v>
      </c>
      <c r="BF34" s="58">
        <f t="shared" si="46"/>
        <v>0</v>
      </c>
      <c r="BG34" s="94">
        <f t="shared" si="47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0"/>
        <v>0</v>
      </c>
      <c r="BP34" s="92">
        <f t="shared" si="70"/>
        <v>0</v>
      </c>
      <c r="BQ34" s="96">
        <f t="shared" si="48"/>
        <v>0</v>
      </c>
      <c r="BR34" s="96">
        <f t="shared" si="49"/>
        <v>0</v>
      </c>
      <c r="BS34" s="96">
        <f t="shared" si="71"/>
        <v>0</v>
      </c>
      <c r="BT34" s="96">
        <f t="shared" si="50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1"/>
        <v>0</v>
      </c>
      <c r="BY34" s="61">
        <f>IFERROR(BF34+AL34,0)</f>
        <v>0</v>
      </c>
      <c r="BZ34" s="62">
        <f t="shared" si="52"/>
        <v>0</v>
      </c>
      <c r="CA34" s="98">
        <f t="shared" si="53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4"/>
        <v>0</v>
      </c>
      <c r="CH34" s="62">
        <f t="shared" si="55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7"/>
        <v>0</v>
      </c>
      <c r="CR34" s="102">
        <f t="shared" si="87"/>
        <v>0</v>
      </c>
      <c r="CS34" s="102">
        <f t="shared" si="87"/>
        <v>0</v>
      </c>
      <c r="CT34" s="92">
        <f t="shared" si="57"/>
        <v>0</v>
      </c>
      <c r="CU34" s="92">
        <f t="shared" si="88"/>
        <v>0</v>
      </c>
      <c r="CV34" s="103">
        <f t="shared" si="88"/>
        <v>0</v>
      </c>
      <c r="CW34" s="104"/>
      <c r="CX34" s="105">
        <v>8</v>
      </c>
      <c r="CY34" s="106">
        <f t="shared" si="59"/>
        <v>4312</v>
      </c>
      <c r="CZ34" s="106">
        <f t="shared" si="60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6"/>
        <v>0</v>
      </c>
      <c r="DL34" s="108">
        <f t="shared" si="86"/>
        <v>0</v>
      </c>
      <c r="DM34" s="111">
        <f t="shared" si="86"/>
        <v>0</v>
      </c>
      <c r="DN34" s="76">
        <f t="shared" si="89"/>
        <v>0</v>
      </c>
      <c r="DO34" s="76">
        <f t="shared" si="89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1"/>
        <v>0</v>
      </c>
      <c r="DX34" s="81">
        <f t="shared" si="29"/>
        <v>0</v>
      </c>
      <c r="DY34" s="80">
        <f t="shared" si="62"/>
        <v>0</v>
      </c>
      <c r="DZ34" s="82">
        <f t="shared" si="63"/>
        <v>0</v>
      </c>
      <c r="EA34" s="82">
        <f t="shared" si="64"/>
        <v>0</v>
      </c>
      <c r="EB34" s="82">
        <f t="shared" si="65"/>
        <v>0</v>
      </c>
      <c r="EC34" s="82">
        <f t="shared" ref="EC34:EC35" si="97">(BX34-CA34)+((AV34+BP34)/1000)</f>
        <v>0</v>
      </c>
      <c r="EF34" s="83">
        <f t="shared" si="92"/>
        <v>0</v>
      </c>
    </row>
    <row r="35" spans="1:136" ht="14.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1"/>
        <v>IBC3604-6.5x3-H9A14</v>
      </c>
      <c r="H35" s="46" t="str">
        <f t="shared" si="32"/>
        <v>C3604IB6.50DH9</v>
      </c>
      <c r="I35" s="46" t="str">
        <f t="shared" si="33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4"/>
        <v>34</v>
      </c>
      <c r="T35" s="51">
        <f>'03.02'!BG35</f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5"/>
        <v>0</v>
      </c>
      <c r="AF35" s="54">
        <f>AE35+'03.02'!AF35</f>
        <v>0</v>
      </c>
      <c r="AG35" s="94">
        <f t="shared" si="66"/>
        <v>0</v>
      </c>
      <c r="AH35" s="56">
        <f t="shared" si="13"/>
        <v>0</v>
      </c>
      <c r="AI35" s="93"/>
      <c r="AJ35" s="93">
        <f t="shared" si="67"/>
        <v>0</v>
      </c>
      <c r="AK35" s="95">
        <f t="shared" si="36"/>
        <v>1</v>
      </c>
      <c r="AL35" s="58">
        <f t="shared" si="37"/>
        <v>0</v>
      </c>
      <c r="AM35" s="55">
        <f t="shared" si="68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8"/>
        <v>0</v>
      </c>
      <c r="AV35" s="96">
        <f t="shared" si="38"/>
        <v>0</v>
      </c>
      <c r="AW35" s="96">
        <f t="shared" si="39"/>
        <v>0</v>
      </c>
      <c r="AX35" s="96">
        <f t="shared" si="40"/>
        <v>0</v>
      </c>
      <c r="AY35" s="94">
        <f t="shared" si="69"/>
        <v>0</v>
      </c>
      <c r="AZ35" s="94">
        <f t="shared" si="41"/>
        <v>0</v>
      </c>
      <c r="BA35" s="94">
        <f t="shared" si="42"/>
        <v>0</v>
      </c>
      <c r="BB35" s="97">
        <f t="shared" si="43"/>
        <v>0</v>
      </c>
      <c r="BC35" s="93"/>
      <c r="BD35" s="93">
        <f t="shared" si="44"/>
        <v>0</v>
      </c>
      <c r="BE35" s="95">
        <f t="shared" si="45"/>
        <v>1</v>
      </c>
      <c r="BF35" s="58">
        <f t="shared" si="46"/>
        <v>0</v>
      </c>
      <c r="BG35" s="94">
        <f t="shared" si="47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0"/>
        <v>0</v>
      </c>
      <c r="BP35" s="92">
        <f t="shared" si="70"/>
        <v>0</v>
      </c>
      <c r="BQ35" s="96">
        <f t="shared" si="48"/>
        <v>0</v>
      </c>
      <c r="BR35" s="96">
        <f t="shared" si="49"/>
        <v>0</v>
      </c>
      <c r="BS35" s="96">
        <f t="shared" si="71"/>
        <v>0</v>
      </c>
      <c r="BT35" s="96">
        <f t="shared" si="50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1"/>
        <v>0</v>
      </c>
      <c r="BY35" s="61">
        <f t="shared" si="73"/>
        <v>0</v>
      </c>
      <c r="BZ35" s="62">
        <f t="shared" si="52"/>
        <v>0</v>
      </c>
      <c r="CA35" s="98">
        <f t="shared" si="53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4"/>
        <v>0</v>
      </c>
      <c r="CH35" s="62">
        <f t="shared" si="55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7"/>
        <v>0</v>
      </c>
      <c r="CR35" s="102">
        <f t="shared" si="87"/>
        <v>0</v>
      </c>
      <c r="CS35" s="102">
        <f t="shared" si="87"/>
        <v>0</v>
      </c>
      <c r="CT35" s="92">
        <f t="shared" si="57"/>
        <v>0</v>
      </c>
      <c r="CU35" s="92">
        <f t="shared" si="88"/>
        <v>0</v>
      </c>
      <c r="CV35" s="103">
        <f t="shared" si="88"/>
        <v>0</v>
      </c>
      <c r="CW35" s="104" t="s">
        <v>147</v>
      </c>
      <c r="CX35" s="105">
        <v>13</v>
      </c>
      <c r="CY35" s="106">
        <f t="shared" si="59"/>
        <v>3073</v>
      </c>
      <c r="CZ35" s="106">
        <f t="shared" si="60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6"/>
        <v>0</v>
      </c>
      <c r="DL35" s="108">
        <f t="shared" si="86"/>
        <v>0</v>
      </c>
      <c r="DM35" s="111">
        <f t="shared" si="86"/>
        <v>0</v>
      </c>
      <c r="DN35" s="76">
        <f t="shared" si="89"/>
        <v>0</v>
      </c>
      <c r="DO35" s="76">
        <f t="shared" si="89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1"/>
        <v>0</v>
      </c>
      <c r="DX35" s="81">
        <f t="shared" si="29"/>
        <v>0</v>
      </c>
      <c r="DY35" s="80">
        <f t="shared" si="62"/>
        <v>0</v>
      </c>
      <c r="DZ35" s="82">
        <f t="shared" si="63"/>
        <v>0</v>
      </c>
      <c r="EA35" s="82">
        <f t="shared" si="64"/>
        <v>0</v>
      </c>
      <c r="EB35" s="82">
        <f t="shared" si="65"/>
        <v>0</v>
      </c>
      <c r="EC35" s="82">
        <f t="shared" si="97"/>
        <v>0</v>
      </c>
      <c r="EF35" s="83">
        <f t="shared" si="92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1"/>
        <v>TV12L14-5.97x2.5-H9B14</v>
      </c>
      <c r="H36" s="46" t="str">
        <f t="shared" si="32"/>
        <v>12L14TV5.970DH9</v>
      </c>
      <c r="I36" s="46" t="str">
        <f t="shared" si="33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4"/>
        <v>76</v>
      </c>
      <c r="T36" s="51">
        <f>'03.02'!BG36</f>
        <v>35</v>
      </c>
      <c r="U36" s="146">
        <v>65</v>
      </c>
      <c r="V36" s="135">
        <v>4.45</v>
      </c>
      <c r="W36" s="151">
        <f t="shared" si="5"/>
        <v>0</v>
      </c>
      <c r="X36" s="151">
        <f t="shared" si="6"/>
        <v>1494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0</v>
      </c>
      <c r="AE36" s="151">
        <f t="shared" si="35"/>
        <v>1494</v>
      </c>
      <c r="AF36" s="54">
        <f>AE36+'03.02'!AF36</f>
        <v>10237</v>
      </c>
      <c r="AG36" s="94">
        <f t="shared" si="66"/>
        <v>35</v>
      </c>
      <c r="AH36" s="56">
        <f t="shared" si="13"/>
        <v>0</v>
      </c>
      <c r="AI36" s="151">
        <v>37</v>
      </c>
      <c r="AJ36" s="93">
        <f t="shared" si="67"/>
        <v>0</v>
      </c>
      <c r="AK36" s="95">
        <f t="shared" si="36"/>
        <v>1</v>
      </c>
      <c r="AL36" s="58">
        <f t="shared" si="37"/>
        <v>37</v>
      </c>
      <c r="AM36" s="55">
        <f t="shared" si="68"/>
        <v>63</v>
      </c>
      <c r="AN36" s="151"/>
      <c r="AO36" s="145"/>
      <c r="AP36" s="145">
        <f>$CJ36</f>
        <v>6650</v>
      </c>
      <c r="AQ36" s="145"/>
      <c r="AR36" s="145"/>
      <c r="AS36" s="145"/>
      <c r="AT36" s="145"/>
      <c r="AU36" s="145">
        <f t="shared" si="38"/>
        <v>0</v>
      </c>
      <c r="AV36" s="145">
        <f t="shared" si="38"/>
        <v>0</v>
      </c>
      <c r="AW36" s="145">
        <f t="shared" si="39"/>
        <v>6650</v>
      </c>
      <c r="AX36" s="145">
        <f t="shared" si="40"/>
        <v>1494</v>
      </c>
      <c r="AY36" s="94">
        <f t="shared" si="69"/>
        <v>64</v>
      </c>
      <c r="AZ36" s="94">
        <f t="shared" si="41"/>
        <v>14.382022471910112</v>
      </c>
      <c r="BA36" s="94">
        <f t="shared" si="42"/>
        <v>63</v>
      </c>
      <c r="BB36" s="97">
        <f t="shared" si="43"/>
        <v>0</v>
      </c>
      <c r="BC36" s="151"/>
      <c r="BD36" s="93">
        <f t="shared" si="44"/>
        <v>0</v>
      </c>
      <c r="BE36" s="152">
        <f t="shared" si="45"/>
        <v>1</v>
      </c>
      <c r="BF36" s="58">
        <f t="shared" si="46"/>
        <v>0</v>
      </c>
      <c r="BG36" s="94">
        <f t="shared" si="47"/>
        <v>63</v>
      </c>
      <c r="BH36" s="150"/>
      <c r="BI36" s="150"/>
      <c r="BJ36" s="146">
        <f>$CN36</f>
        <v>0</v>
      </c>
      <c r="BK36" s="150"/>
      <c r="BL36" s="150"/>
      <c r="BM36" s="150"/>
      <c r="BN36" s="146"/>
      <c r="BO36" s="146">
        <f t="shared" si="70"/>
        <v>0</v>
      </c>
      <c r="BP36" s="146">
        <f t="shared" si="70"/>
        <v>0</v>
      </c>
      <c r="BQ36" s="145">
        <f t="shared" si="48"/>
        <v>0</v>
      </c>
      <c r="BR36" s="145">
        <f t="shared" si="49"/>
        <v>0</v>
      </c>
      <c r="BS36" s="96">
        <f t="shared" si="71"/>
        <v>0</v>
      </c>
      <c r="BT36" s="145">
        <f t="shared" si="50"/>
        <v>0</v>
      </c>
      <c r="BU36" s="146">
        <f t="shared" si="16"/>
        <v>1494</v>
      </c>
      <c r="BV36" s="98">
        <f t="shared" si="17"/>
        <v>37</v>
      </c>
      <c r="BW36" s="146">
        <f t="shared" si="18"/>
        <v>14.382022471910112</v>
      </c>
      <c r="BX36" s="153">
        <f t="shared" si="51"/>
        <v>20.239000000000001</v>
      </c>
      <c r="BY36" s="61">
        <f t="shared" si="73"/>
        <v>37</v>
      </c>
      <c r="BZ36" s="62">
        <f t="shared" si="52"/>
        <v>37</v>
      </c>
      <c r="CA36" s="98">
        <f t="shared" si="53"/>
        <v>6.65</v>
      </c>
      <c r="CB36" s="146">
        <f t="shared" si="19"/>
        <v>1494</v>
      </c>
      <c r="CC36" s="146">
        <f t="shared" si="19"/>
        <v>64</v>
      </c>
      <c r="CD36" s="146">
        <f t="shared" si="19"/>
        <v>14.382022471910112</v>
      </c>
      <c r="CE36" s="99"/>
      <c r="CF36" s="99"/>
      <c r="CG36" s="51">
        <f t="shared" si="54"/>
        <v>13.589</v>
      </c>
      <c r="CH36" s="62">
        <f t="shared" si="55"/>
        <v>13.589</v>
      </c>
      <c r="CI36" s="150"/>
      <c r="CJ36" s="150">
        <v>6650</v>
      </c>
      <c r="CK36" s="150"/>
      <c r="CL36" s="145"/>
      <c r="CM36" s="150"/>
      <c r="CN36" s="150"/>
      <c r="CO36" s="146"/>
      <c r="CP36" s="154"/>
      <c r="CQ36" s="102">
        <f t="shared" si="87"/>
        <v>1494</v>
      </c>
      <c r="CR36" s="102">
        <f t="shared" si="87"/>
        <v>0</v>
      </c>
      <c r="CS36" s="102">
        <f t="shared" si="87"/>
        <v>0</v>
      </c>
      <c r="CT36" s="92">
        <f t="shared" si="57"/>
        <v>0</v>
      </c>
      <c r="CU36" s="92">
        <f t="shared" si="88"/>
        <v>0</v>
      </c>
      <c r="CV36" s="103">
        <f t="shared" si="88"/>
        <v>0</v>
      </c>
      <c r="CW36" s="155" t="s">
        <v>147</v>
      </c>
      <c r="CX36" s="156">
        <v>23</v>
      </c>
      <c r="CY36" s="157">
        <f t="shared" si="59"/>
        <v>1510</v>
      </c>
      <c r="CZ36" s="157">
        <f t="shared" si="60"/>
        <v>93.15</v>
      </c>
      <c r="DA36" s="157"/>
      <c r="DB36" s="157"/>
      <c r="DC36" s="156"/>
      <c r="DD36" s="158"/>
      <c r="DE36" s="92">
        <f t="shared" si="21"/>
        <v>1494</v>
      </c>
      <c r="DF36" s="108">
        <f t="shared" si="22"/>
        <v>37</v>
      </c>
      <c r="DG36" s="112">
        <f t="shared" si="23"/>
        <v>14.382022471910112</v>
      </c>
      <c r="DH36" s="110">
        <f t="shared" si="24"/>
        <v>0</v>
      </c>
      <c r="DI36" s="108">
        <f t="shared" si="25"/>
        <v>0</v>
      </c>
      <c r="DJ36" s="112">
        <f t="shared" si="26"/>
        <v>0</v>
      </c>
      <c r="DK36" s="110">
        <f t="shared" si="86"/>
        <v>1494</v>
      </c>
      <c r="DL36" s="108">
        <f t="shared" si="86"/>
        <v>37</v>
      </c>
      <c r="DM36" s="111">
        <f t="shared" si="86"/>
        <v>14.382022471910112</v>
      </c>
      <c r="DN36" s="76">
        <f t="shared" si="89"/>
        <v>35</v>
      </c>
      <c r="DO36" s="76">
        <f t="shared" si="89"/>
        <v>65</v>
      </c>
      <c r="DP36" s="112"/>
      <c r="DQ36" s="112"/>
      <c r="DR36" s="113" t="s">
        <v>434</v>
      </c>
      <c r="DS36" s="112"/>
      <c r="DT36" s="112"/>
      <c r="DU36" s="111"/>
      <c r="DV36" s="114"/>
      <c r="DW36" s="80">
        <f>IFERROR(AL36+BF36,"")</f>
        <v>37</v>
      </c>
      <c r="DX36" s="159">
        <f t="shared" si="29"/>
        <v>1545.3820224719102</v>
      </c>
      <c r="DY36" s="80">
        <f t="shared" si="62"/>
        <v>1494</v>
      </c>
      <c r="DZ36" s="82">
        <f t="shared" si="63"/>
        <v>0</v>
      </c>
      <c r="EA36" s="82">
        <f t="shared" si="64"/>
        <v>6.6482999999999999</v>
      </c>
      <c r="EB36" s="82">
        <f t="shared" si="65"/>
        <v>13.590700000000002</v>
      </c>
      <c r="EC36" s="82">
        <f t="shared" si="75"/>
        <v>13.590700000000002</v>
      </c>
      <c r="EF36" s="83">
        <f t="shared" si="92"/>
        <v>14.382022471910112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1"/>
        <v>GAA5052-5.7x3-H9A14</v>
      </c>
      <c r="H37" s="46" t="str">
        <f t="shared" si="32"/>
        <v>A5052GA5.70DH9</v>
      </c>
      <c r="I37" s="46" t="str">
        <f t="shared" si="33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4"/>
        <v>18</v>
      </c>
      <c r="T37" s="51">
        <v>20</v>
      </c>
      <c r="U37" s="92"/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35"/>
        <v>0</v>
      </c>
      <c r="AF37" s="54">
        <f>AE37+'03.02'!AF37</f>
        <v>2000</v>
      </c>
      <c r="AG37" s="94">
        <f t="shared" si="66"/>
        <v>20</v>
      </c>
      <c r="AH37" s="56">
        <f t="shared" si="13"/>
        <v>0</v>
      </c>
      <c r="AI37" s="93"/>
      <c r="AJ37" s="93">
        <f t="shared" si="67"/>
        <v>0</v>
      </c>
      <c r="AK37" s="95">
        <f t="shared" si="36"/>
        <v>1</v>
      </c>
      <c r="AL37" s="58">
        <f t="shared" si="37"/>
        <v>0</v>
      </c>
      <c r="AM37" s="55">
        <f t="shared" si="68"/>
        <v>20</v>
      </c>
      <c r="AN37" s="93"/>
      <c r="AO37" s="96"/>
      <c r="AP37" s="96"/>
      <c r="AQ37" s="96"/>
      <c r="AR37" s="96"/>
      <c r="AS37" s="96"/>
      <c r="AT37" s="96">
        <f>$CJ37</f>
        <v>0</v>
      </c>
      <c r="AU37" s="96">
        <f t="shared" si="38"/>
        <v>0</v>
      </c>
      <c r="AV37" s="96">
        <f t="shared" si="38"/>
        <v>0</v>
      </c>
      <c r="AW37" s="96">
        <f t="shared" si="39"/>
        <v>0</v>
      </c>
      <c r="AX37" s="96">
        <f t="shared" si="40"/>
        <v>0</v>
      </c>
      <c r="AY37" s="94">
        <f t="shared" si="69"/>
        <v>0</v>
      </c>
      <c r="AZ37" s="94">
        <f t="shared" si="41"/>
        <v>0</v>
      </c>
      <c r="BA37" s="94">
        <f t="shared" si="42"/>
        <v>20</v>
      </c>
      <c r="BB37" s="97">
        <f t="shared" si="43"/>
        <v>0</v>
      </c>
      <c r="BC37" s="93"/>
      <c r="BD37" s="93">
        <f t="shared" si="44"/>
        <v>0</v>
      </c>
      <c r="BE37" s="95">
        <f t="shared" si="45"/>
        <v>1</v>
      </c>
      <c r="BF37" s="58">
        <f t="shared" si="46"/>
        <v>0</v>
      </c>
      <c r="BG37" s="94">
        <f t="shared" si="47"/>
        <v>20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0"/>
        <v>0</v>
      </c>
      <c r="BP37" s="92">
        <f t="shared" si="70"/>
        <v>0</v>
      </c>
      <c r="BQ37" s="96">
        <f t="shared" si="48"/>
        <v>0</v>
      </c>
      <c r="BR37" s="96">
        <f t="shared" si="49"/>
        <v>0</v>
      </c>
      <c r="BS37" s="96">
        <f t="shared" si="71"/>
        <v>0</v>
      </c>
      <c r="BT37" s="96">
        <f t="shared" si="50"/>
        <v>0</v>
      </c>
      <c r="BU37" s="92">
        <f t="shared" si="16"/>
        <v>0</v>
      </c>
      <c r="BV37" s="98">
        <f t="shared" si="17"/>
        <v>0</v>
      </c>
      <c r="BW37" s="92">
        <f t="shared" si="18"/>
        <v>0</v>
      </c>
      <c r="BX37" s="98">
        <f t="shared" si="51"/>
        <v>0</v>
      </c>
      <c r="BY37" s="61">
        <f t="shared" si="73"/>
        <v>0</v>
      </c>
      <c r="BZ37" s="62">
        <f t="shared" si="52"/>
        <v>0</v>
      </c>
      <c r="CA37" s="98">
        <f t="shared" si="53"/>
        <v>0</v>
      </c>
      <c r="CB37" s="92">
        <f t="shared" si="19"/>
        <v>0</v>
      </c>
      <c r="CC37" s="92">
        <f t="shared" si="19"/>
        <v>0</v>
      </c>
      <c r="CD37" s="92">
        <f t="shared" si="19"/>
        <v>0</v>
      </c>
      <c r="CE37" s="99"/>
      <c r="CF37" s="99"/>
      <c r="CG37" s="51">
        <f t="shared" si="54"/>
        <v>0</v>
      </c>
      <c r="CH37" s="62">
        <f t="shared" si="55"/>
        <v>0</v>
      </c>
      <c r="CI37" s="89"/>
      <c r="CJ37" s="89"/>
      <c r="CK37" s="89"/>
      <c r="CL37" s="96"/>
      <c r="CM37" s="89"/>
      <c r="CN37" s="89"/>
      <c r="CO37" s="92"/>
      <c r="CP37" s="101"/>
      <c r="CQ37" s="102">
        <f t="shared" si="87"/>
        <v>0</v>
      </c>
      <c r="CR37" s="102">
        <f t="shared" si="87"/>
        <v>0</v>
      </c>
      <c r="CS37" s="102">
        <f t="shared" si="87"/>
        <v>0</v>
      </c>
      <c r="CT37" s="92">
        <f t="shared" si="57"/>
        <v>0</v>
      </c>
      <c r="CU37" s="92">
        <f t="shared" si="88"/>
        <v>0</v>
      </c>
      <c r="CV37" s="103">
        <f t="shared" si="88"/>
        <v>0</v>
      </c>
      <c r="CW37" s="104" t="s">
        <v>147</v>
      </c>
      <c r="CX37" s="105">
        <v>18</v>
      </c>
      <c r="CY37" s="106">
        <f t="shared" si="59"/>
        <v>2300</v>
      </c>
      <c r="CZ37" s="106">
        <f t="shared" si="60"/>
        <v>72.900000000000006</v>
      </c>
      <c r="DA37" s="106"/>
      <c r="DB37" s="106"/>
      <c r="DC37" s="105"/>
      <c r="DD37" s="107"/>
      <c r="DE37" s="92">
        <f t="shared" si="21"/>
        <v>0</v>
      </c>
      <c r="DF37" s="108">
        <f t="shared" si="22"/>
        <v>0</v>
      </c>
      <c r="DG37" s="112">
        <f t="shared" si="23"/>
        <v>0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6"/>
        <v>0</v>
      </c>
      <c r="DL37" s="108">
        <f t="shared" si="86"/>
        <v>0</v>
      </c>
      <c r="DM37" s="111">
        <f t="shared" si="86"/>
        <v>0</v>
      </c>
      <c r="DN37" s="76">
        <f t="shared" si="89"/>
        <v>20</v>
      </c>
      <c r="DO37" s="76">
        <f t="shared" si="89"/>
        <v>0</v>
      </c>
      <c r="DP37" s="112"/>
      <c r="DQ37" s="112"/>
      <c r="DR37" s="113" t="s">
        <v>435</v>
      </c>
      <c r="DS37" s="112"/>
      <c r="DT37" s="112"/>
      <c r="DU37" s="111"/>
      <c r="DV37" s="114"/>
      <c r="DW37" s="80">
        <f t="shared" si="61"/>
        <v>0</v>
      </c>
      <c r="DX37" s="81">
        <f t="shared" si="29"/>
        <v>0</v>
      </c>
      <c r="DY37" s="80">
        <f t="shared" si="62"/>
        <v>0</v>
      </c>
      <c r="DZ37" s="82">
        <f t="shared" si="63"/>
        <v>0</v>
      </c>
      <c r="EA37" s="82">
        <f t="shared" si="64"/>
        <v>0</v>
      </c>
      <c r="EB37" s="82">
        <f t="shared" si="65"/>
        <v>0</v>
      </c>
      <c r="EC37" s="82">
        <f t="shared" si="75"/>
        <v>0</v>
      </c>
      <c r="EF37" s="83">
        <f t="shared" si="92"/>
        <v>0</v>
      </c>
    </row>
    <row r="38" spans="1:136" s="143" customFormat="1" ht="14.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1"/>
        <v>MESUS303-5x3-H7B13</v>
      </c>
      <c r="H38" s="123" t="str">
        <f t="shared" si="32"/>
        <v>SUS303ME50DH7</v>
      </c>
      <c r="I38" s="123" t="str">
        <f t="shared" si="33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4"/>
        <v>4</v>
      </c>
      <c r="T38" s="51">
        <f>'03.02'!BG38</f>
        <v>19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5"/>
        <v>0</v>
      </c>
      <c r="AF38" s="54">
        <f>AE38+'03.02'!AF38</f>
        <v>0</v>
      </c>
      <c r="AG38" s="94">
        <f t="shared" si="66"/>
        <v>19</v>
      </c>
      <c r="AH38" s="56">
        <f t="shared" si="13"/>
        <v>0</v>
      </c>
      <c r="AI38" s="125"/>
      <c r="AJ38" s="93">
        <f t="shared" si="67"/>
        <v>0</v>
      </c>
      <c r="AK38" s="95">
        <f t="shared" si="36"/>
        <v>1</v>
      </c>
      <c r="AL38" s="58">
        <f t="shared" si="37"/>
        <v>0</v>
      </c>
      <c r="AM38" s="55">
        <f t="shared" si="68"/>
        <v>19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8"/>
        <v>0</v>
      </c>
      <c r="AV38" s="126">
        <f t="shared" si="38"/>
        <v>0</v>
      </c>
      <c r="AW38" s="126">
        <f t="shared" si="39"/>
        <v>0</v>
      </c>
      <c r="AX38" s="126">
        <f t="shared" si="40"/>
        <v>0</v>
      </c>
      <c r="AY38" s="162">
        <f t="shared" si="69"/>
        <v>0</v>
      </c>
      <c r="AZ38" s="94">
        <f t="shared" si="41"/>
        <v>0</v>
      </c>
      <c r="BA38" s="94">
        <f t="shared" si="42"/>
        <v>19</v>
      </c>
      <c r="BB38" s="97">
        <f t="shared" si="43"/>
        <v>0</v>
      </c>
      <c r="BC38" s="125"/>
      <c r="BD38" s="93">
        <f t="shared" si="44"/>
        <v>0</v>
      </c>
      <c r="BE38" s="127">
        <f t="shared" si="45"/>
        <v>1</v>
      </c>
      <c r="BF38" s="58">
        <f t="shared" si="46"/>
        <v>0</v>
      </c>
      <c r="BG38" s="94">
        <f t="shared" si="47"/>
        <v>19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0"/>
        <v>0</v>
      </c>
      <c r="BP38" s="124">
        <f t="shared" si="70"/>
        <v>0</v>
      </c>
      <c r="BQ38" s="126">
        <f t="shared" si="48"/>
        <v>0</v>
      </c>
      <c r="BR38" s="126">
        <f t="shared" si="49"/>
        <v>0</v>
      </c>
      <c r="BS38" s="126">
        <f t="shared" si="71"/>
        <v>0</v>
      </c>
      <c r="BT38" s="126">
        <f t="shared" si="50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1"/>
        <v>0</v>
      </c>
      <c r="BY38" s="129">
        <f t="shared" si="73"/>
        <v>0</v>
      </c>
      <c r="BZ38" s="62">
        <f t="shared" si="52"/>
        <v>0</v>
      </c>
      <c r="CA38" s="128">
        <f t="shared" si="53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4"/>
        <v>0</v>
      </c>
      <c r="CH38" s="62">
        <f t="shared" si="55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7"/>
        <v>0</v>
      </c>
      <c r="CR38" s="102">
        <f t="shared" si="87"/>
        <v>0</v>
      </c>
      <c r="CS38" s="102">
        <f t="shared" si="87"/>
        <v>0</v>
      </c>
      <c r="CT38" s="92">
        <f t="shared" si="57"/>
        <v>0</v>
      </c>
      <c r="CU38" s="92">
        <f t="shared" si="88"/>
        <v>0</v>
      </c>
      <c r="CV38" s="103">
        <f t="shared" si="88"/>
        <v>0</v>
      </c>
      <c r="CW38" s="131" t="s">
        <v>147</v>
      </c>
      <c r="CX38" s="132">
        <v>60</v>
      </c>
      <c r="CY38" s="133">
        <f t="shared" si="59"/>
        <v>714</v>
      </c>
      <c r="CZ38" s="133">
        <f t="shared" si="60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6"/>
        <v>0</v>
      </c>
      <c r="DL38" s="135">
        <f t="shared" si="86"/>
        <v>0</v>
      </c>
      <c r="DM38" s="137">
        <f t="shared" si="86"/>
        <v>0</v>
      </c>
      <c r="DN38" s="76">
        <f t="shared" si="89"/>
        <v>19</v>
      </c>
      <c r="DO38" s="76">
        <f t="shared" si="89"/>
        <v>0</v>
      </c>
      <c r="DP38" s="115"/>
      <c r="DQ38" s="115"/>
      <c r="DR38" s="138" t="s">
        <v>436</v>
      </c>
      <c r="DS38" s="115"/>
      <c r="DT38" s="115"/>
      <c r="DU38" s="137"/>
      <c r="DV38" s="139"/>
      <c r="DW38" s="140">
        <f t="shared" si="61"/>
        <v>0</v>
      </c>
      <c r="DX38" s="141">
        <f t="shared" si="29"/>
        <v>0</v>
      </c>
      <c r="DY38" s="140">
        <f t="shared" si="62"/>
        <v>0</v>
      </c>
      <c r="DZ38" s="142">
        <f t="shared" si="63"/>
        <v>0</v>
      </c>
      <c r="EA38" s="142">
        <f t="shared" si="64"/>
        <v>0</v>
      </c>
      <c r="EB38" s="142">
        <f t="shared" si="65"/>
        <v>0</v>
      </c>
      <c r="EC38" s="142">
        <f t="shared" si="75"/>
        <v>0</v>
      </c>
      <c r="EF38" s="83">
        <f t="shared" si="92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1"/>
        <v>GAA5052-5.7x3-H9A14</v>
      </c>
      <c r="H39" s="46" t="str">
        <f t="shared" si="32"/>
        <v>A5052GA5.70DH9</v>
      </c>
      <c r="I39" s="46" t="str">
        <f t="shared" si="33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4"/>
        <v>10</v>
      </c>
      <c r="T39" s="51">
        <f>'03.02'!BG39</f>
        <v>16</v>
      </c>
      <c r="U39" s="92"/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5"/>
        <v>0</v>
      </c>
      <c r="AF39" s="54">
        <f>AE39+'03.02'!AF39</f>
        <v>0</v>
      </c>
      <c r="AG39" s="94">
        <f t="shared" si="66"/>
        <v>16</v>
      </c>
      <c r="AH39" s="56">
        <f t="shared" si="13"/>
        <v>0</v>
      </c>
      <c r="AI39" s="93"/>
      <c r="AJ39" s="93">
        <f t="shared" si="67"/>
        <v>0</v>
      </c>
      <c r="AK39" s="95">
        <f t="shared" si="36"/>
        <v>1</v>
      </c>
      <c r="AL39" s="58">
        <f t="shared" si="37"/>
        <v>0</v>
      </c>
      <c r="AM39" s="55">
        <f t="shared" si="68"/>
        <v>16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8"/>
        <v>0</v>
      </c>
      <c r="AV39" s="96">
        <f t="shared" si="38"/>
        <v>0</v>
      </c>
      <c r="AW39" s="96">
        <f t="shared" si="39"/>
        <v>0</v>
      </c>
      <c r="AX39" s="96">
        <f t="shared" si="40"/>
        <v>0</v>
      </c>
      <c r="AY39" s="94">
        <f t="shared" si="69"/>
        <v>0</v>
      </c>
      <c r="AZ39" s="94">
        <f t="shared" si="41"/>
        <v>0</v>
      </c>
      <c r="BA39" s="94">
        <f t="shared" si="42"/>
        <v>16</v>
      </c>
      <c r="BB39" s="97">
        <f t="shared" si="43"/>
        <v>0</v>
      </c>
      <c r="BC39" s="93"/>
      <c r="BD39" s="93">
        <f t="shared" si="44"/>
        <v>0</v>
      </c>
      <c r="BE39" s="95">
        <f t="shared" si="45"/>
        <v>1</v>
      </c>
      <c r="BF39" s="58">
        <f t="shared" si="46"/>
        <v>0</v>
      </c>
      <c r="BG39" s="94">
        <f t="shared" si="47"/>
        <v>16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0"/>
        <v>0</v>
      </c>
      <c r="BP39" s="92">
        <f t="shared" si="70"/>
        <v>0</v>
      </c>
      <c r="BQ39" s="96">
        <f t="shared" si="48"/>
        <v>0</v>
      </c>
      <c r="BR39" s="96">
        <f t="shared" si="49"/>
        <v>0</v>
      </c>
      <c r="BS39" s="96">
        <f t="shared" si="71"/>
        <v>0</v>
      </c>
      <c r="BT39" s="96">
        <f t="shared" si="50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1"/>
        <v>0</v>
      </c>
      <c r="BY39" s="61">
        <f t="shared" si="73"/>
        <v>0</v>
      </c>
      <c r="BZ39" s="62">
        <f t="shared" si="52"/>
        <v>0</v>
      </c>
      <c r="CA39" s="98">
        <f t="shared" si="53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4"/>
        <v>0</v>
      </c>
      <c r="CH39" s="62">
        <f t="shared" si="55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7"/>
        <v>0</v>
      </c>
      <c r="CR39" s="102">
        <f t="shared" si="87"/>
        <v>0</v>
      </c>
      <c r="CS39" s="102">
        <f t="shared" si="87"/>
        <v>0</v>
      </c>
      <c r="CT39" s="92">
        <f t="shared" si="57"/>
        <v>0</v>
      </c>
      <c r="CU39" s="92">
        <f t="shared" si="88"/>
        <v>0</v>
      </c>
      <c r="CV39" s="103">
        <f t="shared" si="88"/>
        <v>0</v>
      </c>
      <c r="CW39" s="104" t="s">
        <v>147</v>
      </c>
      <c r="CX39" s="105">
        <v>35</v>
      </c>
      <c r="CY39" s="106">
        <f t="shared" si="59"/>
        <v>1203</v>
      </c>
      <c r="CZ39" s="106">
        <f t="shared" si="60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6"/>
        <v>0</v>
      </c>
      <c r="DL39" s="108">
        <f t="shared" si="86"/>
        <v>0</v>
      </c>
      <c r="DM39" s="111">
        <f t="shared" si="86"/>
        <v>0</v>
      </c>
      <c r="DN39" s="76">
        <f t="shared" si="89"/>
        <v>16</v>
      </c>
      <c r="DO39" s="76">
        <f t="shared" si="89"/>
        <v>0</v>
      </c>
      <c r="DP39" s="112"/>
      <c r="DQ39" s="112"/>
      <c r="DR39" s="113" t="s">
        <v>437</v>
      </c>
      <c r="DS39" s="112"/>
      <c r="DT39" s="112"/>
      <c r="DU39" s="111"/>
      <c r="DV39" s="114"/>
      <c r="DW39" s="80">
        <f t="shared" si="61"/>
        <v>0</v>
      </c>
      <c r="DX39" s="81">
        <f t="shared" si="29"/>
        <v>0</v>
      </c>
      <c r="DY39" s="80">
        <f t="shared" si="62"/>
        <v>0</v>
      </c>
      <c r="DZ39" s="82">
        <f t="shared" si="63"/>
        <v>0</v>
      </c>
      <c r="EA39" s="82">
        <f t="shared" si="64"/>
        <v>0</v>
      </c>
      <c r="EB39" s="82">
        <f t="shared" si="65"/>
        <v>0</v>
      </c>
      <c r="EC39" s="82">
        <f t="shared" si="75"/>
        <v>0</v>
      </c>
      <c r="EF39" s="83">
        <f t="shared" si="92"/>
        <v>0</v>
      </c>
    </row>
    <row r="40" spans="1:136" ht="14.1" customHeight="1">
      <c r="A40" s="84">
        <v>33</v>
      </c>
      <c r="B40" s="85" t="s">
        <v>232</v>
      </c>
      <c r="C40" s="86"/>
      <c r="D40" s="87" t="s">
        <v>233</v>
      </c>
      <c r="E40" s="88">
        <v>1166</v>
      </c>
      <c r="F40" s="89" t="s">
        <v>147</v>
      </c>
      <c r="G40" s="45" t="str">
        <f t="shared" si="31"/>
        <v>MIC3602-3x2.5-H9A14</v>
      </c>
      <c r="H40" s="46" t="str">
        <f t="shared" si="32"/>
        <v>C3602MI30DH9</v>
      </c>
      <c r="I40" s="46" t="str">
        <f t="shared" si="33"/>
        <v>C3602MI30DH92.5A14</v>
      </c>
      <c r="J40" s="90" t="s">
        <v>155</v>
      </c>
      <c r="K40" s="90" t="s">
        <v>234</v>
      </c>
      <c r="L40" s="90">
        <v>3</v>
      </c>
      <c r="M40" s="90">
        <v>0</v>
      </c>
      <c r="N40" s="90" t="s">
        <v>128</v>
      </c>
      <c r="O40" s="90" t="s">
        <v>131</v>
      </c>
      <c r="P40" s="90">
        <v>2.5</v>
      </c>
      <c r="Q40" s="164">
        <v>0.14799999999999999</v>
      </c>
      <c r="R40" s="90" t="s">
        <v>139</v>
      </c>
      <c r="S40" s="89">
        <f t="shared" si="34"/>
        <v>6</v>
      </c>
      <c r="T40" s="51">
        <f>'03.02'!BG40</f>
        <v>14</v>
      </c>
      <c r="U40" s="92"/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4800</v>
      </c>
      <c r="AC40" s="93">
        <f t="shared" si="11"/>
        <v>0</v>
      </c>
      <c r="AD40" s="93">
        <f t="shared" si="12"/>
        <v>0</v>
      </c>
      <c r="AE40" s="93">
        <f t="shared" si="35"/>
        <v>4800</v>
      </c>
      <c r="AF40" s="54">
        <f>AE40+'03.02'!AF40</f>
        <v>20488</v>
      </c>
      <c r="AG40" s="94">
        <f t="shared" si="66"/>
        <v>14</v>
      </c>
      <c r="AH40" s="56">
        <f t="shared" si="13"/>
        <v>0</v>
      </c>
      <c r="AI40" s="93">
        <v>4</v>
      </c>
      <c r="AJ40" s="93">
        <f t="shared" si="67"/>
        <v>0</v>
      </c>
      <c r="AK40" s="95">
        <f t="shared" si="36"/>
        <v>1</v>
      </c>
      <c r="AL40" s="58">
        <f t="shared" si="37"/>
        <v>4</v>
      </c>
      <c r="AM40" s="55">
        <f t="shared" si="68"/>
        <v>10</v>
      </c>
      <c r="AN40" s="93"/>
      <c r="AO40" s="96"/>
      <c r="AP40" s="96"/>
      <c r="AQ40" s="96"/>
      <c r="AR40" s="96"/>
      <c r="AS40" s="96"/>
      <c r="AT40" s="96">
        <f>$CJ40</f>
        <v>600</v>
      </c>
      <c r="AU40" s="96">
        <f t="shared" si="38"/>
        <v>0</v>
      </c>
      <c r="AV40" s="96">
        <f t="shared" si="38"/>
        <v>0</v>
      </c>
      <c r="AW40" s="96">
        <f>SUM(AO40:AV40)</f>
        <v>600</v>
      </c>
      <c r="AX40" s="96">
        <f>IF(V40="","",INT(AW40/$V40))</f>
        <v>4800</v>
      </c>
      <c r="AY40" s="94">
        <f t="shared" si="69"/>
        <v>17</v>
      </c>
      <c r="AZ40" s="94">
        <f t="shared" si="41"/>
        <v>136</v>
      </c>
      <c r="BA40" s="94">
        <f t="shared" si="42"/>
        <v>10</v>
      </c>
      <c r="BB40" s="97">
        <f t="shared" si="43"/>
        <v>0</v>
      </c>
      <c r="BC40" s="93"/>
      <c r="BD40" s="93">
        <f t="shared" si="44"/>
        <v>0</v>
      </c>
      <c r="BE40" s="95">
        <f t="shared" si="45"/>
        <v>1</v>
      </c>
      <c r="BF40" s="58">
        <f t="shared" si="46"/>
        <v>0</v>
      </c>
      <c r="BG40" s="94">
        <f t="shared" si="47"/>
        <v>10</v>
      </c>
      <c r="BH40" s="89"/>
      <c r="BI40" s="89"/>
      <c r="BJ40" s="89"/>
      <c r="BK40" s="89"/>
      <c r="BL40" s="92"/>
      <c r="BM40" s="92"/>
      <c r="BN40" s="92">
        <f>$CN40</f>
        <v>0</v>
      </c>
      <c r="BO40" s="92">
        <f t="shared" si="70"/>
        <v>0</v>
      </c>
      <c r="BP40" s="92">
        <f t="shared" si="70"/>
        <v>0</v>
      </c>
      <c r="BQ40" s="96">
        <f t="shared" si="48"/>
        <v>0</v>
      </c>
      <c r="BR40" s="96">
        <f t="shared" si="49"/>
        <v>0</v>
      </c>
      <c r="BS40" s="96">
        <f t="shared" si="71"/>
        <v>0</v>
      </c>
      <c r="BT40" s="96">
        <f t="shared" si="50"/>
        <v>0</v>
      </c>
      <c r="BU40" s="92">
        <f t="shared" si="16"/>
        <v>4800</v>
      </c>
      <c r="BV40" s="98">
        <f t="shared" si="17"/>
        <v>4</v>
      </c>
      <c r="BW40" s="92">
        <f t="shared" si="18"/>
        <v>136</v>
      </c>
      <c r="BX40" s="98">
        <f t="shared" si="51"/>
        <v>0.59199999999999997</v>
      </c>
      <c r="BY40" s="61">
        <f t="shared" si="73"/>
        <v>4</v>
      </c>
      <c r="BZ40" s="62">
        <f t="shared" si="52"/>
        <v>4</v>
      </c>
      <c r="CA40" s="98">
        <f t="shared" si="53"/>
        <v>0.6</v>
      </c>
      <c r="CB40" s="92">
        <f t="shared" ref="CB40:CD71" si="98">IFERROR(BR40+AX40,"")</f>
        <v>4800</v>
      </c>
      <c r="CC40" s="92">
        <f t="shared" si="98"/>
        <v>17</v>
      </c>
      <c r="CD40" s="92">
        <f t="shared" si="98"/>
        <v>136</v>
      </c>
      <c r="CE40" s="99"/>
      <c r="CF40" s="99"/>
      <c r="CG40" s="51">
        <f t="shared" si="54"/>
        <v>-8.0000000000000071E-3</v>
      </c>
      <c r="CH40" s="62">
        <f t="shared" si="55"/>
        <v>-8.0000000000000071E-3</v>
      </c>
      <c r="CI40" s="89"/>
      <c r="CJ40" s="89">
        <v>600</v>
      </c>
      <c r="CK40" s="89"/>
      <c r="CL40" s="96"/>
      <c r="CM40" s="89"/>
      <c r="CN40" s="89"/>
      <c r="CO40" s="92"/>
      <c r="CP40" s="101"/>
      <c r="CQ40" s="102">
        <f t="shared" si="87"/>
        <v>4800</v>
      </c>
      <c r="CR40" s="102">
        <f t="shared" si="87"/>
        <v>0</v>
      </c>
      <c r="CS40" s="102">
        <f t="shared" si="87"/>
        <v>0</v>
      </c>
      <c r="CT40" s="92">
        <f t="shared" si="57"/>
        <v>0</v>
      </c>
      <c r="CU40" s="92">
        <f t="shared" si="88"/>
        <v>0</v>
      </c>
      <c r="CV40" s="103">
        <f t="shared" si="88"/>
        <v>0</v>
      </c>
      <c r="CW40" s="104" t="s">
        <v>147</v>
      </c>
      <c r="CX40" s="105">
        <v>11</v>
      </c>
      <c r="CY40" s="106">
        <f t="shared" si="59"/>
        <v>3861</v>
      </c>
      <c r="CZ40" s="106">
        <f t="shared" si="60"/>
        <v>44.550000000000004</v>
      </c>
      <c r="DA40" s="106"/>
      <c r="DB40" s="106"/>
      <c r="DC40" s="105"/>
      <c r="DD40" s="107"/>
      <c r="DE40" s="92">
        <f t="shared" si="21"/>
        <v>4800</v>
      </c>
      <c r="DF40" s="108">
        <f t="shared" si="22"/>
        <v>4</v>
      </c>
      <c r="DG40" s="112">
        <f t="shared" si="23"/>
        <v>136</v>
      </c>
      <c r="DH40" s="110">
        <f t="shared" si="24"/>
        <v>0</v>
      </c>
      <c r="DI40" s="108">
        <f t="shared" si="25"/>
        <v>0</v>
      </c>
      <c r="DJ40" s="112">
        <f t="shared" si="26"/>
        <v>0</v>
      </c>
      <c r="DK40" s="110">
        <f t="shared" si="86"/>
        <v>4800</v>
      </c>
      <c r="DL40" s="108">
        <f t="shared" si="86"/>
        <v>4</v>
      </c>
      <c r="DM40" s="111">
        <f t="shared" si="86"/>
        <v>136</v>
      </c>
      <c r="DN40" s="76">
        <f t="shared" si="89"/>
        <v>14</v>
      </c>
      <c r="DO40" s="76">
        <f t="shared" si="89"/>
        <v>0</v>
      </c>
      <c r="DP40" s="112"/>
      <c r="DQ40" s="112"/>
      <c r="DR40" s="113" t="s">
        <v>438</v>
      </c>
      <c r="DS40" s="112"/>
      <c r="DT40" s="112"/>
      <c r="DU40" s="111"/>
      <c r="DV40" s="114"/>
      <c r="DW40" s="80">
        <f t="shared" ref="DW40:DW42" si="99">IFERROR(AL40+BF40,"")</f>
        <v>4</v>
      </c>
      <c r="DX40" s="81">
        <f t="shared" si="29"/>
        <v>4940</v>
      </c>
      <c r="DY40" s="80">
        <f t="shared" si="62"/>
        <v>4800</v>
      </c>
      <c r="DZ40" s="82">
        <f t="shared" si="63"/>
        <v>0</v>
      </c>
      <c r="EA40" s="82">
        <f t="shared" si="64"/>
        <v>0.6</v>
      </c>
      <c r="EB40" s="82">
        <f t="shared" si="65"/>
        <v>-8.0000000000000071E-3</v>
      </c>
      <c r="EC40" s="82">
        <f t="shared" ref="EC40:EC42" si="100">(BX40-CA40)+((AV40+BP40)/1000)</f>
        <v>-8.0000000000000071E-3</v>
      </c>
      <c r="EF40" s="83">
        <f t="shared" si="92"/>
        <v>136</v>
      </c>
    </row>
    <row r="41" spans="1:136" ht="13.5" customHeight="1">
      <c r="A41" s="84">
        <v>34</v>
      </c>
      <c r="B41" s="85" t="s">
        <v>236</v>
      </c>
      <c r="C41" s="86"/>
      <c r="D41" s="119" t="s">
        <v>237</v>
      </c>
      <c r="E41" s="88">
        <v>394</v>
      </c>
      <c r="F41" s="89" t="s">
        <v>147</v>
      </c>
      <c r="G41" s="45" t="str">
        <f t="shared" si="31"/>
        <v>MESUS303Cu-3x3-H9A14</v>
      </c>
      <c r="H41" s="46" t="str">
        <f t="shared" si="32"/>
        <v>SUS303CuME30DH9</v>
      </c>
      <c r="I41" s="46" t="str">
        <f t="shared" si="33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4"/>
        <v>18</v>
      </c>
      <c r="T41" s="51">
        <f>'03.02'!BG41</f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5"/>
        <v>0</v>
      </c>
      <c r="AF41" s="54">
        <f>AE41+'03.02'!AF41</f>
        <v>0</v>
      </c>
      <c r="AG41" s="94">
        <f t="shared" si="66"/>
        <v>10</v>
      </c>
      <c r="AH41" s="56">
        <f t="shared" si="13"/>
        <v>0</v>
      </c>
      <c r="AI41" s="93"/>
      <c r="AJ41" s="93">
        <f t="shared" si="67"/>
        <v>0</v>
      </c>
      <c r="AK41" s="95">
        <f t="shared" si="36"/>
        <v>1</v>
      </c>
      <c r="AL41" s="58">
        <f t="shared" si="37"/>
        <v>0</v>
      </c>
      <c r="AM41" s="55">
        <f t="shared" si="68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8"/>
        <v>0</v>
      </c>
      <c r="AV41" s="96">
        <f t="shared" si="38"/>
        <v>0</v>
      </c>
      <c r="AW41" s="96">
        <f>SUM(AO41:AV41)</f>
        <v>0</v>
      </c>
      <c r="AX41" s="96">
        <f>IF(V41="","",INT(AW41/$V41))</f>
        <v>0</v>
      </c>
      <c r="AY41" s="94">
        <f t="shared" si="69"/>
        <v>0</v>
      </c>
      <c r="AZ41" s="94">
        <f t="shared" si="41"/>
        <v>0</v>
      </c>
      <c r="BA41" s="94">
        <f t="shared" si="42"/>
        <v>10</v>
      </c>
      <c r="BB41" s="97">
        <f t="shared" si="43"/>
        <v>0</v>
      </c>
      <c r="BC41" s="93"/>
      <c r="BD41" s="93">
        <f t="shared" si="44"/>
        <v>0</v>
      </c>
      <c r="BE41" s="95">
        <f t="shared" si="45"/>
        <v>1</v>
      </c>
      <c r="BF41" s="58">
        <f t="shared" si="46"/>
        <v>0</v>
      </c>
      <c r="BG41" s="94">
        <f t="shared" si="47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0"/>
        <v>0</v>
      </c>
      <c r="BP41" s="92">
        <f t="shared" si="70"/>
        <v>0</v>
      </c>
      <c r="BQ41" s="96">
        <f t="shared" si="48"/>
        <v>0</v>
      </c>
      <c r="BR41" s="96">
        <f>IF(AA41="","",INT(BQ41/$V41))</f>
        <v>0</v>
      </c>
      <c r="BS41" s="96">
        <f t="shared" si="71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1"/>
        <v>0</v>
      </c>
      <c r="BY41" s="61">
        <f t="shared" si="73"/>
        <v>0</v>
      </c>
      <c r="BZ41" s="62">
        <f t="shared" si="52"/>
        <v>0</v>
      </c>
      <c r="CA41" s="98">
        <f t="shared" si="53"/>
        <v>0</v>
      </c>
      <c r="CB41" s="92">
        <f t="shared" si="98"/>
        <v>0</v>
      </c>
      <c r="CC41" s="92">
        <f t="shared" si="98"/>
        <v>0</v>
      </c>
      <c r="CD41" s="92">
        <f t="shared" si="98"/>
        <v>0</v>
      </c>
      <c r="CE41" s="99"/>
      <c r="CF41" s="99"/>
      <c r="CG41" s="51">
        <f t="shared" si="54"/>
        <v>0</v>
      </c>
      <c r="CH41" s="62">
        <f t="shared" si="55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101">INT(IFERROR( CJ41/$V41,0))</f>
        <v>0</v>
      </c>
      <c r="CR41" s="102">
        <f t="shared" si="101"/>
        <v>0</v>
      </c>
      <c r="CS41" s="102">
        <f t="shared" si="101"/>
        <v>0</v>
      </c>
      <c r="CT41" s="92">
        <f t="shared" si="57"/>
        <v>0</v>
      </c>
      <c r="CU41" s="92">
        <f t="shared" ref="CU41:CV103" si="102">INT(IFERROR( AC41-CR41,0))</f>
        <v>0</v>
      </c>
      <c r="CV41" s="103">
        <f t="shared" si="102"/>
        <v>0</v>
      </c>
      <c r="CW41" s="104" t="s">
        <v>147</v>
      </c>
      <c r="CX41" s="105">
        <v>12</v>
      </c>
      <c r="CY41" s="106">
        <f t="shared" si="59"/>
        <v>3450</v>
      </c>
      <c r="CZ41" s="106">
        <f t="shared" si="60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6"/>
        <v>0</v>
      </c>
      <c r="DL41" s="108">
        <f t="shared" si="86"/>
        <v>0</v>
      </c>
      <c r="DM41" s="111">
        <f t="shared" si="86"/>
        <v>0</v>
      </c>
      <c r="DN41" s="76">
        <f t="shared" si="89"/>
        <v>10</v>
      </c>
      <c r="DO41" s="76">
        <f t="shared" si="89"/>
        <v>0</v>
      </c>
      <c r="DP41" s="112"/>
      <c r="DQ41" s="112"/>
      <c r="DR41" s="113" t="s">
        <v>439</v>
      </c>
      <c r="DS41" s="112"/>
      <c r="DT41" s="112"/>
      <c r="DU41" s="111"/>
      <c r="DV41" s="114"/>
      <c r="DW41" s="80">
        <f t="shared" si="99"/>
        <v>0</v>
      </c>
      <c r="DX41" s="81">
        <f t="shared" si="29"/>
        <v>0</v>
      </c>
      <c r="DY41" s="80">
        <f t="shared" si="62"/>
        <v>0</v>
      </c>
      <c r="DZ41" s="82">
        <f t="shared" si="63"/>
        <v>0</v>
      </c>
      <c r="EA41" s="82">
        <f t="shared" si="64"/>
        <v>0</v>
      </c>
      <c r="EB41" s="82">
        <f t="shared" si="65"/>
        <v>0</v>
      </c>
      <c r="EC41" s="82">
        <f t="shared" si="100"/>
        <v>0</v>
      </c>
      <c r="EF41" s="83">
        <f t="shared" si="92"/>
        <v>0</v>
      </c>
    </row>
    <row r="42" spans="1:136" ht="15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1"/>
        <v>IBC3604-6x3-H9C13</v>
      </c>
      <c r="H42" s="46" t="str">
        <f t="shared" si="32"/>
        <v>C3604IB60DH9</v>
      </c>
      <c r="I42" s="46" t="str">
        <f t="shared" si="33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4"/>
        <v>42</v>
      </c>
      <c r="T42" s="51">
        <f>'03.02'!BG42</f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5"/>
        <v>0</v>
      </c>
      <c r="AF42" s="54">
        <f>AE42+'03.02'!AF42</f>
        <v>0</v>
      </c>
      <c r="AG42" s="94">
        <f t="shared" si="66"/>
        <v>0</v>
      </c>
      <c r="AH42" s="56">
        <f t="shared" si="13"/>
        <v>0</v>
      </c>
      <c r="AI42" s="93"/>
      <c r="AJ42" s="93">
        <f t="shared" si="67"/>
        <v>0</v>
      </c>
      <c r="AK42" s="95">
        <f t="shared" si="36"/>
        <v>1</v>
      </c>
      <c r="AL42" s="58">
        <f t="shared" si="37"/>
        <v>0</v>
      </c>
      <c r="AM42" s="55">
        <f t="shared" si="68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8"/>
        <v>0</v>
      </c>
      <c r="AV42" s="96">
        <f t="shared" si="38"/>
        <v>0</v>
      </c>
      <c r="AW42" s="96">
        <f t="shared" si="39"/>
        <v>0</v>
      </c>
      <c r="AX42" s="96">
        <f t="shared" si="40"/>
        <v>0</v>
      </c>
      <c r="AY42" s="94">
        <f t="shared" si="69"/>
        <v>0</v>
      </c>
      <c r="AZ42" s="94">
        <f t="shared" si="41"/>
        <v>0</v>
      </c>
      <c r="BA42" s="94">
        <f t="shared" si="42"/>
        <v>0</v>
      </c>
      <c r="BB42" s="97">
        <f t="shared" si="43"/>
        <v>0</v>
      </c>
      <c r="BC42" s="93"/>
      <c r="BD42" s="93">
        <f t="shared" si="44"/>
        <v>0</v>
      </c>
      <c r="BE42" s="95">
        <f t="shared" si="45"/>
        <v>1</v>
      </c>
      <c r="BF42" s="58">
        <f t="shared" si="46"/>
        <v>0</v>
      </c>
      <c r="BG42" s="94">
        <f t="shared" si="47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0"/>
        <v>0</v>
      </c>
      <c r="BP42" s="92">
        <f t="shared" si="70"/>
        <v>0</v>
      </c>
      <c r="BQ42" s="96">
        <f t="shared" si="48"/>
        <v>0</v>
      </c>
      <c r="BR42" s="96">
        <f t="shared" si="49"/>
        <v>0</v>
      </c>
      <c r="BS42" s="96">
        <f t="shared" si="71"/>
        <v>0</v>
      </c>
      <c r="BT42" s="96">
        <f t="shared" si="50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1"/>
        <v>0</v>
      </c>
      <c r="BY42" s="61">
        <f t="shared" si="73"/>
        <v>0</v>
      </c>
      <c r="BZ42" s="62">
        <f t="shared" si="52"/>
        <v>0</v>
      </c>
      <c r="CA42" s="98">
        <f t="shared" si="53"/>
        <v>0</v>
      </c>
      <c r="CB42" s="92">
        <f t="shared" si="98"/>
        <v>0</v>
      </c>
      <c r="CC42" s="92">
        <f t="shared" si="98"/>
        <v>0</v>
      </c>
      <c r="CD42" s="92">
        <f t="shared" si="98"/>
        <v>0</v>
      </c>
      <c r="CE42" s="99"/>
      <c r="CF42" s="99"/>
      <c r="CG42" s="51">
        <f t="shared" si="54"/>
        <v>0</v>
      </c>
      <c r="CH42" s="62">
        <f t="shared" si="55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101"/>
        <v>0</v>
      </c>
      <c r="CR42" s="102">
        <f t="shared" si="101"/>
        <v>0</v>
      </c>
      <c r="CS42" s="102">
        <f t="shared" si="101"/>
        <v>0</v>
      </c>
      <c r="CT42" s="92">
        <f t="shared" si="57"/>
        <v>0</v>
      </c>
      <c r="CU42" s="92">
        <f t="shared" si="102"/>
        <v>0</v>
      </c>
      <c r="CV42" s="103">
        <f t="shared" si="102"/>
        <v>0</v>
      </c>
      <c r="CW42" s="104" t="s">
        <v>147</v>
      </c>
      <c r="CX42" s="105">
        <v>24</v>
      </c>
      <c r="CY42" s="106">
        <f t="shared" si="59"/>
        <v>1620</v>
      </c>
      <c r="CZ42" s="106">
        <f t="shared" si="60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6"/>
        <v>0</v>
      </c>
      <c r="DL42" s="108">
        <f t="shared" si="86"/>
        <v>0</v>
      </c>
      <c r="DM42" s="111">
        <f t="shared" si="86"/>
        <v>0</v>
      </c>
      <c r="DN42" s="76">
        <f t="shared" si="89"/>
        <v>0</v>
      </c>
      <c r="DO42" s="76">
        <f t="shared" si="89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99"/>
        <v>0</v>
      </c>
      <c r="DX42" s="81">
        <f t="shared" si="29"/>
        <v>0</v>
      </c>
      <c r="DY42" s="80">
        <f t="shared" si="62"/>
        <v>0</v>
      </c>
      <c r="DZ42" s="82">
        <f t="shared" si="63"/>
        <v>0</v>
      </c>
      <c r="EA42" s="82">
        <f t="shared" si="64"/>
        <v>0</v>
      </c>
      <c r="EB42" s="82">
        <f t="shared" si="65"/>
        <v>0</v>
      </c>
      <c r="EC42" s="82">
        <f t="shared" si="100"/>
        <v>0</v>
      </c>
      <c r="EF42" s="83">
        <f t="shared" si="92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1"/>
        <v>IBC3604-5.5x3-H9A14</v>
      </c>
      <c r="H43" s="46" t="str">
        <f t="shared" si="32"/>
        <v>C3604IB5.50DH9</v>
      </c>
      <c r="I43" s="46" t="str">
        <f t="shared" si="33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4"/>
        <v>16</v>
      </c>
      <c r="T43" s="51">
        <f>'03.02'!BG43</f>
        <v>59</v>
      </c>
      <c r="U43" s="92">
        <v>21</v>
      </c>
      <c r="V43" s="100">
        <v>1.1000000000000001</v>
      </c>
      <c r="W43" s="93">
        <f t="shared" si="5"/>
        <v>0</v>
      </c>
      <c r="X43" s="93">
        <f t="shared" si="6"/>
        <v>8091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0</v>
      </c>
      <c r="AE43" s="93">
        <f t="shared" si="35"/>
        <v>8091</v>
      </c>
      <c r="AF43" s="54">
        <f>AE43+'03.02'!AF43</f>
        <v>24237</v>
      </c>
      <c r="AG43" s="94">
        <f t="shared" si="66"/>
        <v>59</v>
      </c>
      <c r="AH43" s="56">
        <f t="shared" si="13"/>
        <v>0</v>
      </c>
      <c r="AI43" s="93">
        <v>24</v>
      </c>
      <c r="AJ43" s="93">
        <f t="shared" si="67"/>
        <v>0</v>
      </c>
      <c r="AK43" s="95">
        <f t="shared" si="36"/>
        <v>1</v>
      </c>
      <c r="AL43" s="58">
        <f t="shared" si="37"/>
        <v>24</v>
      </c>
      <c r="AM43" s="55">
        <f t="shared" si="68"/>
        <v>56</v>
      </c>
      <c r="AN43" s="93"/>
      <c r="AO43" s="96"/>
      <c r="AP43" s="96">
        <f>$CJ43</f>
        <v>4355</v>
      </c>
      <c r="AQ43" s="96"/>
      <c r="AR43" s="96"/>
      <c r="AS43" s="96"/>
      <c r="AT43" s="96"/>
      <c r="AU43" s="96">
        <f>CK43</f>
        <v>0</v>
      </c>
      <c r="AV43" s="96">
        <f>CL43</f>
        <v>0</v>
      </c>
      <c r="AW43" s="96">
        <f>SUM(AO43:AV43)</f>
        <v>4355</v>
      </c>
      <c r="AX43" s="96">
        <f>IF(V43="","",INT(AW43/$V43))</f>
        <v>3959</v>
      </c>
      <c r="AY43" s="94">
        <f t="shared" si="69"/>
        <v>51.799999999999272</v>
      </c>
      <c r="AZ43" s="94">
        <f t="shared" si="41"/>
        <v>47.090909090908426</v>
      </c>
      <c r="BA43" s="94">
        <f t="shared" si="42"/>
        <v>56</v>
      </c>
      <c r="BB43" s="97">
        <f t="shared" si="43"/>
        <v>0</v>
      </c>
      <c r="BC43" s="93">
        <v>26</v>
      </c>
      <c r="BD43" s="93">
        <f t="shared" si="44"/>
        <v>0</v>
      </c>
      <c r="BE43" s="95">
        <f t="shared" si="45"/>
        <v>1</v>
      </c>
      <c r="BF43" s="58">
        <f t="shared" si="46"/>
        <v>26</v>
      </c>
      <c r="BG43" s="94">
        <f t="shared" si="47"/>
        <v>30</v>
      </c>
      <c r="BH43" s="89"/>
      <c r="BI43" s="89"/>
      <c r="BJ43" s="92">
        <f>$CN43</f>
        <v>4546</v>
      </c>
      <c r="BK43" s="89"/>
      <c r="BL43" s="89"/>
      <c r="BM43" s="92"/>
      <c r="BN43" s="89"/>
      <c r="BO43" s="92">
        <f t="shared" si="70"/>
        <v>0</v>
      </c>
      <c r="BP43" s="92">
        <f t="shared" si="70"/>
        <v>0</v>
      </c>
      <c r="BQ43" s="96">
        <f t="shared" si="48"/>
        <v>4546</v>
      </c>
      <c r="BR43" s="96">
        <f>IF(AA43="","",INT(BQ43/$V43))</f>
        <v>4132</v>
      </c>
      <c r="BS43" s="96">
        <f t="shared" si="71"/>
        <v>-115.80000000000018</v>
      </c>
      <c r="BT43" s="96">
        <f t="shared" si="50"/>
        <v>-105.27272727272742</v>
      </c>
      <c r="BU43" s="92">
        <f t="shared" si="16"/>
        <v>8091</v>
      </c>
      <c r="BV43" s="98">
        <f t="shared" si="17"/>
        <v>50</v>
      </c>
      <c r="BW43" s="92">
        <f t="shared" si="18"/>
        <v>-58.181818181818997</v>
      </c>
      <c r="BX43" s="98">
        <f t="shared" si="51"/>
        <v>30.2</v>
      </c>
      <c r="BY43" s="61">
        <f t="shared" si="73"/>
        <v>50</v>
      </c>
      <c r="BZ43" s="62">
        <f t="shared" si="52"/>
        <v>50</v>
      </c>
      <c r="CA43" s="98">
        <f t="shared" si="53"/>
        <v>8.9009999999999998</v>
      </c>
      <c r="CB43" s="92">
        <f t="shared" si="98"/>
        <v>8091</v>
      </c>
      <c r="CC43" s="92">
        <f t="shared" si="98"/>
        <v>-64.000000000000909</v>
      </c>
      <c r="CD43" s="92">
        <f t="shared" si="98"/>
        <v>-58.181818181818997</v>
      </c>
      <c r="CE43" s="99"/>
      <c r="CF43" s="99"/>
      <c r="CG43" s="51">
        <f t="shared" si="54"/>
        <v>21.298999999999999</v>
      </c>
      <c r="CH43" s="62">
        <f t="shared" si="55"/>
        <v>21.298999999999999</v>
      </c>
      <c r="CI43" s="89"/>
      <c r="CJ43" s="89">
        <v>4355</v>
      </c>
      <c r="CK43" s="89"/>
      <c r="CL43" s="96"/>
      <c r="CM43" s="89"/>
      <c r="CN43" s="89">
        <v>4546</v>
      </c>
      <c r="CO43" s="92"/>
      <c r="CP43" s="101"/>
      <c r="CQ43" s="102">
        <f t="shared" si="101"/>
        <v>3959</v>
      </c>
      <c r="CR43" s="102">
        <f t="shared" si="101"/>
        <v>0</v>
      </c>
      <c r="CS43" s="102">
        <f t="shared" si="101"/>
        <v>0</v>
      </c>
      <c r="CT43" s="92">
        <f t="shared" si="57"/>
        <v>4132</v>
      </c>
      <c r="CU43" s="92">
        <f t="shared" si="102"/>
        <v>0</v>
      </c>
      <c r="CV43" s="103">
        <f t="shared" si="102"/>
        <v>0</v>
      </c>
      <c r="CW43" s="104" t="s">
        <v>147</v>
      </c>
      <c r="CX43" s="105">
        <v>32</v>
      </c>
      <c r="CY43" s="106">
        <f t="shared" si="59"/>
        <v>1299</v>
      </c>
      <c r="CZ43" s="106">
        <f t="shared" si="60"/>
        <v>129.60000000000002</v>
      </c>
      <c r="DA43" s="106"/>
      <c r="DB43" s="106"/>
      <c r="DC43" s="105"/>
      <c r="DD43" s="107"/>
      <c r="DE43" s="92">
        <f t="shared" si="21"/>
        <v>3959</v>
      </c>
      <c r="DF43" s="108">
        <f t="shared" si="22"/>
        <v>24</v>
      </c>
      <c r="DG43" s="115">
        <f t="shared" si="23"/>
        <v>47.090909090908426</v>
      </c>
      <c r="DH43" s="110">
        <f t="shared" si="24"/>
        <v>4132</v>
      </c>
      <c r="DI43" s="108">
        <f t="shared" si="25"/>
        <v>26</v>
      </c>
      <c r="DJ43" s="112">
        <f t="shared" si="26"/>
        <v>-105.27272727272742</v>
      </c>
      <c r="DK43" s="110">
        <f t="shared" si="86"/>
        <v>8091</v>
      </c>
      <c r="DL43" s="108">
        <f t="shared" si="86"/>
        <v>50</v>
      </c>
      <c r="DM43" s="111">
        <f t="shared" si="86"/>
        <v>-58.181818181818997</v>
      </c>
      <c r="DN43" s="76">
        <f t="shared" si="89"/>
        <v>59</v>
      </c>
      <c r="DO43" s="76">
        <f t="shared" si="89"/>
        <v>21</v>
      </c>
      <c r="DP43" s="112"/>
      <c r="DQ43" s="112"/>
      <c r="DR43" s="113" t="s">
        <v>440</v>
      </c>
      <c r="DS43" s="112"/>
      <c r="DT43" s="112"/>
      <c r="DU43" s="111"/>
      <c r="DV43" s="114"/>
      <c r="DW43" s="80">
        <f t="shared" si="61"/>
        <v>8141</v>
      </c>
      <c r="DX43" s="81">
        <f t="shared" si="29"/>
        <v>8082.8181818181811</v>
      </c>
      <c r="DY43" s="80">
        <f t="shared" si="62"/>
        <v>8091</v>
      </c>
      <c r="DZ43" s="82">
        <f t="shared" si="63"/>
        <v>0</v>
      </c>
      <c r="EA43" s="82">
        <f t="shared" si="64"/>
        <v>8.9001000000000001</v>
      </c>
      <c r="EB43" s="82">
        <f t="shared" si="65"/>
        <v>21.299900000000001</v>
      </c>
      <c r="EC43" s="82">
        <f t="shared" si="75"/>
        <v>21.299900000000001</v>
      </c>
      <c r="EF43" s="83">
        <f t="shared" si="92"/>
        <v>-58.181818181818997</v>
      </c>
    </row>
    <row r="44" spans="1:136" ht="14.1" customHeight="1">
      <c r="A44" s="84">
        <v>37</v>
      </c>
      <c r="B44" s="147" t="s">
        <v>244</v>
      </c>
      <c r="C44" s="148"/>
      <c r="D44" s="116" t="s">
        <v>213</v>
      </c>
      <c r="E44" s="149">
        <v>189</v>
      </c>
      <c r="F44" s="89" t="s">
        <v>136</v>
      </c>
      <c r="G44" s="45" t="str">
        <f t="shared" si="31"/>
        <v>SSSUS304K-4x3-H9A10</v>
      </c>
      <c r="H44" s="46" t="str">
        <f t="shared" si="32"/>
        <v>SUS304KSS40DH9</v>
      </c>
      <c r="I44" s="46" t="str">
        <f t="shared" si="33"/>
        <v>SUS304KSS40DH93A10</v>
      </c>
      <c r="J44" s="90" t="s">
        <v>214</v>
      </c>
      <c r="K44" s="90" t="s">
        <v>215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246</v>
      </c>
      <c r="S44" s="89">
        <f t="shared" si="34"/>
        <v>34</v>
      </c>
      <c r="T44" s="51">
        <v>9</v>
      </c>
      <c r="U44" s="146">
        <v>16</v>
      </c>
      <c r="V44" s="100">
        <v>0.45</v>
      </c>
      <c r="W44" s="151">
        <f t="shared" si="5"/>
        <v>0</v>
      </c>
      <c r="X44" s="151">
        <f t="shared" si="6"/>
        <v>0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0</v>
      </c>
      <c r="AE44" s="151">
        <f>IF(V44="","",SUM(W44:AC44))</f>
        <v>0</v>
      </c>
      <c r="AF44" s="54">
        <f>AE44+'03.02'!AF44</f>
        <v>235</v>
      </c>
      <c r="AG44" s="94">
        <f t="shared" si="66"/>
        <v>9</v>
      </c>
      <c r="AH44" s="56">
        <f t="shared" si="13"/>
        <v>0</v>
      </c>
      <c r="AI44" s="151"/>
      <c r="AJ44" s="93">
        <f t="shared" si="67"/>
        <v>0</v>
      </c>
      <c r="AK44" s="95">
        <f t="shared" si="36"/>
        <v>1</v>
      </c>
      <c r="AL44" s="58">
        <f t="shared" si="37"/>
        <v>0</v>
      </c>
      <c r="AM44" s="55">
        <f t="shared" si="68"/>
        <v>25</v>
      </c>
      <c r="AN44" s="151"/>
      <c r="AO44" s="145"/>
      <c r="AP44" s="145">
        <f>$CJ44</f>
        <v>0</v>
      </c>
      <c r="AQ44" s="145"/>
      <c r="AR44" s="145"/>
      <c r="AS44" s="145"/>
      <c r="AT44" s="145"/>
      <c r="AU44" s="145">
        <f t="shared" si="38"/>
        <v>0</v>
      </c>
      <c r="AV44" s="145">
        <f t="shared" si="38"/>
        <v>0</v>
      </c>
      <c r="AW44" s="145">
        <f t="shared" si="39"/>
        <v>0</v>
      </c>
      <c r="AX44" s="145">
        <f t="shared" si="40"/>
        <v>0</v>
      </c>
      <c r="AY44" s="94">
        <f t="shared" si="69"/>
        <v>0</v>
      </c>
      <c r="AZ44" s="94">
        <f t="shared" si="41"/>
        <v>0</v>
      </c>
      <c r="BA44" s="94">
        <f t="shared" si="42"/>
        <v>25</v>
      </c>
      <c r="BB44" s="97">
        <f t="shared" si="43"/>
        <v>0</v>
      </c>
      <c r="BC44" s="151"/>
      <c r="BD44" s="93">
        <f t="shared" si="44"/>
        <v>0</v>
      </c>
      <c r="BE44" s="152">
        <f t="shared" si="45"/>
        <v>1</v>
      </c>
      <c r="BF44" s="58">
        <f t="shared" si="46"/>
        <v>0</v>
      </c>
      <c r="BG44" s="94">
        <f t="shared" si="47"/>
        <v>25</v>
      </c>
      <c r="BH44" s="150"/>
      <c r="BI44" s="150"/>
      <c r="BJ44" s="146">
        <f>$CN44</f>
        <v>0</v>
      </c>
      <c r="BK44" s="150"/>
      <c r="BL44" s="150"/>
      <c r="BM44" s="146"/>
      <c r="BN44" s="146"/>
      <c r="BO44" s="146">
        <f t="shared" si="70"/>
        <v>0</v>
      </c>
      <c r="BP44" s="146">
        <f t="shared" si="70"/>
        <v>0</v>
      </c>
      <c r="BQ44" s="145">
        <f>SUM(BI44:BP44)</f>
        <v>0</v>
      </c>
      <c r="BR44" s="145">
        <f>IF(AA44="","",INT(BQ44/$V44))</f>
        <v>0</v>
      </c>
      <c r="BS44" s="96">
        <f t="shared" si="71"/>
        <v>0</v>
      </c>
      <c r="BT44" s="145">
        <f t="shared" si="50"/>
        <v>0</v>
      </c>
      <c r="BU44" s="146">
        <f t="shared" si="16"/>
        <v>0</v>
      </c>
      <c r="BV44" s="98">
        <f t="shared" si="17"/>
        <v>0</v>
      </c>
      <c r="BW44" s="146">
        <f t="shared" si="18"/>
        <v>0</v>
      </c>
      <c r="BX44" s="153">
        <f t="shared" si="51"/>
        <v>0</v>
      </c>
      <c r="BY44" s="61">
        <f>IFERROR(BF44+AL44,0)</f>
        <v>0</v>
      </c>
      <c r="BZ44" s="62">
        <f t="shared" si="52"/>
        <v>0</v>
      </c>
      <c r="CA44" s="98">
        <f t="shared" si="53"/>
        <v>0</v>
      </c>
      <c r="CB44" s="146">
        <f t="shared" si="98"/>
        <v>0</v>
      </c>
      <c r="CC44" s="146">
        <f t="shared" si="98"/>
        <v>0</v>
      </c>
      <c r="CD44" s="146">
        <f t="shared" si="98"/>
        <v>0</v>
      </c>
      <c r="CE44" s="99"/>
      <c r="CF44" s="99"/>
      <c r="CG44" s="51">
        <f t="shared" si="54"/>
        <v>0</v>
      </c>
      <c r="CH44" s="62">
        <f t="shared" si="55"/>
        <v>0</v>
      </c>
      <c r="CI44" s="150"/>
      <c r="CJ44" s="150"/>
      <c r="CK44" s="150"/>
      <c r="CL44" s="145"/>
      <c r="CM44" s="150"/>
      <c r="CN44" s="150"/>
      <c r="CO44" s="146"/>
      <c r="CP44" s="154"/>
      <c r="CQ44" s="102">
        <f t="shared" si="101"/>
        <v>0</v>
      </c>
      <c r="CR44" s="102">
        <f t="shared" si="101"/>
        <v>0</v>
      </c>
      <c r="CS44" s="102">
        <f t="shared" si="101"/>
        <v>0</v>
      </c>
      <c r="CT44" s="92">
        <f t="shared" si="57"/>
        <v>0</v>
      </c>
      <c r="CU44" s="92">
        <f t="shared" si="102"/>
        <v>0</v>
      </c>
      <c r="CV44" s="103">
        <f t="shared" si="102"/>
        <v>0</v>
      </c>
      <c r="CW44" s="155" t="s">
        <v>147</v>
      </c>
      <c r="CX44" s="156">
        <v>12</v>
      </c>
      <c r="CY44" s="157">
        <f t="shared" si="59"/>
        <v>3300</v>
      </c>
      <c r="CZ44" s="157">
        <f t="shared" si="60"/>
        <v>48.6</v>
      </c>
      <c r="DA44" s="157"/>
      <c r="DB44" s="157"/>
      <c r="DC44" s="156"/>
      <c r="DD44" s="158"/>
      <c r="DE44" s="92">
        <f t="shared" si="21"/>
        <v>0</v>
      </c>
      <c r="DF44" s="108">
        <f t="shared" si="22"/>
        <v>0</v>
      </c>
      <c r="DG44" s="112">
        <f t="shared" si="23"/>
        <v>0</v>
      </c>
      <c r="DH44" s="110">
        <f t="shared" si="24"/>
        <v>0</v>
      </c>
      <c r="DI44" s="108">
        <f t="shared" si="25"/>
        <v>0</v>
      </c>
      <c r="DJ44" s="112">
        <f t="shared" si="26"/>
        <v>0</v>
      </c>
      <c r="DK44" s="110">
        <f t="shared" si="86"/>
        <v>0</v>
      </c>
      <c r="DL44" s="108">
        <f t="shared" si="86"/>
        <v>0</v>
      </c>
      <c r="DM44" s="111">
        <f t="shared" si="86"/>
        <v>0</v>
      </c>
      <c r="DN44" s="76">
        <f t="shared" si="89"/>
        <v>9</v>
      </c>
      <c r="DO44" s="76">
        <f t="shared" si="89"/>
        <v>16</v>
      </c>
      <c r="DP44" s="112"/>
      <c r="DQ44" s="112"/>
      <c r="DR44" s="113" t="s">
        <v>441</v>
      </c>
      <c r="DS44" s="112"/>
      <c r="DT44" s="112"/>
      <c r="DU44" s="111"/>
      <c r="DV44" s="114"/>
      <c r="DW44" s="80">
        <f>IFERROR(AL44+BF44,"")</f>
        <v>0</v>
      </c>
      <c r="DX44" s="159">
        <f t="shared" si="29"/>
        <v>0</v>
      </c>
      <c r="DY44" s="80">
        <f t="shared" si="62"/>
        <v>0</v>
      </c>
      <c r="DZ44" s="82">
        <f t="shared" si="63"/>
        <v>0</v>
      </c>
      <c r="EA44" s="82">
        <f t="shared" si="64"/>
        <v>0</v>
      </c>
      <c r="EB44" s="82">
        <f t="shared" si="65"/>
        <v>0</v>
      </c>
      <c r="EC44" s="82">
        <f t="shared" si="75"/>
        <v>0</v>
      </c>
      <c r="EF44" s="83">
        <f t="shared" si="92"/>
        <v>0</v>
      </c>
    </row>
    <row r="45" spans="1:136" ht="14.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1"/>
        <v>IBC3604-6.2x3-H9A14</v>
      </c>
      <c r="H45" s="46" t="str">
        <f t="shared" si="32"/>
        <v>C3604IB6.20DH9</v>
      </c>
      <c r="I45" s="46" t="str">
        <f t="shared" si="33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4"/>
        <v>54</v>
      </c>
      <c r="T45" s="51">
        <f>'03.02'!BG45</f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5"/>
        <v>0</v>
      </c>
      <c r="AF45" s="54">
        <f>AE45+'03.02'!AF45</f>
        <v>0</v>
      </c>
      <c r="AG45" s="94">
        <f t="shared" si="66"/>
        <v>0</v>
      </c>
      <c r="AH45" s="56">
        <f t="shared" si="13"/>
        <v>0</v>
      </c>
      <c r="AI45" s="93"/>
      <c r="AJ45" s="93">
        <f t="shared" si="67"/>
        <v>0</v>
      </c>
      <c r="AK45" s="95">
        <f t="shared" si="36"/>
        <v>1</v>
      </c>
      <c r="AL45" s="58">
        <f t="shared" si="37"/>
        <v>0</v>
      </c>
      <c r="AM45" s="55">
        <f t="shared" si="68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8"/>
        <v>0</v>
      </c>
      <c r="AV45" s="96">
        <f t="shared" si="38"/>
        <v>0</v>
      </c>
      <c r="AW45" s="96">
        <f t="shared" si="39"/>
        <v>0</v>
      </c>
      <c r="AX45" s="96">
        <f t="shared" si="40"/>
        <v>0</v>
      </c>
      <c r="AY45" s="94">
        <f t="shared" si="69"/>
        <v>0</v>
      </c>
      <c r="AZ45" s="94">
        <f t="shared" si="41"/>
        <v>0</v>
      </c>
      <c r="BA45" s="94">
        <f t="shared" si="42"/>
        <v>0</v>
      </c>
      <c r="BB45" s="97">
        <f t="shared" si="43"/>
        <v>0</v>
      </c>
      <c r="BC45" s="93"/>
      <c r="BD45" s="93">
        <f t="shared" si="44"/>
        <v>0</v>
      </c>
      <c r="BE45" s="95">
        <f t="shared" si="45"/>
        <v>1</v>
      </c>
      <c r="BF45" s="58">
        <f t="shared" si="46"/>
        <v>0</v>
      </c>
      <c r="BG45" s="94">
        <f t="shared" si="47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0"/>
        <v>0</v>
      </c>
      <c r="BP45" s="92">
        <f t="shared" si="70"/>
        <v>0</v>
      </c>
      <c r="BQ45" s="96">
        <f t="shared" si="48"/>
        <v>0</v>
      </c>
      <c r="BR45" s="96">
        <f t="shared" si="49"/>
        <v>0</v>
      </c>
      <c r="BS45" s="96">
        <f t="shared" si="71"/>
        <v>0</v>
      </c>
      <c r="BT45" s="96">
        <f t="shared" si="50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1"/>
        <v>0</v>
      </c>
      <c r="BY45" s="61">
        <f t="shared" si="73"/>
        <v>0</v>
      </c>
      <c r="BZ45" s="62">
        <f t="shared" si="52"/>
        <v>0</v>
      </c>
      <c r="CA45" s="98">
        <f t="shared" si="53"/>
        <v>0</v>
      </c>
      <c r="CB45" s="92">
        <f t="shared" si="98"/>
        <v>0</v>
      </c>
      <c r="CC45" s="92">
        <f t="shared" si="98"/>
        <v>0</v>
      </c>
      <c r="CD45" s="92">
        <f t="shared" si="98"/>
        <v>0</v>
      </c>
      <c r="CE45" s="99"/>
      <c r="CF45" s="99"/>
      <c r="CG45" s="51">
        <f t="shared" si="54"/>
        <v>0</v>
      </c>
      <c r="CH45" s="62">
        <f t="shared" si="55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101"/>
        <v>0</v>
      </c>
      <c r="CR45" s="102">
        <f t="shared" si="101"/>
        <v>0</v>
      </c>
      <c r="CS45" s="102">
        <f t="shared" si="101"/>
        <v>0</v>
      </c>
      <c r="CT45" s="92">
        <f t="shared" si="57"/>
        <v>0</v>
      </c>
      <c r="CU45" s="92">
        <f t="shared" si="102"/>
        <v>0</v>
      </c>
      <c r="CV45" s="103">
        <f t="shared" si="102"/>
        <v>0</v>
      </c>
      <c r="CW45" s="104" t="s">
        <v>147</v>
      </c>
      <c r="CX45" s="105">
        <v>15</v>
      </c>
      <c r="CY45" s="106">
        <f t="shared" si="59"/>
        <v>2496</v>
      </c>
      <c r="CZ45" s="106">
        <f t="shared" si="60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6"/>
        <v>0</v>
      </c>
      <c r="DL45" s="108">
        <f t="shared" si="86"/>
        <v>0</v>
      </c>
      <c r="DM45" s="111">
        <f t="shared" si="86"/>
        <v>0</v>
      </c>
      <c r="DN45" s="76">
        <f t="shared" si="89"/>
        <v>0</v>
      </c>
      <c r="DO45" s="76">
        <f t="shared" si="89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1"/>
        <v>0</v>
      </c>
      <c r="DX45" s="81">
        <f t="shared" si="29"/>
        <v>0</v>
      </c>
      <c r="DY45" s="80">
        <f t="shared" si="62"/>
        <v>0</v>
      </c>
      <c r="DZ45" s="82">
        <f t="shared" si="63"/>
        <v>0</v>
      </c>
      <c r="EA45" s="82">
        <f t="shared" si="64"/>
        <v>0</v>
      </c>
      <c r="EB45" s="82">
        <f t="shared" si="65"/>
        <v>0</v>
      </c>
      <c r="EC45" s="82">
        <f t="shared" si="75"/>
        <v>0</v>
      </c>
      <c r="EF45" s="83">
        <f t="shared" si="92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1"/>
        <v>TV12L14-4.76x2.5-H9B14</v>
      </c>
      <c r="H46" s="46" t="str">
        <f t="shared" si="32"/>
        <v>12L14TV4.760DH9</v>
      </c>
      <c r="I46" s="46" t="str">
        <f t="shared" si="33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4"/>
        <v>44</v>
      </c>
      <c r="T46" s="51">
        <f>'03.02'!BG46</f>
        <v>19</v>
      </c>
      <c r="U46" s="92">
        <v>41</v>
      </c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3230</v>
      </c>
      <c r="AB46" s="93">
        <f t="shared" si="10"/>
        <v>0</v>
      </c>
      <c r="AC46" s="93">
        <f t="shared" si="11"/>
        <v>0</v>
      </c>
      <c r="AD46" s="93">
        <f t="shared" si="12"/>
        <v>65</v>
      </c>
      <c r="AE46" s="93">
        <f t="shared" si="35"/>
        <v>3230</v>
      </c>
      <c r="AF46" s="54">
        <f>AE46+'03.02'!AF46</f>
        <v>12143</v>
      </c>
      <c r="AG46" s="94">
        <f t="shared" si="66"/>
        <v>19</v>
      </c>
      <c r="AH46" s="56">
        <f t="shared" si="13"/>
        <v>0</v>
      </c>
      <c r="AI46" s="93">
        <v>19</v>
      </c>
      <c r="AJ46" s="93">
        <f t="shared" si="67"/>
        <v>0</v>
      </c>
      <c r="AK46" s="95">
        <f t="shared" si="36"/>
        <v>1</v>
      </c>
      <c r="AL46" s="58">
        <f t="shared" si="37"/>
        <v>19</v>
      </c>
      <c r="AM46" s="55">
        <f t="shared" si="68"/>
        <v>41</v>
      </c>
      <c r="AN46" s="93"/>
      <c r="AO46" s="96"/>
      <c r="AP46" s="96"/>
      <c r="AQ46" s="96"/>
      <c r="AR46" s="96"/>
      <c r="AS46" s="96">
        <f>$CJ46</f>
        <v>3697</v>
      </c>
      <c r="AT46" s="96"/>
      <c r="AU46" s="96">
        <f t="shared" si="38"/>
        <v>0</v>
      </c>
      <c r="AV46" s="96">
        <f t="shared" si="38"/>
        <v>50</v>
      </c>
      <c r="AW46" s="96">
        <f t="shared" si="39"/>
        <v>3747</v>
      </c>
      <c r="AX46" s="96">
        <f t="shared" si="40"/>
        <v>1665</v>
      </c>
      <c r="AY46" s="94">
        <f t="shared" si="69"/>
        <v>-15</v>
      </c>
      <c r="AZ46" s="94">
        <f t="shared" si="41"/>
        <v>-6.666666666666667</v>
      </c>
      <c r="BA46" s="94">
        <f t="shared" si="42"/>
        <v>41</v>
      </c>
      <c r="BB46" s="97">
        <f t="shared" si="43"/>
        <v>0</v>
      </c>
      <c r="BC46" s="93">
        <v>19</v>
      </c>
      <c r="BD46" s="93">
        <f t="shared" si="44"/>
        <v>0</v>
      </c>
      <c r="BE46" s="95">
        <f t="shared" si="45"/>
        <v>1</v>
      </c>
      <c r="BF46" s="58">
        <f t="shared" si="46"/>
        <v>19</v>
      </c>
      <c r="BG46" s="94">
        <f t="shared" si="47"/>
        <v>22</v>
      </c>
      <c r="BH46" s="89"/>
      <c r="BI46" s="89"/>
      <c r="BJ46" s="89"/>
      <c r="BK46" s="89"/>
      <c r="BL46" s="89"/>
      <c r="BM46" s="92">
        <f>$CN46</f>
        <v>3571</v>
      </c>
      <c r="BN46" s="89"/>
      <c r="BO46" s="92">
        <f t="shared" si="70"/>
        <v>0</v>
      </c>
      <c r="BP46" s="92">
        <f t="shared" si="70"/>
        <v>97</v>
      </c>
      <c r="BQ46" s="96">
        <f t="shared" si="48"/>
        <v>3668</v>
      </c>
      <c r="BR46" s="96">
        <f t="shared" si="49"/>
        <v>1630</v>
      </c>
      <c r="BS46" s="96">
        <f t="shared" si="71"/>
        <v>-94</v>
      </c>
      <c r="BT46" s="96">
        <f t="shared" si="50"/>
        <v>-41.777777777777779</v>
      </c>
      <c r="BU46" s="92">
        <f t="shared" si="16"/>
        <v>3230</v>
      </c>
      <c r="BV46" s="98">
        <f t="shared" si="17"/>
        <v>38</v>
      </c>
      <c r="BW46" s="92">
        <f t="shared" si="18"/>
        <v>-48.444444444444443</v>
      </c>
      <c r="BX46" s="98">
        <f t="shared" si="51"/>
        <v>13.186</v>
      </c>
      <c r="BY46" s="61">
        <f t="shared" si="73"/>
        <v>38</v>
      </c>
      <c r="BZ46" s="62">
        <f t="shared" si="52"/>
        <v>38</v>
      </c>
      <c r="CA46" s="98">
        <f t="shared" si="53"/>
        <v>7.415</v>
      </c>
      <c r="CB46" s="92">
        <f t="shared" si="98"/>
        <v>3295</v>
      </c>
      <c r="CC46" s="92">
        <f t="shared" si="98"/>
        <v>-109</v>
      </c>
      <c r="CD46" s="92">
        <f t="shared" si="98"/>
        <v>-48.444444444444443</v>
      </c>
      <c r="CE46" s="99"/>
      <c r="CF46" s="99"/>
      <c r="CG46" s="51">
        <f t="shared" si="54"/>
        <v>5.9180000000000001</v>
      </c>
      <c r="CH46" s="62">
        <f t="shared" si="55"/>
        <v>5.9180000000000001</v>
      </c>
      <c r="CI46" s="89"/>
      <c r="CJ46" s="89">
        <v>3697</v>
      </c>
      <c r="CK46" s="89"/>
      <c r="CL46" s="96">
        <v>50</v>
      </c>
      <c r="CM46" s="89"/>
      <c r="CN46" s="89">
        <v>3571</v>
      </c>
      <c r="CO46" s="92"/>
      <c r="CP46" s="101">
        <v>97</v>
      </c>
      <c r="CQ46" s="102">
        <f t="shared" si="101"/>
        <v>1643</v>
      </c>
      <c r="CR46" s="102">
        <f t="shared" si="101"/>
        <v>0</v>
      </c>
      <c r="CS46" s="102">
        <f t="shared" si="101"/>
        <v>22</v>
      </c>
      <c r="CT46" s="92">
        <f t="shared" si="57"/>
        <v>1587</v>
      </c>
      <c r="CU46" s="92">
        <f t="shared" si="102"/>
        <v>0</v>
      </c>
      <c r="CV46" s="103">
        <f t="shared" si="102"/>
        <v>43</v>
      </c>
      <c r="CW46" s="104" t="s">
        <v>147</v>
      </c>
      <c r="CX46" s="105">
        <v>20</v>
      </c>
      <c r="CY46" s="106">
        <f t="shared" si="59"/>
        <v>1935</v>
      </c>
      <c r="CZ46" s="106">
        <f t="shared" si="60"/>
        <v>81</v>
      </c>
      <c r="DA46" s="106"/>
      <c r="DB46" s="106"/>
      <c r="DC46" s="105"/>
      <c r="DD46" s="107"/>
      <c r="DE46" s="92">
        <f t="shared" si="21"/>
        <v>1643</v>
      </c>
      <c r="DF46" s="108">
        <f t="shared" si="22"/>
        <v>19</v>
      </c>
      <c r="DG46" s="112">
        <f t="shared" si="23"/>
        <v>-6.666666666666667</v>
      </c>
      <c r="DH46" s="110">
        <f t="shared" si="24"/>
        <v>1587</v>
      </c>
      <c r="DI46" s="108">
        <f t="shared" si="25"/>
        <v>19</v>
      </c>
      <c r="DJ46" s="112">
        <f t="shared" si="26"/>
        <v>-41.777777777777779</v>
      </c>
      <c r="DK46" s="110">
        <f t="shared" si="86"/>
        <v>3230</v>
      </c>
      <c r="DL46" s="108">
        <f t="shared" si="86"/>
        <v>38</v>
      </c>
      <c r="DM46" s="111">
        <f t="shared" si="86"/>
        <v>-48.444444444444443</v>
      </c>
      <c r="DN46" s="76">
        <f t="shared" si="89"/>
        <v>19</v>
      </c>
      <c r="DO46" s="76">
        <f t="shared" si="89"/>
        <v>41</v>
      </c>
      <c r="DP46" s="112"/>
      <c r="DQ46" s="112"/>
      <c r="DR46" s="113" t="s">
        <v>442</v>
      </c>
      <c r="DS46" s="112"/>
      <c r="DT46" s="112"/>
      <c r="DU46" s="111"/>
      <c r="DV46" s="114"/>
      <c r="DW46" s="80">
        <f>IFERROR(AL46+BF46,"")</f>
        <v>38</v>
      </c>
      <c r="DX46" s="81">
        <f t="shared" si="29"/>
        <v>3219.5555555555557</v>
      </c>
      <c r="DY46" s="80">
        <f t="shared" si="62"/>
        <v>3295</v>
      </c>
      <c r="DZ46" s="82">
        <f t="shared" si="63"/>
        <v>0.14624999999999999</v>
      </c>
      <c r="EA46" s="82">
        <f t="shared" si="64"/>
        <v>7.2675000000000001</v>
      </c>
      <c r="EB46" s="82">
        <f t="shared" si="65"/>
        <v>5.9184999999999999</v>
      </c>
      <c r="EC46" s="82">
        <f t="shared" si="75"/>
        <v>6.0647500000000001</v>
      </c>
      <c r="EF46" s="83">
        <f t="shared" si="92"/>
        <v>-48.444444444444443</v>
      </c>
    </row>
    <row r="47" spans="1:136" ht="14.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1"/>
        <v>MESUS303-2.5x3-H9B14</v>
      </c>
      <c r="H47" s="46" t="str">
        <f t="shared" si="32"/>
        <v>SUS303ME2.50DH9</v>
      </c>
      <c r="I47" s="46" t="str">
        <f t="shared" si="33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4"/>
        <v>62</v>
      </c>
      <c r="T47" s="51">
        <f>'03.02'!BG47</f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5"/>
        <v>0</v>
      </c>
      <c r="AF47" s="54">
        <f>AE47+'03.02'!AF47</f>
        <v>0</v>
      </c>
      <c r="AG47" s="94">
        <f t="shared" si="66"/>
        <v>0</v>
      </c>
      <c r="AH47" s="56">
        <f t="shared" si="13"/>
        <v>0</v>
      </c>
      <c r="AI47" s="93"/>
      <c r="AJ47" s="93">
        <f t="shared" si="67"/>
        <v>0</v>
      </c>
      <c r="AK47" s="95">
        <f t="shared" si="36"/>
        <v>1</v>
      </c>
      <c r="AL47" s="58">
        <f t="shared" si="37"/>
        <v>0</v>
      </c>
      <c r="AM47" s="55">
        <f t="shared" si="68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8"/>
        <v>0</v>
      </c>
      <c r="AV47" s="96">
        <f t="shared" si="38"/>
        <v>0</v>
      </c>
      <c r="AW47" s="96">
        <f t="shared" si="39"/>
        <v>0</v>
      </c>
      <c r="AX47" s="96">
        <f t="shared" si="40"/>
        <v>0</v>
      </c>
      <c r="AY47" s="94">
        <f t="shared" si="69"/>
        <v>0</v>
      </c>
      <c r="AZ47" s="94">
        <f t="shared" si="41"/>
        <v>0</v>
      </c>
      <c r="BA47" s="94">
        <f t="shared" si="42"/>
        <v>0</v>
      </c>
      <c r="BB47" s="97">
        <f t="shared" si="43"/>
        <v>0</v>
      </c>
      <c r="BC47" s="93"/>
      <c r="BD47" s="93">
        <f t="shared" si="44"/>
        <v>0</v>
      </c>
      <c r="BE47" s="95">
        <f t="shared" si="45"/>
        <v>1</v>
      </c>
      <c r="BF47" s="58">
        <f t="shared" si="46"/>
        <v>0</v>
      </c>
      <c r="BG47" s="94">
        <f t="shared" si="47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0"/>
        <v>0</v>
      </c>
      <c r="BP47" s="92">
        <f t="shared" si="70"/>
        <v>0</v>
      </c>
      <c r="BQ47" s="96">
        <f t="shared" si="48"/>
        <v>0</v>
      </c>
      <c r="BR47" s="96">
        <f t="shared" si="49"/>
        <v>0</v>
      </c>
      <c r="BS47" s="96">
        <f t="shared" si="71"/>
        <v>0</v>
      </c>
      <c r="BT47" s="96">
        <f t="shared" si="50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1"/>
        <v>0</v>
      </c>
      <c r="BY47" s="61">
        <f t="shared" si="73"/>
        <v>0</v>
      </c>
      <c r="BZ47" s="62">
        <f t="shared" si="52"/>
        <v>0</v>
      </c>
      <c r="CA47" s="98">
        <f t="shared" si="53"/>
        <v>0</v>
      </c>
      <c r="CB47" s="92">
        <f t="shared" si="98"/>
        <v>0</v>
      </c>
      <c r="CC47" s="92">
        <f t="shared" si="98"/>
        <v>0</v>
      </c>
      <c r="CD47" s="92">
        <f t="shared" si="98"/>
        <v>0</v>
      </c>
      <c r="CE47" s="99"/>
      <c r="CF47" s="99"/>
      <c r="CG47" s="51">
        <f t="shared" si="54"/>
        <v>0</v>
      </c>
      <c r="CH47" s="62">
        <f t="shared" si="55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101"/>
        <v>0</v>
      </c>
      <c r="CR47" s="102">
        <f t="shared" si="101"/>
        <v>0</v>
      </c>
      <c r="CS47" s="102">
        <f t="shared" si="101"/>
        <v>0</v>
      </c>
      <c r="CT47" s="92">
        <f t="shared" si="57"/>
        <v>0</v>
      </c>
      <c r="CU47" s="92">
        <f t="shared" si="102"/>
        <v>0</v>
      </c>
      <c r="CV47" s="103">
        <f t="shared" si="102"/>
        <v>0</v>
      </c>
      <c r="CW47" s="104" t="s">
        <v>147</v>
      </c>
      <c r="CX47" s="105">
        <v>17</v>
      </c>
      <c r="CY47" s="106">
        <f t="shared" si="59"/>
        <v>2149</v>
      </c>
      <c r="CZ47" s="106">
        <f t="shared" si="60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6"/>
        <v>0</v>
      </c>
      <c r="DL47" s="108">
        <f t="shared" si="86"/>
        <v>0</v>
      </c>
      <c r="DM47" s="111">
        <f t="shared" si="86"/>
        <v>0</v>
      </c>
      <c r="DN47" s="76">
        <f t="shared" si="89"/>
        <v>0</v>
      </c>
      <c r="DO47" s="76">
        <f t="shared" si="89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1"/>
        <v>0</v>
      </c>
      <c r="DX47" s="81">
        <f t="shared" si="29"/>
        <v>0</v>
      </c>
      <c r="DY47" s="80">
        <f t="shared" si="62"/>
        <v>0</v>
      </c>
      <c r="DZ47" s="82">
        <f t="shared" si="63"/>
        <v>0</v>
      </c>
      <c r="EA47" s="82">
        <f t="shared" si="64"/>
        <v>0</v>
      </c>
      <c r="EB47" s="82">
        <f t="shared" si="65"/>
        <v>0</v>
      </c>
      <c r="EC47" s="82">
        <f t="shared" si="75"/>
        <v>0</v>
      </c>
      <c r="EF47" s="83">
        <f t="shared" si="92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1"/>
        <v>TV12L14-3.975x2.5-H7A12</v>
      </c>
      <c r="H48" s="46" t="str">
        <f t="shared" si="32"/>
        <v>12L14TV3.9750DH7</v>
      </c>
      <c r="I48" s="46" t="str">
        <f t="shared" si="33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4"/>
        <v>16</v>
      </c>
      <c r="T48" s="51">
        <f>'03.02'!BG48</f>
        <v>24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5"/>
        <v>0</v>
      </c>
      <c r="AF48" s="54">
        <f>AE48+'03.02'!AF48</f>
        <v>0</v>
      </c>
      <c r="AG48" s="94">
        <f t="shared" si="66"/>
        <v>24</v>
      </c>
      <c r="AH48" s="56">
        <f t="shared" si="13"/>
        <v>0</v>
      </c>
      <c r="AI48" s="93"/>
      <c r="AJ48" s="93">
        <f t="shared" si="67"/>
        <v>0</v>
      </c>
      <c r="AK48" s="95">
        <f t="shared" si="36"/>
        <v>1</v>
      </c>
      <c r="AL48" s="58">
        <f t="shared" si="37"/>
        <v>0</v>
      </c>
      <c r="AM48" s="55">
        <f t="shared" si="68"/>
        <v>24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8"/>
        <v>0</v>
      </c>
      <c r="AV48" s="96">
        <f t="shared" si="38"/>
        <v>0</v>
      </c>
      <c r="AW48" s="96">
        <f t="shared" si="39"/>
        <v>0</v>
      </c>
      <c r="AX48" s="96">
        <f t="shared" si="40"/>
        <v>0</v>
      </c>
      <c r="AY48" s="94">
        <f t="shared" si="69"/>
        <v>0</v>
      </c>
      <c r="AZ48" s="94">
        <f t="shared" si="41"/>
        <v>0</v>
      </c>
      <c r="BA48" s="94">
        <f t="shared" si="42"/>
        <v>24</v>
      </c>
      <c r="BB48" s="97">
        <f t="shared" si="43"/>
        <v>0</v>
      </c>
      <c r="BC48" s="93"/>
      <c r="BD48" s="93">
        <f t="shared" si="44"/>
        <v>0</v>
      </c>
      <c r="BE48" s="95">
        <f t="shared" si="45"/>
        <v>1</v>
      </c>
      <c r="BF48" s="58">
        <f t="shared" si="46"/>
        <v>0</v>
      </c>
      <c r="BG48" s="94">
        <f t="shared" si="47"/>
        <v>24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0"/>
        <v>0</v>
      </c>
      <c r="BP48" s="92">
        <f t="shared" si="70"/>
        <v>0</v>
      </c>
      <c r="BQ48" s="96">
        <f t="shared" si="48"/>
        <v>0</v>
      </c>
      <c r="BR48" s="96">
        <f t="shared" si="49"/>
        <v>0</v>
      </c>
      <c r="BS48" s="96">
        <f t="shared" si="71"/>
        <v>0</v>
      </c>
      <c r="BT48" s="96">
        <f t="shared" si="50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1"/>
        <v>0</v>
      </c>
      <c r="BY48" s="61">
        <f t="shared" si="73"/>
        <v>0</v>
      </c>
      <c r="BZ48" s="62">
        <f t="shared" si="52"/>
        <v>0</v>
      </c>
      <c r="CA48" s="98">
        <f t="shared" si="53"/>
        <v>0</v>
      </c>
      <c r="CB48" s="92">
        <f t="shared" si="98"/>
        <v>0</v>
      </c>
      <c r="CC48" s="92">
        <f t="shared" si="98"/>
        <v>0</v>
      </c>
      <c r="CD48" s="92">
        <f t="shared" si="98"/>
        <v>0</v>
      </c>
      <c r="CE48" s="99"/>
      <c r="CF48" s="99"/>
      <c r="CG48" s="51">
        <f t="shared" si="54"/>
        <v>0</v>
      </c>
      <c r="CH48" s="62">
        <f t="shared" si="55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101"/>
        <v>0</v>
      </c>
      <c r="CR48" s="102">
        <f t="shared" si="101"/>
        <v>0</v>
      </c>
      <c r="CS48" s="102">
        <f t="shared" si="101"/>
        <v>0</v>
      </c>
      <c r="CT48" s="92">
        <f t="shared" si="57"/>
        <v>0</v>
      </c>
      <c r="CU48" s="92">
        <f t="shared" si="102"/>
        <v>0</v>
      </c>
      <c r="CV48" s="103">
        <f t="shared" si="102"/>
        <v>0</v>
      </c>
      <c r="CW48" s="104" t="s">
        <v>147</v>
      </c>
      <c r="CX48" s="105">
        <v>21</v>
      </c>
      <c r="CY48" s="106">
        <f t="shared" si="59"/>
        <v>1988</v>
      </c>
      <c r="CZ48" s="106">
        <f t="shared" si="60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6"/>
        <v>0</v>
      </c>
      <c r="DL48" s="108">
        <f t="shared" si="86"/>
        <v>0</v>
      </c>
      <c r="DM48" s="111">
        <f t="shared" si="86"/>
        <v>0</v>
      </c>
      <c r="DN48" s="76">
        <f t="shared" si="89"/>
        <v>24</v>
      </c>
      <c r="DO48" s="76">
        <f t="shared" si="89"/>
        <v>0</v>
      </c>
      <c r="DP48" s="112"/>
      <c r="DQ48" s="112"/>
      <c r="DR48" s="113" t="s">
        <v>443</v>
      </c>
      <c r="DS48" s="112"/>
      <c r="DT48" s="112"/>
      <c r="DU48" s="111"/>
      <c r="DV48" s="114"/>
      <c r="DW48" s="80">
        <f t="shared" si="61"/>
        <v>0</v>
      </c>
      <c r="DX48" s="81">
        <f t="shared" si="29"/>
        <v>0</v>
      </c>
      <c r="DY48" s="80">
        <f t="shared" si="62"/>
        <v>0</v>
      </c>
      <c r="DZ48" s="82">
        <f t="shared" si="63"/>
        <v>0</v>
      </c>
      <c r="EA48" s="82">
        <f t="shared" si="64"/>
        <v>0</v>
      </c>
      <c r="EB48" s="82">
        <f t="shared" si="65"/>
        <v>0</v>
      </c>
      <c r="EC48" s="82">
        <f t="shared" si="75"/>
        <v>0</v>
      </c>
      <c r="EF48" s="83">
        <f t="shared" si="92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1"/>
        <v>GAA5052-5.7x3-H9A14</v>
      </c>
      <c r="H49" s="46" t="str">
        <f t="shared" si="32"/>
        <v>A5052GA5.70DH9</v>
      </c>
      <c r="I49" s="46" t="str">
        <f t="shared" si="33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4"/>
        <v>14</v>
      </c>
      <c r="T49" s="51">
        <f>'03.02'!BG49</f>
        <v>6.38</v>
      </c>
      <c r="U49" s="92">
        <v>15</v>
      </c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2000</v>
      </c>
      <c r="AC49" s="93">
        <f t="shared" si="11"/>
        <v>0</v>
      </c>
      <c r="AD49" s="93">
        <f t="shared" si="12"/>
        <v>166</v>
      </c>
      <c r="AE49" s="93">
        <f t="shared" si="35"/>
        <v>2000</v>
      </c>
      <c r="AF49" s="54">
        <f>AE49+'03.02'!AF49</f>
        <v>8192</v>
      </c>
      <c r="AG49" s="94">
        <f t="shared" si="66"/>
        <v>6.38</v>
      </c>
      <c r="AH49" s="56">
        <f t="shared" si="13"/>
        <v>0.38</v>
      </c>
      <c r="AI49" s="93">
        <v>3</v>
      </c>
      <c r="AJ49" s="93">
        <f t="shared" si="67"/>
        <v>0</v>
      </c>
      <c r="AK49" s="95">
        <f t="shared" si="36"/>
        <v>1</v>
      </c>
      <c r="AL49" s="58">
        <f t="shared" si="37"/>
        <v>3.38</v>
      </c>
      <c r="AM49" s="55">
        <f t="shared" si="68"/>
        <v>18</v>
      </c>
      <c r="AN49" s="93"/>
      <c r="AO49" s="96"/>
      <c r="AP49" s="96"/>
      <c r="AQ49" s="96"/>
      <c r="AR49" s="96"/>
      <c r="AS49" s="96"/>
      <c r="AT49" s="96">
        <f>$CJ49</f>
        <v>100</v>
      </c>
      <c r="AU49" s="96">
        <f t="shared" si="38"/>
        <v>0</v>
      </c>
      <c r="AV49" s="96">
        <f t="shared" si="38"/>
        <v>20</v>
      </c>
      <c r="AW49" s="96">
        <f t="shared" si="39"/>
        <v>120</v>
      </c>
      <c r="AX49" s="96">
        <f t="shared" si="40"/>
        <v>800</v>
      </c>
      <c r="AY49" s="94">
        <f t="shared" si="69"/>
        <v>-1.6799999999999784</v>
      </c>
      <c r="AZ49" s="94">
        <f t="shared" si="41"/>
        <v>-11.199999999999857</v>
      </c>
      <c r="BA49" s="94">
        <f t="shared" si="42"/>
        <v>18</v>
      </c>
      <c r="BB49" s="97">
        <f t="shared" si="43"/>
        <v>0</v>
      </c>
      <c r="BC49" s="93">
        <v>6</v>
      </c>
      <c r="BD49" s="93">
        <f t="shared" si="44"/>
        <v>0</v>
      </c>
      <c r="BE49" s="95">
        <f t="shared" si="45"/>
        <v>1</v>
      </c>
      <c r="BF49" s="58">
        <f t="shared" si="46"/>
        <v>6</v>
      </c>
      <c r="BG49" s="94">
        <f t="shared" si="47"/>
        <v>12</v>
      </c>
      <c r="BH49" s="89"/>
      <c r="BI49" s="89"/>
      <c r="BJ49" s="89"/>
      <c r="BK49" s="89"/>
      <c r="BL49" s="89"/>
      <c r="BM49" s="89"/>
      <c r="BN49" s="146">
        <f>$CN49</f>
        <v>200</v>
      </c>
      <c r="BO49" s="92">
        <f t="shared" si="70"/>
        <v>0</v>
      </c>
      <c r="BP49" s="92">
        <f t="shared" si="70"/>
        <v>5</v>
      </c>
      <c r="BQ49" s="96">
        <f t="shared" si="48"/>
        <v>205</v>
      </c>
      <c r="BR49" s="96">
        <f t="shared" si="49"/>
        <v>1366</v>
      </c>
      <c r="BS49" s="96">
        <f t="shared" si="71"/>
        <v>-11</v>
      </c>
      <c r="BT49" s="96">
        <f t="shared" si="50"/>
        <v>-73.333333333333343</v>
      </c>
      <c r="BU49" s="92">
        <f t="shared" si="16"/>
        <v>2000</v>
      </c>
      <c r="BV49" s="98">
        <f t="shared" si="17"/>
        <v>9.379999999999999</v>
      </c>
      <c r="BW49" s="92">
        <f t="shared" si="18"/>
        <v>-84.533333333333204</v>
      </c>
      <c r="BX49" s="98">
        <f t="shared" si="51"/>
        <v>1.9135199999999997</v>
      </c>
      <c r="BY49" s="61">
        <f t="shared" si="73"/>
        <v>9.379999999999999</v>
      </c>
      <c r="BZ49" s="62">
        <f t="shared" si="52"/>
        <v>9.379999999999999</v>
      </c>
      <c r="CA49" s="98">
        <f t="shared" si="53"/>
        <v>0.32500000000000001</v>
      </c>
      <c r="CB49" s="92">
        <f t="shared" si="98"/>
        <v>2166</v>
      </c>
      <c r="CC49" s="92">
        <f t="shared" si="98"/>
        <v>-12.679999999999978</v>
      </c>
      <c r="CD49" s="92">
        <f t="shared" si="98"/>
        <v>-84.533333333333204</v>
      </c>
      <c r="CE49" s="99"/>
      <c r="CF49" s="99"/>
      <c r="CG49" s="51">
        <f t="shared" si="54"/>
        <v>1.6135199999999996</v>
      </c>
      <c r="CH49" s="62">
        <f t="shared" si="55"/>
        <v>1.6135199999999996</v>
      </c>
      <c r="CI49" s="89"/>
      <c r="CJ49" s="89">
        <v>100</v>
      </c>
      <c r="CK49" s="89"/>
      <c r="CL49" s="96">
        <v>20</v>
      </c>
      <c r="CM49" s="89"/>
      <c r="CN49" s="89">
        <v>200</v>
      </c>
      <c r="CO49" s="92"/>
      <c r="CP49" s="101">
        <v>5</v>
      </c>
      <c r="CQ49" s="102">
        <f t="shared" si="101"/>
        <v>666</v>
      </c>
      <c r="CR49" s="102">
        <f t="shared" si="101"/>
        <v>0</v>
      </c>
      <c r="CS49" s="102">
        <f t="shared" si="101"/>
        <v>133</v>
      </c>
      <c r="CT49" s="92">
        <f t="shared" si="57"/>
        <v>1334</v>
      </c>
      <c r="CU49" s="92">
        <f t="shared" si="102"/>
        <v>0</v>
      </c>
      <c r="CV49" s="103">
        <f t="shared" si="102"/>
        <v>33</v>
      </c>
      <c r="CW49" s="104" t="s">
        <v>147</v>
      </c>
      <c r="CX49" s="105">
        <v>26</v>
      </c>
      <c r="CY49" s="106">
        <f t="shared" si="59"/>
        <v>1613</v>
      </c>
      <c r="CZ49" s="106">
        <f t="shared" si="60"/>
        <v>105.30000000000001</v>
      </c>
      <c r="DA49" s="106"/>
      <c r="DB49" s="106"/>
      <c r="DC49" s="105"/>
      <c r="DD49" s="107"/>
      <c r="DE49" s="92">
        <f t="shared" si="21"/>
        <v>666</v>
      </c>
      <c r="DF49" s="108">
        <f t="shared" si="22"/>
        <v>3.38</v>
      </c>
      <c r="DG49" s="112">
        <f t="shared" si="23"/>
        <v>-11.199999999999857</v>
      </c>
      <c r="DH49" s="110">
        <f t="shared" si="24"/>
        <v>1334</v>
      </c>
      <c r="DI49" s="108">
        <f t="shared" si="25"/>
        <v>6</v>
      </c>
      <c r="DJ49" s="112">
        <f t="shared" si="26"/>
        <v>-73.333333333333343</v>
      </c>
      <c r="DK49" s="110">
        <f t="shared" si="86"/>
        <v>2000</v>
      </c>
      <c r="DL49" s="108">
        <f t="shared" si="86"/>
        <v>9.379999999999999</v>
      </c>
      <c r="DM49" s="111">
        <f t="shared" si="86"/>
        <v>-84.533333333333204</v>
      </c>
      <c r="DN49" s="76">
        <v>7</v>
      </c>
      <c r="DO49" s="76">
        <f t="shared" si="89"/>
        <v>15</v>
      </c>
      <c r="DP49" s="112"/>
      <c r="DQ49" s="112"/>
      <c r="DR49" s="113" t="s">
        <v>444</v>
      </c>
      <c r="DS49" s="112"/>
      <c r="DT49" s="112"/>
      <c r="DU49" s="111"/>
      <c r="DV49" s="114"/>
      <c r="DW49" s="80">
        <f t="shared" si="61"/>
        <v>2009.38</v>
      </c>
      <c r="DX49" s="81">
        <f t="shared" si="29"/>
        <v>1924.8466666666668</v>
      </c>
      <c r="DY49" s="80">
        <f t="shared" si="62"/>
        <v>2166</v>
      </c>
      <c r="DZ49" s="82">
        <f t="shared" si="63"/>
        <v>2.4899999999999999E-2</v>
      </c>
      <c r="EA49" s="82">
        <f t="shared" si="64"/>
        <v>0.3</v>
      </c>
      <c r="EB49" s="82">
        <f t="shared" si="65"/>
        <v>1.6135199999999996</v>
      </c>
      <c r="EC49" s="82">
        <f t="shared" si="75"/>
        <v>1.6384199999999995</v>
      </c>
      <c r="EF49" s="83">
        <f t="shared" si="92"/>
        <v>-84.533333333333204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1"/>
        <v>MESUS303CU-3.5x3-H9B14</v>
      </c>
      <c r="H50" s="46" t="str">
        <f t="shared" si="32"/>
        <v>SUS303CUME3.50DH9</v>
      </c>
      <c r="I50" s="46" t="str">
        <f t="shared" si="33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4"/>
        <v>8</v>
      </c>
      <c r="T50" s="51">
        <f>'03.02'!BG50</f>
        <v>20</v>
      </c>
      <c r="U50" s="92"/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3331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5"/>
        <v>3331</v>
      </c>
      <c r="AF50" s="54">
        <f>AE50+'03.02'!AF50</f>
        <v>11122</v>
      </c>
      <c r="AG50" s="94">
        <f t="shared" si="66"/>
        <v>20</v>
      </c>
      <c r="AH50" s="56">
        <f t="shared" si="13"/>
        <v>0</v>
      </c>
      <c r="AI50" s="93">
        <v>2</v>
      </c>
      <c r="AJ50" s="93">
        <f t="shared" si="67"/>
        <v>36</v>
      </c>
      <c r="AK50" s="95">
        <f t="shared" si="36"/>
        <v>0.44171779141104295</v>
      </c>
      <c r="AL50" s="58">
        <f t="shared" si="37"/>
        <v>1.45</v>
      </c>
      <c r="AM50" s="55">
        <f t="shared" si="68"/>
        <v>18.55</v>
      </c>
      <c r="AN50" s="93"/>
      <c r="AO50" s="96"/>
      <c r="AP50" s="96"/>
      <c r="AQ50" s="96"/>
      <c r="AR50" s="96">
        <f>$CJ50</f>
        <v>107</v>
      </c>
      <c r="AS50" s="96"/>
      <c r="AT50" s="96"/>
      <c r="AU50" s="96">
        <f t="shared" si="38"/>
        <v>0</v>
      </c>
      <c r="AV50" s="96">
        <f t="shared" si="38"/>
        <v>0</v>
      </c>
      <c r="AW50" s="96">
        <f t="shared" si="39"/>
        <v>107</v>
      </c>
      <c r="AX50" s="96">
        <f t="shared" si="40"/>
        <v>656</v>
      </c>
      <c r="AY50" s="94">
        <f t="shared" si="69"/>
        <v>-11.175000000000011</v>
      </c>
      <c r="AZ50" s="94">
        <f t="shared" si="41"/>
        <v>-68.55828220858902</v>
      </c>
      <c r="BA50" s="94">
        <f t="shared" si="42"/>
        <v>18.55</v>
      </c>
      <c r="BB50" s="97">
        <f t="shared" si="43"/>
        <v>0.55000000000000004</v>
      </c>
      <c r="BC50" s="93">
        <v>5</v>
      </c>
      <c r="BD50" s="93">
        <f t="shared" si="44"/>
        <v>0</v>
      </c>
      <c r="BE50" s="95">
        <f t="shared" si="45"/>
        <v>1</v>
      </c>
      <c r="BF50" s="58">
        <f t="shared" si="46"/>
        <v>5.55</v>
      </c>
      <c r="BG50" s="94">
        <f t="shared" si="47"/>
        <v>13</v>
      </c>
      <c r="BH50" s="89"/>
      <c r="BI50" s="89"/>
      <c r="BJ50" s="89"/>
      <c r="BK50" s="89"/>
      <c r="BL50" s="92">
        <f>$CN50</f>
        <v>436</v>
      </c>
      <c r="BM50" s="92"/>
      <c r="BN50" s="89"/>
      <c r="BO50" s="92">
        <f t="shared" si="70"/>
        <v>0</v>
      </c>
      <c r="BP50" s="92">
        <f t="shared" si="70"/>
        <v>0</v>
      </c>
      <c r="BQ50" s="96">
        <f t="shared" si="48"/>
        <v>436</v>
      </c>
      <c r="BR50" s="96">
        <f t="shared" si="49"/>
        <v>2674</v>
      </c>
      <c r="BS50" s="96">
        <f t="shared" si="71"/>
        <v>-16.324999999999989</v>
      </c>
      <c r="BT50" s="96">
        <f t="shared" si="50"/>
        <v>-100.15337423312876</v>
      </c>
      <c r="BU50" s="92">
        <f t="shared" si="16"/>
        <v>3331</v>
      </c>
      <c r="BV50" s="98">
        <f t="shared" si="17"/>
        <v>7</v>
      </c>
      <c r="BW50" s="92">
        <f t="shared" si="18"/>
        <v>-168.71165644171776</v>
      </c>
      <c r="BX50" s="98">
        <f t="shared" si="51"/>
        <v>1.61</v>
      </c>
      <c r="BY50" s="61">
        <f t="shared" si="73"/>
        <v>7</v>
      </c>
      <c r="BZ50" s="62">
        <f t="shared" si="52"/>
        <v>7</v>
      </c>
      <c r="CA50" s="98">
        <f t="shared" si="53"/>
        <v>0.54300000000000004</v>
      </c>
      <c r="CB50" s="92">
        <f t="shared" si="98"/>
        <v>3330</v>
      </c>
      <c r="CC50" s="92">
        <f t="shared" si="98"/>
        <v>-27.5</v>
      </c>
      <c r="CD50" s="92">
        <f t="shared" si="98"/>
        <v>-168.71165644171776</v>
      </c>
      <c r="CE50" s="99"/>
      <c r="CF50" s="99"/>
      <c r="CG50" s="51">
        <f t="shared" si="54"/>
        <v>1.0670000000000002</v>
      </c>
      <c r="CH50" s="62">
        <f t="shared" si="55"/>
        <v>1.0670000000000002</v>
      </c>
      <c r="CI50" s="89">
        <v>36</v>
      </c>
      <c r="CJ50" s="89">
        <v>107</v>
      </c>
      <c r="CK50" s="89"/>
      <c r="CL50" s="96"/>
      <c r="CM50" s="89"/>
      <c r="CN50" s="89">
        <v>436</v>
      </c>
      <c r="CO50" s="92"/>
      <c r="CP50" s="101"/>
      <c r="CQ50" s="102">
        <f t="shared" si="101"/>
        <v>656</v>
      </c>
      <c r="CR50" s="102">
        <f t="shared" si="101"/>
        <v>0</v>
      </c>
      <c r="CS50" s="102">
        <f t="shared" si="101"/>
        <v>0</v>
      </c>
      <c r="CT50" s="92">
        <f t="shared" si="57"/>
        <v>2675</v>
      </c>
      <c r="CU50" s="92">
        <f t="shared" si="102"/>
        <v>0</v>
      </c>
      <c r="CV50" s="103">
        <f t="shared" si="102"/>
        <v>0</v>
      </c>
      <c r="CW50" s="104" t="s">
        <v>147</v>
      </c>
      <c r="CX50" s="105">
        <v>23</v>
      </c>
      <c r="CY50" s="106">
        <f t="shared" si="59"/>
        <v>1846</v>
      </c>
      <c r="CZ50" s="106">
        <f t="shared" si="60"/>
        <v>93.15</v>
      </c>
      <c r="DA50" s="106"/>
      <c r="DB50" s="106"/>
      <c r="DC50" s="105"/>
      <c r="DD50" s="107"/>
      <c r="DE50" s="92">
        <f t="shared" si="21"/>
        <v>656</v>
      </c>
      <c r="DF50" s="108">
        <f t="shared" si="22"/>
        <v>1.45</v>
      </c>
      <c r="DG50" s="112">
        <f t="shared" si="23"/>
        <v>-68.55828220858902</v>
      </c>
      <c r="DH50" s="110">
        <f t="shared" si="24"/>
        <v>2675</v>
      </c>
      <c r="DI50" s="108">
        <f t="shared" si="25"/>
        <v>5.55</v>
      </c>
      <c r="DJ50" s="112">
        <f t="shared" si="26"/>
        <v>-100.15337423312876</v>
      </c>
      <c r="DK50" s="110">
        <f t="shared" si="86"/>
        <v>3331</v>
      </c>
      <c r="DL50" s="108">
        <f t="shared" si="86"/>
        <v>7</v>
      </c>
      <c r="DM50" s="111">
        <f t="shared" si="86"/>
        <v>-168.71165644171776</v>
      </c>
      <c r="DN50" s="76">
        <f t="shared" si="89"/>
        <v>20</v>
      </c>
      <c r="DO50" s="76">
        <f t="shared" si="89"/>
        <v>0</v>
      </c>
      <c r="DP50" s="112"/>
      <c r="DQ50" s="112"/>
      <c r="DR50" s="113" t="s">
        <v>445</v>
      </c>
      <c r="DS50" s="112"/>
      <c r="DT50" s="112"/>
      <c r="DU50" s="111"/>
      <c r="DV50" s="114"/>
      <c r="DW50" s="80">
        <f t="shared" ref="DW50:DW52" si="103">IFERROR(AL50+BF50,"")</f>
        <v>7</v>
      </c>
      <c r="DX50" s="81">
        <f t="shared" si="29"/>
        <v>3169.2883435582821</v>
      </c>
      <c r="DY50" s="80">
        <f t="shared" si="62"/>
        <v>3331</v>
      </c>
      <c r="DZ50" s="82">
        <f t="shared" si="63"/>
        <v>0</v>
      </c>
      <c r="EA50" s="82">
        <f t="shared" si="64"/>
        <v>0.54295300000000002</v>
      </c>
      <c r="EB50" s="82">
        <f t="shared" si="65"/>
        <v>1.0670470000000001</v>
      </c>
      <c r="EC50" s="82">
        <f t="shared" si="75"/>
        <v>1.0670470000000001</v>
      </c>
      <c r="EF50" s="83">
        <f t="shared" si="92"/>
        <v>-168.71165644171776</v>
      </c>
    </row>
    <row r="51" spans="1:136" ht="14.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1"/>
        <v>MESUS303-2.5x3-H9B14</v>
      </c>
      <c r="H51" s="46" t="str">
        <f t="shared" si="32"/>
        <v>SUS303ME2.50DH9</v>
      </c>
      <c r="I51" s="46" t="str">
        <f t="shared" si="33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4"/>
        <v>38</v>
      </c>
      <c r="T51" s="51">
        <f>'03.02'!BG51</f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5"/>
        <v>0</v>
      </c>
      <c r="AF51" s="54">
        <f>AE51+'03.02'!AF51</f>
        <v>0</v>
      </c>
      <c r="AG51" s="94">
        <f t="shared" si="66"/>
        <v>0</v>
      </c>
      <c r="AH51" s="56">
        <f t="shared" si="13"/>
        <v>0</v>
      </c>
      <c r="AI51" s="93"/>
      <c r="AJ51" s="93">
        <f t="shared" si="67"/>
        <v>0</v>
      </c>
      <c r="AK51" s="95">
        <f t="shared" si="36"/>
        <v>1</v>
      </c>
      <c r="AL51" s="58">
        <f t="shared" si="37"/>
        <v>0</v>
      </c>
      <c r="AM51" s="55">
        <f t="shared" si="68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8"/>
        <v>0</v>
      </c>
      <c r="AV51" s="96">
        <f t="shared" si="38"/>
        <v>0</v>
      </c>
      <c r="AW51" s="96">
        <f t="shared" si="39"/>
        <v>0</v>
      </c>
      <c r="AX51" s="96">
        <f t="shared" si="40"/>
        <v>0</v>
      </c>
      <c r="AY51" s="94">
        <f t="shared" si="69"/>
        <v>0</v>
      </c>
      <c r="AZ51" s="94">
        <f t="shared" si="41"/>
        <v>0</v>
      </c>
      <c r="BA51" s="94">
        <f t="shared" si="42"/>
        <v>0</v>
      </c>
      <c r="BB51" s="97">
        <f t="shared" si="43"/>
        <v>0</v>
      </c>
      <c r="BC51" s="93"/>
      <c r="BD51" s="93">
        <f t="shared" si="44"/>
        <v>0</v>
      </c>
      <c r="BE51" s="95">
        <f t="shared" si="45"/>
        <v>1</v>
      </c>
      <c r="BF51" s="58">
        <f t="shared" si="46"/>
        <v>0</v>
      </c>
      <c r="BG51" s="94">
        <f t="shared" si="47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0"/>
        <v>0</v>
      </c>
      <c r="BP51" s="92">
        <f t="shared" si="70"/>
        <v>0</v>
      </c>
      <c r="BQ51" s="96">
        <f t="shared" si="48"/>
        <v>0</v>
      </c>
      <c r="BR51" s="96">
        <f t="shared" si="49"/>
        <v>0</v>
      </c>
      <c r="BS51" s="96">
        <f t="shared" si="71"/>
        <v>0</v>
      </c>
      <c r="BT51" s="96">
        <f t="shared" si="50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1"/>
        <v>0</v>
      </c>
      <c r="BY51" s="61">
        <f t="shared" si="73"/>
        <v>0</v>
      </c>
      <c r="BZ51" s="62">
        <f t="shared" si="52"/>
        <v>0</v>
      </c>
      <c r="CA51" s="98">
        <f t="shared" si="53"/>
        <v>0</v>
      </c>
      <c r="CB51" s="92">
        <f t="shared" si="98"/>
        <v>0</v>
      </c>
      <c r="CC51" s="92">
        <f t="shared" si="98"/>
        <v>0</v>
      </c>
      <c r="CD51" s="92">
        <f t="shared" si="98"/>
        <v>0</v>
      </c>
      <c r="CE51" s="99"/>
      <c r="CF51" s="99"/>
      <c r="CG51" s="51">
        <f t="shared" si="54"/>
        <v>0</v>
      </c>
      <c r="CH51" s="62">
        <f t="shared" si="55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101"/>
        <v>0</v>
      </c>
      <c r="CR51" s="102">
        <f t="shared" si="101"/>
        <v>0</v>
      </c>
      <c r="CS51" s="102">
        <f t="shared" si="101"/>
        <v>0</v>
      </c>
      <c r="CT51" s="92">
        <f t="shared" si="57"/>
        <v>0</v>
      </c>
      <c r="CU51" s="92">
        <f t="shared" si="102"/>
        <v>0</v>
      </c>
      <c r="CV51" s="103">
        <f t="shared" si="102"/>
        <v>0</v>
      </c>
      <c r="CW51" s="104" t="s">
        <v>147</v>
      </c>
      <c r="CX51" s="105">
        <v>20</v>
      </c>
      <c r="CY51" s="106">
        <f t="shared" si="59"/>
        <v>1971</v>
      </c>
      <c r="CZ51" s="106">
        <f t="shared" si="60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6"/>
        <v>0</v>
      </c>
      <c r="DL51" s="108">
        <f t="shared" si="86"/>
        <v>0</v>
      </c>
      <c r="DM51" s="111">
        <f t="shared" si="86"/>
        <v>0</v>
      </c>
      <c r="DN51" s="76">
        <f t="shared" si="89"/>
        <v>0</v>
      </c>
      <c r="DO51" s="76">
        <f t="shared" si="89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3"/>
        <v>0</v>
      </c>
      <c r="DX51" s="81">
        <f t="shared" si="29"/>
        <v>0</v>
      </c>
      <c r="DY51" s="80">
        <f t="shared" si="62"/>
        <v>0</v>
      </c>
      <c r="DZ51" s="82">
        <f t="shared" si="63"/>
        <v>0</v>
      </c>
      <c r="EA51" s="82">
        <f t="shared" si="64"/>
        <v>0</v>
      </c>
      <c r="EB51" s="82">
        <f t="shared" si="65"/>
        <v>0</v>
      </c>
      <c r="EC51" s="82">
        <f t="shared" si="75"/>
        <v>0</v>
      </c>
      <c r="EF51" s="83">
        <f t="shared" si="92"/>
        <v>0</v>
      </c>
    </row>
    <row r="52" spans="1:136" ht="14.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1"/>
        <v>MESUS303CU-3.5x3-H9B14</v>
      </c>
      <c r="H52" s="46" t="str">
        <f t="shared" si="32"/>
        <v>SUS303CUME3.50DH9</v>
      </c>
      <c r="I52" s="46" t="str">
        <f t="shared" si="33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4"/>
        <v>14</v>
      </c>
      <c r="T52" s="51">
        <f>'03.02'!BG52</f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5"/>
        <v>0</v>
      </c>
      <c r="AF52" s="54">
        <f>AE52+'03.02'!AF52</f>
        <v>0</v>
      </c>
      <c r="AG52" s="94">
        <f t="shared" si="66"/>
        <v>0</v>
      </c>
      <c r="AH52" s="56">
        <f t="shared" si="13"/>
        <v>0</v>
      </c>
      <c r="AI52" s="93"/>
      <c r="AJ52" s="93">
        <f t="shared" si="67"/>
        <v>0</v>
      </c>
      <c r="AK52" s="95">
        <f t="shared" si="36"/>
        <v>1</v>
      </c>
      <c r="AL52" s="58">
        <f t="shared" si="37"/>
        <v>0</v>
      </c>
      <c r="AM52" s="55">
        <f t="shared" si="68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8"/>
        <v>0</v>
      </c>
      <c r="AV52" s="96">
        <f t="shared" si="38"/>
        <v>0</v>
      </c>
      <c r="AW52" s="96">
        <f t="shared" si="39"/>
        <v>0</v>
      </c>
      <c r="AX52" s="96">
        <f t="shared" si="40"/>
        <v>0</v>
      </c>
      <c r="AY52" s="94">
        <f t="shared" si="69"/>
        <v>0</v>
      </c>
      <c r="AZ52" s="94">
        <f t="shared" si="41"/>
        <v>0</v>
      </c>
      <c r="BA52" s="94">
        <f t="shared" si="42"/>
        <v>0</v>
      </c>
      <c r="BB52" s="97">
        <f t="shared" si="43"/>
        <v>0</v>
      </c>
      <c r="BC52" s="93"/>
      <c r="BD52" s="93">
        <f t="shared" si="44"/>
        <v>0</v>
      </c>
      <c r="BE52" s="95">
        <f t="shared" si="45"/>
        <v>1</v>
      </c>
      <c r="BF52" s="58">
        <f t="shared" si="46"/>
        <v>0</v>
      </c>
      <c r="BG52" s="94">
        <f t="shared" si="47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0"/>
        <v>0</v>
      </c>
      <c r="BP52" s="92">
        <f t="shared" si="70"/>
        <v>0</v>
      </c>
      <c r="BQ52" s="96">
        <f t="shared" si="48"/>
        <v>0</v>
      </c>
      <c r="BR52" s="96">
        <f t="shared" si="49"/>
        <v>0</v>
      </c>
      <c r="BS52" s="96">
        <f t="shared" si="71"/>
        <v>0</v>
      </c>
      <c r="BT52" s="96">
        <f t="shared" si="50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1"/>
        <v>0</v>
      </c>
      <c r="BY52" s="61">
        <f t="shared" si="73"/>
        <v>0</v>
      </c>
      <c r="BZ52" s="62">
        <f t="shared" si="52"/>
        <v>0</v>
      </c>
      <c r="CA52" s="98">
        <f t="shared" si="53"/>
        <v>0</v>
      </c>
      <c r="CB52" s="92">
        <f t="shared" si="98"/>
        <v>0</v>
      </c>
      <c r="CC52" s="92">
        <f t="shared" si="98"/>
        <v>0</v>
      </c>
      <c r="CD52" s="92">
        <f t="shared" si="98"/>
        <v>0</v>
      </c>
      <c r="CE52" s="99"/>
      <c r="CF52" s="99"/>
      <c r="CG52" s="51">
        <f t="shared" si="54"/>
        <v>0</v>
      </c>
      <c r="CH52" s="62">
        <f t="shared" si="55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101"/>
        <v>0</v>
      </c>
      <c r="CR52" s="102">
        <f t="shared" si="101"/>
        <v>0</v>
      </c>
      <c r="CS52" s="102">
        <f t="shared" si="101"/>
        <v>0</v>
      </c>
      <c r="CT52" s="92">
        <f t="shared" si="57"/>
        <v>0</v>
      </c>
      <c r="CU52" s="92">
        <f t="shared" si="102"/>
        <v>0</v>
      </c>
      <c r="CV52" s="103">
        <f t="shared" si="102"/>
        <v>0</v>
      </c>
      <c r="CW52" s="104" t="s">
        <v>147</v>
      </c>
      <c r="CX52" s="105">
        <v>12</v>
      </c>
      <c r="CY52" s="106">
        <f t="shared" si="59"/>
        <v>3480</v>
      </c>
      <c r="CZ52" s="106">
        <f t="shared" si="60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6"/>
        <v>0</v>
      </c>
      <c r="DL52" s="108">
        <f t="shared" si="86"/>
        <v>0</v>
      </c>
      <c r="DM52" s="111">
        <f t="shared" si="86"/>
        <v>0</v>
      </c>
      <c r="DN52" s="76">
        <f t="shared" si="89"/>
        <v>0</v>
      </c>
      <c r="DO52" s="76">
        <f t="shared" si="89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3"/>
        <v>0</v>
      </c>
      <c r="DX52" s="81">
        <f t="shared" si="29"/>
        <v>0</v>
      </c>
      <c r="DY52" s="80">
        <f t="shared" si="62"/>
        <v>0</v>
      </c>
      <c r="DZ52" s="82">
        <f t="shared" si="63"/>
        <v>0</v>
      </c>
      <c r="EA52" s="82">
        <f t="shared" si="64"/>
        <v>0</v>
      </c>
      <c r="EB52" s="82">
        <f t="shared" si="65"/>
        <v>0</v>
      </c>
      <c r="EC52" s="82">
        <f t="shared" si="75"/>
        <v>0</v>
      </c>
      <c r="EF52" s="83">
        <f t="shared" si="92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1"/>
        <v>MESUS420J2-2x2.5-H9A14</v>
      </c>
      <c r="H53" s="46" t="str">
        <f t="shared" si="32"/>
        <v>SUS420J2ME20DH9</v>
      </c>
      <c r="I53" s="46" t="str">
        <f t="shared" si="33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4"/>
        <v>42</v>
      </c>
      <c r="T53" s="51">
        <f>'03.02'!BG53</f>
        <v>20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5"/>
        <v>0</v>
      </c>
      <c r="AF53" s="54">
        <f>AE53+'03.02'!AF53</f>
        <v>0</v>
      </c>
      <c r="AG53" s="94">
        <f t="shared" si="66"/>
        <v>20</v>
      </c>
      <c r="AH53" s="56">
        <f t="shared" si="13"/>
        <v>0</v>
      </c>
      <c r="AI53" s="93"/>
      <c r="AJ53" s="93">
        <f t="shared" si="67"/>
        <v>0</v>
      </c>
      <c r="AK53" s="95">
        <f t="shared" si="36"/>
        <v>1</v>
      </c>
      <c r="AL53" s="58">
        <f t="shared" si="37"/>
        <v>0</v>
      </c>
      <c r="AM53" s="55">
        <f t="shared" si="68"/>
        <v>20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8"/>
        <v>0</v>
      </c>
      <c r="AV53" s="96">
        <f t="shared" si="38"/>
        <v>0</v>
      </c>
      <c r="AW53" s="96">
        <f t="shared" si="39"/>
        <v>0</v>
      </c>
      <c r="AX53" s="96">
        <f t="shared" si="40"/>
        <v>0</v>
      </c>
      <c r="AY53" s="94">
        <f t="shared" si="69"/>
        <v>0</v>
      </c>
      <c r="AZ53" s="94">
        <f t="shared" si="41"/>
        <v>0</v>
      </c>
      <c r="BA53" s="94">
        <f t="shared" si="42"/>
        <v>20</v>
      </c>
      <c r="BB53" s="97">
        <f t="shared" si="43"/>
        <v>0</v>
      </c>
      <c r="BC53" s="93"/>
      <c r="BD53" s="93">
        <f t="shared" si="44"/>
        <v>0</v>
      </c>
      <c r="BE53" s="95">
        <f t="shared" si="45"/>
        <v>1</v>
      </c>
      <c r="BF53" s="58">
        <f t="shared" si="46"/>
        <v>0</v>
      </c>
      <c r="BG53" s="94">
        <f t="shared" si="47"/>
        <v>20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0"/>
        <v>0</v>
      </c>
      <c r="BP53" s="92">
        <f t="shared" si="70"/>
        <v>0</v>
      </c>
      <c r="BQ53" s="96">
        <f t="shared" si="48"/>
        <v>0</v>
      </c>
      <c r="BR53" s="96">
        <f t="shared" si="49"/>
        <v>0</v>
      </c>
      <c r="BS53" s="96">
        <f t="shared" si="71"/>
        <v>0</v>
      </c>
      <c r="BT53" s="96">
        <f t="shared" si="50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1"/>
        <v>0</v>
      </c>
      <c r="BY53" s="61">
        <f t="shared" si="73"/>
        <v>0</v>
      </c>
      <c r="BZ53" s="62">
        <f t="shared" si="52"/>
        <v>0</v>
      </c>
      <c r="CA53" s="98">
        <f t="shared" si="53"/>
        <v>0</v>
      </c>
      <c r="CB53" s="92">
        <f t="shared" si="98"/>
        <v>0</v>
      </c>
      <c r="CC53" s="92">
        <f t="shared" si="98"/>
        <v>0</v>
      </c>
      <c r="CD53" s="92">
        <f t="shared" si="98"/>
        <v>0</v>
      </c>
      <c r="CE53" s="99"/>
      <c r="CF53" s="99"/>
      <c r="CG53" s="51">
        <f t="shared" si="54"/>
        <v>0</v>
      </c>
      <c r="CH53" s="62">
        <f t="shared" si="55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101"/>
        <v>0</v>
      </c>
      <c r="CR53" s="102">
        <f t="shared" si="101"/>
        <v>0</v>
      </c>
      <c r="CS53" s="102">
        <f t="shared" si="101"/>
        <v>0</v>
      </c>
      <c r="CT53" s="92">
        <f t="shared" si="57"/>
        <v>0</v>
      </c>
      <c r="CU53" s="92">
        <f t="shared" si="102"/>
        <v>0</v>
      </c>
      <c r="CV53" s="103">
        <f t="shared" si="102"/>
        <v>0</v>
      </c>
      <c r="CW53" s="104" t="s">
        <v>147</v>
      </c>
      <c r="CX53" s="105">
        <v>8.0500000000000007</v>
      </c>
      <c r="CY53" s="106">
        <f t="shared" si="59"/>
        <v>4829</v>
      </c>
      <c r="CZ53" s="106">
        <f t="shared" si="60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6"/>
        <v>0</v>
      </c>
      <c r="DL53" s="108">
        <f t="shared" si="86"/>
        <v>0</v>
      </c>
      <c r="DM53" s="111">
        <f t="shared" si="86"/>
        <v>0</v>
      </c>
      <c r="DN53" s="76">
        <f t="shared" si="89"/>
        <v>20</v>
      </c>
      <c r="DO53" s="76">
        <f t="shared" si="89"/>
        <v>0</v>
      </c>
      <c r="DP53" s="112"/>
      <c r="DQ53" s="112"/>
      <c r="DR53" s="113" t="s">
        <v>446</v>
      </c>
      <c r="DS53" s="112"/>
      <c r="DT53" s="112"/>
      <c r="DU53" s="111"/>
      <c r="DV53" s="114"/>
      <c r="DW53" s="80">
        <f t="shared" si="61"/>
        <v>0</v>
      </c>
      <c r="DX53" s="81">
        <f t="shared" si="29"/>
        <v>0</v>
      </c>
      <c r="DY53" s="80">
        <f t="shared" si="62"/>
        <v>0</v>
      </c>
      <c r="DZ53" s="82">
        <f t="shared" si="63"/>
        <v>0</v>
      </c>
      <c r="EA53" s="82">
        <f t="shared" si="64"/>
        <v>0</v>
      </c>
      <c r="EB53" s="82">
        <f t="shared" si="65"/>
        <v>0</v>
      </c>
      <c r="EC53" s="82">
        <f t="shared" si="75"/>
        <v>0</v>
      </c>
      <c r="EF53" s="83">
        <f t="shared" si="92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1"/>
        <v>MESUS303CU-3.5x3-H9B14</v>
      </c>
      <c r="H54" s="46" t="str">
        <f t="shared" si="32"/>
        <v>SUS303CUME3.50DH9</v>
      </c>
      <c r="I54" s="46" t="str">
        <f t="shared" si="33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4"/>
        <v>12</v>
      </c>
      <c r="T54" s="51">
        <f>'03.02'!BG54</f>
        <v>19</v>
      </c>
      <c r="U54" s="92"/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5"/>
        <v>0</v>
      </c>
      <c r="AF54" s="54">
        <f>AE54+'03.02'!AF54</f>
        <v>0</v>
      </c>
      <c r="AG54" s="94">
        <f t="shared" si="66"/>
        <v>19</v>
      </c>
      <c r="AH54" s="56">
        <f t="shared" si="13"/>
        <v>0</v>
      </c>
      <c r="AI54" s="93"/>
      <c r="AJ54" s="93">
        <f t="shared" si="67"/>
        <v>0</v>
      </c>
      <c r="AK54" s="95">
        <f t="shared" si="36"/>
        <v>1</v>
      </c>
      <c r="AL54" s="58">
        <f t="shared" si="37"/>
        <v>0</v>
      </c>
      <c r="AM54" s="55">
        <f t="shared" si="68"/>
        <v>19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8"/>
        <v>0</v>
      </c>
      <c r="AV54" s="96">
        <f t="shared" si="38"/>
        <v>0</v>
      </c>
      <c r="AW54" s="96">
        <f t="shared" si="39"/>
        <v>0</v>
      </c>
      <c r="AX54" s="96">
        <f t="shared" si="40"/>
        <v>0</v>
      </c>
      <c r="AY54" s="94">
        <f t="shared" si="69"/>
        <v>0</v>
      </c>
      <c r="AZ54" s="94">
        <f t="shared" si="41"/>
        <v>0</v>
      </c>
      <c r="BA54" s="94">
        <f t="shared" si="42"/>
        <v>19</v>
      </c>
      <c r="BB54" s="97">
        <f t="shared" si="43"/>
        <v>0</v>
      </c>
      <c r="BC54" s="93"/>
      <c r="BD54" s="93">
        <f t="shared" si="44"/>
        <v>0</v>
      </c>
      <c r="BE54" s="95">
        <f t="shared" si="45"/>
        <v>1</v>
      </c>
      <c r="BF54" s="58">
        <f t="shared" si="46"/>
        <v>0</v>
      </c>
      <c r="BG54" s="94">
        <f t="shared" si="47"/>
        <v>19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0"/>
        <v>0</v>
      </c>
      <c r="BP54" s="92">
        <f t="shared" si="70"/>
        <v>0</v>
      </c>
      <c r="BQ54" s="96">
        <f t="shared" si="48"/>
        <v>0</v>
      </c>
      <c r="BR54" s="96">
        <f t="shared" si="49"/>
        <v>0</v>
      </c>
      <c r="BS54" s="96">
        <f t="shared" si="71"/>
        <v>0</v>
      </c>
      <c r="BT54" s="96">
        <f t="shared" si="50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1"/>
        <v>0</v>
      </c>
      <c r="BY54" s="61">
        <f t="shared" si="73"/>
        <v>0</v>
      </c>
      <c r="BZ54" s="62">
        <f t="shared" si="52"/>
        <v>0</v>
      </c>
      <c r="CA54" s="98">
        <f t="shared" si="53"/>
        <v>0</v>
      </c>
      <c r="CB54" s="92">
        <f t="shared" si="98"/>
        <v>0</v>
      </c>
      <c r="CC54" s="92">
        <f t="shared" si="98"/>
        <v>0</v>
      </c>
      <c r="CD54" s="92">
        <f t="shared" si="98"/>
        <v>0</v>
      </c>
      <c r="CE54" s="99"/>
      <c r="CF54" s="99"/>
      <c r="CG54" s="51">
        <f t="shared" si="54"/>
        <v>0</v>
      </c>
      <c r="CH54" s="62">
        <f t="shared" si="55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101"/>
        <v>0</v>
      </c>
      <c r="CR54" s="102">
        <f t="shared" si="101"/>
        <v>0</v>
      </c>
      <c r="CS54" s="102">
        <f t="shared" si="101"/>
        <v>0</v>
      </c>
      <c r="CT54" s="92">
        <f t="shared" si="57"/>
        <v>0</v>
      </c>
      <c r="CU54" s="92">
        <f t="shared" si="102"/>
        <v>0</v>
      </c>
      <c r="CV54" s="103">
        <f t="shared" si="102"/>
        <v>0</v>
      </c>
      <c r="CW54" s="104" t="s">
        <v>147</v>
      </c>
      <c r="CX54" s="105">
        <v>15</v>
      </c>
      <c r="CY54" s="106">
        <f t="shared" si="59"/>
        <v>2808</v>
      </c>
      <c r="CZ54" s="106">
        <f t="shared" si="60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6"/>
        <v>0</v>
      </c>
      <c r="DL54" s="108">
        <f t="shared" si="86"/>
        <v>0</v>
      </c>
      <c r="DM54" s="111">
        <f t="shared" si="86"/>
        <v>0</v>
      </c>
      <c r="DN54" s="76">
        <f t="shared" si="89"/>
        <v>19</v>
      </c>
      <c r="DO54" s="76">
        <f t="shared" si="89"/>
        <v>0</v>
      </c>
      <c r="DP54" s="112"/>
      <c r="DQ54" s="112"/>
      <c r="DR54" s="113" t="s">
        <v>447</v>
      </c>
      <c r="DS54" s="112"/>
      <c r="DT54" s="112"/>
      <c r="DU54" s="111"/>
      <c r="DV54" s="114"/>
      <c r="DW54" s="80">
        <f t="shared" ref="DW54:DW58" si="104">IFERROR(AL54+BF54,"")</f>
        <v>0</v>
      </c>
      <c r="DX54" s="81">
        <f t="shared" si="29"/>
        <v>0</v>
      </c>
      <c r="DY54" s="80">
        <f t="shared" si="62"/>
        <v>0</v>
      </c>
      <c r="DZ54" s="82">
        <f t="shared" si="63"/>
        <v>0</v>
      </c>
      <c r="EA54" s="82">
        <f t="shared" si="64"/>
        <v>0</v>
      </c>
      <c r="EB54" s="82">
        <f t="shared" si="65"/>
        <v>0</v>
      </c>
      <c r="EC54" s="82">
        <f t="shared" si="75"/>
        <v>0</v>
      </c>
      <c r="EF54" s="83">
        <f t="shared" si="92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1"/>
        <v>YHC3604-4.03x3-H9A14</v>
      </c>
      <c r="H55" s="46" t="str">
        <f t="shared" si="32"/>
        <v>C3604YH4.030DH9</v>
      </c>
      <c r="I55" s="46" t="str">
        <f t="shared" si="33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4"/>
        <v>60</v>
      </c>
      <c r="T55" s="51">
        <f>'03.02'!BG55</f>
        <v>29</v>
      </c>
      <c r="U55" s="92">
        <v>51</v>
      </c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9335</v>
      </c>
      <c r="AC55" s="93">
        <f t="shared" si="11"/>
        <v>0</v>
      </c>
      <c r="AD55" s="93">
        <f t="shared" si="12"/>
        <v>34</v>
      </c>
      <c r="AE55" s="93">
        <f t="shared" si="35"/>
        <v>9335</v>
      </c>
      <c r="AF55" s="54">
        <f>AE55+'03.02'!AF55</f>
        <v>35827</v>
      </c>
      <c r="AG55" s="94">
        <f t="shared" si="66"/>
        <v>29</v>
      </c>
      <c r="AH55" s="56">
        <f t="shared" si="13"/>
        <v>0</v>
      </c>
      <c r="AI55" s="93">
        <v>27</v>
      </c>
      <c r="AJ55" s="93">
        <f t="shared" si="67"/>
        <v>0</v>
      </c>
      <c r="AK55" s="95">
        <f t="shared" si="36"/>
        <v>1</v>
      </c>
      <c r="AL55" s="58">
        <f t="shared" si="37"/>
        <v>27</v>
      </c>
      <c r="AM55" s="55">
        <f t="shared" si="68"/>
        <v>53</v>
      </c>
      <c r="AN55" s="93"/>
      <c r="AO55" s="96"/>
      <c r="AP55" s="96"/>
      <c r="AQ55" s="96"/>
      <c r="AR55" s="96"/>
      <c r="AS55" s="96"/>
      <c r="AT55" s="96">
        <f>$CJ55</f>
        <v>3006</v>
      </c>
      <c r="AU55" s="96">
        <f t="shared" si="38"/>
        <v>0</v>
      </c>
      <c r="AV55" s="96">
        <f t="shared" si="38"/>
        <v>22</v>
      </c>
      <c r="AW55" s="96">
        <f t="shared" si="39"/>
        <v>3028</v>
      </c>
      <c r="AX55" s="96">
        <f t="shared" si="40"/>
        <v>4731</v>
      </c>
      <c r="AY55" s="94">
        <f t="shared" si="69"/>
        <v>-30.559999999999945</v>
      </c>
      <c r="AZ55" s="94">
        <f t="shared" si="41"/>
        <v>-47.749999999999915</v>
      </c>
      <c r="BA55" s="94">
        <f t="shared" si="42"/>
        <v>53</v>
      </c>
      <c r="BB55" s="97">
        <f t="shared" si="43"/>
        <v>0</v>
      </c>
      <c r="BC55" s="93">
        <v>27</v>
      </c>
      <c r="BD55" s="93">
        <f t="shared" si="44"/>
        <v>0</v>
      </c>
      <c r="BE55" s="95">
        <f t="shared" si="45"/>
        <v>1</v>
      </c>
      <c r="BF55" s="58">
        <f t="shared" si="46"/>
        <v>27</v>
      </c>
      <c r="BG55" s="94">
        <f t="shared" si="47"/>
        <v>26</v>
      </c>
      <c r="BH55" s="89"/>
      <c r="BI55" s="89"/>
      <c r="BJ55" s="89"/>
      <c r="BK55" s="89"/>
      <c r="BL55" s="89"/>
      <c r="BM55" s="89"/>
      <c r="BN55" s="92">
        <f>$CN55</f>
        <v>2969</v>
      </c>
      <c r="BO55" s="92">
        <f t="shared" si="70"/>
        <v>0</v>
      </c>
      <c r="BP55" s="92">
        <f t="shared" si="70"/>
        <v>0</v>
      </c>
      <c r="BQ55" s="96">
        <f t="shared" si="48"/>
        <v>2969</v>
      </c>
      <c r="BR55" s="96">
        <f t="shared" si="49"/>
        <v>4639</v>
      </c>
      <c r="BS55" s="96">
        <f t="shared" si="71"/>
        <v>-89.559999999999945</v>
      </c>
      <c r="BT55" s="96">
        <f t="shared" si="50"/>
        <v>-139.93749999999991</v>
      </c>
      <c r="BU55" s="92">
        <f t="shared" si="16"/>
        <v>9335</v>
      </c>
      <c r="BV55" s="98">
        <f t="shared" si="17"/>
        <v>54</v>
      </c>
      <c r="BW55" s="92">
        <f t="shared" si="18"/>
        <v>-187.68749999999983</v>
      </c>
      <c r="BX55" s="98">
        <f t="shared" si="51"/>
        <v>17.442</v>
      </c>
      <c r="BY55" s="61">
        <f t="shared" si="73"/>
        <v>54</v>
      </c>
      <c r="BZ55" s="62">
        <f t="shared" si="52"/>
        <v>54</v>
      </c>
      <c r="CA55" s="98">
        <f t="shared" si="53"/>
        <v>5.9969999999999999</v>
      </c>
      <c r="CB55" s="92">
        <f t="shared" si="98"/>
        <v>9370</v>
      </c>
      <c r="CC55" s="92">
        <f t="shared" si="98"/>
        <v>-120.11999999999989</v>
      </c>
      <c r="CD55" s="92">
        <f t="shared" si="98"/>
        <v>-187.68749999999983</v>
      </c>
      <c r="CE55" s="99"/>
      <c r="CF55" s="99"/>
      <c r="CG55" s="51">
        <f t="shared" si="54"/>
        <v>11.467000000000001</v>
      </c>
      <c r="CH55" s="62">
        <f t="shared" si="55"/>
        <v>11.467000000000001</v>
      </c>
      <c r="CI55" s="89"/>
      <c r="CJ55" s="89">
        <v>3006</v>
      </c>
      <c r="CK55" s="89"/>
      <c r="CL55" s="96">
        <v>22</v>
      </c>
      <c r="CM55" s="89"/>
      <c r="CN55" s="89">
        <v>2969</v>
      </c>
      <c r="CO55" s="92"/>
      <c r="CP55" s="101"/>
      <c r="CQ55" s="102">
        <f t="shared" si="101"/>
        <v>4696</v>
      </c>
      <c r="CR55" s="102">
        <f t="shared" si="101"/>
        <v>0</v>
      </c>
      <c r="CS55" s="102">
        <f t="shared" si="101"/>
        <v>34</v>
      </c>
      <c r="CT55" s="92">
        <f t="shared" si="57"/>
        <v>4639</v>
      </c>
      <c r="CU55" s="92">
        <f t="shared" si="102"/>
        <v>0</v>
      </c>
      <c r="CV55" s="103">
        <f t="shared" si="102"/>
        <v>0</v>
      </c>
      <c r="CW55" s="104" t="s">
        <v>147</v>
      </c>
      <c r="CX55" s="105">
        <v>7</v>
      </c>
      <c r="CY55" s="106">
        <f t="shared" si="59"/>
        <v>5271</v>
      </c>
      <c r="CZ55" s="106">
        <f t="shared" si="60"/>
        <v>28.35</v>
      </c>
      <c r="DA55" s="106"/>
      <c r="DB55" s="106"/>
      <c r="DC55" s="105"/>
      <c r="DD55" s="107"/>
      <c r="DE55" s="92">
        <f t="shared" si="21"/>
        <v>4696</v>
      </c>
      <c r="DF55" s="108">
        <f t="shared" si="22"/>
        <v>27</v>
      </c>
      <c r="DG55" s="112">
        <f t="shared" si="23"/>
        <v>-47.749999999999915</v>
      </c>
      <c r="DH55" s="110">
        <f t="shared" si="24"/>
        <v>4639</v>
      </c>
      <c r="DI55" s="108">
        <f t="shared" si="25"/>
        <v>27</v>
      </c>
      <c r="DJ55" s="112">
        <f t="shared" si="26"/>
        <v>-139.93749999999991</v>
      </c>
      <c r="DK55" s="110">
        <f t="shared" si="86"/>
        <v>9335</v>
      </c>
      <c r="DL55" s="108">
        <f t="shared" si="86"/>
        <v>54</v>
      </c>
      <c r="DM55" s="111">
        <f t="shared" si="86"/>
        <v>-187.68749999999983</v>
      </c>
      <c r="DN55" s="76">
        <f t="shared" si="89"/>
        <v>29</v>
      </c>
      <c r="DO55" s="76">
        <f t="shared" si="89"/>
        <v>51</v>
      </c>
      <c r="DP55" s="112"/>
      <c r="DQ55" s="112"/>
      <c r="DR55" s="113" t="s">
        <v>448</v>
      </c>
      <c r="DS55" s="112"/>
      <c r="DT55" s="112"/>
      <c r="DU55" s="111"/>
      <c r="DV55" s="114"/>
      <c r="DW55" s="80">
        <f t="shared" si="104"/>
        <v>54</v>
      </c>
      <c r="DX55" s="81">
        <f t="shared" si="29"/>
        <v>9201.3125</v>
      </c>
      <c r="DY55" s="80">
        <f t="shared" si="62"/>
        <v>9369</v>
      </c>
      <c r="DZ55" s="82">
        <f t="shared" si="63"/>
        <v>2.1760000000000002E-2</v>
      </c>
      <c r="EA55" s="82">
        <f t="shared" si="64"/>
        <v>5.9744000000000002</v>
      </c>
      <c r="EB55" s="82">
        <f t="shared" si="65"/>
        <v>11.467600000000001</v>
      </c>
      <c r="EC55" s="82">
        <f t="shared" ref="EC55:EC56" si="105">(BX55-CA55)+((AV55+BP55)/1000)</f>
        <v>11.467000000000001</v>
      </c>
      <c r="EF55" s="83">
        <f t="shared" si="92"/>
        <v>-187.68749999999983</v>
      </c>
    </row>
    <row r="56" spans="1:136" ht="14.1" customHeight="1">
      <c r="A56" s="84">
        <v>49</v>
      </c>
      <c r="B56" s="85" t="s">
        <v>278</v>
      </c>
      <c r="C56" s="86"/>
      <c r="D56" s="240" t="s">
        <v>279</v>
      </c>
      <c r="E56" s="88">
        <v>51</v>
      </c>
      <c r="F56" s="89" t="s">
        <v>147</v>
      </c>
      <c r="G56" s="45" t="str">
        <f t="shared" si="31"/>
        <v>TVSUS303-6x2.5-H9A14</v>
      </c>
      <c r="H56" s="46" t="str">
        <f t="shared" si="32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4"/>
        <v>110</v>
      </c>
      <c r="T56" s="51">
        <f>'03.02'!BG56</f>
        <v>20</v>
      </c>
      <c r="U56" s="92">
        <v>10</v>
      </c>
      <c r="V56" s="100">
        <v>7</v>
      </c>
      <c r="W56" s="93">
        <f t="shared" si="5"/>
        <v>0</v>
      </c>
      <c r="X56" s="93">
        <f t="shared" si="6"/>
        <v>0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0</v>
      </c>
      <c r="AE56" s="93">
        <f t="shared" si="35"/>
        <v>0</v>
      </c>
      <c r="AF56" s="54">
        <f>AE56+'03.02'!AF56</f>
        <v>1582</v>
      </c>
      <c r="AG56" s="94">
        <f t="shared" si="66"/>
        <v>20</v>
      </c>
      <c r="AH56" s="56">
        <f t="shared" si="13"/>
        <v>0</v>
      </c>
      <c r="AI56" s="93"/>
      <c r="AJ56" s="93">
        <f t="shared" si="67"/>
        <v>0</v>
      </c>
      <c r="AK56" s="95">
        <f t="shared" si="36"/>
        <v>1</v>
      </c>
      <c r="AL56" s="58">
        <f t="shared" si="37"/>
        <v>0</v>
      </c>
      <c r="AM56" s="55">
        <f t="shared" si="68"/>
        <v>30</v>
      </c>
      <c r="AN56" s="93"/>
      <c r="AO56" s="96"/>
      <c r="AP56" s="96">
        <f>$CJ56</f>
        <v>0</v>
      </c>
      <c r="AQ56" s="96"/>
      <c r="AR56" s="96"/>
      <c r="AS56" s="96"/>
      <c r="AT56" s="96"/>
      <c r="AU56" s="96">
        <f t="shared" si="38"/>
        <v>0</v>
      </c>
      <c r="AV56" s="96">
        <f t="shared" si="38"/>
        <v>0</v>
      </c>
      <c r="AW56" s="96">
        <f t="shared" si="39"/>
        <v>0</v>
      </c>
      <c r="AX56" s="96">
        <f t="shared" si="40"/>
        <v>0</v>
      </c>
      <c r="AY56" s="94">
        <f t="shared" si="69"/>
        <v>0</v>
      </c>
      <c r="AZ56" s="94">
        <f t="shared" si="41"/>
        <v>0</v>
      </c>
      <c r="BA56" s="94">
        <f t="shared" si="42"/>
        <v>30</v>
      </c>
      <c r="BB56" s="97">
        <f t="shared" si="43"/>
        <v>0</v>
      </c>
      <c r="BC56" s="93"/>
      <c r="BD56" s="93">
        <f t="shared" si="44"/>
        <v>0</v>
      </c>
      <c r="BE56" s="95">
        <f t="shared" si="45"/>
        <v>1</v>
      </c>
      <c r="BF56" s="58">
        <f t="shared" si="46"/>
        <v>0</v>
      </c>
      <c r="BG56" s="94">
        <f t="shared" si="47"/>
        <v>30</v>
      </c>
      <c r="BH56" s="89"/>
      <c r="BI56" s="89"/>
      <c r="BJ56" s="92">
        <f>$CN56</f>
        <v>0</v>
      </c>
      <c r="BK56" s="92"/>
      <c r="BL56" s="92"/>
      <c r="BM56" s="92"/>
      <c r="BN56" s="92"/>
      <c r="BO56" s="92">
        <f t="shared" si="70"/>
        <v>0</v>
      </c>
      <c r="BP56" s="92">
        <f t="shared" si="70"/>
        <v>0</v>
      </c>
      <c r="BQ56" s="96">
        <f t="shared" si="48"/>
        <v>0</v>
      </c>
      <c r="BR56" s="96">
        <f t="shared" si="49"/>
        <v>0</v>
      </c>
      <c r="BS56" s="96">
        <f t="shared" si="71"/>
        <v>0</v>
      </c>
      <c r="BT56" s="96">
        <f t="shared" si="50"/>
        <v>0</v>
      </c>
      <c r="BU56" s="92">
        <f t="shared" si="16"/>
        <v>0</v>
      </c>
      <c r="BV56" s="98">
        <f t="shared" si="17"/>
        <v>0</v>
      </c>
      <c r="BW56" s="92">
        <f t="shared" si="18"/>
        <v>0</v>
      </c>
      <c r="BX56" s="98">
        <f t="shared" si="51"/>
        <v>0</v>
      </c>
      <c r="BY56" s="61">
        <f t="shared" si="73"/>
        <v>0</v>
      </c>
      <c r="BZ56" s="62">
        <f t="shared" si="52"/>
        <v>0</v>
      </c>
      <c r="CA56" s="98">
        <f t="shared" si="53"/>
        <v>0</v>
      </c>
      <c r="CB56" s="92">
        <f t="shared" si="98"/>
        <v>0</v>
      </c>
      <c r="CC56" s="92">
        <f t="shared" si="98"/>
        <v>0</v>
      </c>
      <c r="CD56" s="92">
        <f t="shared" si="98"/>
        <v>0</v>
      </c>
      <c r="CE56" s="99"/>
      <c r="CF56" s="99"/>
      <c r="CG56" s="51">
        <f t="shared" si="54"/>
        <v>0</v>
      </c>
      <c r="CH56" s="62">
        <f t="shared" si="55"/>
        <v>0</v>
      </c>
      <c r="CI56" s="89"/>
      <c r="CJ56" s="89"/>
      <c r="CK56" s="89"/>
      <c r="CL56" s="96"/>
      <c r="CM56" s="89"/>
      <c r="CN56" s="89"/>
      <c r="CO56" s="92"/>
      <c r="CP56" s="101"/>
      <c r="CQ56" s="102">
        <f t="shared" si="101"/>
        <v>0</v>
      </c>
      <c r="CR56" s="102">
        <f t="shared" si="101"/>
        <v>0</v>
      </c>
      <c r="CS56" s="102">
        <f t="shared" si="101"/>
        <v>0</v>
      </c>
      <c r="CT56" s="92">
        <f t="shared" si="57"/>
        <v>0</v>
      </c>
      <c r="CU56" s="92">
        <f t="shared" si="102"/>
        <v>0</v>
      </c>
      <c r="CV56" s="103">
        <f t="shared" si="102"/>
        <v>0</v>
      </c>
      <c r="CW56" s="104" t="s">
        <v>147</v>
      </c>
      <c r="CX56" s="105">
        <v>10</v>
      </c>
      <c r="CY56" s="106">
        <f t="shared" si="59"/>
        <v>2790</v>
      </c>
      <c r="CZ56" s="106">
        <f t="shared" si="60"/>
        <v>40.5</v>
      </c>
      <c r="DA56" s="106"/>
      <c r="DB56" s="106"/>
      <c r="DC56" s="105"/>
      <c r="DD56" s="107"/>
      <c r="DE56" s="92">
        <f t="shared" si="21"/>
        <v>0</v>
      </c>
      <c r="DF56" s="108">
        <f t="shared" si="22"/>
        <v>0</v>
      </c>
      <c r="DG56" s="112">
        <f t="shared" si="23"/>
        <v>0</v>
      </c>
      <c r="DH56" s="136">
        <f t="shared" si="24"/>
        <v>0</v>
      </c>
      <c r="DI56" s="135">
        <f t="shared" si="25"/>
        <v>0</v>
      </c>
      <c r="DJ56" s="115">
        <f t="shared" si="26"/>
        <v>0</v>
      </c>
      <c r="DK56" s="110">
        <f t="shared" si="86"/>
        <v>0</v>
      </c>
      <c r="DL56" s="108">
        <f t="shared" si="86"/>
        <v>0</v>
      </c>
      <c r="DM56" s="111">
        <f t="shared" si="86"/>
        <v>0</v>
      </c>
      <c r="DN56" s="76">
        <f t="shared" si="89"/>
        <v>20</v>
      </c>
      <c r="DO56" s="76">
        <f t="shared" si="89"/>
        <v>10</v>
      </c>
      <c r="DP56" s="112"/>
      <c r="DQ56" s="112"/>
      <c r="DR56" s="113" t="s">
        <v>449</v>
      </c>
      <c r="DS56" s="112"/>
      <c r="DT56" s="112"/>
      <c r="DU56" s="111"/>
      <c r="DV56" s="114"/>
      <c r="DW56" s="80">
        <f t="shared" si="104"/>
        <v>0</v>
      </c>
      <c r="DX56" s="81">
        <f t="shared" si="29"/>
        <v>0</v>
      </c>
      <c r="DY56" s="80">
        <f t="shared" si="62"/>
        <v>0</v>
      </c>
      <c r="DZ56" s="82">
        <f t="shared" si="63"/>
        <v>0</v>
      </c>
      <c r="EA56" s="82">
        <f t="shared" si="64"/>
        <v>0</v>
      </c>
      <c r="EB56" s="82">
        <f t="shared" si="65"/>
        <v>0</v>
      </c>
      <c r="EC56" s="82">
        <f t="shared" si="105"/>
        <v>0</v>
      </c>
      <c r="EF56" s="83">
        <f t="shared" si="92"/>
        <v>0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1"/>
        <v>GWA6063-T5-8.3x3-H9B14</v>
      </c>
      <c r="H57" s="46" t="str">
        <f t="shared" si="32"/>
        <v>A6063-T5GW8.30DH9</v>
      </c>
      <c r="I57" s="46" t="str">
        <f t="shared" si="33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4"/>
        <v>12</v>
      </c>
      <c r="T57" s="51">
        <f>'03.02'!BG57</f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5"/>
        <v>0</v>
      </c>
      <c r="AF57" s="54">
        <f>AE57+'03.02'!AF57</f>
        <v>0</v>
      </c>
      <c r="AG57" s="94">
        <f t="shared" si="66"/>
        <v>47</v>
      </c>
      <c r="AH57" s="56">
        <f t="shared" si="13"/>
        <v>0</v>
      </c>
      <c r="AI57" s="93"/>
      <c r="AJ57" s="93">
        <f t="shared" si="67"/>
        <v>0</v>
      </c>
      <c r="AK57" s="95">
        <f t="shared" si="36"/>
        <v>1</v>
      </c>
      <c r="AL57" s="58">
        <f t="shared" si="37"/>
        <v>0</v>
      </c>
      <c r="AM57" s="55">
        <f t="shared" si="68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8"/>
        <v>0</v>
      </c>
      <c r="AV57" s="96">
        <f t="shared" si="38"/>
        <v>0</v>
      </c>
      <c r="AW57" s="96">
        <f t="shared" si="39"/>
        <v>0</v>
      </c>
      <c r="AX57" s="96">
        <f t="shared" si="40"/>
        <v>0</v>
      </c>
      <c r="AY57" s="94">
        <f t="shared" si="69"/>
        <v>0</v>
      </c>
      <c r="AZ57" s="94">
        <f t="shared" si="41"/>
        <v>0</v>
      </c>
      <c r="BA57" s="94">
        <f t="shared" si="42"/>
        <v>47</v>
      </c>
      <c r="BB57" s="97">
        <f t="shared" si="43"/>
        <v>0</v>
      </c>
      <c r="BC57" s="93"/>
      <c r="BD57" s="93">
        <f t="shared" si="44"/>
        <v>0</v>
      </c>
      <c r="BE57" s="95">
        <f t="shared" si="45"/>
        <v>1</v>
      </c>
      <c r="BF57" s="58">
        <f t="shared" si="46"/>
        <v>0</v>
      </c>
      <c r="BG57" s="94">
        <f t="shared" si="47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0"/>
        <v>0</v>
      </c>
      <c r="BP57" s="92">
        <f t="shared" si="70"/>
        <v>0</v>
      </c>
      <c r="BQ57" s="96">
        <f t="shared" si="48"/>
        <v>0</v>
      </c>
      <c r="BR57" s="96">
        <f t="shared" si="49"/>
        <v>0</v>
      </c>
      <c r="BS57" s="96">
        <f t="shared" si="71"/>
        <v>0</v>
      </c>
      <c r="BT57" s="96">
        <f t="shared" si="50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1"/>
        <v>0</v>
      </c>
      <c r="BY57" s="61">
        <f t="shared" si="73"/>
        <v>0</v>
      </c>
      <c r="BZ57" s="62">
        <f t="shared" si="52"/>
        <v>0</v>
      </c>
      <c r="CA57" s="98">
        <f t="shared" si="53"/>
        <v>0</v>
      </c>
      <c r="CB57" s="92">
        <f t="shared" si="98"/>
        <v>0</v>
      </c>
      <c r="CC57" s="92">
        <f t="shared" si="98"/>
        <v>0</v>
      </c>
      <c r="CD57" s="92">
        <f t="shared" si="98"/>
        <v>0</v>
      </c>
      <c r="CE57" s="99"/>
      <c r="CF57" s="99"/>
      <c r="CG57" s="51">
        <f t="shared" si="54"/>
        <v>0</v>
      </c>
      <c r="CH57" s="62">
        <f t="shared" si="55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101"/>
        <v>0</v>
      </c>
      <c r="CR57" s="102">
        <f t="shared" si="101"/>
        <v>0</v>
      </c>
      <c r="CS57" s="102">
        <f t="shared" si="101"/>
        <v>0</v>
      </c>
      <c r="CT57" s="92">
        <f t="shared" si="57"/>
        <v>0</v>
      </c>
      <c r="CU57" s="92">
        <f t="shared" si="102"/>
        <v>0</v>
      </c>
      <c r="CV57" s="103">
        <f t="shared" si="102"/>
        <v>0</v>
      </c>
      <c r="CW57" s="104" t="s">
        <v>147</v>
      </c>
      <c r="CX57" s="105">
        <v>22</v>
      </c>
      <c r="CY57" s="106">
        <f t="shared" si="59"/>
        <v>1914</v>
      </c>
      <c r="CZ57" s="106">
        <f t="shared" si="60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6"/>
        <v>0</v>
      </c>
      <c r="DL57" s="108">
        <f t="shared" si="86"/>
        <v>0</v>
      </c>
      <c r="DM57" s="111">
        <f t="shared" si="86"/>
        <v>0</v>
      </c>
      <c r="DN57" s="76">
        <f t="shared" si="89"/>
        <v>47</v>
      </c>
      <c r="DO57" s="76">
        <f t="shared" si="89"/>
        <v>0</v>
      </c>
      <c r="DP57" s="112"/>
      <c r="DQ57" s="112"/>
      <c r="DR57" s="113" t="s">
        <v>450</v>
      </c>
      <c r="DS57" s="112"/>
      <c r="DT57" s="112"/>
      <c r="DU57" s="111"/>
      <c r="DV57" s="114"/>
      <c r="DW57" s="80">
        <f t="shared" si="104"/>
        <v>0</v>
      </c>
      <c r="DX57" s="81">
        <f t="shared" si="29"/>
        <v>0</v>
      </c>
      <c r="DY57" s="80">
        <f t="shared" si="62"/>
        <v>0</v>
      </c>
      <c r="DZ57" s="82">
        <f t="shared" si="63"/>
        <v>0</v>
      </c>
      <c r="EA57" s="82">
        <f t="shared" si="64"/>
        <v>0</v>
      </c>
      <c r="EB57" s="82">
        <f t="shared" si="65"/>
        <v>0</v>
      </c>
      <c r="EC57" s="82">
        <f t="shared" si="75"/>
        <v>0</v>
      </c>
      <c r="EF57" s="83">
        <f t="shared" si="92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1"/>
        <v>IBC3604-6.5x3-H9A15</v>
      </c>
      <c r="H58" s="46" t="str">
        <f t="shared" si="32"/>
        <v>C3604IB6.50DH9</v>
      </c>
      <c r="I58" s="46" t="str">
        <f t="shared" si="33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4"/>
        <v>20</v>
      </c>
      <c r="T58" s="51">
        <f>'03.02'!BG58</f>
        <v>8</v>
      </c>
      <c r="U58" s="92">
        <v>22</v>
      </c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6029</v>
      </c>
      <c r="AC58" s="93">
        <f t="shared" si="11"/>
        <v>0</v>
      </c>
      <c r="AD58" s="93">
        <f t="shared" si="12"/>
        <v>0</v>
      </c>
      <c r="AE58" s="93">
        <f t="shared" si="35"/>
        <v>6029</v>
      </c>
      <c r="AF58" s="54">
        <f>AE58+'03.02'!AF58</f>
        <v>26166</v>
      </c>
      <c r="AG58" s="94">
        <f t="shared" si="66"/>
        <v>8</v>
      </c>
      <c r="AH58" s="56">
        <f t="shared" si="13"/>
        <v>0</v>
      </c>
      <c r="AI58" s="93">
        <v>11</v>
      </c>
      <c r="AJ58" s="93">
        <f t="shared" si="67"/>
        <v>0</v>
      </c>
      <c r="AK58" s="95">
        <f t="shared" si="36"/>
        <v>1</v>
      </c>
      <c r="AL58" s="58">
        <f t="shared" si="37"/>
        <v>11</v>
      </c>
      <c r="AM58" s="55">
        <f t="shared" si="68"/>
        <v>19</v>
      </c>
      <c r="AN58" s="93"/>
      <c r="AO58" s="96"/>
      <c r="AP58" s="96"/>
      <c r="AQ58" s="96"/>
      <c r="AR58" s="96"/>
      <c r="AS58" s="96"/>
      <c r="AT58" s="96">
        <f>$CJ58</f>
        <v>2017</v>
      </c>
      <c r="AU58" s="96">
        <f t="shared" si="38"/>
        <v>0</v>
      </c>
      <c r="AV58" s="96">
        <f t="shared" si="38"/>
        <v>0</v>
      </c>
      <c r="AW58" s="96">
        <f t="shared" si="39"/>
        <v>2017</v>
      </c>
      <c r="AX58" s="96">
        <f t="shared" si="40"/>
        <v>3306</v>
      </c>
      <c r="AY58" s="94">
        <f t="shared" si="69"/>
        <v>-69.809999999999945</v>
      </c>
      <c r="AZ58" s="94">
        <f t="shared" si="41"/>
        <v>-114.44262295081958</v>
      </c>
      <c r="BA58" s="94">
        <f t="shared" si="42"/>
        <v>19</v>
      </c>
      <c r="BB58" s="97">
        <f t="shared" si="43"/>
        <v>0</v>
      </c>
      <c r="BC58" s="93">
        <v>9</v>
      </c>
      <c r="BD58" s="93">
        <f t="shared" si="44"/>
        <v>0</v>
      </c>
      <c r="BE58" s="95">
        <f t="shared" si="45"/>
        <v>1</v>
      </c>
      <c r="BF58" s="58">
        <f t="shared" si="46"/>
        <v>9</v>
      </c>
      <c r="BG58" s="94">
        <f t="shared" si="47"/>
        <v>10</v>
      </c>
      <c r="BH58" s="89"/>
      <c r="BI58" s="89"/>
      <c r="BJ58" s="89"/>
      <c r="BK58" s="89"/>
      <c r="BL58" s="89"/>
      <c r="BM58" s="89"/>
      <c r="BN58" s="92">
        <f>$CN58</f>
        <v>1661</v>
      </c>
      <c r="BO58" s="92">
        <f t="shared" si="70"/>
        <v>0</v>
      </c>
      <c r="BP58" s="92">
        <f t="shared" si="70"/>
        <v>0</v>
      </c>
      <c r="BQ58" s="96">
        <f t="shared" si="48"/>
        <v>1661</v>
      </c>
      <c r="BR58" s="96">
        <f t="shared" si="49"/>
        <v>2722</v>
      </c>
      <c r="BS58" s="96">
        <f t="shared" si="71"/>
        <v>-46.389999999999873</v>
      </c>
      <c r="BT58" s="96">
        <f t="shared" si="50"/>
        <v>-76.04918032786864</v>
      </c>
      <c r="BU58" s="92">
        <f t="shared" si="16"/>
        <v>6029</v>
      </c>
      <c r="BV58" s="98">
        <f t="shared" si="17"/>
        <v>20</v>
      </c>
      <c r="BW58" s="92">
        <f t="shared" si="18"/>
        <v>-190.49180327868822</v>
      </c>
      <c r="BX58" s="98">
        <f t="shared" si="51"/>
        <v>16.82</v>
      </c>
      <c r="BY58" s="61">
        <f t="shared" si="73"/>
        <v>20</v>
      </c>
      <c r="BZ58" s="62">
        <f t="shared" si="52"/>
        <v>20</v>
      </c>
      <c r="CA58" s="98">
        <f t="shared" si="53"/>
        <v>3.6779999999999999</v>
      </c>
      <c r="CB58" s="92">
        <f t="shared" si="98"/>
        <v>6028</v>
      </c>
      <c r="CC58" s="92">
        <f t="shared" si="98"/>
        <v>-116.19999999999982</v>
      </c>
      <c r="CD58" s="92">
        <f t="shared" si="98"/>
        <v>-190.49180327868822</v>
      </c>
      <c r="CE58" s="99"/>
      <c r="CF58" s="99"/>
      <c r="CG58" s="51">
        <f t="shared" si="54"/>
        <v>13.141999999999999</v>
      </c>
      <c r="CH58" s="62">
        <f t="shared" si="55"/>
        <v>13.141999999999999</v>
      </c>
      <c r="CI58" s="89"/>
      <c r="CJ58" s="89">
        <v>2017</v>
      </c>
      <c r="CK58" s="89"/>
      <c r="CL58" s="96"/>
      <c r="CM58" s="89"/>
      <c r="CN58" s="89">
        <v>1661</v>
      </c>
      <c r="CO58" s="92"/>
      <c r="CP58" s="101"/>
      <c r="CQ58" s="102">
        <f t="shared" si="101"/>
        <v>3306</v>
      </c>
      <c r="CR58" s="102">
        <f t="shared" si="101"/>
        <v>0</v>
      </c>
      <c r="CS58" s="102">
        <f t="shared" si="101"/>
        <v>0</v>
      </c>
      <c r="CT58" s="92">
        <f t="shared" si="57"/>
        <v>2723</v>
      </c>
      <c r="CU58" s="92">
        <f t="shared" si="102"/>
        <v>0</v>
      </c>
      <c r="CV58" s="103">
        <f t="shared" si="102"/>
        <v>0</v>
      </c>
      <c r="CW58" s="104" t="s">
        <v>147</v>
      </c>
      <c r="CX58" s="105">
        <v>13</v>
      </c>
      <c r="CY58" s="106">
        <f t="shared" si="59"/>
        <v>3170</v>
      </c>
      <c r="CZ58" s="106">
        <f t="shared" si="60"/>
        <v>52.650000000000006</v>
      </c>
      <c r="DA58" s="106"/>
      <c r="DB58" s="106"/>
      <c r="DC58" s="105"/>
      <c r="DD58" s="107"/>
      <c r="DE58" s="92">
        <f t="shared" si="21"/>
        <v>3306</v>
      </c>
      <c r="DF58" s="108">
        <f t="shared" si="22"/>
        <v>11</v>
      </c>
      <c r="DG58" s="112">
        <f t="shared" si="23"/>
        <v>-114.44262295081958</v>
      </c>
      <c r="DH58" s="110">
        <f t="shared" si="24"/>
        <v>2723</v>
      </c>
      <c r="DI58" s="108">
        <f t="shared" si="25"/>
        <v>9</v>
      </c>
      <c r="DJ58" s="112">
        <f t="shared" si="26"/>
        <v>-76.04918032786864</v>
      </c>
      <c r="DK58" s="110">
        <f t="shared" si="86"/>
        <v>6029</v>
      </c>
      <c r="DL58" s="108">
        <f t="shared" si="86"/>
        <v>20</v>
      </c>
      <c r="DM58" s="111">
        <f t="shared" si="86"/>
        <v>-190.49180327868822</v>
      </c>
      <c r="DN58" s="76">
        <f t="shared" si="89"/>
        <v>8</v>
      </c>
      <c r="DO58" s="76">
        <f t="shared" si="89"/>
        <v>22</v>
      </c>
      <c r="DP58" s="112"/>
      <c r="DQ58" s="112"/>
      <c r="DR58" s="113" t="s">
        <v>451</v>
      </c>
      <c r="DS58" s="112"/>
      <c r="DT58" s="112"/>
      <c r="DU58" s="111"/>
      <c r="DV58" s="114"/>
      <c r="DW58" s="80">
        <f t="shared" si="104"/>
        <v>20</v>
      </c>
      <c r="DX58" s="81">
        <f t="shared" si="29"/>
        <v>5858.5081967213118</v>
      </c>
      <c r="DY58" s="80">
        <f t="shared" si="62"/>
        <v>6029</v>
      </c>
      <c r="DZ58" s="82">
        <f t="shared" si="63"/>
        <v>0</v>
      </c>
      <c r="EA58" s="82">
        <f t="shared" si="64"/>
        <v>3.6776900000000001</v>
      </c>
      <c r="EB58" s="82">
        <f t="shared" si="65"/>
        <v>13.14231</v>
      </c>
      <c r="EC58" s="82">
        <f>(BX58-CA58)+((AV58+BP58)/1000)</f>
        <v>13.141999999999999</v>
      </c>
      <c r="EF58" s="83">
        <f t="shared" si="92"/>
        <v>-190.49180327868822</v>
      </c>
    </row>
    <row r="59" spans="1:136" ht="14.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1"/>
        <v>GWA6063-T5-7.5x3-H9B14</v>
      </c>
      <c r="H59" s="46" t="str">
        <f t="shared" si="32"/>
        <v>A6063-T5GW7.50DH9</v>
      </c>
      <c r="I59" s="46" t="str">
        <f t="shared" si="33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4"/>
        <v>22</v>
      </c>
      <c r="T59" s="51">
        <f>'03.02'!BG59</f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5"/>
        <v>0</v>
      </c>
      <c r="AF59" s="54">
        <f>AE59+'03.02'!AF59</f>
        <v>0</v>
      </c>
      <c r="AG59" s="94">
        <f t="shared" si="66"/>
        <v>0</v>
      </c>
      <c r="AH59" s="56">
        <f t="shared" si="13"/>
        <v>0</v>
      </c>
      <c r="AI59" s="93"/>
      <c r="AJ59" s="93">
        <f t="shared" si="67"/>
        <v>0</v>
      </c>
      <c r="AK59" s="95">
        <f t="shared" si="36"/>
        <v>1</v>
      </c>
      <c r="AL59" s="58">
        <f t="shared" si="37"/>
        <v>0</v>
      </c>
      <c r="AM59" s="55">
        <f t="shared" si="68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8"/>
        <v>0</v>
      </c>
      <c r="AV59" s="96">
        <f t="shared" si="38"/>
        <v>0</v>
      </c>
      <c r="AW59" s="96">
        <f t="shared" si="39"/>
        <v>0</v>
      </c>
      <c r="AX59" s="96">
        <f t="shared" si="40"/>
        <v>0</v>
      </c>
      <c r="AY59" s="94">
        <f t="shared" si="69"/>
        <v>0</v>
      </c>
      <c r="AZ59" s="94">
        <f t="shared" si="41"/>
        <v>0</v>
      </c>
      <c r="BA59" s="94">
        <f t="shared" si="42"/>
        <v>0</v>
      </c>
      <c r="BB59" s="97">
        <f t="shared" si="43"/>
        <v>0</v>
      </c>
      <c r="BC59" s="93"/>
      <c r="BD59" s="93">
        <f t="shared" si="44"/>
        <v>0</v>
      </c>
      <c r="BE59" s="95">
        <f t="shared" si="45"/>
        <v>1</v>
      </c>
      <c r="BF59" s="58">
        <f t="shared" si="46"/>
        <v>0</v>
      </c>
      <c r="BG59" s="94">
        <f t="shared" si="47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0"/>
        <v>0</v>
      </c>
      <c r="BP59" s="92">
        <f t="shared" si="70"/>
        <v>0</v>
      </c>
      <c r="BQ59" s="96">
        <f t="shared" si="48"/>
        <v>0</v>
      </c>
      <c r="BR59" s="96">
        <f t="shared" si="49"/>
        <v>0</v>
      </c>
      <c r="BS59" s="96">
        <f t="shared" si="71"/>
        <v>0</v>
      </c>
      <c r="BT59" s="96">
        <f t="shared" si="50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1"/>
        <v>0</v>
      </c>
      <c r="BY59" s="61">
        <f t="shared" si="73"/>
        <v>0</v>
      </c>
      <c r="BZ59" s="62">
        <f t="shared" si="52"/>
        <v>0</v>
      </c>
      <c r="CA59" s="98">
        <f t="shared" si="53"/>
        <v>0</v>
      </c>
      <c r="CB59" s="92">
        <f t="shared" si="98"/>
        <v>0</v>
      </c>
      <c r="CC59" s="92">
        <f t="shared" si="98"/>
        <v>0</v>
      </c>
      <c r="CD59" s="92">
        <f t="shared" si="98"/>
        <v>0</v>
      </c>
      <c r="CE59" s="99"/>
      <c r="CF59" s="99"/>
      <c r="CG59" s="51">
        <f t="shared" si="54"/>
        <v>0</v>
      </c>
      <c r="CH59" s="62">
        <f t="shared" si="55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101"/>
        <v>0</v>
      </c>
      <c r="CR59" s="102">
        <f t="shared" si="101"/>
        <v>0</v>
      </c>
      <c r="CS59" s="102">
        <f t="shared" si="101"/>
        <v>0</v>
      </c>
      <c r="CT59" s="92">
        <f t="shared" si="57"/>
        <v>0</v>
      </c>
      <c r="CU59" s="92">
        <f t="shared" si="102"/>
        <v>0</v>
      </c>
      <c r="CV59" s="103">
        <f t="shared" si="102"/>
        <v>0</v>
      </c>
      <c r="CW59" s="104" t="s">
        <v>147</v>
      </c>
      <c r="CX59" s="105">
        <v>15.56</v>
      </c>
      <c r="CY59" s="106">
        <f t="shared" si="59"/>
        <v>2637</v>
      </c>
      <c r="CZ59" s="106">
        <f t="shared" si="60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6"/>
        <v>0</v>
      </c>
      <c r="DL59" s="108">
        <f t="shared" si="86"/>
        <v>0</v>
      </c>
      <c r="DM59" s="111">
        <f t="shared" si="86"/>
        <v>0</v>
      </c>
      <c r="DN59" s="76">
        <f t="shared" si="89"/>
        <v>0</v>
      </c>
      <c r="DO59" s="76">
        <f t="shared" si="89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1"/>
        <v>0</v>
      </c>
      <c r="DX59" s="81">
        <f t="shared" si="29"/>
        <v>0</v>
      </c>
      <c r="DY59" s="80">
        <f t="shared" si="62"/>
        <v>0</v>
      </c>
      <c r="DZ59" s="82">
        <f t="shared" si="63"/>
        <v>0</v>
      </c>
      <c r="EA59" s="82">
        <f t="shared" si="64"/>
        <v>0</v>
      </c>
      <c r="EB59" s="82">
        <f t="shared" si="65"/>
        <v>0</v>
      </c>
      <c r="EC59" s="82">
        <f t="shared" si="75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1"/>
        <v>TVSUS303-5x3-H7B13</v>
      </c>
      <c r="H60" s="46" t="str">
        <f t="shared" si="32"/>
        <v>SUS303TV50DH7</v>
      </c>
      <c r="I60" s="46" t="str">
        <f t="shared" si="33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4"/>
        <v>6</v>
      </c>
      <c r="T60" s="51">
        <f>'03.02'!BG60</f>
        <v>7</v>
      </c>
      <c r="U60" s="92"/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1232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402</v>
      </c>
      <c r="AE60" s="93">
        <f t="shared" si="35"/>
        <v>1232</v>
      </c>
      <c r="AF60" s="54">
        <f>AE60+'03.02'!AF60</f>
        <v>1232</v>
      </c>
      <c r="AG60" s="94">
        <f t="shared" si="66"/>
        <v>7</v>
      </c>
      <c r="AH60" s="56">
        <f t="shared" si="13"/>
        <v>0</v>
      </c>
      <c r="AI60" s="93">
        <v>1</v>
      </c>
      <c r="AJ60" s="93">
        <f t="shared" si="67"/>
        <v>0</v>
      </c>
      <c r="AK60" s="95">
        <f t="shared" si="36"/>
        <v>1</v>
      </c>
      <c r="AL60" s="58">
        <f t="shared" si="37"/>
        <v>1</v>
      </c>
      <c r="AM60" s="55">
        <f t="shared" si="68"/>
        <v>6</v>
      </c>
      <c r="AN60" s="93"/>
      <c r="AO60" s="96"/>
      <c r="AP60" s="96"/>
      <c r="AQ60" s="96"/>
      <c r="AR60" s="96">
        <f t="shared" ref="AP60:AR61" si="106">$CJ60</f>
        <v>150</v>
      </c>
      <c r="AS60" s="96"/>
      <c r="AT60" s="96"/>
      <c r="AU60" s="96">
        <f t="shared" si="38"/>
        <v>0</v>
      </c>
      <c r="AV60" s="96">
        <f t="shared" si="38"/>
        <v>50</v>
      </c>
      <c r="AW60" s="96">
        <f t="shared" si="39"/>
        <v>200</v>
      </c>
      <c r="AX60" s="96">
        <f t="shared" si="40"/>
        <v>547</v>
      </c>
      <c r="AY60" s="94">
        <f t="shared" si="69"/>
        <v>14.215000000000003</v>
      </c>
      <c r="AZ60" s="94">
        <f t="shared" si="41"/>
        <v>38.945205479452063</v>
      </c>
      <c r="BA60" s="94">
        <f t="shared" si="42"/>
        <v>6</v>
      </c>
      <c r="BB60" s="97">
        <f t="shared" si="43"/>
        <v>0</v>
      </c>
      <c r="BC60" s="93">
        <v>2</v>
      </c>
      <c r="BD60" s="93">
        <f t="shared" si="44"/>
        <v>0</v>
      </c>
      <c r="BE60" s="95">
        <f t="shared" si="45"/>
        <v>1</v>
      </c>
      <c r="BF60" s="58">
        <f t="shared" si="46"/>
        <v>2</v>
      </c>
      <c r="BG60" s="94">
        <f t="shared" si="47"/>
        <v>4</v>
      </c>
      <c r="BH60" s="89"/>
      <c r="BI60" s="89"/>
      <c r="BJ60" s="92"/>
      <c r="BK60" s="89"/>
      <c r="BL60" s="92">
        <f>$CN60</f>
        <v>300</v>
      </c>
      <c r="BM60" s="92"/>
      <c r="BN60" s="92"/>
      <c r="BO60" s="92">
        <f t="shared" si="70"/>
        <v>0</v>
      </c>
      <c r="BP60" s="92">
        <f t="shared" si="70"/>
        <v>97</v>
      </c>
      <c r="BQ60" s="96">
        <f t="shared" si="48"/>
        <v>397</v>
      </c>
      <c r="BR60" s="96">
        <f t="shared" si="49"/>
        <v>1087</v>
      </c>
      <c r="BS60" s="96">
        <f t="shared" si="71"/>
        <v>25.430000000000007</v>
      </c>
      <c r="BT60" s="96">
        <f t="shared" si="50"/>
        <v>69.671232876712352</v>
      </c>
      <c r="BU60" s="92">
        <f t="shared" si="16"/>
        <v>1232</v>
      </c>
      <c r="BV60" s="98">
        <f t="shared" si="17"/>
        <v>3</v>
      </c>
      <c r="BW60" s="92">
        <f t="shared" si="18"/>
        <v>108.61643835616442</v>
      </c>
      <c r="BX60" s="98">
        <f t="shared" si="51"/>
        <v>1.41</v>
      </c>
      <c r="BY60" s="61">
        <f t="shared" si="73"/>
        <v>3</v>
      </c>
      <c r="BZ60" s="62">
        <f t="shared" si="52"/>
        <v>3</v>
      </c>
      <c r="CA60" s="98">
        <f t="shared" si="53"/>
        <v>0.59699999999999998</v>
      </c>
      <c r="CB60" s="92">
        <f t="shared" si="98"/>
        <v>1634</v>
      </c>
      <c r="CC60" s="92">
        <f t="shared" si="98"/>
        <v>39.64500000000001</v>
      </c>
      <c r="CD60" s="92">
        <f t="shared" si="98"/>
        <v>108.61643835616442</v>
      </c>
      <c r="CE60" s="99"/>
      <c r="CF60" s="99"/>
      <c r="CG60" s="51">
        <f t="shared" si="54"/>
        <v>0.96</v>
      </c>
      <c r="CH60" s="62">
        <f t="shared" si="55"/>
        <v>0.96</v>
      </c>
      <c r="CI60" s="89"/>
      <c r="CJ60" s="89">
        <v>150</v>
      </c>
      <c r="CK60" s="89"/>
      <c r="CL60" s="96">
        <v>50</v>
      </c>
      <c r="CM60" s="89"/>
      <c r="CN60" s="89">
        <v>300</v>
      </c>
      <c r="CO60" s="92"/>
      <c r="CP60" s="101">
        <v>97</v>
      </c>
      <c r="CQ60" s="102">
        <f t="shared" si="101"/>
        <v>410</v>
      </c>
      <c r="CR60" s="102">
        <f t="shared" si="101"/>
        <v>0</v>
      </c>
      <c r="CS60" s="102">
        <f t="shared" si="101"/>
        <v>136</v>
      </c>
      <c r="CT60" s="92">
        <f t="shared" si="57"/>
        <v>822</v>
      </c>
      <c r="CU60" s="92">
        <f t="shared" si="102"/>
        <v>0</v>
      </c>
      <c r="CV60" s="103">
        <f t="shared" si="102"/>
        <v>266</v>
      </c>
      <c r="CW60" s="104" t="s">
        <v>147</v>
      </c>
      <c r="CX60" s="105">
        <v>30</v>
      </c>
      <c r="CY60" s="106">
        <f t="shared" si="59"/>
        <v>1422</v>
      </c>
      <c r="CZ60" s="106">
        <f t="shared" si="60"/>
        <v>121.50000000000001</v>
      </c>
      <c r="DA60" s="106"/>
      <c r="DB60" s="106"/>
      <c r="DC60" s="105"/>
      <c r="DD60" s="107"/>
      <c r="DE60" s="92">
        <f t="shared" si="21"/>
        <v>410</v>
      </c>
      <c r="DF60" s="108">
        <f t="shared" si="22"/>
        <v>1</v>
      </c>
      <c r="DG60" s="115">
        <f t="shared" si="23"/>
        <v>38.945205479452063</v>
      </c>
      <c r="DH60" s="110">
        <f t="shared" si="24"/>
        <v>822</v>
      </c>
      <c r="DI60" s="108">
        <f t="shared" si="25"/>
        <v>2</v>
      </c>
      <c r="DJ60" s="115">
        <f t="shared" si="26"/>
        <v>69.671232876712352</v>
      </c>
      <c r="DK60" s="110">
        <f t="shared" si="86"/>
        <v>1232</v>
      </c>
      <c r="DL60" s="108">
        <f t="shared" si="86"/>
        <v>3</v>
      </c>
      <c r="DM60" s="111">
        <f t="shared" si="86"/>
        <v>108.61643835616442</v>
      </c>
      <c r="DN60" s="76">
        <f t="shared" si="89"/>
        <v>7</v>
      </c>
      <c r="DO60" s="76">
        <f t="shared" si="89"/>
        <v>0</v>
      </c>
      <c r="DP60" s="112"/>
      <c r="DQ60" s="112"/>
      <c r="DR60" s="113" t="s">
        <v>452</v>
      </c>
      <c r="DS60" s="112"/>
      <c r="DT60" s="112"/>
      <c r="DU60" s="111"/>
      <c r="DV60" s="114"/>
      <c r="DW60" s="80">
        <f>IFERROR(AL60+BF60,"")</f>
        <v>3</v>
      </c>
      <c r="DX60" s="81">
        <f t="shared" si="29"/>
        <v>1343.6164383561645</v>
      </c>
      <c r="DY60" s="80">
        <f t="shared" si="62"/>
        <v>1634</v>
      </c>
      <c r="DZ60" s="82">
        <f t="shared" si="63"/>
        <v>0.14673</v>
      </c>
      <c r="EA60" s="82">
        <f t="shared" si="64"/>
        <v>0.44968000000000002</v>
      </c>
      <c r="EB60" s="82">
        <f t="shared" si="65"/>
        <v>0.96031999999999984</v>
      </c>
      <c r="EC60" s="82">
        <f t="shared" si="75"/>
        <v>1.1070499999999999</v>
      </c>
      <c r="EF60" s="83">
        <f t="shared" ref="EF60:EF88" si="107">DG60+DJ60</f>
        <v>108.61643835616442</v>
      </c>
    </row>
    <row r="61" spans="1:136" ht="14.1" customHeight="1">
      <c r="A61" s="84">
        <v>54</v>
      </c>
      <c r="B61" s="85" t="s">
        <v>290</v>
      </c>
      <c r="C61" s="86"/>
      <c r="D61" s="171" t="s">
        <v>291</v>
      </c>
      <c r="E61" s="88">
        <v>160</v>
      </c>
      <c r="F61" s="89" t="s">
        <v>147</v>
      </c>
      <c r="G61" s="45" t="str">
        <f t="shared" si="31"/>
        <v>IBC3604-9x3-H9B14</v>
      </c>
      <c r="H61" s="46" t="str">
        <f t="shared" si="32"/>
        <v>C3604IB90DH9</v>
      </c>
      <c r="I61" s="46" t="str">
        <f t="shared" si="33"/>
        <v>C3604IB90DH93B14</v>
      </c>
      <c r="J61" s="90" t="s">
        <v>148</v>
      </c>
      <c r="K61" s="90" t="s">
        <v>156</v>
      </c>
      <c r="L61" s="90">
        <v>9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171</v>
      </c>
      <c r="S61" s="89">
        <f t="shared" si="34"/>
        <v>38</v>
      </c>
      <c r="T61" s="51">
        <f>'03.02'!BG61</f>
        <v>32</v>
      </c>
      <c r="U61" s="92"/>
      <c r="V61" s="100">
        <v>4.18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35"/>
        <v>0</v>
      </c>
      <c r="AF61" s="54">
        <f>AE61+'03.02'!AF61</f>
        <v>0</v>
      </c>
      <c r="AG61" s="94">
        <f t="shared" si="66"/>
        <v>32</v>
      </c>
      <c r="AH61" s="56">
        <f t="shared" si="13"/>
        <v>0</v>
      </c>
      <c r="AI61" s="93"/>
      <c r="AJ61" s="93">
        <f t="shared" si="67"/>
        <v>0</v>
      </c>
      <c r="AK61" s="95">
        <f t="shared" si="36"/>
        <v>1</v>
      </c>
      <c r="AL61" s="58">
        <f t="shared" si="37"/>
        <v>0</v>
      </c>
      <c r="AM61" s="55">
        <f t="shared" si="68"/>
        <v>32</v>
      </c>
      <c r="AN61" s="93"/>
      <c r="AO61" s="96"/>
      <c r="AP61" s="96">
        <f t="shared" si="106"/>
        <v>0</v>
      </c>
      <c r="AQ61" s="96"/>
      <c r="AR61" s="96"/>
      <c r="AS61" s="96"/>
      <c r="AT61" s="96"/>
      <c r="AU61" s="96">
        <f t="shared" si="38"/>
        <v>0</v>
      </c>
      <c r="AV61" s="96">
        <f t="shared" si="38"/>
        <v>0</v>
      </c>
      <c r="AW61" s="96">
        <f t="shared" si="39"/>
        <v>0</v>
      </c>
      <c r="AX61" s="96">
        <f t="shared" si="40"/>
        <v>0</v>
      </c>
      <c r="AY61" s="94">
        <f t="shared" si="69"/>
        <v>0</v>
      </c>
      <c r="AZ61" s="94">
        <f t="shared" si="41"/>
        <v>0</v>
      </c>
      <c r="BA61" s="94">
        <f t="shared" si="42"/>
        <v>32</v>
      </c>
      <c r="BB61" s="97">
        <f t="shared" si="43"/>
        <v>0</v>
      </c>
      <c r="BC61" s="93"/>
      <c r="BD61" s="93">
        <f t="shared" si="44"/>
        <v>0</v>
      </c>
      <c r="BE61" s="95">
        <f t="shared" si="45"/>
        <v>1</v>
      </c>
      <c r="BF61" s="58">
        <f t="shared" si="46"/>
        <v>0</v>
      </c>
      <c r="BG61" s="94">
        <f t="shared" si="47"/>
        <v>32</v>
      </c>
      <c r="BH61" s="89"/>
      <c r="BI61" s="89"/>
      <c r="BJ61" s="92">
        <f>$CN61</f>
        <v>0</v>
      </c>
      <c r="BK61" s="89"/>
      <c r="BL61" s="89"/>
      <c r="BM61" s="89"/>
      <c r="BN61" s="92"/>
      <c r="BO61" s="92">
        <f t="shared" si="70"/>
        <v>0</v>
      </c>
      <c r="BP61" s="92">
        <f t="shared" si="70"/>
        <v>0</v>
      </c>
      <c r="BQ61" s="96">
        <f t="shared" si="48"/>
        <v>0</v>
      </c>
      <c r="BR61" s="96">
        <f t="shared" si="49"/>
        <v>0</v>
      </c>
      <c r="BS61" s="96">
        <f t="shared" si="71"/>
        <v>0</v>
      </c>
      <c r="BT61" s="96">
        <f>IF($V61="","",BS61/$V61)</f>
        <v>0</v>
      </c>
      <c r="BU61" s="92">
        <f t="shared" si="16"/>
        <v>0</v>
      </c>
      <c r="BV61" s="98">
        <f t="shared" si="17"/>
        <v>0</v>
      </c>
      <c r="BW61" s="92">
        <f t="shared" si="18"/>
        <v>0</v>
      </c>
      <c r="BX61" s="98">
        <f t="shared" si="51"/>
        <v>0</v>
      </c>
      <c r="BY61" s="61">
        <f t="shared" si="73"/>
        <v>0</v>
      </c>
      <c r="BZ61" s="62">
        <f t="shared" si="52"/>
        <v>0</v>
      </c>
      <c r="CA61" s="98">
        <f t="shared" si="53"/>
        <v>0</v>
      </c>
      <c r="CB61" s="92">
        <f t="shared" si="98"/>
        <v>0</v>
      </c>
      <c r="CC61" s="92">
        <f t="shared" si="98"/>
        <v>0</v>
      </c>
      <c r="CD61" s="92">
        <f t="shared" si="98"/>
        <v>0</v>
      </c>
      <c r="CE61" s="99"/>
      <c r="CF61" s="99"/>
      <c r="CG61" s="51">
        <f t="shared" si="54"/>
        <v>0</v>
      </c>
      <c r="CH61" s="62">
        <f t="shared" si="55"/>
        <v>0</v>
      </c>
      <c r="CI61" s="89"/>
      <c r="CJ61" s="89"/>
      <c r="CK61" s="89"/>
      <c r="CL61" s="96"/>
      <c r="CM61" s="89"/>
      <c r="CN61" s="89"/>
      <c r="CO61" s="92"/>
      <c r="CP61" s="101"/>
      <c r="CQ61" s="102">
        <f t="shared" si="101"/>
        <v>0</v>
      </c>
      <c r="CR61" s="102">
        <f t="shared" si="101"/>
        <v>0</v>
      </c>
      <c r="CS61" s="102">
        <f t="shared" si="101"/>
        <v>0</v>
      </c>
      <c r="CT61" s="92">
        <f t="shared" si="57"/>
        <v>0</v>
      </c>
      <c r="CU61" s="92">
        <f t="shared" si="102"/>
        <v>0</v>
      </c>
      <c r="CV61" s="103">
        <f t="shared" si="102"/>
        <v>0</v>
      </c>
      <c r="CW61" s="104" t="s">
        <v>147</v>
      </c>
      <c r="CX61" s="105">
        <v>13</v>
      </c>
      <c r="CY61" s="106">
        <f t="shared" si="59"/>
        <v>3032</v>
      </c>
      <c r="CZ61" s="106">
        <f t="shared" si="60"/>
        <v>52.650000000000006</v>
      </c>
      <c r="DA61" s="106"/>
      <c r="DB61" s="106"/>
      <c r="DC61" s="105"/>
      <c r="DD61" s="107"/>
      <c r="DE61" s="92">
        <f t="shared" si="21"/>
        <v>0</v>
      </c>
      <c r="DF61" s="108">
        <f t="shared" si="22"/>
        <v>0</v>
      </c>
      <c r="DG61" s="112">
        <f t="shared" si="23"/>
        <v>0</v>
      </c>
      <c r="DH61" s="110">
        <f t="shared" si="24"/>
        <v>0</v>
      </c>
      <c r="DI61" s="108">
        <f t="shared" si="25"/>
        <v>0</v>
      </c>
      <c r="DJ61" s="112">
        <f t="shared" si="26"/>
        <v>0</v>
      </c>
      <c r="DK61" s="110">
        <f t="shared" si="86"/>
        <v>0</v>
      </c>
      <c r="DL61" s="108">
        <f t="shared" si="86"/>
        <v>0</v>
      </c>
      <c r="DM61" s="111">
        <f t="shared" si="86"/>
        <v>0</v>
      </c>
      <c r="DN61" s="76">
        <f t="shared" si="89"/>
        <v>32</v>
      </c>
      <c r="DO61" s="76">
        <f t="shared" si="89"/>
        <v>0</v>
      </c>
      <c r="DP61" s="112"/>
      <c r="DQ61" s="112"/>
      <c r="DR61" s="113" t="s">
        <v>453</v>
      </c>
      <c r="DS61" s="112"/>
      <c r="DT61" s="112"/>
      <c r="DU61" s="111"/>
      <c r="DV61" s="114"/>
      <c r="DW61" s="80">
        <f t="shared" si="61"/>
        <v>0</v>
      </c>
      <c r="DX61" s="81">
        <f t="shared" si="29"/>
        <v>0</v>
      </c>
      <c r="DY61" s="80">
        <f t="shared" si="62"/>
        <v>0</v>
      </c>
      <c r="DZ61" s="82">
        <f t="shared" si="63"/>
        <v>0</v>
      </c>
      <c r="EA61" s="82">
        <f t="shared" si="64"/>
        <v>0</v>
      </c>
      <c r="EB61" s="82">
        <f t="shared" si="65"/>
        <v>0</v>
      </c>
      <c r="EC61" s="82">
        <f t="shared" ref="EC61:EC65" si="108">(BX61-CA61)+((AV61+BP61)/1000)</f>
        <v>0</v>
      </c>
      <c r="EF61" s="83">
        <f t="shared" si="107"/>
        <v>0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1"/>
        <v>MIC3602-3x2.5-H9A14</v>
      </c>
      <c r="H62" s="46" t="str">
        <f t="shared" si="32"/>
        <v>C3602MI30DH9</v>
      </c>
      <c r="I62" s="46" t="str">
        <f t="shared" si="33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4"/>
        <v>34</v>
      </c>
      <c r="T62" s="51">
        <f>'03.02'!BG62</f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5"/>
        <v>0</v>
      </c>
      <c r="AF62" s="54">
        <f>AE62+'03.02'!AF62</f>
        <v>0</v>
      </c>
      <c r="AG62" s="94">
        <f t="shared" si="66"/>
        <v>47</v>
      </c>
      <c r="AH62" s="56">
        <f t="shared" si="13"/>
        <v>0</v>
      </c>
      <c r="AI62" s="93"/>
      <c r="AJ62" s="93">
        <f t="shared" si="67"/>
        <v>0</v>
      </c>
      <c r="AK62" s="95">
        <f t="shared" si="36"/>
        <v>1</v>
      </c>
      <c r="AL62" s="58">
        <f t="shared" si="37"/>
        <v>0</v>
      </c>
      <c r="AM62" s="55">
        <f t="shared" si="68"/>
        <v>47</v>
      </c>
      <c r="AN62" s="93"/>
      <c r="AO62" s="96"/>
      <c r="AP62" s="96"/>
      <c r="AQ62" s="96"/>
      <c r="AR62" s="96"/>
      <c r="AS62" s="96"/>
      <c r="AT62" s="96">
        <f t="shared" ref="AT62:AT64" si="109">$CJ62</f>
        <v>0</v>
      </c>
      <c r="AU62" s="96">
        <f t="shared" si="38"/>
        <v>0</v>
      </c>
      <c r="AV62" s="96">
        <f t="shared" si="38"/>
        <v>0</v>
      </c>
      <c r="AW62" s="96">
        <f t="shared" si="39"/>
        <v>0</v>
      </c>
      <c r="AX62" s="96">
        <f t="shared" si="40"/>
        <v>0</v>
      </c>
      <c r="AY62" s="94">
        <f t="shared" si="69"/>
        <v>0</v>
      </c>
      <c r="AZ62" s="94">
        <f t="shared" si="41"/>
        <v>0</v>
      </c>
      <c r="BA62" s="94">
        <f t="shared" si="42"/>
        <v>47</v>
      </c>
      <c r="BB62" s="97">
        <f t="shared" si="43"/>
        <v>0</v>
      </c>
      <c r="BC62" s="93"/>
      <c r="BD62" s="93">
        <f t="shared" si="44"/>
        <v>0</v>
      </c>
      <c r="BE62" s="95">
        <f t="shared" si="45"/>
        <v>1</v>
      </c>
      <c r="BF62" s="58">
        <f t="shared" si="46"/>
        <v>0</v>
      </c>
      <c r="BG62" s="94">
        <f t="shared" si="47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0"/>
        <v>0</v>
      </c>
      <c r="BP62" s="92">
        <f t="shared" si="70"/>
        <v>0</v>
      </c>
      <c r="BQ62" s="96">
        <f t="shared" si="48"/>
        <v>0</v>
      </c>
      <c r="BR62" s="96">
        <f t="shared" si="49"/>
        <v>0</v>
      </c>
      <c r="BS62" s="96">
        <f t="shared" si="71"/>
        <v>0</v>
      </c>
      <c r="BT62" s="96">
        <f t="shared" si="50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1"/>
        <v>0</v>
      </c>
      <c r="BY62" s="61">
        <f t="shared" si="73"/>
        <v>0</v>
      </c>
      <c r="BZ62" s="62">
        <f t="shared" si="52"/>
        <v>0</v>
      </c>
      <c r="CA62" s="98">
        <f t="shared" si="53"/>
        <v>0</v>
      </c>
      <c r="CB62" s="92">
        <f t="shared" si="98"/>
        <v>0</v>
      </c>
      <c r="CC62" s="92">
        <f t="shared" si="98"/>
        <v>0</v>
      </c>
      <c r="CD62" s="92">
        <f t="shared" si="98"/>
        <v>0</v>
      </c>
      <c r="CE62" s="99"/>
      <c r="CF62" s="99"/>
      <c r="CG62" s="51">
        <f t="shared" si="54"/>
        <v>0</v>
      </c>
      <c r="CH62" s="62">
        <f t="shared" si="55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101"/>
        <v>0</v>
      </c>
      <c r="CR62" s="102">
        <f t="shared" si="101"/>
        <v>0</v>
      </c>
      <c r="CS62" s="102">
        <f t="shared" si="101"/>
        <v>0</v>
      </c>
      <c r="CT62" s="92">
        <f t="shared" si="57"/>
        <v>0</v>
      </c>
      <c r="CU62" s="92">
        <f t="shared" si="102"/>
        <v>0</v>
      </c>
      <c r="CV62" s="103">
        <f t="shared" si="102"/>
        <v>0</v>
      </c>
      <c r="CW62" s="104" t="s">
        <v>147</v>
      </c>
      <c r="CX62" s="105">
        <v>6</v>
      </c>
      <c r="CY62" s="106">
        <f t="shared" si="59"/>
        <v>6630</v>
      </c>
      <c r="CZ62" s="106">
        <f t="shared" si="60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6"/>
        <v>0</v>
      </c>
      <c r="DL62" s="108">
        <f t="shared" si="86"/>
        <v>0</v>
      </c>
      <c r="DM62" s="111">
        <f t="shared" si="86"/>
        <v>0</v>
      </c>
      <c r="DN62" s="76">
        <f t="shared" si="89"/>
        <v>47</v>
      </c>
      <c r="DO62" s="76">
        <f t="shared" si="89"/>
        <v>0</v>
      </c>
      <c r="DP62" s="112"/>
      <c r="DQ62" s="112"/>
      <c r="DR62" s="113" t="s">
        <v>454</v>
      </c>
      <c r="DS62" s="112"/>
      <c r="DT62" s="112"/>
      <c r="DU62" s="111"/>
      <c r="DV62" s="114"/>
      <c r="DW62" s="80">
        <f t="shared" ref="DW62:DW65" si="110">IFERROR(AL62+BF62,"")</f>
        <v>0</v>
      </c>
      <c r="DX62" s="81">
        <f t="shared" si="29"/>
        <v>0</v>
      </c>
      <c r="DY62" s="80">
        <f t="shared" si="62"/>
        <v>0</v>
      </c>
      <c r="DZ62" s="82">
        <f t="shared" si="63"/>
        <v>0</v>
      </c>
      <c r="EA62" s="82">
        <f t="shared" si="64"/>
        <v>0</v>
      </c>
      <c r="EB62" s="82">
        <f t="shared" si="65"/>
        <v>0</v>
      </c>
      <c r="EC62" s="82">
        <f t="shared" si="108"/>
        <v>0</v>
      </c>
      <c r="EF62" s="83">
        <f t="shared" si="107"/>
        <v>0</v>
      </c>
    </row>
    <row r="63" spans="1:136" ht="11.25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1"/>
        <v>FRCuBe2Pb-3.15x3-H9A08</v>
      </c>
      <c r="H63" s="46" t="str">
        <f t="shared" si="32"/>
        <v>CuBe2PbFR3.150DH9</v>
      </c>
      <c r="I63" s="46" t="str">
        <f t="shared" si="33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4"/>
        <v>16</v>
      </c>
      <c r="T63" s="51">
        <f>'03.02'!BG63</f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5"/>
        <v>0</v>
      </c>
      <c r="AF63" s="54">
        <f>AE63+'03.02'!AF63</f>
        <v>0</v>
      </c>
      <c r="AG63" s="94">
        <f t="shared" si="66"/>
        <v>0</v>
      </c>
      <c r="AH63" s="56">
        <f t="shared" si="13"/>
        <v>0</v>
      </c>
      <c r="AI63" s="93"/>
      <c r="AJ63" s="93">
        <f t="shared" si="67"/>
        <v>0</v>
      </c>
      <c r="AK63" s="95">
        <f t="shared" si="36"/>
        <v>1</v>
      </c>
      <c r="AL63" s="58">
        <f t="shared" si="37"/>
        <v>0</v>
      </c>
      <c r="AM63" s="55">
        <f t="shared" si="68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8"/>
        <v>0</v>
      </c>
      <c r="AV63" s="96">
        <f t="shared" si="38"/>
        <v>0</v>
      </c>
      <c r="AW63" s="96">
        <f t="shared" si="39"/>
        <v>0</v>
      </c>
      <c r="AX63" s="96">
        <f t="shared" si="40"/>
        <v>0</v>
      </c>
      <c r="AY63" s="94">
        <f t="shared" si="69"/>
        <v>0</v>
      </c>
      <c r="AZ63" s="94">
        <f t="shared" si="41"/>
        <v>0</v>
      </c>
      <c r="BA63" s="94">
        <f t="shared" si="42"/>
        <v>0</v>
      </c>
      <c r="BB63" s="97">
        <f t="shared" si="43"/>
        <v>0</v>
      </c>
      <c r="BC63" s="93"/>
      <c r="BD63" s="93">
        <f t="shared" si="44"/>
        <v>0</v>
      </c>
      <c r="BE63" s="95">
        <f t="shared" si="45"/>
        <v>1</v>
      </c>
      <c r="BF63" s="58">
        <f t="shared" si="46"/>
        <v>0</v>
      </c>
      <c r="BG63" s="94">
        <f t="shared" si="47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0"/>
        <v>0</v>
      </c>
      <c r="BP63" s="92">
        <f t="shared" si="70"/>
        <v>0</v>
      </c>
      <c r="BQ63" s="96">
        <f t="shared" si="48"/>
        <v>0</v>
      </c>
      <c r="BR63" s="96">
        <f>IF(AA63="","",INT(BQ63/$V63))</f>
        <v>0</v>
      </c>
      <c r="BS63" s="96">
        <f t="shared" si="71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1"/>
        <v>0</v>
      </c>
      <c r="BY63" s="61">
        <f t="shared" si="73"/>
        <v>0</v>
      </c>
      <c r="BZ63" s="62">
        <f t="shared" si="52"/>
        <v>0</v>
      </c>
      <c r="CA63" s="98">
        <f t="shared" si="53"/>
        <v>0</v>
      </c>
      <c r="CB63" s="92">
        <f t="shared" si="98"/>
        <v>0</v>
      </c>
      <c r="CC63" s="92">
        <f t="shared" si="98"/>
        <v>0</v>
      </c>
      <c r="CD63" s="92">
        <f t="shared" si="98"/>
        <v>0</v>
      </c>
      <c r="CE63" s="99"/>
      <c r="CF63" s="99"/>
      <c r="CG63" s="51">
        <f t="shared" si="54"/>
        <v>0</v>
      </c>
      <c r="CH63" s="62">
        <f t="shared" si="55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101"/>
        <v>0</v>
      </c>
      <c r="CR63" s="102">
        <f t="shared" si="101"/>
        <v>0</v>
      </c>
      <c r="CS63" s="102">
        <f t="shared" si="101"/>
        <v>0</v>
      </c>
      <c r="CT63" s="92">
        <f t="shared" si="57"/>
        <v>0</v>
      </c>
      <c r="CU63" s="92">
        <f t="shared" si="102"/>
        <v>0</v>
      </c>
      <c r="CV63" s="103">
        <f t="shared" si="102"/>
        <v>0</v>
      </c>
      <c r="CW63" s="104" t="s">
        <v>147</v>
      </c>
      <c r="CX63" s="105">
        <v>6</v>
      </c>
      <c r="CY63" s="106">
        <f t="shared" si="59"/>
        <v>6960</v>
      </c>
      <c r="CZ63" s="106">
        <f t="shared" si="60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6"/>
        <v>0</v>
      </c>
      <c r="DL63" s="108">
        <f t="shared" si="86"/>
        <v>0</v>
      </c>
      <c r="DM63" s="111">
        <f t="shared" si="86"/>
        <v>0</v>
      </c>
      <c r="DN63" s="76">
        <f t="shared" si="89"/>
        <v>0</v>
      </c>
      <c r="DO63" s="76">
        <f t="shared" si="89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10"/>
        <v>0</v>
      </c>
      <c r="DX63" s="81">
        <f t="shared" si="29"/>
        <v>0</v>
      </c>
      <c r="DY63" s="80">
        <f t="shared" si="62"/>
        <v>0</v>
      </c>
      <c r="DZ63" s="82">
        <f t="shared" si="63"/>
        <v>0</v>
      </c>
      <c r="EA63" s="82">
        <f t="shared" si="64"/>
        <v>0</v>
      </c>
      <c r="EB63" s="82">
        <f t="shared" si="65"/>
        <v>0</v>
      </c>
      <c r="EC63" s="82">
        <f t="shared" si="108"/>
        <v>0</v>
      </c>
      <c r="EF63" s="83">
        <f t="shared" si="107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1"/>
        <v>IBC3604-5x3-H9B14</v>
      </c>
      <c r="H64" s="46" t="str">
        <f t="shared" si="32"/>
        <v>C3604IB50DH9</v>
      </c>
      <c r="I64" s="46" t="str">
        <f t="shared" si="33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4"/>
        <v>22</v>
      </c>
      <c r="T64" s="51">
        <f>'03.02'!BG64</f>
        <v>10.540000000000001</v>
      </c>
      <c r="U64" s="92">
        <v>20</v>
      </c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10147</v>
      </c>
      <c r="AC64" s="93">
        <f t="shared" si="11"/>
        <v>0</v>
      </c>
      <c r="AD64" s="93">
        <f t="shared" si="12"/>
        <v>0</v>
      </c>
      <c r="AE64" s="93">
        <f t="shared" si="35"/>
        <v>10147</v>
      </c>
      <c r="AF64" s="54">
        <f>AE64+'03.02'!AF64</f>
        <v>37008</v>
      </c>
      <c r="AG64" s="94">
        <f t="shared" si="66"/>
        <v>10.540000000000001</v>
      </c>
      <c r="AH64" s="56">
        <f t="shared" si="13"/>
        <v>0.54</v>
      </c>
      <c r="AI64" s="93">
        <v>11</v>
      </c>
      <c r="AJ64" s="93">
        <f t="shared" si="67"/>
        <v>100</v>
      </c>
      <c r="AK64" s="95">
        <f t="shared" si="36"/>
        <v>0.45863144377178494</v>
      </c>
      <c r="AL64" s="58">
        <f t="shared" si="37"/>
        <v>11</v>
      </c>
      <c r="AM64" s="55">
        <f t="shared" si="68"/>
        <v>19.54</v>
      </c>
      <c r="AN64" s="93"/>
      <c r="AO64" s="96"/>
      <c r="AP64" s="96"/>
      <c r="AQ64" s="96"/>
      <c r="AR64" s="96"/>
      <c r="AS64" s="96"/>
      <c r="AT64" s="96">
        <f t="shared" si="109"/>
        <v>2361</v>
      </c>
      <c r="AU64" s="96">
        <f t="shared" si="38"/>
        <v>0</v>
      </c>
      <c r="AV64" s="96">
        <f t="shared" si="38"/>
        <v>0</v>
      </c>
      <c r="AW64" s="96">
        <f t="shared" si="39"/>
        <v>2361</v>
      </c>
      <c r="AX64" s="96">
        <f t="shared" si="40"/>
        <v>5132</v>
      </c>
      <c r="AY64" s="94">
        <f t="shared" si="69"/>
        <v>-37.440000000000055</v>
      </c>
      <c r="AZ64" s="94">
        <f t="shared" si="41"/>
        <v>-81.391304347826207</v>
      </c>
      <c r="BA64" s="94">
        <f t="shared" si="42"/>
        <v>19.54</v>
      </c>
      <c r="BB64" s="97">
        <f t="shared" si="43"/>
        <v>0.54</v>
      </c>
      <c r="BC64" s="93">
        <v>10</v>
      </c>
      <c r="BD64" s="93">
        <f t="shared" si="44"/>
        <v>0</v>
      </c>
      <c r="BE64" s="95">
        <f t="shared" si="45"/>
        <v>1</v>
      </c>
      <c r="BF64" s="58">
        <f t="shared" si="46"/>
        <v>10.54</v>
      </c>
      <c r="BG64" s="94">
        <f t="shared" si="47"/>
        <v>9</v>
      </c>
      <c r="BH64" s="89"/>
      <c r="BI64" s="89"/>
      <c r="BJ64" s="89"/>
      <c r="BK64" s="89"/>
      <c r="BL64" s="89"/>
      <c r="BM64" s="92"/>
      <c r="BN64" s="92">
        <f>$CN64</f>
        <v>2307</v>
      </c>
      <c r="BO64" s="92">
        <f t="shared" si="70"/>
        <v>0</v>
      </c>
      <c r="BP64" s="92">
        <f t="shared" si="70"/>
        <v>0</v>
      </c>
      <c r="BQ64" s="96">
        <f t="shared" si="48"/>
        <v>2307</v>
      </c>
      <c r="BR64" s="96">
        <f t="shared" si="49"/>
        <v>5015</v>
      </c>
      <c r="BS64" s="96">
        <f t="shared" si="71"/>
        <v>8.8584000000000742</v>
      </c>
      <c r="BT64" s="96">
        <f t="shared" si="50"/>
        <v>19.257391304347987</v>
      </c>
      <c r="BU64" s="92">
        <f t="shared" si="16"/>
        <v>10147</v>
      </c>
      <c r="BV64" s="98">
        <f t="shared" si="17"/>
        <v>21.54</v>
      </c>
      <c r="BW64" s="92">
        <f t="shared" si="18"/>
        <v>-62.133913043478216</v>
      </c>
      <c r="BX64" s="98">
        <f t="shared" si="51"/>
        <v>10.77</v>
      </c>
      <c r="BY64" s="61">
        <f>IFERROR(BF64+AL64,0)</f>
        <v>21.54</v>
      </c>
      <c r="BZ64" s="62">
        <f t="shared" si="52"/>
        <v>21.54</v>
      </c>
      <c r="CA64" s="98">
        <f t="shared" si="53"/>
        <v>4.6680000000000001</v>
      </c>
      <c r="CB64" s="92">
        <f t="shared" si="98"/>
        <v>10147</v>
      </c>
      <c r="CC64" s="92">
        <f t="shared" si="98"/>
        <v>-28.58159999999998</v>
      </c>
      <c r="CD64" s="92">
        <f t="shared" si="98"/>
        <v>-62.133913043478216</v>
      </c>
      <c r="CE64" s="99"/>
      <c r="CF64" s="99"/>
      <c r="CG64" s="51">
        <f t="shared" si="54"/>
        <v>6.1019999999999994</v>
      </c>
      <c r="CH64" s="62">
        <f t="shared" si="55"/>
        <v>6.1019999999999994</v>
      </c>
      <c r="CI64" s="89">
        <v>100</v>
      </c>
      <c r="CJ64" s="89">
        <v>2361</v>
      </c>
      <c r="CK64" s="89"/>
      <c r="CL64" s="96"/>
      <c r="CM64" s="89"/>
      <c r="CN64" s="89">
        <v>2307</v>
      </c>
      <c r="CO64" s="92"/>
      <c r="CP64" s="101"/>
      <c r="CQ64" s="102">
        <f t="shared" si="101"/>
        <v>5132</v>
      </c>
      <c r="CR64" s="102">
        <f t="shared" si="101"/>
        <v>0</v>
      </c>
      <c r="CS64" s="102">
        <f t="shared" si="101"/>
        <v>0</v>
      </c>
      <c r="CT64" s="92">
        <f t="shared" si="57"/>
        <v>5015</v>
      </c>
      <c r="CU64" s="92">
        <f t="shared" si="102"/>
        <v>0</v>
      </c>
      <c r="CV64" s="103">
        <f t="shared" si="102"/>
        <v>0</v>
      </c>
      <c r="CW64" s="104" t="s">
        <v>147</v>
      </c>
      <c r="CX64" s="105">
        <v>8</v>
      </c>
      <c r="CY64" s="106">
        <f t="shared" si="59"/>
        <v>5130</v>
      </c>
      <c r="CZ64" s="106">
        <f t="shared" si="60"/>
        <v>32.400000000000006</v>
      </c>
      <c r="DA64" s="106"/>
      <c r="DB64" s="106"/>
      <c r="DC64" s="105"/>
      <c r="DD64" s="107"/>
      <c r="DE64" s="92">
        <f t="shared" si="21"/>
        <v>5132</v>
      </c>
      <c r="DF64" s="108">
        <f t="shared" si="22"/>
        <v>11</v>
      </c>
      <c r="DG64" s="112">
        <f t="shared" si="23"/>
        <v>-81.391304347826207</v>
      </c>
      <c r="DH64" s="110">
        <f t="shared" si="24"/>
        <v>5015</v>
      </c>
      <c r="DI64" s="108">
        <f t="shared" si="25"/>
        <v>10.54</v>
      </c>
      <c r="DJ64" s="112">
        <f t="shared" si="26"/>
        <v>19.257391304347987</v>
      </c>
      <c r="DK64" s="110">
        <f t="shared" si="86"/>
        <v>10147</v>
      </c>
      <c r="DL64" s="108">
        <f t="shared" si="86"/>
        <v>21.54</v>
      </c>
      <c r="DM64" s="111">
        <f t="shared" si="86"/>
        <v>-62.133913043478216</v>
      </c>
      <c r="DN64" s="76">
        <v>10</v>
      </c>
      <c r="DO64" s="76">
        <f t="shared" si="89"/>
        <v>20</v>
      </c>
      <c r="DP64" s="112"/>
      <c r="DQ64" s="112"/>
      <c r="DR64" s="113" t="s">
        <v>455</v>
      </c>
      <c r="DS64" s="112"/>
      <c r="DT64" s="112"/>
      <c r="DU64" s="111"/>
      <c r="DV64" s="114"/>
      <c r="DW64" s="80">
        <f t="shared" si="110"/>
        <v>21.54</v>
      </c>
      <c r="DX64" s="81">
        <f t="shared" si="29"/>
        <v>10106.406086956522</v>
      </c>
      <c r="DY64" s="80">
        <f t="shared" si="62"/>
        <v>10147</v>
      </c>
      <c r="DZ64" s="82">
        <f t="shared" si="63"/>
        <v>0</v>
      </c>
      <c r="EA64" s="82">
        <f t="shared" si="64"/>
        <v>4.6676200000000003</v>
      </c>
      <c r="EB64" s="82">
        <f t="shared" si="65"/>
        <v>6.1023799999999992</v>
      </c>
      <c r="EC64" s="82">
        <f t="shared" si="108"/>
        <v>6.1019999999999994</v>
      </c>
      <c r="EF64" s="83">
        <f t="shared" si="107"/>
        <v>-62.133913043478216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1"/>
        <v>TVA2011-T3-6x3-H9B14</v>
      </c>
      <c r="H65" s="46" t="str">
        <f t="shared" si="32"/>
        <v>A2011-T3TV60DH9</v>
      </c>
      <c r="I65" s="46" t="str">
        <f t="shared" si="33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4"/>
        <v>#DIV/0!</v>
      </c>
      <c r="T65" s="51">
        <f>'03.02'!BG65</f>
        <v>10</v>
      </c>
      <c r="U65" s="92">
        <v>10</v>
      </c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0</v>
      </c>
      <c r="AC65" s="93">
        <f t="shared" si="11"/>
        <v>0</v>
      </c>
      <c r="AD65" s="93">
        <f t="shared" si="12"/>
        <v>0</v>
      </c>
      <c r="AE65" s="93">
        <f t="shared" si="35"/>
        <v>0</v>
      </c>
      <c r="AF65" s="54">
        <f>AE65+'03.02'!AF65</f>
        <v>9679</v>
      </c>
      <c r="AG65" s="94">
        <f t="shared" si="66"/>
        <v>10</v>
      </c>
      <c r="AH65" s="56">
        <f t="shared" si="13"/>
        <v>0</v>
      </c>
      <c r="AI65" s="93"/>
      <c r="AJ65" s="93">
        <f t="shared" si="67"/>
        <v>0</v>
      </c>
      <c r="AK65" s="95">
        <f t="shared" si="36"/>
        <v>1</v>
      </c>
      <c r="AL65" s="58">
        <f t="shared" si="37"/>
        <v>0</v>
      </c>
      <c r="AM65" s="55">
        <f t="shared" si="68"/>
        <v>20</v>
      </c>
      <c r="AN65" s="93"/>
      <c r="AO65" s="96"/>
      <c r="AP65" s="96"/>
      <c r="AQ65" s="96"/>
      <c r="AR65" s="96"/>
      <c r="AS65" s="96"/>
      <c r="AT65" s="96">
        <f>$CJ65</f>
        <v>0</v>
      </c>
      <c r="AU65" s="96">
        <f t="shared" si="38"/>
        <v>0</v>
      </c>
      <c r="AV65" s="96">
        <f t="shared" si="38"/>
        <v>0</v>
      </c>
      <c r="AW65" s="96">
        <f t="shared" si="39"/>
        <v>0</v>
      </c>
      <c r="AX65" s="96">
        <f t="shared" si="40"/>
        <v>0</v>
      </c>
      <c r="AY65" s="94">
        <f t="shared" si="69"/>
        <v>0</v>
      </c>
      <c r="AZ65" s="94">
        <f t="shared" si="41"/>
        <v>0</v>
      </c>
      <c r="BA65" s="94">
        <f t="shared" si="42"/>
        <v>20</v>
      </c>
      <c r="BB65" s="97">
        <f t="shared" si="43"/>
        <v>0</v>
      </c>
      <c r="BC65" s="93"/>
      <c r="BD65" s="93">
        <f t="shared" si="44"/>
        <v>0</v>
      </c>
      <c r="BE65" s="95">
        <f t="shared" si="45"/>
        <v>1</v>
      </c>
      <c r="BF65" s="58">
        <f t="shared" si="46"/>
        <v>0</v>
      </c>
      <c r="BG65" s="94">
        <f t="shared" si="47"/>
        <v>20</v>
      </c>
      <c r="BH65" s="89"/>
      <c r="BI65" s="89"/>
      <c r="BJ65" s="92"/>
      <c r="BK65" s="89"/>
      <c r="BL65" s="89"/>
      <c r="BM65" s="89"/>
      <c r="BN65" s="92">
        <f>$CN65</f>
        <v>0</v>
      </c>
      <c r="BO65" s="92">
        <f t="shared" si="70"/>
        <v>0</v>
      </c>
      <c r="BP65" s="92">
        <f t="shared" si="70"/>
        <v>0</v>
      </c>
      <c r="BQ65" s="96">
        <f t="shared" si="48"/>
        <v>0</v>
      </c>
      <c r="BR65" s="96">
        <f t="shared" si="49"/>
        <v>0</v>
      </c>
      <c r="BS65" s="96">
        <f t="shared" si="71"/>
        <v>0</v>
      </c>
      <c r="BT65" s="96">
        <f t="shared" si="50"/>
        <v>0</v>
      </c>
      <c r="BU65" s="92">
        <f t="shared" si="16"/>
        <v>0</v>
      </c>
      <c r="BV65" s="98">
        <f t="shared" si="17"/>
        <v>0</v>
      </c>
      <c r="BW65" s="92">
        <f t="shared" si="18"/>
        <v>0</v>
      </c>
      <c r="BX65" s="98">
        <f t="shared" si="51"/>
        <v>0</v>
      </c>
      <c r="BY65" s="61">
        <f t="shared" si="73"/>
        <v>0</v>
      </c>
      <c r="BZ65" s="62">
        <f t="shared" si="52"/>
        <v>0</v>
      </c>
      <c r="CA65" s="98">
        <f t="shared" si="53"/>
        <v>0</v>
      </c>
      <c r="CB65" s="92">
        <f t="shared" si="98"/>
        <v>0</v>
      </c>
      <c r="CC65" s="92">
        <f t="shared" si="98"/>
        <v>0</v>
      </c>
      <c r="CD65" s="92">
        <f t="shared" si="98"/>
        <v>0</v>
      </c>
      <c r="CE65" s="99"/>
      <c r="CF65" s="99"/>
      <c r="CG65" s="51">
        <f t="shared" si="54"/>
        <v>0</v>
      </c>
      <c r="CH65" s="62">
        <f t="shared" si="55"/>
        <v>0</v>
      </c>
      <c r="CI65" s="89"/>
      <c r="CJ65" s="89"/>
      <c r="CK65" s="89"/>
      <c r="CL65" s="96"/>
      <c r="CM65" s="89"/>
      <c r="CN65" s="89"/>
      <c r="CO65" s="92"/>
      <c r="CP65" s="101"/>
      <c r="CQ65" s="102">
        <f t="shared" si="101"/>
        <v>0</v>
      </c>
      <c r="CR65" s="102">
        <f t="shared" si="101"/>
        <v>0</v>
      </c>
      <c r="CS65" s="102">
        <f t="shared" si="101"/>
        <v>0</v>
      </c>
      <c r="CT65" s="92">
        <f t="shared" si="57"/>
        <v>0</v>
      </c>
      <c r="CU65" s="92">
        <f t="shared" si="102"/>
        <v>0</v>
      </c>
      <c r="CV65" s="103">
        <f t="shared" si="102"/>
        <v>0</v>
      </c>
      <c r="CW65" s="104" t="s">
        <v>147</v>
      </c>
      <c r="CX65" s="105"/>
      <c r="CY65" s="106" t="e">
        <f t="shared" si="59"/>
        <v>#DIV/0!</v>
      </c>
      <c r="CZ65" s="106">
        <f t="shared" si="60"/>
        <v>0</v>
      </c>
      <c r="DA65" s="106"/>
      <c r="DB65" s="106"/>
      <c r="DC65" s="105"/>
      <c r="DD65" s="107"/>
      <c r="DE65" s="92">
        <f t="shared" si="21"/>
        <v>0</v>
      </c>
      <c r="DF65" s="108">
        <f t="shared" si="22"/>
        <v>0</v>
      </c>
      <c r="DG65" s="115">
        <f t="shared" si="23"/>
        <v>0</v>
      </c>
      <c r="DH65" s="110">
        <f t="shared" si="24"/>
        <v>0</v>
      </c>
      <c r="DI65" s="108">
        <f t="shared" si="25"/>
        <v>0</v>
      </c>
      <c r="DJ65" s="115">
        <f t="shared" si="26"/>
        <v>0</v>
      </c>
      <c r="DK65" s="110">
        <f t="shared" si="86"/>
        <v>0</v>
      </c>
      <c r="DL65" s="108">
        <f t="shared" si="86"/>
        <v>0</v>
      </c>
      <c r="DM65" s="111">
        <f t="shared" si="86"/>
        <v>0</v>
      </c>
      <c r="DN65" s="76">
        <f t="shared" si="89"/>
        <v>10</v>
      </c>
      <c r="DO65" s="76">
        <f t="shared" si="89"/>
        <v>10</v>
      </c>
      <c r="DP65" s="112"/>
      <c r="DQ65" s="112"/>
      <c r="DR65" s="113" t="s">
        <v>456</v>
      </c>
      <c r="DS65" s="112"/>
      <c r="DT65" s="112"/>
      <c r="DU65" s="111"/>
      <c r="DV65" s="114"/>
      <c r="DW65" s="80">
        <f t="shared" si="110"/>
        <v>0</v>
      </c>
      <c r="DX65" s="81">
        <f t="shared" si="29"/>
        <v>0</v>
      </c>
      <c r="DY65" s="80">
        <f t="shared" si="62"/>
        <v>0</v>
      </c>
      <c r="DZ65" s="82">
        <f t="shared" si="63"/>
        <v>0</v>
      </c>
      <c r="EA65" s="82">
        <f t="shared" si="64"/>
        <v>0</v>
      </c>
      <c r="EB65" s="82">
        <f t="shared" si="65"/>
        <v>0</v>
      </c>
      <c r="EC65" s="82">
        <f t="shared" si="108"/>
        <v>0</v>
      </c>
      <c r="EF65" s="83">
        <f t="shared" si="107"/>
        <v>0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1"/>
        <v>GAA5052-5.7x3-H9A14</v>
      </c>
      <c r="H66" s="46" t="str">
        <f t="shared" si="32"/>
        <v>A5052GA5.70DH9</v>
      </c>
      <c r="I66" s="46" t="str">
        <f t="shared" si="33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4"/>
        <v>52</v>
      </c>
      <c r="T66" s="51">
        <f>'03.02'!BG66</f>
        <v>12</v>
      </c>
      <c r="U66" s="92">
        <v>13</v>
      </c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2913</v>
      </c>
      <c r="AC66" s="93">
        <f t="shared" si="11"/>
        <v>0</v>
      </c>
      <c r="AD66" s="93">
        <f t="shared" si="12"/>
        <v>66</v>
      </c>
      <c r="AE66" s="93">
        <f t="shared" si="35"/>
        <v>2913</v>
      </c>
      <c r="AF66" s="54">
        <f>AE66+'03.02'!AF66</f>
        <v>12059</v>
      </c>
      <c r="AG66" s="94">
        <f t="shared" si="66"/>
        <v>12</v>
      </c>
      <c r="AH66" s="56">
        <f t="shared" si="13"/>
        <v>0</v>
      </c>
      <c r="AI66" s="93">
        <v>6</v>
      </c>
      <c r="AJ66" s="93">
        <f t="shared" si="67"/>
        <v>13</v>
      </c>
      <c r="AK66" s="95">
        <f t="shared" si="36"/>
        <v>0.3611111111111111</v>
      </c>
      <c r="AL66" s="58">
        <f t="shared" si="37"/>
        <v>5.37</v>
      </c>
      <c r="AM66" s="55">
        <f t="shared" si="68"/>
        <v>19.63</v>
      </c>
      <c r="AN66" s="93"/>
      <c r="AO66" s="96"/>
      <c r="AP66" s="96"/>
      <c r="AQ66" s="96"/>
      <c r="AR66" s="96"/>
      <c r="AS66" s="96"/>
      <c r="AT66" s="96">
        <f>$CJ66</f>
        <v>190</v>
      </c>
      <c r="AU66" s="96">
        <f t="shared" si="38"/>
        <v>0</v>
      </c>
      <c r="AV66" s="96">
        <f t="shared" si="38"/>
        <v>0</v>
      </c>
      <c r="AW66" s="96">
        <f t="shared" si="39"/>
        <v>190</v>
      </c>
      <c r="AX66" s="96">
        <f t="shared" si="40"/>
        <v>1266</v>
      </c>
      <c r="AY66" s="94">
        <f t="shared" si="69"/>
        <v>-3.3199999999999932</v>
      </c>
      <c r="AZ66" s="94">
        <f t="shared" si="41"/>
        <v>-22.13333333333329</v>
      </c>
      <c r="BA66" s="94">
        <f t="shared" si="42"/>
        <v>19.63</v>
      </c>
      <c r="BB66" s="97">
        <f t="shared" si="43"/>
        <v>0.63</v>
      </c>
      <c r="BC66" s="93">
        <v>7</v>
      </c>
      <c r="BD66" s="93">
        <f t="shared" si="44"/>
        <v>0</v>
      </c>
      <c r="BE66" s="95">
        <f t="shared" si="45"/>
        <v>1</v>
      </c>
      <c r="BF66" s="58">
        <f t="shared" si="46"/>
        <v>7.63</v>
      </c>
      <c r="BG66" s="94">
        <f t="shared" si="47"/>
        <v>12</v>
      </c>
      <c r="BH66" s="89"/>
      <c r="BI66" s="89"/>
      <c r="BJ66" s="89"/>
      <c r="BK66" s="92"/>
      <c r="BL66" s="89"/>
      <c r="BM66" s="92"/>
      <c r="BN66" s="92">
        <f>$CN66</f>
        <v>247</v>
      </c>
      <c r="BO66" s="92">
        <f t="shared" si="70"/>
        <v>0</v>
      </c>
      <c r="BP66" s="92">
        <f t="shared" si="70"/>
        <v>10</v>
      </c>
      <c r="BQ66" s="96">
        <f t="shared" si="48"/>
        <v>257</v>
      </c>
      <c r="BR66" s="96">
        <f t="shared" si="49"/>
        <v>1713</v>
      </c>
      <c r="BS66" s="96">
        <f t="shared" si="71"/>
        <v>-17.680000000000007</v>
      </c>
      <c r="BT66" s="96">
        <f t="shared" si="50"/>
        <v>-117.86666666666672</v>
      </c>
      <c r="BU66" s="92">
        <f t="shared" si="16"/>
        <v>2913</v>
      </c>
      <c r="BV66" s="98">
        <f t="shared" si="17"/>
        <v>13</v>
      </c>
      <c r="BW66" s="92">
        <f t="shared" si="18"/>
        <v>-140</v>
      </c>
      <c r="BX66" s="98">
        <f t="shared" si="51"/>
        <v>2.6519999999999997</v>
      </c>
      <c r="BY66" s="61">
        <f t="shared" si="73"/>
        <v>13</v>
      </c>
      <c r="BZ66" s="62">
        <f t="shared" si="52"/>
        <v>13</v>
      </c>
      <c r="CA66" s="98">
        <f t="shared" si="53"/>
        <v>0.44700000000000001</v>
      </c>
      <c r="CB66" s="92">
        <f t="shared" si="98"/>
        <v>2979</v>
      </c>
      <c r="CC66" s="92">
        <f t="shared" si="98"/>
        <v>-21</v>
      </c>
      <c r="CD66" s="92">
        <f t="shared" si="98"/>
        <v>-140</v>
      </c>
      <c r="CE66" s="99" t="s">
        <v>2</v>
      </c>
      <c r="CF66" s="99"/>
      <c r="CG66" s="51">
        <f t="shared" si="54"/>
        <v>2.2149999999999994</v>
      </c>
      <c r="CH66" s="62">
        <f t="shared" si="55"/>
        <v>2.2149999999999994</v>
      </c>
      <c r="CI66" s="89">
        <v>13</v>
      </c>
      <c r="CJ66" s="89">
        <v>190</v>
      </c>
      <c r="CK66" s="89"/>
      <c r="CL66" s="96"/>
      <c r="CM66" s="89"/>
      <c r="CN66" s="89">
        <v>247</v>
      </c>
      <c r="CO66" s="92"/>
      <c r="CP66" s="101">
        <v>10</v>
      </c>
      <c r="CQ66" s="102">
        <f t="shared" si="101"/>
        <v>1266</v>
      </c>
      <c r="CR66" s="102">
        <f t="shared" si="101"/>
        <v>0</v>
      </c>
      <c r="CS66" s="102">
        <f t="shared" si="101"/>
        <v>0</v>
      </c>
      <c r="CT66" s="92">
        <f t="shared" si="57"/>
        <v>1647</v>
      </c>
      <c r="CU66" s="92">
        <f t="shared" si="102"/>
        <v>0</v>
      </c>
      <c r="CV66" s="103">
        <f t="shared" si="102"/>
        <v>66</v>
      </c>
      <c r="CW66" s="104" t="s">
        <v>147</v>
      </c>
      <c r="CX66" s="105">
        <v>6</v>
      </c>
      <c r="CY66" s="106">
        <f t="shared" si="59"/>
        <v>6300</v>
      </c>
      <c r="CZ66" s="106">
        <f t="shared" si="60"/>
        <v>24.3</v>
      </c>
      <c r="DA66" s="106"/>
      <c r="DB66" s="106"/>
      <c r="DC66" s="105"/>
      <c r="DD66" s="107"/>
      <c r="DE66" s="92">
        <f t="shared" si="21"/>
        <v>1266</v>
      </c>
      <c r="DF66" s="108">
        <f t="shared" si="22"/>
        <v>5.37</v>
      </c>
      <c r="DG66" s="115">
        <f t="shared" si="23"/>
        <v>-22.13333333333329</v>
      </c>
      <c r="DH66" s="110">
        <f t="shared" si="24"/>
        <v>1647</v>
      </c>
      <c r="DI66" s="108">
        <f t="shared" si="25"/>
        <v>7.63</v>
      </c>
      <c r="DJ66" s="112">
        <f t="shared" si="26"/>
        <v>-117.86666666666672</v>
      </c>
      <c r="DK66" s="110">
        <f t="shared" si="86"/>
        <v>2913</v>
      </c>
      <c r="DL66" s="108">
        <f t="shared" si="86"/>
        <v>13</v>
      </c>
      <c r="DM66" s="111">
        <f t="shared" si="86"/>
        <v>-140</v>
      </c>
      <c r="DN66" s="76">
        <f t="shared" si="89"/>
        <v>12</v>
      </c>
      <c r="DO66" s="76">
        <f t="shared" si="89"/>
        <v>13</v>
      </c>
      <c r="DP66" s="112"/>
      <c r="DQ66" s="112"/>
      <c r="DR66" s="113" t="s">
        <v>457</v>
      </c>
      <c r="DS66" s="112"/>
      <c r="DT66" s="112"/>
      <c r="DU66" s="111"/>
      <c r="DV66" s="114"/>
      <c r="DW66" s="80">
        <f t="shared" si="61"/>
        <v>2926</v>
      </c>
      <c r="DX66" s="81">
        <f t="shared" si="29"/>
        <v>2786</v>
      </c>
      <c r="DY66" s="80">
        <f t="shared" si="62"/>
        <v>2979</v>
      </c>
      <c r="DZ66" s="82">
        <f t="shared" si="63"/>
        <v>9.9000000000000008E-3</v>
      </c>
      <c r="EA66" s="82">
        <f t="shared" si="64"/>
        <v>0.43695000000000001</v>
      </c>
      <c r="EB66" s="82">
        <f t="shared" si="65"/>
        <v>2.2150499999999997</v>
      </c>
      <c r="EC66" s="82">
        <f t="shared" si="75"/>
        <v>2.2249499999999998</v>
      </c>
      <c r="EF66" s="83">
        <f t="shared" si="107"/>
        <v>-140</v>
      </c>
    </row>
    <row r="67" spans="1:136" ht="14.1" customHeight="1">
      <c r="A67" s="84">
        <v>60</v>
      </c>
      <c r="B67" s="147" t="s">
        <v>309</v>
      </c>
      <c r="C67" s="148"/>
      <c r="D67" s="172" t="s">
        <v>310</v>
      </c>
      <c r="E67" s="149">
        <v>175</v>
      </c>
      <c r="F67" s="150" t="s">
        <v>147</v>
      </c>
      <c r="G67" s="45" t="str">
        <f t="shared" si="31"/>
        <v>IBC3604-H7x3-H11C14</v>
      </c>
      <c r="H67" s="46" t="str">
        <f t="shared" si="32"/>
        <v>C3604IB70HH11</v>
      </c>
      <c r="I67" s="46" t="str">
        <f t="shared" si="33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4"/>
        <v>30</v>
      </c>
      <c r="T67" s="51">
        <f>'03.02'!BG67</f>
        <v>0</v>
      </c>
      <c r="U67" s="146"/>
      <c r="V67" s="100">
        <v>2.44</v>
      </c>
      <c r="W67" s="151">
        <f t="shared" si="5"/>
        <v>0</v>
      </c>
      <c r="X67" s="151">
        <f t="shared" si="6"/>
        <v>0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5"/>
        <v>0</v>
      </c>
      <c r="AF67" s="54">
        <f>AE67+'03.02'!AF67</f>
        <v>0</v>
      </c>
      <c r="AG67" s="94">
        <f t="shared" si="66"/>
        <v>0</v>
      </c>
      <c r="AH67" s="56">
        <f t="shared" si="13"/>
        <v>0</v>
      </c>
      <c r="AI67" s="151"/>
      <c r="AJ67" s="93">
        <f t="shared" si="67"/>
        <v>0</v>
      </c>
      <c r="AK67" s="95">
        <f t="shared" si="36"/>
        <v>1</v>
      </c>
      <c r="AL67" s="58">
        <f t="shared" si="37"/>
        <v>0</v>
      </c>
      <c r="AM67" s="55">
        <f t="shared" si="68"/>
        <v>0</v>
      </c>
      <c r="AN67" s="151"/>
      <c r="AO67" s="145"/>
      <c r="AP67" s="145">
        <f>$CJ67</f>
        <v>0</v>
      </c>
      <c r="AQ67" s="145"/>
      <c r="AR67" s="145"/>
      <c r="AS67" s="145"/>
      <c r="AT67" s="145"/>
      <c r="AU67" s="145">
        <f t="shared" si="38"/>
        <v>0</v>
      </c>
      <c r="AV67" s="145">
        <f t="shared" si="38"/>
        <v>0</v>
      </c>
      <c r="AW67" s="145">
        <f t="shared" si="39"/>
        <v>0</v>
      </c>
      <c r="AX67" s="145">
        <f t="shared" si="40"/>
        <v>0</v>
      </c>
      <c r="AY67" s="94">
        <f t="shared" si="69"/>
        <v>0</v>
      </c>
      <c r="AZ67" s="94">
        <f t="shared" si="41"/>
        <v>0</v>
      </c>
      <c r="BA67" s="94">
        <f t="shared" si="42"/>
        <v>0</v>
      </c>
      <c r="BB67" s="97">
        <f t="shared" si="43"/>
        <v>0</v>
      </c>
      <c r="BC67" s="151"/>
      <c r="BD67" s="93">
        <f t="shared" si="44"/>
        <v>0</v>
      </c>
      <c r="BE67" s="152">
        <f t="shared" si="45"/>
        <v>1</v>
      </c>
      <c r="BF67" s="58">
        <f t="shared" si="46"/>
        <v>0</v>
      </c>
      <c r="BG67" s="94">
        <f t="shared" si="47"/>
        <v>0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0"/>
        <v>0</v>
      </c>
      <c r="BP67" s="146">
        <f t="shared" si="70"/>
        <v>0</v>
      </c>
      <c r="BQ67" s="145">
        <f t="shared" si="48"/>
        <v>0</v>
      </c>
      <c r="BR67" s="145">
        <f t="shared" si="49"/>
        <v>0</v>
      </c>
      <c r="BS67" s="96">
        <f t="shared" si="71"/>
        <v>0</v>
      </c>
      <c r="BT67" s="145">
        <f t="shared" si="50"/>
        <v>0</v>
      </c>
      <c r="BU67" s="146">
        <f t="shared" si="16"/>
        <v>0</v>
      </c>
      <c r="BV67" s="153">
        <f t="shared" si="17"/>
        <v>0</v>
      </c>
      <c r="BW67" s="146">
        <f t="shared" si="18"/>
        <v>0</v>
      </c>
      <c r="BX67" s="153">
        <f t="shared" si="51"/>
        <v>0</v>
      </c>
      <c r="BY67" s="61">
        <f t="shared" si="73"/>
        <v>0</v>
      </c>
      <c r="BZ67" s="62">
        <f t="shared" si="52"/>
        <v>0</v>
      </c>
      <c r="CA67" s="153">
        <f t="shared" si="53"/>
        <v>0</v>
      </c>
      <c r="CB67" s="146">
        <f t="shared" si="98"/>
        <v>0</v>
      </c>
      <c r="CC67" s="146">
        <f t="shared" si="98"/>
        <v>0</v>
      </c>
      <c r="CD67" s="146">
        <f t="shared" si="98"/>
        <v>0</v>
      </c>
      <c r="CE67" s="150"/>
      <c r="CF67" s="150"/>
      <c r="CG67" s="51">
        <f t="shared" si="54"/>
        <v>0</v>
      </c>
      <c r="CH67" s="62">
        <f t="shared" si="55"/>
        <v>0</v>
      </c>
      <c r="CI67" s="150"/>
      <c r="CJ67" s="150"/>
      <c r="CK67" s="150"/>
      <c r="CL67" s="145"/>
      <c r="CM67" s="150"/>
      <c r="CN67" s="150"/>
      <c r="CO67" s="146"/>
      <c r="CP67" s="154"/>
      <c r="CQ67" s="102">
        <f t="shared" si="101"/>
        <v>0</v>
      </c>
      <c r="CR67" s="102">
        <f t="shared" si="101"/>
        <v>0</v>
      </c>
      <c r="CS67" s="102">
        <f t="shared" si="101"/>
        <v>0</v>
      </c>
      <c r="CT67" s="92">
        <f t="shared" si="57"/>
        <v>0</v>
      </c>
      <c r="CU67" s="92">
        <f t="shared" si="102"/>
        <v>0</v>
      </c>
      <c r="CV67" s="103">
        <f t="shared" si="102"/>
        <v>0</v>
      </c>
      <c r="CW67" s="155" t="s">
        <v>147</v>
      </c>
      <c r="CX67" s="156">
        <v>15</v>
      </c>
      <c r="CY67" s="157">
        <f t="shared" si="59"/>
        <v>2676</v>
      </c>
      <c r="CZ67" s="157">
        <f t="shared" si="60"/>
        <v>60.750000000000007</v>
      </c>
      <c r="DA67" s="157"/>
      <c r="DB67" s="157"/>
      <c r="DC67" s="156"/>
      <c r="DD67" s="158"/>
      <c r="DE67" s="92">
        <f t="shared" si="21"/>
        <v>0</v>
      </c>
      <c r="DF67" s="108">
        <f t="shared" si="22"/>
        <v>0</v>
      </c>
      <c r="DG67" s="115">
        <f t="shared" si="23"/>
        <v>0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6"/>
        <v>0</v>
      </c>
      <c r="DL67" s="108">
        <f t="shared" si="86"/>
        <v>0</v>
      </c>
      <c r="DM67" s="111">
        <f t="shared" si="86"/>
        <v>0</v>
      </c>
      <c r="DN67" s="76">
        <f t="shared" si="89"/>
        <v>0</v>
      </c>
      <c r="DO67" s="76">
        <f t="shared" si="89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11">IFERROR(AL67+BF67,"")</f>
        <v>0</v>
      </c>
      <c r="DX67" s="159">
        <f t="shared" si="29"/>
        <v>0</v>
      </c>
      <c r="DY67" s="80">
        <f t="shared" si="62"/>
        <v>0</v>
      </c>
      <c r="DZ67" s="82">
        <f t="shared" si="63"/>
        <v>0</v>
      </c>
      <c r="EA67" s="82">
        <f t="shared" si="64"/>
        <v>0</v>
      </c>
      <c r="EB67" s="82">
        <f t="shared" si="65"/>
        <v>0</v>
      </c>
      <c r="EC67" s="82">
        <f>(BX67-CA67)+((AV67+BP67)/1000)</f>
        <v>0</v>
      </c>
      <c r="EF67" s="83">
        <f t="shared" si="107"/>
        <v>0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1"/>
        <v>TVA2011-T3-6.35x3-H9A14</v>
      </c>
      <c r="H68" s="46" t="str">
        <f t="shared" si="32"/>
        <v>A2011-T3TV6.350DH9</v>
      </c>
      <c r="I68" s="46" t="str">
        <f t="shared" si="33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4"/>
        <v>8</v>
      </c>
      <c r="T68" s="51">
        <f>'03.02'!BG68</f>
        <v>4</v>
      </c>
      <c r="U68" s="92">
        <v>26</v>
      </c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11109</v>
      </c>
      <c r="AC68" s="93">
        <f t="shared" si="11"/>
        <v>0</v>
      </c>
      <c r="AD68" s="93">
        <f t="shared" si="12"/>
        <v>0</v>
      </c>
      <c r="AE68" s="93">
        <f t="shared" si="35"/>
        <v>11109</v>
      </c>
      <c r="AF68" s="54">
        <f>AE68+'03.02'!AF68</f>
        <v>44348</v>
      </c>
      <c r="AG68" s="94">
        <f t="shared" si="66"/>
        <v>4</v>
      </c>
      <c r="AH68" s="56">
        <f t="shared" si="13"/>
        <v>0</v>
      </c>
      <c r="AI68" s="93">
        <v>12</v>
      </c>
      <c r="AJ68" s="93">
        <f t="shared" si="67"/>
        <v>0</v>
      </c>
      <c r="AK68" s="95">
        <f t="shared" si="36"/>
        <v>1</v>
      </c>
      <c r="AL68" s="58">
        <f t="shared" si="37"/>
        <v>12</v>
      </c>
      <c r="AM68" s="55">
        <f t="shared" si="68"/>
        <v>18</v>
      </c>
      <c r="AN68" s="93"/>
      <c r="AO68" s="96"/>
      <c r="AP68" s="96"/>
      <c r="AQ68" s="96"/>
      <c r="AR68" s="96"/>
      <c r="AS68" s="96"/>
      <c r="AT68" s="96">
        <f t="shared" ref="AT68:AT73" si="112">$CJ68</f>
        <v>2077</v>
      </c>
      <c r="AU68" s="96">
        <f t="shared" si="38"/>
        <v>0</v>
      </c>
      <c r="AV68" s="96">
        <f t="shared" si="38"/>
        <v>0</v>
      </c>
      <c r="AW68" s="96">
        <f t="shared" si="39"/>
        <v>2077</v>
      </c>
      <c r="AX68" s="96">
        <f t="shared" si="40"/>
        <v>5271</v>
      </c>
      <c r="AY68" s="94">
        <f t="shared" si="69"/>
        <v>-8.0480000000002292</v>
      </c>
      <c r="AZ68" s="94">
        <f t="shared" si="41"/>
        <v>-20.426395939086877</v>
      </c>
      <c r="BA68" s="94">
        <f t="shared" si="42"/>
        <v>18</v>
      </c>
      <c r="BB68" s="97">
        <f t="shared" si="43"/>
        <v>0</v>
      </c>
      <c r="BC68" s="93">
        <v>13</v>
      </c>
      <c r="BD68" s="93">
        <f t="shared" si="44"/>
        <v>0</v>
      </c>
      <c r="BE68" s="95">
        <f t="shared" si="45"/>
        <v>1</v>
      </c>
      <c r="BF68" s="58">
        <f t="shared" si="46"/>
        <v>13</v>
      </c>
      <c r="BG68" s="94">
        <f t="shared" si="47"/>
        <v>5</v>
      </c>
      <c r="BH68" s="89"/>
      <c r="BI68" s="89"/>
      <c r="BJ68" s="92"/>
      <c r="BK68" s="89"/>
      <c r="BL68" s="89"/>
      <c r="BM68" s="89"/>
      <c r="BN68" s="92">
        <f t="shared" ref="BN68:BN73" si="113">$CN68</f>
        <v>2300</v>
      </c>
      <c r="BO68" s="92">
        <f t="shared" si="70"/>
        <v>0</v>
      </c>
      <c r="BP68" s="92">
        <f t="shared" si="70"/>
        <v>0</v>
      </c>
      <c r="BQ68" s="96">
        <f t="shared" si="48"/>
        <v>2300</v>
      </c>
      <c r="BR68" s="96">
        <f t="shared" si="49"/>
        <v>5837</v>
      </c>
      <c r="BS68" s="96">
        <f t="shared" si="71"/>
        <v>41.197999999999865</v>
      </c>
      <c r="BT68" s="96">
        <f t="shared" si="50"/>
        <v>104.5634517766494</v>
      </c>
      <c r="BU68" s="92">
        <f t="shared" si="16"/>
        <v>11109</v>
      </c>
      <c r="BV68" s="98">
        <f t="shared" si="17"/>
        <v>25</v>
      </c>
      <c r="BW68" s="92">
        <f t="shared" si="18"/>
        <v>84.137055837562528</v>
      </c>
      <c r="BX68" s="98">
        <f t="shared" si="51"/>
        <v>6.5</v>
      </c>
      <c r="BY68" s="61">
        <f t="shared" si="73"/>
        <v>25</v>
      </c>
      <c r="BZ68" s="62">
        <f t="shared" si="52"/>
        <v>25</v>
      </c>
      <c r="CA68" s="98">
        <f t="shared" si="53"/>
        <v>4.3769999999999998</v>
      </c>
      <c r="CB68" s="92">
        <f t="shared" si="98"/>
        <v>11108</v>
      </c>
      <c r="CC68" s="92">
        <f t="shared" si="98"/>
        <v>33.149999999999636</v>
      </c>
      <c r="CD68" s="92">
        <f t="shared" si="98"/>
        <v>84.137055837562528</v>
      </c>
      <c r="CE68" s="99"/>
      <c r="CF68" s="99"/>
      <c r="CG68" s="51">
        <f t="shared" si="54"/>
        <v>2.1230000000000002</v>
      </c>
      <c r="CH68" s="62">
        <f t="shared" si="55"/>
        <v>2.1230000000000002</v>
      </c>
      <c r="CI68" s="89"/>
      <c r="CJ68" s="89">
        <v>2077</v>
      </c>
      <c r="CK68" s="89"/>
      <c r="CL68" s="96"/>
      <c r="CM68" s="89"/>
      <c r="CN68" s="89">
        <v>2300</v>
      </c>
      <c r="CO68" s="92"/>
      <c r="CP68" s="101"/>
      <c r="CQ68" s="102">
        <f t="shared" si="101"/>
        <v>5271</v>
      </c>
      <c r="CR68" s="102">
        <f t="shared" si="101"/>
        <v>0</v>
      </c>
      <c r="CS68" s="102">
        <f t="shared" si="101"/>
        <v>0</v>
      </c>
      <c r="CT68" s="92">
        <f t="shared" si="57"/>
        <v>5838</v>
      </c>
      <c r="CU68" s="92">
        <f t="shared" si="102"/>
        <v>0</v>
      </c>
      <c r="CV68" s="103">
        <f t="shared" si="102"/>
        <v>0</v>
      </c>
      <c r="CW68" s="104" t="s">
        <v>147</v>
      </c>
      <c r="CX68" s="105">
        <v>23.98</v>
      </c>
      <c r="CY68" s="106">
        <f t="shared" si="59"/>
        <v>1763</v>
      </c>
      <c r="CZ68" s="106">
        <f t="shared" si="60"/>
        <v>97.119</v>
      </c>
      <c r="DA68" s="106"/>
      <c r="DB68" s="106"/>
      <c r="DC68" s="105"/>
      <c r="DD68" s="107"/>
      <c r="DE68" s="92">
        <f t="shared" si="21"/>
        <v>5271</v>
      </c>
      <c r="DF68" s="108">
        <f t="shared" si="22"/>
        <v>12</v>
      </c>
      <c r="DG68" s="115">
        <f t="shared" si="23"/>
        <v>-20.426395939086877</v>
      </c>
      <c r="DH68" s="110">
        <f t="shared" si="24"/>
        <v>5838</v>
      </c>
      <c r="DI68" s="108">
        <f t="shared" si="25"/>
        <v>13</v>
      </c>
      <c r="DJ68" s="115">
        <f t="shared" si="26"/>
        <v>104.5634517766494</v>
      </c>
      <c r="DK68" s="110">
        <f t="shared" si="86"/>
        <v>11109</v>
      </c>
      <c r="DL68" s="108">
        <f t="shared" si="86"/>
        <v>25</v>
      </c>
      <c r="DM68" s="111">
        <f t="shared" si="86"/>
        <v>84.137055837562528</v>
      </c>
      <c r="DN68" s="76">
        <f t="shared" si="89"/>
        <v>4</v>
      </c>
      <c r="DO68" s="76">
        <f t="shared" si="89"/>
        <v>26</v>
      </c>
      <c r="DP68" s="112"/>
      <c r="DQ68" s="112"/>
      <c r="DR68" s="113" t="s">
        <v>458</v>
      </c>
      <c r="DS68" s="112"/>
      <c r="DT68" s="112"/>
      <c r="DU68" s="111"/>
      <c r="DV68" s="114"/>
      <c r="DW68" s="80">
        <f t="shared" si="111"/>
        <v>25</v>
      </c>
      <c r="DX68" s="81">
        <f t="shared" si="29"/>
        <v>11218.137055837562</v>
      </c>
      <c r="DY68" s="80">
        <f t="shared" si="62"/>
        <v>11109</v>
      </c>
      <c r="DZ68" s="82">
        <f t="shared" si="63"/>
        <v>0</v>
      </c>
      <c r="EA68" s="82">
        <f t="shared" si="64"/>
        <v>4.3769460000000002</v>
      </c>
      <c r="EB68" s="82">
        <f t="shared" si="65"/>
        <v>2.1230539999999998</v>
      </c>
      <c r="EC68" s="82">
        <f t="shared" si="75"/>
        <v>2.1230539999999998</v>
      </c>
      <c r="EF68" s="83">
        <f t="shared" si="107"/>
        <v>84.137055837562528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1"/>
        <v>GAA5052-5.7x3-H9A14</v>
      </c>
      <c r="H69" s="46" t="str">
        <f t="shared" si="32"/>
        <v>A5052GA5.70DH9</v>
      </c>
      <c r="I69" s="46" t="str">
        <f t="shared" si="33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4"/>
        <v>20</v>
      </c>
      <c r="T69" s="51">
        <f>'03.02'!BG69</f>
        <v>12.8</v>
      </c>
      <c r="U69" s="92">
        <v>13</v>
      </c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3166</v>
      </c>
      <c r="AC69" s="93">
        <f t="shared" si="11"/>
        <v>0</v>
      </c>
      <c r="AD69" s="93">
        <f t="shared" si="12"/>
        <v>66</v>
      </c>
      <c r="AE69" s="93">
        <f t="shared" si="35"/>
        <v>3166</v>
      </c>
      <c r="AF69" s="54">
        <f>AE69+'03.02'!AF69</f>
        <v>11945</v>
      </c>
      <c r="AG69" s="94">
        <f t="shared" si="66"/>
        <v>12.8</v>
      </c>
      <c r="AH69" s="56">
        <f t="shared" si="13"/>
        <v>0.8</v>
      </c>
      <c r="AI69" s="93">
        <v>7</v>
      </c>
      <c r="AJ69" s="93">
        <f t="shared" si="67"/>
        <v>15</v>
      </c>
      <c r="AK69" s="95">
        <f t="shared" si="36"/>
        <v>0.41666666666666669</v>
      </c>
      <c r="AL69" s="58">
        <f t="shared" si="37"/>
        <v>7.22</v>
      </c>
      <c r="AM69" s="55">
        <f t="shared" si="68"/>
        <v>18.580000000000002</v>
      </c>
      <c r="AN69" s="93"/>
      <c r="AO69" s="96"/>
      <c r="AP69" s="96"/>
      <c r="AQ69" s="96"/>
      <c r="AR69" s="96"/>
      <c r="AS69" s="96"/>
      <c r="AT69" s="96">
        <f t="shared" si="112"/>
        <v>230</v>
      </c>
      <c r="AU69" s="96">
        <f t="shared" si="38"/>
        <v>0</v>
      </c>
      <c r="AV69" s="96">
        <f t="shared" si="38"/>
        <v>10</v>
      </c>
      <c r="AW69" s="96">
        <f t="shared" si="39"/>
        <v>240</v>
      </c>
      <c r="AX69" s="96">
        <f t="shared" si="40"/>
        <v>1600</v>
      </c>
      <c r="AY69" s="94">
        <f t="shared" si="69"/>
        <v>-19.919999999999959</v>
      </c>
      <c r="AZ69" s="94">
        <f t="shared" si="41"/>
        <v>-132.79999999999973</v>
      </c>
      <c r="BA69" s="94">
        <f t="shared" si="42"/>
        <v>18.580000000000002</v>
      </c>
      <c r="BB69" s="97">
        <f t="shared" si="43"/>
        <v>0.57999999999999996</v>
      </c>
      <c r="BC69" s="93">
        <v>6</v>
      </c>
      <c r="BD69" s="93">
        <f t="shared" si="44"/>
        <v>0</v>
      </c>
      <c r="BE69" s="95">
        <f t="shared" si="45"/>
        <v>1</v>
      </c>
      <c r="BF69" s="58">
        <f t="shared" si="46"/>
        <v>6.58</v>
      </c>
      <c r="BG69" s="94">
        <f t="shared" si="47"/>
        <v>12.000000000000002</v>
      </c>
      <c r="BH69" s="89"/>
      <c r="BI69" s="89"/>
      <c r="BJ69" s="89"/>
      <c r="BK69" s="89"/>
      <c r="BL69" s="89"/>
      <c r="BM69" s="89"/>
      <c r="BN69" s="92">
        <f t="shared" si="113"/>
        <v>245</v>
      </c>
      <c r="BO69" s="92">
        <f t="shared" si="70"/>
        <v>0</v>
      </c>
      <c r="BP69" s="92">
        <f t="shared" si="70"/>
        <v>0</v>
      </c>
      <c r="BQ69" s="96">
        <f t="shared" si="48"/>
        <v>245</v>
      </c>
      <c r="BR69" s="96">
        <f t="shared" si="49"/>
        <v>1633</v>
      </c>
      <c r="BS69" s="96">
        <f t="shared" si="71"/>
        <v>8.1200000000000045</v>
      </c>
      <c r="BT69" s="96">
        <f>IF($V69="","",BS69/$V69)</f>
        <v>54.133333333333368</v>
      </c>
      <c r="BU69" s="92">
        <f t="shared" si="16"/>
        <v>3166</v>
      </c>
      <c r="BV69" s="98">
        <f t="shared" si="17"/>
        <v>13.8</v>
      </c>
      <c r="BW69" s="92">
        <f t="shared" si="18"/>
        <v>-78.666666666666359</v>
      </c>
      <c r="BX69" s="98">
        <f t="shared" si="51"/>
        <v>2.8151999999999999</v>
      </c>
      <c r="BY69" s="61">
        <f t="shared" si="73"/>
        <v>13.8</v>
      </c>
      <c r="BZ69" s="62">
        <f t="shared" si="52"/>
        <v>13.8</v>
      </c>
      <c r="CA69" s="98">
        <f t="shared" si="53"/>
        <v>0.48499999999999999</v>
      </c>
      <c r="CB69" s="92">
        <f t="shared" si="98"/>
        <v>3233</v>
      </c>
      <c r="CC69" s="92">
        <f t="shared" si="98"/>
        <v>-11.799999999999955</v>
      </c>
      <c r="CD69" s="92">
        <f t="shared" si="98"/>
        <v>-78.666666666666359</v>
      </c>
      <c r="CE69" s="99"/>
      <c r="CF69" s="99"/>
      <c r="CG69" s="51">
        <f t="shared" si="54"/>
        <v>2.3401999999999998</v>
      </c>
      <c r="CH69" s="62">
        <f t="shared" si="55"/>
        <v>2.3401999999999998</v>
      </c>
      <c r="CI69" s="89">
        <v>15</v>
      </c>
      <c r="CJ69" s="89">
        <v>230</v>
      </c>
      <c r="CK69" s="89"/>
      <c r="CL69" s="96">
        <v>10</v>
      </c>
      <c r="CM69" s="89"/>
      <c r="CN69" s="89">
        <v>245</v>
      </c>
      <c r="CO69" s="92"/>
      <c r="CP69" s="101"/>
      <c r="CQ69" s="102">
        <f t="shared" si="101"/>
        <v>1533</v>
      </c>
      <c r="CR69" s="102">
        <f t="shared" si="101"/>
        <v>0</v>
      </c>
      <c r="CS69" s="102">
        <f t="shared" si="101"/>
        <v>66</v>
      </c>
      <c r="CT69" s="92">
        <f t="shared" si="57"/>
        <v>1633</v>
      </c>
      <c r="CU69" s="92">
        <f t="shared" si="102"/>
        <v>0</v>
      </c>
      <c r="CV69" s="103">
        <f t="shared" si="102"/>
        <v>0</v>
      </c>
      <c r="CW69" s="104" t="s">
        <v>147</v>
      </c>
      <c r="CX69" s="105">
        <v>16.8</v>
      </c>
      <c r="CY69" s="106">
        <f t="shared" si="59"/>
        <v>2453</v>
      </c>
      <c r="CZ69" s="106">
        <f t="shared" si="60"/>
        <v>68.040000000000006</v>
      </c>
      <c r="DA69" s="106"/>
      <c r="DB69" s="106"/>
      <c r="DC69" s="105"/>
      <c r="DD69" s="107"/>
      <c r="DE69" s="92">
        <f t="shared" si="21"/>
        <v>1533</v>
      </c>
      <c r="DF69" s="108">
        <f t="shared" si="22"/>
        <v>7.22</v>
      </c>
      <c r="DG69" s="115">
        <f t="shared" si="23"/>
        <v>-132.79999999999973</v>
      </c>
      <c r="DH69" s="110">
        <f t="shared" si="24"/>
        <v>1633</v>
      </c>
      <c r="DI69" s="108">
        <f t="shared" si="25"/>
        <v>6.58</v>
      </c>
      <c r="DJ69" s="112">
        <f t="shared" si="26"/>
        <v>54.133333333333368</v>
      </c>
      <c r="DK69" s="110">
        <f t="shared" si="86"/>
        <v>3166</v>
      </c>
      <c r="DL69" s="108">
        <f t="shared" si="86"/>
        <v>13.8</v>
      </c>
      <c r="DM69" s="111">
        <f t="shared" si="86"/>
        <v>-78.666666666666359</v>
      </c>
      <c r="DN69" s="76">
        <v>12</v>
      </c>
      <c r="DO69" s="76">
        <f t="shared" si="89"/>
        <v>13</v>
      </c>
      <c r="DP69" s="112"/>
      <c r="DQ69" s="112"/>
      <c r="DR69" s="113" t="s">
        <v>459</v>
      </c>
      <c r="DS69" s="112"/>
      <c r="DT69" s="112"/>
      <c r="DU69" s="111"/>
      <c r="DV69" s="114"/>
      <c r="DW69" s="80">
        <f t="shared" si="61"/>
        <v>3179.8</v>
      </c>
      <c r="DX69" s="81">
        <f t="shared" si="29"/>
        <v>3101.1333333333337</v>
      </c>
      <c r="DY69" s="80">
        <f t="shared" si="62"/>
        <v>3232</v>
      </c>
      <c r="DZ69" s="82">
        <f t="shared" si="63"/>
        <v>9.9000000000000008E-3</v>
      </c>
      <c r="EA69" s="82">
        <f t="shared" si="64"/>
        <v>0.47489999999999999</v>
      </c>
      <c r="EB69" s="82">
        <f t="shared" si="65"/>
        <v>2.3403</v>
      </c>
      <c r="EC69" s="82">
        <f t="shared" si="75"/>
        <v>2.3502000000000001</v>
      </c>
      <c r="EF69" s="83">
        <f t="shared" si="107"/>
        <v>-78.666666666666359</v>
      </c>
    </row>
    <row r="70" spans="1:136" ht="14.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1"/>
        <v>YHC2700-5.5x3-H9A14</v>
      </c>
      <c r="H70" s="46" t="str">
        <f t="shared" si="32"/>
        <v>C2700YH5.50DH9</v>
      </c>
      <c r="I70" s="46" t="str">
        <f t="shared" si="33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4"/>
        <v>24</v>
      </c>
      <c r="T70" s="51">
        <f>'03.02'!BG70</f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>AE70+'03.02'!AF70</f>
        <v>0</v>
      </c>
      <c r="AG70" s="94">
        <f t="shared" si="66"/>
        <v>0</v>
      </c>
      <c r="AH70" s="56">
        <f t="shared" si="13"/>
        <v>0</v>
      </c>
      <c r="AI70" s="93"/>
      <c r="AJ70" s="93">
        <f t="shared" si="67"/>
        <v>0</v>
      </c>
      <c r="AK70" s="95">
        <f t="shared" si="36"/>
        <v>1</v>
      </c>
      <c r="AL70" s="58">
        <f t="shared" si="37"/>
        <v>0</v>
      </c>
      <c r="AM70" s="55">
        <f t="shared" si="68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8"/>
        <v>0</v>
      </c>
      <c r="AV70" s="96">
        <f t="shared" si="38"/>
        <v>0</v>
      </c>
      <c r="AW70" s="96">
        <f t="shared" si="39"/>
        <v>0</v>
      </c>
      <c r="AX70" s="96">
        <f>IF(V70="","",INT(AW70/$V70))</f>
        <v>0</v>
      </c>
      <c r="AY70" s="94">
        <f t="shared" si="69"/>
        <v>0</v>
      </c>
      <c r="AZ70" s="94">
        <f t="shared" si="41"/>
        <v>0</v>
      </c>
      <c r="BA70" s="94">
        <f t="shared" si="42"/>
        <v>0</v>
      </c>
      <c r="BB70" s="97">
        <f t="shared" si="43"/>
        <v>0</v>
      </c>
      <c r="BC70" s="93"/>
      <c r="BD70" s="93">
        <f t="shared" si="44"/>
        <v>0</v>
      </c>
      <c r="BE70" s="95">
        <f t="shared" si="45"/>
        <v>1</v>
      </c>
      <c r="BF70" s="58">
        <f t="shared" si="46"/>
        <v>0</v>
      </c>
      <c r="BG70" s="94">
        <f t="shared" si="47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0"/>
        <v>0</v>
      </c>
      <c r="BP70" s="92">
        <f t="shared" si="70"/>
        <v>0</v>
      </c>
      <c r="BQ70" s="96">
        <f t="shared" si="48"/>
        <v>0</v>
      </c>
      <c r="BR70" s="96">
        <f t="shared" si="49"/>
        <v>0</v>
      </c>
      <c r="BS70" s="96">
        <f t="shared" si="71"/>
        <v>0</v>
      </c>
      <c r="BT70" s="96">
        <f t="shared" si="50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1"/>
        <v>0</v>
      </c>
      <c r="BY70" s="61">
        <f t="shared" si="73"/>
        <v>0</v>
      </c>
      <c r="BZ70" s="62">
        <f t="shared" si="52"/>
        <v>0</v>
      </c>
      <c r="CA70" s="98">
        <f t="shared" si="53"/>
        <v>0</v>
      </c>
      <c r="CB70" s="92">
        <f t="shared" si="98"/>
        <v>0</v>
      </c>
      <c r="CC70" s="92">
        <f t="shared" si="98"/>
        <v>0</v>
      </c>
      <c r="CD70" s="92">
        <f t="shared" si="98"/>
        <v>0</v>
      </c>
      <c r="CE70" s="99"/>
      <c r="CF70" s="99"/>
      <c r="CG70" s="51">
        <f t="shared" si="54"/>
        <v>0</v>
      </c>
      <c r="CH70" s="62">
        <f t="shared" si="55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101"/>
        <v>0</v>
      </c>
      <c r="CR70" s="102">
        <f t="shared" si="101"/>
        <v>0</v>
      </c>
      <c r="CS70" s="102">
        <f t="shared" si="101"/>
        <v>0</v>
      </c>
      <c r="CT70" s="92">
        <f t="shared" si="57"/>
        <v>0</v>
      </c>
      <c r="CU70" s="92">
        <f t="shared" si="102"/>
        <v>0</v>
      </c>
      <c r="CV70" s="103">
        <f t="shared" si="102"/>
        <v>0</v>
      </c>
      <c r="CW70" s="104" t="s">
        <v>147</v>
      </c>
      <c r="CX70" s="105">
        <v>20</v>
      </c>
      <c r="CY70" s="106">
        <f t="shared" si="59"/>
        <v>2034</v>
      </c>
      <c r="CZ70" s="106">
        <f t="shared" si="60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6"/>
        <v>0</v>
      </c>
      <c r="DL70" s="108">
        <f t="shared" si="86"/>
        <v>0</v>
      </c>
      <c r="DM70" s="111">
        <f t="shared" si="86"/>
        <v>0</v>
      </c>
      <c r="DN70" s="76">
        <f t="shared" si="89"/>
        <v>0</v>
      </c>
      <c r="DO70" s="76">
        <f t="shared" si="89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1"/>
        <v>0</v>
      </c>
      <c r="DX70" s="81">
        <f t="shared" si="29"/>
        <v>0</v>
      </c>
      <c r="DY70" s="80">
        <f t="shared" si="62"/>
        <v>0</v>
      </c>
      <c r="DZ70" s="82">
        <f t="shared" si="63"/>
        <v>0</v>
      </c>
      <c r="EA70" s="82">
        <f t="shared" si="64"/>
        <v>0</v>
      </c>
      <c r="EB70" s="82">
        <f t="shared" si="65"/>
        <v>0</v>
      </c>
      <c r="EC70" s="82">
        <f>(BX70-CA70)+((AV70+BP70)/1000)</f>
        <v>0</v>
      </c>
      <c r="EF70" s="83">
        <f t="shared" si="107"/>
        <v>0</v>
      </c>
    </row>
    <row r="71" spans="1:136" ht="14.1" customHeight="1">
      <c r="A71" s="84">
        <v>64</v>
      </c>
      <c r="B71" s="85" t="s">
        <v>319</v>
      </c>
      <c r="C71" s="86"/>
      <c r="D71" s="119">
        <v>8400</v>
      </c>
      <c r="E71" s="88">
        <v>92</v>
      </c>
      <c r="F71" s="89" t="s">
        <v>147</v>
      </c>
      <c r="G71" s="45" t="str">
        <f t="shared" si="31"/>
        <v>IBC3604-6.2x3-H9B14</v>
      </c>
      <c r="H71" s="46" t="str">
        <f t="shared" si="32"/>
        <v>C3604IB6.20DH9</v>
      </c>
      <c r="I71" s="46" t="str">
        <f t="shared" si="33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4"/>
        <v>38</v>
      </c>
      <c r="T71" s="51">
        <f>'03.02'!BG71</f>
        <v>0</v>
      </c>
      <c r="U71" s="92"/>
      <c r="V71" s="100">
        <v>4.26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5"/>
        <v>0</v>
      </c>
      <c r="AF71" s="54">
        <f>AE71+'03.02'!AF71</f>
        <v>0</v>
      </c>
      <c r="AG71" s="94">
        <f t="shared" si="66"/>
        <v>0</v>
      </c>
      <c r="AH71" s="56">
        <f t="shared" si="13"/>
        <v>0</v>
      </c>
      <c r="AI71" s="93"/>
      <c r="AJ71" s="93">
        <f t="shared" si="67"/>
        <v>0</v>
      </c>
      <c r="AK71" s="95">
        <f t="shared" si="36"/>
        <v>1</v>
      </c>
      <c r="AL71" s="58">
        <f t="shared" si="37"/>
        <v>0</v>
      </c>
      <c r="AM71" s="55">
        <f t="shared" si="68"/>
        <v>0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8"/>
        <v>0</v>
      </c>
      <c r="AV71" s="96">
        <f t="shared" si="38"/>
        <v>0</v>
      </c>
      <c r="AW71" s="96">
        <f t="shared" si="39"/>
        <v>0</v>
      </c>
      <c r="AX71" s="96">
        <f t="shared" si="40"/>
        <v>0</v>
      </c>
      <c r="AY71" s="94">
        <f t="shared" si="69"/>
        <v>0</v>
      </c>
      <c r="AZ71" s="94">
        <f t="shared" si="41"/>
        <v>0</v>
      </c>
      <c r="BA71" s="94">
        <f t="shared" si="42"/>
        <v>0</v>
      </c>
      <c r="BB71" s="97">
        <f t="shared" si="43"/>
        <v>0</v>
      </c>
      <c r="BC71" s="93"/>
      <c r="BD71" s="93">
        <f t="shared" si="44"/>
        <v>0</v>
      </c>
      <c r="BE71" s="95">
        <f t="shared" si="45"/>
        <v>1</v>
      </c>
      <c r="BF71" s="58">
        <f t="shared" si="46"/>
        <v>0</v>
      </c>
      <c r="BG71" s="94">
        <f t="shared" si="47"/>
        <v>0</v>
      </c>
      <c r="BH71" s="89"/>
      <c r="BI71" s="89"/>
      <c r="BJ71" s="92">
        <f>$CN71</f>
        <v>0</v>
      </c>
      <c r="BK71" s="89"/>
      <c r="BL71" s="89"/>
      <c r="BM71" s="89"/>
      <c r="BN71" s="89"/>
      <c r="BO71" s="92">
        <f t="shared" si="70"/>
        <v>0</v>
      </c>
      <c r="BP71" s="92">
        <f t="shared" si="70"/>
        <v>0</v>
      </c>
      <c r="BQ71" s="96">
        <f t="shared" si="48"/>
        <v>0</v>
      </c>
      <c r="BR71" s="96">
        <f t="shared" si="49"/>
        <v>0</v>
      </c>
      <c r="BS71" s="96">
        <f t="shared" si="71"/>
        <v>0</v>
      </c>
      <c r="BT71" s="96">
        <f t="shared" si="50"/>
        <v>0</v>
      </c>
      <c r="BU71" s="92">
        <f t="shared" si="16"/>
        <v>0</v>
      </c>
      <c r="BV71" s="98">
        <f t="shared" si="17"/>
        <v>0</v>
      </c>
      <c r="BW71" s="92">
        <f t="shared" si="18"/>
        <v>0</v>
      </c>
      <c r="BX71" s="98">
        <f t="shared" si="51"/>
        <v>0</v>
      </c>
      <c r="BY71" s="61">
        <f t="shared" si="73"/>
        <v>0</v>
      </c>
      <c r="BZ71" s="62">
        <f t="shared" si="52"/>
        <v>0</v>
      </c>
      <c r="CA71" s="98">
        <f t="shared" si="53"/>
        <v>0</v>
      </c>
      <c r="CB71" s="92">
        <f t="shared" si="98"/>
        <v>0</v>
      </c>
      <c r="CC71" s="92">
        <f t="shared" si="98"/>
        <v>0</v>
      </c>
      <c r="CD71" s="92">
        <f t="shared" si="98"/>
        <v>0</v>
      </c>
      <c r="CE71" s="99"/>
      <c r="CF71" s="99"/>
      <c r="CG71" s="51">
        <f t="shared" si="54"/>
        <v>0</v>
      </c>
      <c r="CH71" s="62">
        <f t="shared" si="55"/>
        <v>0</v>
      </c>
      <c r="CI71" s="89"/>
      <c r="CJ71" s="89"/>
      <c r="CK71" s="89"/>
      <c r="CL71" s="96"/>
      <c r="CM71" s="89"/>
      <c r="CN71" s="89"/>
      <c r="CO71" s="92"/>
      <c r="CP71" s="101"/>
      <c r="CQ71" s="102">
        <f t="shared" si="101"/>
        <v>0</v>
      </c>
      <c r="CR71" s="102">
        <f t="shared" si="101"/>
        <v>0</v>
      </c>
      <c r="CS71" s="102">
        <f t="shared" si="101"/>
        <v>0</v>
      </c>
      <c r="CT71" s="92">
        <f t="shared" si="57"/>
        <v>0</v>
      </c>
      <c r="CU71" s="92">
        <f t="shared" si="102"/>
        <v>0</v>
      </c>
      <c r="CV71" s="103">
        <f t="shared" si="102"/>
        <v>0</v>
      </c>
      <c r="CW71" s="104" t="s">
        <v>147</v>
      </c>
      <c r="CX71" s="105">
        <v>23</v>
      </c>
      <c r="CY71" s="106">
        <f t="shared" si="59"/>
        <v>1713</v>
      </c>
      <c r="CZ71" s="106">
        <f t="shared" si="60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0</v>
      </c>
      <c r="DG71" s="115">
        <f t="shared" si="23"/>
        <v>0</v>
      </c>
      <c r="DH71" s="110">
        <f t="shared" si="24"/>
        <v>0</v>
      </c>
      <c r="DI71" s="108">
        <f t="shared" si="25"/>
        <v>0</v>
      </c>
      <c r="DJ71" s="112">
        <f t="shared" si="26"/>
        <v>0</v>
      </c>
      <c r="DK71" s="110">
        <f t="shared" si="86"/>
        <v>0</v>
      </c>
      <c r="DL71" s="108">
        <f t="shared" si="86"/>
        <v>0</v>
      </c>
      <c r="DM71" s="111">
        <f t="shared" si="86"/>
        <v>0</v>
      </c>
      <c r="DN71" s="76">
        <f t="shared" si="89"/>
        <v>0</v>
      </c>
      <c r="DO71" s="76">
        <f t="shared" si="89"/>
        <v>0</v>
      </c>
      <c r="DP71" s="112"/>
      <c r="DQ71" s="112"/>
      <c r="DR71" s="113"/>
      <c r="DS71" s="112"/>
      <c r="DT71" s="112"/>
      <c r="DU71" s="111"/>
      <c r="DV71" s="114"/>
      <c r="DW71" s="80">
        <f t="shared" si="61"/>
        <v>0</v>
      </c>
      <c r="DX71" s="81">
        <f t="shared" si="29"/>
        <v>0</v>
      </c>
      <c r="DY71" s="80">
        <f t="shared" si="62"/>
        <v>0</v>
      </c>
      <c r="DZ71" s="82">
        <f t="shared" si="63"/>
        <v>0</v>
      </c>
      <c r="EA71" s="82">
        <f t="shared" si="64"/>
        <v>0</v>
      </c>
      <c r="EB71" s="82">
        <f t="shared" si="65"/>
        <v>0</v>
      </c>
      <c r="EC71" s="82">
        <f t="shared" si="75"/>
        <v>0</v>
      </c>
      <c r="EF71" s="83">
        <f t="shared" si="107"/>
        <v>0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1"/>
        <v>TVA2011-T3-7.5x3-H9B14</v>
      </c>
      <c r="H72" s="46" t="str">
        <f t="shared" si="32"/>
        <v>A2011-T3TV7.50DH9</v>
      </c>
      <c r="I72" s="46" t="str">
        <f t="shared" si="33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4"/>
        <v>24</v>
      </c>
      <c r="T72" s="51">
        <f>'03.02'!BG72</f>
        <v>30</v>
      </c>
      <c r="U72" s="92"/>
      <c r="V72" s="100">
        <v>0.58299999999999996</v>
      </c>
      <c r="W72" s="93">
        <f t="shared" ref="W72:W103" si="114">IF(V72="","",INT((AO72+BI72)/$V72))</f>
        <v>0</v>
      </c>
      <c r="X72" s="93">
        <f t="shared" ref="X72:X106" si="115">IF(V72="","",INT((AP72+BJ72)/$V72))</f>
        <v>0</v>
      </c>
      <c r="Y72" s="93">
        <f t="shared" ref="Y72:Y106" si="116">IF(V72="","",INT((AQ72+BK72)/$V72))</f>
        <v>0</v>
      </c>
      <c r="Z72" s="93">
        <f t="shared" ref="Z72:Z106" si="117">IF(V72="","",INT((AR72+BL72)/$V72))</f>
        <v>0</v>
      </c>
      <c r="AA72" s="93">
        <f t="shared" ref="AA72:AA106" si="118">IF(V72="","",INT((AS72+BM72)/$V72))</f>
        <v>0</v>
      </c>
      <c r="AB72" s="93">
        <f t="shared" ref="AB72:AB106" si="119">IF(V72="","",INT((AT72+BN72)/$V72))</f>
        <v>0</v>
      </c>
      <c r="AC72" s="93">
        <f t="shared" ref="AC72:AC106" si="120">IF(V72="","",INT((AU72+BO72)/$V72))</f>
        <v>0</v>
      </c>
      <c r="AD72" s="93">
        <f t="shared" ref="AD72:AD106" si="121">IF(V72="","",INT((AV72+BP72)/$V72))</f>
        <v>0</v>
      </c>
      <c r="AE72" s="93">
        <f t="shared" si="35"/>
        <v>0</v>
      </c>
      <c r="AF72" s="54">
        <f>AE72+'03.02'!AF72</f>
        <v>0</v>
      </c>
      <c r="AG72" s="94">
        <f t="shared" si="66"/>
        <v>30</v>
      </c>
      <c r="AH72" s="56">
        <f t="shared" si="13"/>
        <v>0</v>
      </c>
      <c r="AI72" s="93"/>
      <c r="AJ72" s="93">
        <f t="shared" si="67"/>
        <v>0</v>
      </c>
      <c r="AK72" s="95">
        <f t="shared" si="36"/>
        <v>1</v>
      </c>
      <c r="AL72" s="58">
        <f t="shared" si="37"/>
        <v>0</v>
      </c>
      <c r="AM72" s="55">
        <f t="shared" si="68"/>
        <v>30</v>
      </c>
      <c r="AN72" s="93"/>
      <c r="AO72" s="96"/>
      <c r="AP72" s="96"/>
      <c r="AQ72" s="96"/>
      <c r="AR72" s="96"/>
      <c r="AS72" s="96"/>
      <c r="AT72" s="96">
        <f t="shared" si="112"/>
        <v>0</v>
      </c>
      <c r="AU72" s="96">
        <f t="shared" si="38"/>
        <v>0</v>
      </c>
      <c r="AV72" s="96">
        <f t="shared" si="38"/>
        <v>0</v>
      </c>
      <c r="AW72" s="96">
        <f t="shared" si="39"/>
        <v>0</v>
      </c>
      <c r="AX72" s="96">
        <f t="shared" si="40"/>
        <v>0</v>
      </c>
      <c r="AY72" s="94">
        <f t="shared" si="69"/>
        <v>0</v>
      </c>
      <c r="AZ72" s="94">
        <f t="shared" si="41"/>
        <v>0</v>
      </c>
      <c r="BA72" s="94">
        <f t="shared" si="42"/>
        <v>30</v>
      </c>
      <c r="BB72" s="97">
        <f t="shared" si="43"/>
        <v>0</v>
      </c>
      <c r="BC72" s="93"/>
      <c r="BD72" s="93">
        <f t="shared" si="44"/>
        <v>0</v>
      </c>
      <c r="BE72" s="95">
        <f t="shared" si="45"/>
        <v>1</v>
      </c>
      <c r="BF72" s="58">
        <f t="shared" si="46"/>
        <v>0</v>
      </c>
      <c r="BG72" s="94">
        <f t="shared" si="47"/>
        <v>30</v>
      </c>
      <c r="BH72" s="89"/>
      <c r="BI72" s="89"/>
      <c r="BJ72" s="89"/>
      <c r="BK72" s="89"/>
      <c r="BL72" s="89"/>
      <c r="BM72" s="89"/>
      <c r="BN72" s="92">
        <f t="shared" si="113"/>
        <v>0</v>
      </c>
      <c r="BO72" s="92">
        <f t="shared" si="70"/>
        <v>0</v>
      </c>
      <c r="BP72" s="92">
        <f t="shared" si="70"/>
        <v>0</v>
      </c>
      <c r="BQ72" s="96">
        <f t="shared" si="48"/>
        <v>0</v>
      </c>
      <c r="BR72" s="96">
        <f t="shared" si="49"/>
        <v>0</v>
      </c>
      <c r="BS72" s="96">
        <f t="shared" si="71"/>
        <v>0</v>
      </c>
      <c r="BT72" s="96">
        <f t="shared" si="50"/>
        <v>0</v>
      </c>
      <c r="BU72" s="92">
        <f t="shared" ref="BU72:BU106" si="122">IFERROR(AE72,"")</f>
        <v>0</v>
      </c>
      <c r="BV72" s="98">
        <f t="shared" si="17"/>
        <v>0</v>
      </c>
      <c r="BW72" s="92">
        <f t="shared" ref="BW72:BW106" si="123">IFERROR(BT72+AZ72,"")</f>
        <v>0</v>
      </c>
      <c r="BX72" s="98">
        <f t="shared" si="51"/>
        <v>0</v>
      </c>
      <c r="BY72" s="61">
        <f t="shared" si="73"/>
        <v>0</v>
      </c>
      <c r="BZ72" s="62">
        <f t="shared" si="52"/>
        <v>0</v>
      </c>
      <c r="CA72" s="98">
        <f t="shared" si="53"/>
        <v>0</v>
      </c>
      <c r="CB72" s="92">
        <f t="shared" ref="CB72:CD106" si="124">IFERROR(BR72+AX72,"")</f>
        <v>0</v>
      </c>
      <c r="CC72" s="92">
        <f t="shared" si="124"/>
        <v>0</v>
      </c>
      <c r="CD72" s="92">
        <f t="shared" si="124"/>
        <v>0</v>
      </c>
      <c r="CE72" s="99"/>
      <c r="CF72" s="99"/>
      <c r="CG72" s="51">
        <f t="shared" si="54"/>
        <v>0</v>
      </c>
      <c r="CH72" s="62">
        <f t="shared" si="55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101"/>
        <v>0</v>
      </c>
      <c r="CR72" s="102">
        <f t="shared" si="101"/>
        <v>0</v>
      </c>
      <c r="CS72" s="102">
        <f t="shared" si="101"/>
        <v>0</v>
      </c>
      <c r="CT72" s="92">
        <f t="shared" si="57"/>
        <v>0</v>
      </c>
      <c r="CU72" s="92">
        <f t="shared" si="102"/>
        <v>0</v>
      </c>
      <c r="CV72" s="103">
        <f t="shared" si="102"/>
        <v>0</v>
      </c>
      <c r="CW72" s="104" t="s">
        <v>147</v>
      </c>
      <c r="CX72" s="105">
        <v>8</v>
      </c>
      <c r="CY72" s="106">
        <f t="shared" si="59"/>
        <v>5107</v>
      </c>
      <c r="CZ72" s="106">
        <f t="shared" si="60"/>
        <v>32.400000000000006</v>
      </c>
      <c r="DA72" s="106"/>
      <c r="DB72" s="106"/>
      <c r="DC72" s="105"/>
      <c r="DD72" s="107"/>
      <c r="DE72" s="92">
        <f t="shared" ref="DE72:DE106" si="125">IFERROR(CQ72+CR72,"")</f>
        <v>0</v>
      </c>
      <c r="DF72" s="108">
        <f t="shared" ref="DF72:DF106" si="126">IFERROR(AL72,"")</f>
        <v>0</v>
      </c>
      <c r="DG72" s="115">
        <f t="shared" ref="DG72:DG106" si="127">IFERROR(AZ72,"")</f>
        <v>0</v>
      </c>
      <c r="DH72" s="110">
        <f t="shared" ref="DH72:DH106" si="128">IFERROR(CT72+CU72,"")</f>
        <v>0</v>
      </c>
      <c r="DI72" s="108">
        <f t="shared" ref="DI72:DI106" si="129">IFERROR(BF72,"")</f>
        <v>0</v>
      </c>
      <c r="DJ72" s="112">
        <f t="shared" ref="DJ72:DJ106" si="130">IFERROR(BT72,"")</f>
        <v>0</v>
      </c>
      <c r="DK72" s="110">
        <f t="shared" si="86"/>
        <v>0</v>
      </c>
      <c r="DL72" s="108">
        <f t="shared" si="86"/>
        <v>0</v>
      </c>
      <c r="DM72" s="111">
        <f t="shared" si="86"/>
        <v>0</v>
      </c>
      <c r="DN72" s="76">
        <f t="shared" si="89"/>
        <v>30</v>
      </c>
      <c r="DO72" s="76">
        <f t="shared" si="89"/>
        <v>0</v>
      </c>
      <c r="DP72" s="112"/>
      <c r="DQ72" s="112"/>
      <c r="DR72" s="113" t="s">
        <v>460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31">IFERROR(DK72+DL72+DM72,"")</f>
        <v>0</v>
      </c>
      <c r="DY72" s="80">
        <f t="shared" si="62"/>
        <v>0</v>
      </c>
      <c r="DZ72" s="82">
        <f t="shared" si="63"/>
        <v>0</v>
      </c>
      <c r="EA72" s="82">
        <f t="shared" si="64"/>
        <v>0</v>
      </c>
      <c r="EB72" s="82">
        <f t="shared" si="65"/>
        <v>0</v>
      </c>
      <c r="EC72" s="82">
        <f t="shared" si="75"/>
        <v>0</v>
      </c>
      <c r="EF72" s="83">
        <f t="shared" si="107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2">CONCATENATE(K73,J73,"-",IF(N73="D",L73,IF(N73="H",CONCATENATE(N73,L73),CONCATENATE(N73,L73,"x",M73))),"x",P73,"-",O73,R73)</f>
        <v>GAA5052-5.7x3-H9A14</v>
      </c>
      <c r="H73" s="46" t="str">
        <f t="shared" ref="H73:H106" si="133">CONCATENATE(J73,,K73,L73,M73,N73,O73)</f>
        <v>A5052GA5.70DH9</v>
      </c>
      <c r="I73" s="46" t="str">
        <f t="shared" ref="I73:I106" si="134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5">ROUND(CY73/E73,0)*2</f>
        <v>14</v>
      </c>
      <c r="T73" s="51">
        <f>'03.02'!BG73</f>
        <v>12</v>
      </c>
      <c r="U73" s="92">
        <v>13</v>
      </c>
      <c r="V73" s="100">
        <v>0.15</v>
      </c>
      <c r="W73" s="93">
        <f t="shared" si="114"/>
        <v>0</v>
      </c>
      <c r="X73" s="93">
        <f t="shared" si="115"/>
        <v>0</v>
      </c>
      <c r="Y73" s="93">
        <f t="shared" si="116"/>
        <v>0</v>
      </c>
      <c r="Z73" s="93">
        <f t="shared" si="117"/>
        <v>0</v>
      </c>
      <c r="AA73" s="93">
        <f t="shared" si="118"/>
        <v>0</v>
      </c>
      <c r="AB73" s="93">
        <f t="shared" si="119"/>
        <v>2800</v>
      </c>
      <c r="AC73" s="93">
        <f t="shared" si="120"/>
        <v>0</v>
      </c>
      <c r="AD73" s="93">
        <f t="shared" si="121"/>
        <v>0</v>
      </c>
      <c r="AE73" s="93">
        <f t="shared" ref="AE73:AE106" si="136">IF(V73="","",SUM(W73:AC73))</f>
        <v>2800</v>
      </c>
      <c r="AF73" s="54">
        <f>AE73+'03.02'!AF73</f>
        <v>11226</v>
      </c>
      <c r="AG73" s="94">
        <f t="shared" si="66"/>
        <v>12</v>
      </c>
      <c r="AH73" s="56">
        <f t="shared" ref="AH73:AH106" si="137">IFERROR(VALUE("0"&amp;RIGHT(AG73,(LEN(AG73)-LEN(TRUNC(AG73))))),"")</f>
        <v>0</v>
      </c>
      <c r="AI73" s="93">
        <v>6</v>
      </c>
      <c r="AJ73" s="93">
        <f t="shared" si="67"/>
        <v>6</v>
      </c>
      <c r="AK73" s="95">
        <f t="shared" ref="AK73:AK107" si="138">IF(V73="","",IF(AJ73=0,1,AJ73/$V73/$E73))</f>
        <v>0.16260162601626016</v>
      </c>
      <c r="AL73" s="58">
        <f t="shared" si="37"/>
        <v>5.17</v>
      </c>
      <c r="AM73" s="55">
        <f t="shared" si="68"/>
        <v>19.829999999999998</v>
      </c>
      <c r="AN73" s="93"/>
      <c r="AO73" s="96"/>
      <c r="AP73" s="96"/>
      <c r="AQ73" s="96"/>
      <c r="AR73" s="96"/>
      <c r="AS73" s="96"/>
      <c r="AT73" s="96">
        <f t="shared" si="112"/>
        <v>170</v>
      </c>
      <c r="AU73" s="96">
        <f t="shared" ref="AU73:AV106" si="139">CK73</f>
        <v>0</v>
      </c>
      <c r="AV73" s="96">
        <f t="shared" si="139"/>
        <v>0</v>
      </c>
      <c r="AW73" s="96">
        <f t="shared" ref="AW73:AW106" si="140">SUM(AO73:AV73)</f>
        <v>170</v>
      </c>
      <c r="AX73" s="96">
        <f t="shared" ref="AX73:AX106" si="141">IF(V73="","",INT(AW73/$V73))</f>
        <v>1133</v>
      </c>
      <c r="AY73" s="94">
        <f t="shared" si="69"/>
        <v>-20.772999999999996</v>
      </c>
      <c r="AZ73" s="94">
        <f t="shared" ref="AZ73:AZ106" si="142">IF($V73="","",AY73/$V73)</f>
        <v>-138.48666666666665</v>
      </c>
      <c r="BA73" s="94">
        <f t="shared" si="42"/>
        <v>19.829999999999998</v>
      </c>
      <c r="BB73" s="97">
        <f t="shared" si="43"/>
        <v>0.83</v>
      </c>
      <c r="BC73" s="93">
        <v>6</v>
      </c>
      <c r="BD73" s="93">
        <f t="shared" ref="BD73:BD106" si="143">$CM73</f>
        <v>0</v>
      </c>
      <c r="BE73" s="95">
        <f t="shared" ref="BE73:BE106" si="144">IF(AA73="","",IF(BD73=0,1,BD73/$V73/$E73))</f>
        <v>1</v>
      </c>
      <c r="BF73" s="58">
        <f t="shared" si="46"/>
        <v>6.83</v>
      </c>
      <c r="BG73" s="94">
        <f t="shared" ref="BG73:BG106" si="145">IF(AA73="","",BA73-BF73)</f>
        <v>12.999999999999998</v>
      </c>
      <c r="BH73" s="89"/>
      <c r="BI73" s="89"/>
      <c r="BJ73" s="89"/>
      <c r="BK73" s="89"/>
      <c r="BL73" s="89"/>
      <c r="BM73" s="89"/>
      <c r="BN73" s="92">
        <f t="shared" si="113"/>
        <v>250</v>
      </c>
      <c r="BO73" s="92">
        <f t="shared" si="70"/>
        <v>0</v>
      </c>
      <c r="BP73" s="92">
        <f t="shared" si="70"/>
        <v>0</v>
      </c>
      <c r="BQ73" s="96">
        <f t="shared" ref="BQ73:BQ106" si="146">SUM(BI73:BP73)</f>
        <v>250</v>
      </c>
      <c r="BR73" s="96">
        <f t="shared" ref="BR73:BR106" si="147">IF(AA73="","",INT(BQ73/$V73))</f>
        <v>1666</v>
      </c>
      <c r="BS73" s="96">
        <f t="shared" si="71"/>
        <v>-2.0269999999999868</v>
      </c>
      <c r="BT73" s="96">
        <f t="shared" ref="BT73:BT106" si="148">IF($V73="","",BS73/$V73)</f>
        <v>-13.513333333333247</v>
      </c>
      <c r="BU73" s="92">
        <f t="shared" si="122"/>
        <v>2800</v>
      </c>
      <c r="BV73" s="98">
        <f t="shared" si="17"/>
        <v>12</v>
      </c>
      <c r="BW73" s="92">
        <f t="shared" si="123"/>
        <v>-151.99999999999989</v>
      </c>
      <c r="BX73" s="98">
        <f t="shared" ref="BX73:BX106" si="149">IF($Q73="","",(BF73+AL73)*$Q73)</f>
        <v>2.448</v>
      </c>
      <c r="BY73" s="61">
        <f t="shared" si="73"/>
        <v>12</v>
      </c>
      <c r="BZ73" s="62">
        <f t="shared" ref="BZ73:BZ108" si="150">BY73</f>
        <v>12</v>
      </c>
      <c r="CA73" s="98">
        <f t="shared" ref="CA73:CA106" si="151">IFERROR((BQ73+AW73)/1000,"")</f>
        <v>0.42</v>
      </c>
      <c r="CB73" s="92">
        <f t="shared" si="124"/>
        <v>2799</v>
      </c>
      <c r="CC73" s="92">
        <f t="shared" si="124"/>
        <v>-22.799999999999983</v>
      </c>
      <c r="CD73" s="92">
        <f t="shared" si="124"/>
        <v>-151.99999999999989</v>
      </c>
      <c r="CE73" s="99"/>
      <c r="CF73" s="99"/>
      <c r="CG73" s="51">
        <f t="shared" ref="CG73:CG106" si="152">IF(BX73="",0,(BX73-CA73)+((AV73+BP73)/1000))</f>
        <v>2.028</v>
      </c>
      <c r="CH73" s="62">
        <f t="shared" ref="CH73:CH108" si="153">CG73</f>
        <v>2.028</v>
      </c>
      <c r="CI73" s="89">
        <v>6</v>
      </c>
      <c r="CJ73" s="89">
        <v>170</v>
      </c>
      <c r="CK73" s="89"/>
      <c r="CL73" s="96"/>
      <c r="CM73" s="89"/>
      <c r="CN73" s="89">
        <v>250</v>
      </c>
      <c r="CO73" s="92"/>
      <c r="CP73" s="101"/>
      <c r="CQ73" s="102">
        <f t="shared" si="101"/>
        <v>1133</v>
      </c>
      <c r="CR73" s="102">
        <f t="shared" si="101"/>
        <v>0</v>
      </c>
      <c r="CS73" s="102">
        <f t="shared" si="101"/>
        <v>0</v>
      </c>
      <c r="CT73" s="92">
        <f t="shared" ref="CT73:CT106" si="154">INT(IFERROR( AE73-CQ73-CU73-CR73,0))</f>
        <v>1667</v>
      </c>
      <c r="CU73" s="92">
        <f t="shared" si="102"/>
        <v>0</v>
      </c>
      <c r="CV73" s="103">
        <f t="shared" si="102"/>
        <v>0</v>
      </c>
      <c r="CW73" s="104" t="s">
        <v>147</v>
      </c>
      <c r="CX73" s="105">
        <v>23.04</v>
      </c>
      <c r="CY73" s="106">
        <f t="shared" ref="CY73:CY106" si="155">INT(60/CX73*60*(12-(CEILING((60/CX73*60*12)/E73,1)*IF(CW73="T",0.45,IF(CW73="",5,3))/60)))</f>
        <v>1812</v>
      </c>
      <c r="CZ73" s="106">
        <f t="shared" ref="CZ73:CZ106" si="156">IF(CX73="",0,(IF(CW73="",360,180)/(60/CX73))*1.35)</f>
        <v>93.311999999999998</v>
      </c>
      <c r="DA73" s="106"/>
      <c r="DB73" s="106"/>
      <c r="DC73" s="105"/>
      <c r="DD73" s="107"/>
      <c r="DE73" s="92">
        <f t="shared" si="125"/>
        <v>1133</v>
      </c>
      <c r="DF73" s="108">
        <f t="shared" si="126"/>
        <v>5.17</v>
      </c>
      <c r="DG73" s="115">
        <f t="shared" si="127"/>
        <v>-138.48666666666665</v>
      </c>
      <c r="DH73" s="110">
        <f t="shared" si="128"/>
        <v>1667</v>
      </c>
      <c r="DI73" s="108">
        <f t="shared" si="129"/>
        <v>6.83</v>
      </c>
      <c r="DJ73" s="112">
        <f t="shared" si="130"/>
        <v>-13.513333333333247</v>
      </c>
      <c r="DK73" s="110">
        <f t="shared" si="86"/>
        <v>2800</v>
      </c>
      <c r="DL73" s="108">
        <f t="shared" si="86"/>
        <v>12</v>
      </c>
      <c r="DM73" s="111">
        <f t="shared" si="86"/>
        <v>-151.99999999999989</v>
      </c>
      <c r="DN73" s="76">
        <f t="shared" si="89"/>
        <v>12</v>
      </c>
      <c r="DO73" s="76">
        <f t="shared" si="89"/>
        <v>13</v>
      </c>
      <c r="DP73" s="112"/>
      <c r="DQ73" s="112"/>
      <c r="DR73" s="113" t="s">
        <v>461</v>
      </c>
      <c r="DS73" s="112"/>
      <c r="DT73" s="112"/>
      <c r="DU73" s="111"/>
      <c r="DV73" s="114"/>
      <c r="DW73" s="80">
        <f t="shared" ref="DW73:DW106" si="157">IFERROR(BU73+BV73,"")</f>
        <v>2812</v>
      </c>
      <c r="DX73" s="81">
        <f t="shared" si="131"/>
        <v>2660</v>
      </c>
      <c r="DY73" s="80">
        <f t="shared" ref="DY73:DY106" si="158">CQ73+CR73+CS73+CT73+CU73+CV73</f>
        <v>2800</v>
      </c>
      <c r="DZ73" s="82">
        <f t="shared" ref="DZ73:DZ106" si="159">IFERROR((AD73*V73/1000),0)</f>
        <v>0</v>
      </c>
      <c r="EA73" s="82">
        <f t="shared" ref="EA73:EA106" si="160">IFERROR((AE73*V73/1000),0)</f>
        <v>0.42</v>
      </c>
      <c r="EB73" s="82">
        <f t="shared" ref="EB73:EB106" si="161">BX73-EA73</f>
        <v>2.028</v>
      </c>
      <c r="EC73" s="82">
        <f t="shared" si="75"/>
        <v>2.028</v>
      </c>
      <c r="EF73" s="83">
        <f t="shared" si="107"/>
        <v>-151.99999999999989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2"/>
        <v>IBC3604-7x3-H9D14</v>
      </c>
      <c r="H74" s="46" t="str">
        <f t="shared" si="133"/>
        <v>C3604IB70DH9</v>
      </c>
      <c r="I74" s="46" t="str">
        <f t="shared" si="134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5"/>
        <v>28</v>
      </c>
      <c r="T74" s="51">
        <f>'03.02'!BG74</f>
        <v>25</v>
      </c>
      <c r="U74" s="92">
        <v>25</v>
      </c>
      <c r="V74" s="100">
        <v>3.3769999999999998</v>
      </c>
      <c r="W74" s="93">
        <f t="shared" si="114"/>
        <v>0</v>
      </c>
      <c r="X74" s="93">
        <f t="shared" si="115"/>
        <v>3809</v>
      </c>
      <c r="Y74" s="93">
        <f t="shared" si="116"/>
        <v>0</v>
      </c>
      <c r="Z74" s="93">
        <f t="shared" si="117"/>
        <v>0</v>
      </c>
      <c r="AA74" s="93">
        <f t="shared" si="118"/>
        <v>0</v>
      </c>
      <c r="AB74" s="93">
        <f t="shared" si="119"/>
        <v>0</v>
      </c>
      <c r="AC74" s="93">
        <f t="shared" si="120"/>
        <v>0</v>
      </c>
      <c r="AD74" s="93">
        <f t="shared" si="121"/>
        <v>6</v>
      </c>
      <c r="AE74" s="93">
        <f t="shared" si="136"/>
        <v>3809</v>
      </c>
      <c r="AF74" s="54">
        <f>AE74+'03.02'!AF74</f>
        <v>11608</v>
      </c>
      <c r="AG74" s="94">
        <f t="shared" ref="AG74:AG106" si="162">T74</f>
        <v>25</v>
      </c>
      <c r="AH74" s="56">
        <f t="shared" si="137"/>
        <v>0</v>
      </c>
      <c r="AI74" s="93">
        <v>14</v>
      </c>
      <c r="AJ74" s="93">
        <f t="shared" ref="AJ74:AJ106" si="163">$CI74</f>
        <v>0</v>
      </c>
      <c r="AK74" s="95">
        <f t="shared" si="138"/>
        <v>1</v>
      </c>
      <c r="AL74" s="58">
        <f t="shared" si="37"/>
        <v>14</v>
      </c>
      <c r="AM74" s="55">
        <f t="shared" ref="AM74:AM106" si="164">IF(V74="","",AG74+U74-AL74)</f>
        <v>36</v>
      </c>
      <c r="AN74" s="93"/>
      <c r="AO74" s="96"/>
      <c r="AP74" s="96">
        <f>$CJ74</f>
        <v>6446</v>
      </c>
      <c r="AQ74" s="96"/>
      <c r="AR74" s="96"/>
      <c r="AS74" s="96"/>
      <c r="AT74" s="96"/>
      <c r="AU74" s="96">
        <f t="shared" si="139"/>
        <v>0</v>
      </c>
      <c r="AV74" s="96">
        <f t="shared" si="139"/>
        <v>22</v>
      </c>
      <c r="AW74" s="96">
        <f t="shared" si="140"/>
        <v>6468</v>
      </c>
      <c r="AX74" s="96">
        <f t="shared" si="141"/>
        <v>1915</v>
      </c>
      <c r="AY74" s="94">
        <f t="shared" ref="AY74:AY106" si="165">IF(V74="","",AW74-AL74*$E74*$V74)</f>
        <v>85.470000000000255</v>
      </c>
      <c r="AZ74" s="94">
        <f t="shared" si="142"/>
        <v>25.309446254071737</v>
      </c>
      <c r="BA74" s="94">
        <f t="shared" si="42"/>
        <v>36</v>
      </c>
      <c r="BB74" s="97">
        <f t="shared" si="43"/>
        <v>0</v>
      </c>
      <c r="BC74" s="93">
        <v>14</v>
      </c>
      <c r="BD74" s="93">
        <f t="shared" si="143"/>
        <v>0</v>
      </c>
      <c r="BE74" s="95">
        <f t="shared" si="144"/>
        <v>1</v>
      </c>
      <c r="BF74" s="58">
        <f t="shared" si="46"/>
        <v>14</v>
      </c>
      <c r="BG74" s="94">
        <f t="shared" si="145"/>
        <v>22</v>
      </c>
      <c r="BH74" s="89"/>
      <c r="BI74" s="89"/>
      <c r="BJ74" s="92">
        <f>$CN74</f>
        <v>6419</v>
      </c>
      <c r="BK74" s="89"/>
      <c r="BL74" s="89"/>
      <c r="BM74" s="89"/>
      <c r="BN74" s="89"/>
      <c r="BO74" s="92">
        <f t="shared" ref="BO74:BP103" si="166">CO74</f>
        <v>0</v>
      </c>
      <c r="BP74" s="92">
        <f t="shared" si="166"/>
        <v>0</v>
      </c>
      <c r="BQ74" s="96">
        <f t="shared" si="146"/>
        <v>6419</v>
      </c>
      <c r="BR74" s="96">
        <f t="shared" si="147"/>
        <v>1900</v>
      </c>
      <c r="BS74" s="96">
        <f t="shared" ref="BS74:BS106" si="167">IF(AA74="","",-BF74*$E74*$V74+BQ74)</f>
        <v>36.470000000000255</v>
      </c>
      <c r="BT74" s="96">
        <f t="shared" si="148"/>
        <v>10.799526206692407</v>
      </c>
      <c r="BU74" s="92">
        <f t="shared" si="122"/>
        <v>3809</v>
      </c>
      <c r="BV74" s="98">
        <f t="shared" ref="BV74:BV106" si="168">IFERROR(BF74+AL74,"")</f>
        <v>28</v>
      </c>
      <c r="BW74" s="92">
        <f t="shared" si="123"/>
        <v>36.108972460764143</v>
      </c>
      <c r="BX74" s="98">
        <f t="shared" si="149"/>
        <v>27.439999999999998</v>
      </c>
      <c r="BY74" s="61">
        <f>IFERROR(BF74+AL74,0)</f>
        <v>28</v>
      </c>
      <c r="BZ74" s="62">
        <f t="shared" si="150"/>
        <v>28</v>
      </c>
      <c r="CA74" s="98">
        <f t="shared" si="151"/>
        <v>12.887</v>
      </c>
      <c r="CB74" s="92">
        <f t="shared" si="124"/>
        <v>3815</v>
      </c>
      <c r="CC74" s="92">
        <f t="shared" si="124"/>
        <v>121.94000000000051</v>
      </c>
      <c r="CD74" s="92">
        <f t="shared" si="124"/>
        <v>36.108972460764143</v>
      </c>
      <c r="CE74" s="99"/>
      <c r="CF74" s="99"/>
      <c r="CG74" s="51">
        <f t="shared" si="152"/>
        <v>14.574999999999998</v>
      </c>
      <c r="CH74" s="62">
        <f t="shared" si="153"/>
        <v>14.574999999999998</v>
      </c>
      <c r="CI74" s="89"/>
      <c r="CJ74" s="89">
        <v>6446</v>
      </c>
      <c r="CK74" s="89"/>
      <c r="CL74" s="96">
        <v>22</v>
      </c>
      <c r="CM74" s="89"/>
      <c r="CN74" s="89">
        <v>6419</v>
      </c>
      <c r="CO74" s="92"/>
      <c r="CP74" s="101"/>
      <c r="CQ74" s="102">
        <f t="shared" si="101"/>
        <v>1908</v>
      </c>
      <c r="CR74" s="102">
        <f t="shared" si="101"/>
        <v>0</v>
      </c>
      <c r="CS74" s="102">
        <f t="shared" si="101"/>
        <v>6</v>
      </c>
      <c r="CT74" s="92">
        <f t="shared" si="154"/>
        <v>1901</v>
      </c>
      <c r="CU74" s="92">
        <f t="shared" si="102"/>
        <v>0</v>
      </c>
      <c r="CV74" s="103">
        <f t="shared" si="102"/>
        <v>0</v>
      </c>
      <c r="CW74" s="104" t="s">
        <v>147</v>
      </c>
      <c r="CX74" s="105">
        <v>22</v>
      </c>
      <c r="CY74" s="106">
        <f t="shared" si="155"/>
        <v>1840</v>
      </c>
      <c r="CZ74" s="106">
        <f t="shared" si="156"/>
        <v>89.100000000000009</v>
      </c>
      <c r="DA74" s="106"/>
      <c r="DB74" s="106"/>
      <c r="DC74" s="105"/>
      <c r="DD74" s="107"/>
      <c r="DE74" s="92">
        <f t="shared" si="125"/>
        <v>1908</v>
      </c>
      <c r="DF74" s="108">
        <f t="shared" si="126"/>
        <v>14</v>
      </c>
      <c r="DG74" s="115">
        <f t="shared" si="127"/>
        <v>25.309446254071737</v>
      </c>
      <c r="DH74" s="110">
        <f t="shared" si="128"/>
        <v>1901</v>
      </c>
      <c r="DI74" s="108">
        <f t="shared" si="129"/>
        <v>14</v>
      </c>
      <c r="DJ74" s="112">
        <f t="shared" si="130"/>
        <v>10.799526206692407</v>
      </c>
      <c r="DK74" s="110">
        <f t="shared" si="86"/>
        <v>3809</v>
      </c>
      <c r="DL74" s="108">
        <f t="shared" si="86"/>
        <v>28</v>
      </c>
      <c r="DM74" s="111">
        <f t="shared" si="86"/>
        <v>36.108972460764143</v>
      </c>
      <c r="DN74" s="76">
        <f t="shared" si="89"/>
        <v>25</v>
      </c>
      <c r="DO74" s="76">
        <f t="shared" si="89"/>
        <v>25</v>
      </c>
      <c r="DP74" s="112"/>
      <c r="DQ74" s="112"/>
      <c r="DR74" s="113" t="s">
        <v>462</v>
      </c>
      <c r="DS74" s="112"/>
      <c r="DT74" s="112"/>
      <c r="DU74" s="111"/>
      <c r="DV74" s="114"/>
      <c r="DW74" s="80">
        <f t="shared" ref="DW74:DW76" si="169">IFERROR(AL74+BF74,"")</f>
        <v>28</v>
      </c>
      <c r="DX74" s="81">
        <f t="shared" si="131"/>
        <v>3873.1089724607641</v>
      </c>
      <c r="DY74" s="80">
        <f t="shared" si="158"/>
        <v>3815</v>
      </c>
      <c r="DZ74" s="82">
        <f t="shared" si="159"/>
        <v>2.0261999999999999E-2</v>
      </c>
      <c r="EA74" s="82">
        <f t="shared" si="160"/>
        <v>12.862992999999999</v>
      </c>
      <c r="EB74" s="82">
        <f t="shared" si="161"/>
        <v>14.577006999999998</v>
      </c>
      <c r="EC74" s="82">
        <f t="shared" ref="EC74:EC75" si="170">(BX74-CA74)+((AV74+BP74)/1000)</f>
        <v>14.574999999999998</v>
      </c>
      <c r="EF74" s="83">
        <f t="shared" si="107"/>
        <v>36.108972460764143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2"/>
        <v>IBC3604-5x3-H9B14</v>
      </c>
      <c r="H75" s="46" t="str">
        <f t="shared" si="133"/>
        <v>C3604IB50DH9</v>
      </c>
      <c r="I75" s="46" t="str">
        <f t="shared" si="134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5"/>
        <v>82</v>
      </c>
      <c r="T75" s="51">
        <f>'03.02'!BG75</f>
        <v>220</v>
      </c>
      <c r="U75" s="92"/>
      <c r="V75" s="100">
        <v>2.65</v>
      </c>
      <c r="W75" s="93">
        <f t="shared" si="114"/>
        <v>0</v>
      </c>
      <c r="X75" s="93">
        <f t="shared" si="115"/>
        <v>0</v>
      </c>
      <c r="Y75" s="93">
        <f t="shared" si="116"/>
        <v>0</v>
      </c>
      <c r="Z75" s="93">
        <f t="shared" si="117"/>
        <v>0</v>
      </c>
      <c r="AA75" s="93">
        <f t="shared" si="118"/>
        <v>0</v>
      </c>
      <c r="AB75" s="93">
        <f t="shared" si="119"/>
        <v>0</v>
      </c>
      <c r="AC75" s="93">
        <f t="shared" si="120"/>
        <v>0</v>
      </c>
      <c r="AD75" s="93">
        <f t="shared" si="121"/>
        <v>0</v>
      </c>
      <c r="AE75" s="93">
        <f t="shared" si="136"/>
        <v>0</v>
      </c>
      <c r="AF75" s="54">
        <f>AE75+'03.02'!AF75</f>
        <v>0</v>
      </c>
      <c r="AG75" s="94">
        <f t="shared" si="162"/>
        <v>220</v>
      </c>
      <c r="AH75" s="56">
        <f t="shared" si="137"/>
        <v>0</v>
      </c>
      <c r="AI75" s="93"/>
      <c r="AJ75" s="93">
        <f t="shared" si="163"/>
        <v>0</v>
      </c>
      <c r="AK75" s="95">
        <f t="shared" si="138"/>
        <v>1</v>
      </c>
      <c r="AL75" s="58">
        <f t="shared" si="37"/>
        <v>0</v>
      </c>
      <c r="AM75" s="55">
        <f t="shared" si="164"/>
        <v>220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39"/>
        <v>0</v>
      </c>
      <c r="AV75" s="96">
        <f t="shared" si="139"/>
        <v>0</v>
      </c>
      <c r="AW75" s="96">
        <f t="shared" si="140"/>
        <v>0</v>
      </c>
      <c r="AX75" s="96">
        <f t="shared" si="141"/>
        <v>0</v>
      </c>
      <c r="AY75" s="94">
        <f t="shared" si="165"/>
        <v>0</v>
      </c>
      <c r="AZ75" s="94">
        <f t="shared" si="142"/>
        <v>0</v>
      </c>
      <c r="BA75" s="94">
        <f t="shared" ref="BA75:BA106" si="171">AM75</f>
        <v>220</v>
      </c>
      <c r="BB75" s="97">
        <f t="shared" ref="BB75:BB106" si="172">VALUE("0"&amp;RIGHT(BA75,(LEN(BA75)-LEN(TRUNC(BA75)))))</f>
        <v>0</v>
      </c>
      <c r="BC75" s="93"/>
      <c r="BD75" s="93">
        <f t="shared" si="143"/>
        <v>0</v>
      </c>
      <c r="BE75" s="95">
        <f t="shared" si="144"/>
        <v>1</v>
      </c>
      <c r="BF75" s="58">
        <f t="shared" si="46"/>
        <v>0</v>
      </c>
      <c r="BG75" s="94">
        <f t="shared" si="145"/>
        <v>220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6"/>
        <v>0</v>
      </c>
      <c r="BP75" s="92">
        <f t="shared" si="166"/>
        <v>0</v>
      </c>
      <c r="BQ75" s="96">
        <f t="shared" si="146"/>
        <v>0</v>
      </c>
      <c r="BR75" s="96">
        <f t="shared" si="147"/>
        <v>0</v>
      </c>
      <c r="BS75" s="96">
        <f t="shared" si="167"/>
        <v>0</v>
      </c>
      <c r="BT75" s="96">
        <f t="shared" si="148"/>
        <v>0</v>
      </c>
      <c r="BU75" s="92">
        <f t="shared" si="122"/>
        <v>0</v>
      </c>
      <c r="BV75" s="98">
        <f t="shared" si="168"/>
        <v>0</v>
      </c>
      <c r="BW75" s="92">
        <f t="shared" si="123"/>
        <v>0</v>
      </c>
      <c r="BX75" s="98">
        <f t="shared" si="149"/>
        <v>0</v>
      </c>
      <c r="BY75" s="61">
        <f t="shared" ref="BY75:BY106" si="173">IFERROR(BF75+AL75,0)</f>
        <v>0</v>
      </c>
      <c r="BZ75" s="62">
        <f t="shared" si="150"/>
        <v>0</v>
      </c>
      <c r="CA75" s="98">
        <f t="shared" si="151"/>
        <v>0</v>
      </c>
      <c r="CB75" s="92">
        <f t="shared" si="124"/>
        <v>0</v>
      </c>
      <c r="CC75" s="92">
        <f t="shared" si="124"/>
        <v>0</v>
      </c>
      <c r="CD75" s="92">
        <f t="shared" si="124"/>
        <v>0</v>
      </c>
      <c r="CE75" s="99"/>
      <c r="CF75" s="99"/>
      <c r="CG75" s="51">
        <f t="shared" si="152"/>
        <v>0</v>
      </c>
      <c r="CH75" s="62">
        <f t="shared" si="153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101"/>
        <v>0</v>
      </c>
      <c r="CR75" s="102">
        <f t="shared" si="101"/>
        <v>0</v>
      </c>
      <c r="CS75" s="102">
        <f t="shared" si="101"/>
        <v>0</v>
      </c>
      <c r="CT75" s="92">
        <f t="shared" si="154"/>
        <v>0</v>
      </c>
      <c r="CU75" s="92">
        <f t="shared" si="102"/>
        <v>0</v>
      </c>
      <c r="CV75" s="103">
        <f t="shared" si="102"/>
        <v>0</v>
      </c>
      <c r="CW75" s="104" t="s">
        <v>147</v>
      </c>
      <c r="CX75" s="105">
        <v>11</v>
      </c>
      <c r="CY75" s="106">
        <f t="shared" si="155"/>
        <v>3043</v>
      </c>
      <c r="CZ75" s="106">
        <f t="shared" si="156"/>
        <v>44.550000000000004</v>
      </c>
      <c r="DA75" s="106"/>
      <c r="DB75" s="106"/>
      <c r="DC75" s="105"/>
      <c r="DD75" s="107"/>
      <c r="DE75" s="92">
        <f t="shared" si="125"/>
        <v>0</v>
      </c>
      <c r="DF75" s="108">
        <f t="shared" si="126"/>
        <v>0</v>
      </c>
      <c r="DG75" s="115">
        <f t="shared" si="127"/>
        <v>0</v>
      </c>
      <c r="DH75" s="110">
        <f t="shared" si="128"/>
        <v>0</v>
      </c>
      <c r="DI75" s="108">
        <f t="shared" si="129"/>
        <v>0</v>
      </c>
      <c r="DJ75" s="112">
        <f t="shared" si="130"/>
        <v>0</v>
      </c>
      <c r="DK75" s="110">
        <f t="shared" si="86"/>
        <v>0</v>
      </c>
      <c r="DL75" s="108">
        <f t="shared" si="86"/>
        <v>0</v>
      </c>
      <c r="DM75" s="111">
        <f t="shared" si="86"/>
        <v>0</v>
      </c>
      <c r="DN75" s="76">
        <f t="shared" si="89"/>
        <v>220</v>
      </c>
      <c r="DO75" s="76">
        <f t="shared" si="89"/>
        <v>0</v>
      </c>
      <c r="DP75" s="112"/>
      <c r="DQ75" s="112"/>
      <c r="DR75" s="113" t="s">
        <v>463</v>
      </c>
      <c r="DS75" s="112"/>
      <c r="DT75" s="112"/>
      <c r="DU75" s="111"/>
      <c r="DV75" s="114"/>
      <c r="DW75" s="80">
        <f t="shared" si="169"/>
        <v>0</v>
      </c>
      <c r="DX75" s="81">
        <f t="shared" si="131"/>
        <v>0</v>
      </c>
      <c r="DY75" s="80">
        <f t="shared" si="158"/>
        <v>0</v>
      </c>
      <c r="DZ75" s="82">
        <f t="shared" si="159"/>
        <v>0</v>
      </c>
      <c r="EA75" s="82">
        <f t="shared" si="160"/>
        <v>0</v>
      </c>
      <c r="EB75" s="82">
        <f t="shared" si="161"/>
        <v>0</v>
      </c>
      <c r="EC75" s="82">
        <f t="shared" si="170"/>
        <v>0</v>
      </c>
      <c r="EF75" s="83">
        <f t="shared" si="107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2"/>
        <v>GAA5052-5.7x3-H9A14</v>
      </c>
      <c r="H76" s="46" t="str">
        <f t="shared" si="133"/>
        <v>A5052GA5.70DH9</v>
      </c>
      <c r="I76" s="46" t="str">
        <f t="shared" si="134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5"/>
        <v>22</v>
      </c>
      <c r="T76" s="51">
        <f>'03.02'!BG76</f>
        <v>12</v>
      </c>
      <c r="U76" s="92">
        <v>13</v>
      </c>
      <c r="V76" s="100">
        <v>0.15</v>
      </c>
      <c r="W76" s="93">
        <f t="shared" si="114"/>
        <v>0</v>
      </c>
      <c r="X76" s="93">
        <f t="shared" si="115"/>
        <v>0</v>
      </c>
      <c r="Y76" s="93">
        <f t="shared" si="116"/>
        <v>0</v>
      </c>
      <c r="Z76" s="93">
        <f t="shared" si="117"/>
        <v>0</v>
      </c>
      <c r="AA76" s="93">
        <f t="shared" si="118"/>
        <v>0</v>
      </c>
      <c r="AB76" s="93">
        <f t="shared" si="119"/>
        <v>3133</v>
      </c>
      <c r="AC76" s="93">
        <f t="shared" si="120"/>
        <v>0</v>
      </c>
      <c r="AD76" s="93">
        <f t="shared" si="121"/>
        <v>100</v>
      </c>
      <c r="AE76" s="93">
        <f t="shared" si="136"/>
        <v>3133</v>
      </c>
      <c r="AF76" s="54">
        <f>AE76+'03.02'!AF76</f>
        <v>11425</v>
      </c>
      <c r="AG76" s="94">
        <f t="shared" si="162"/>
        <v>12</v>
      </c>
      <c r="AH76" s="56">
        <f t="shared" si="137"/>
        <v>0</v>
      </c>
      <c r="AI76" s="93">
        <v>7</v>
      </c>
      <c r="AJ76" s="93">
        <f t="shared" si="163"/>
        <v>23</v>
      </c>
      <c r="AK76" s="95">
        <f t="shared" si="138"/>
        <v>0.63888888888888895</v>
      </c>
      <c r="AL76" s="58">
        <f t="shared" ref="AL76:AL108" si="174">IF(V76="","",MAX(ROUNDUP((IF(AI76+AJ76=0,0,AH76)+AI76+AK76-1),2),0))</f>
        <v>6.64</v>
      </c>
      <c r="AM76" s="55">
        <f t="shared" si="164"/>
        <v>18.36</v>
      </c>
      <c r="AN76" s="93"/>
      <c r="AO76" s="96"/>
      <c r="AP76" s="96"/>
      <c r="AQ76" s="96"/>
      <c r="AR76" s="96"/>
      <c r="AS76" s="96"/>
      <c r="AT76" s="96">
        <f>$CJ76</f>
        <v>220</v>
      </c>
      <c r="AU76" s="96">
        <f t="shared" si="139"/>
        <v>0</v>
      </c>
      <c r="AV76" s="96">
        <f t="shared" si="139"/>
        <v>5</v>
      </c>
      <c r="AW76" s="96">
        <f t="shared" si="140"/>
        <v>225</v>
      </c>
      <c r="AX76" s="96">
        <f t="shared" si="141"/>
        <v>1500</v>
      </c>
      <c r="AY76" s="94">
        <f t="shared" si="165"/>
        <v>-14.039999999999964</v>
      </c>
      <c r="AZ76" s="94">
        <f t="shared" si="142"/>
        <v>-93.599999999999767</v>
      </c>
      <c r="BA76" s="94">
        <f t="shared" si="171"/>
        <v>18.36</v>
      </c>
      <c r="BB76" s="97">
        <f t="shared" si="172"/>
        <v>0.36</v>
      </c>
      <c r="BC76" s="93">
        <v>7</v>
      </c>
      <c r="BD76" s="93">
        <f t="shared" si="143"/>
        <v>0</v>
      </c>
      <c r="BE76" s="95">
        <f t="shared" si="144"/>
        <v>1</v>
      </c>
      <c r="BF76" s="58">
        <f t="shared" si="46"/>
        <v>7.36</v>
      </c>
      <c r="BG76" s="94">
        <f t="shared" si="145"/>
        <v>11</v>
      </c>
      <c r="BH76" s="89"/>
      <c r="BI76" s="89"/>
      <c r="BJ76" s="92"/>
      <c r="BK76" s="89"/>
      <c r="BL76" s="89"/>
      <c r="BM76" s="89"/>
      <c r="BN76" s="92">
        <f>$CN76</f>
        <v>250</v>
      </c>
      <c r="BO76" s="92">
        <f t="shared" si="166"/>
        <v>0</v>
      </c>
      <c r="BP76" s="92">
        <f t="shared" si="166"/>
        <v>10</v>
      </c>
      <c r="BQ76" s="96">
        <f t="shared" si="146"/>
        <v>260</v>
      </c>
      <c r="BR76" s="96">
        <f t="shared" si="147"/>
        <v>1733</v>
      </c>
      <c r="BS76" s="96">
        <f t="shared" si="167"/>
        <v>-4.9599999999999795</v>
      </c>
      <c r="BT76" s="96">
        <f t="shared" si="148"/>
        <v>-33.066666666666535</v>
      </c>
      <c r="BU76" s="92">
        <f t="shared" si="122"/>
        <v>3133</v>
      </c>
      <c r="BV76" s="98">
        <f t="shared" si="168"/>
        <v>14</v>
      </c>
      <c r="BW76" s="92">
        <f t="shared" si="123"/>
        <v>-126.6666666666663</v>
      </c>
      <c r="BX76" s="98">
        <f t="shared" si="149"/>
        <v>2.8559999999999999</v>
      </c>
      <c r="BY76" s="61">
        <f>IFERROR(BF76+AL76,0)</f>
        <v>14</v>
      </c>
      <c r="BZ76" s="62">
        <f t="shared" si="150"/>
        <v>14</v>
      </c>
      <c r="CA76" s="98">
        <f t="shared" si="151"/>
        <v>0.48499999999999999</v>
      </c>
      <c r="CB76" s="92">
        <f t="shared" si="124"/>
        <v>3233</v>
      </c>
      <c r="CC76" s="92">
        <f t="shared" si="124"/>
        <v>-18.999999999999943</v>
      </c>
      <c r="CD76" s="92">
        <f t="shared" si="124"/>
        <v>-126.6666666666663</v>
      </c>
      <c r="CE76" s="99"/>
      <c r="CF76" s="99"/>
      <c r="CG76" s="51">
        <f t="shared" si="152"/>
        <v>2.3860000000000001</v>
      </c>
      <c r="CH76" s="62">
        <f t="shared" si="153"/>
        <v>2.3860000000000001</v>
      </c>
      <c r="CI76" s="89">
        <v>23</v>
      </c>
      <c r="CJ76" s="89">
        <v>220</v>
      </c>
      <c r="CK76" s="89"/>
      <c r="CL76" s="96">
        <v>5</v>
      </c>
      <c r="CM76" s="89"/>
      <c r="CN76" s="89">
        <v>250</v>
      </c>
      <c r="CO76" s="92"/>
      <c r="CP76" s="101">
        <v>10</v>
      </c>
      <c r="CQ76" s="102">
        <f t="shared" si="101"/>
        <v>1466</v>
      </c>
      <c r="CR76" s="102">
        <f t="shared" si="101"/>
        <v>0</v>
      </c>
      <c r="CS76" s="102">
        <f t="shared" si="101"/>
        <v>33</v>
      </c>
      <c r="CT76" s="92">
        <f t="shared" si="154"/>
        <v>1667</v>
      </c>
      <c r="CU76" s="92">
        <f t="shared" si="102"/>
        <v>0</v>
      </c>
      <c r="CV76" s="103">
        <f t="shared" si="102"/>
        <v>67</v>
      </c>
      <c r="CW76" s="104" t="s">
        <v>147</v>
      </c>
      <c r="CX76" s="105">
        <v>16</v>
      </c>
      <c r="CY76" s="106">
        <f t="shared" si="155"/>
        <v>2565</v>
      </c>
      <c r="CZ76" s="106">
        <f t="shared" si="156"/>
        <v>64.800000000000011</v>
      </c>
      <c r="DA76" s="106"/>
      <c r="DB76" s="106"/>
      <c r="DC76" s="105"/>
      <c r="DD76" s="107"/>
      <c r="DE76" s="92">
        <f t="shared" si="125"/>
        <v>1466</v>
      </c>
      <c r="DF76" s="108">
        <f t="shared" si="126"/>
        <v>6.64</v>
      </c>
      <c r="DG76" s="115">
        <f t="shared" si="127"/>
        <v>-93.599999999999767</v>
      </c>
      <c r="DH76" s="110">
        <f t="shared" si="128"/>
        <v>1667</v>
      </c>
      <c r="DI76" s="108">
        <f t="shared" si="129"/>
        <v>7.36</v>
      </c>
      <c r="DJ76" s="112">
        <f t="shared" si="130"/>
        <v>-33.066666666666535</v>
      </c>
      <c r="DK76" s="110">
        <f t="shared" si="86"/>
        <v>3133</v>
      </c>
      <c r="DL76" s="108">
        <f t="shared" si="86"/>
        <v>14</v>
      </c>
      <c r="DM76" s="111">
        <f t="shared" si="86"/>
        <v>-126.6666666666663</v>
      </c>
      <c r="DN76" s="76">
        <f t="shared" si="89"/>
        <v>12</v>
      </c>
      <c r="DO76" s="76">
        <f t="shared" si="89"/>
        <v>13</v>
      </c>
      <c r="DP76" s="112"/>
      <c r="DQ76" s="112"/>
      <c r="DR76" s="113" t="s">
        <v>464</v>
      </c>
      <c r="DS76" s="112"/>
      <c r="DT76" s="112"/>
      <c r="DU76" s="111"/>
      <c r="DV76" s="114"/>
      <c r="DW76" s="80">
        <f t="shared" si="169"/>
        <v>14</v>
      </c>
      <c r="DX76" s="81">
        <f t="shared" si="131"/>
        <v>3020.3333333333335</v>
      </c>
      <c r="DY76" s="80">
        <f t="shared" si="158"/>
        <v>3233</v>
      </c>
      <c r="DZ76" s="82">
        <f t="shared" si="159"/>
        <v>1.4999999999999999E-2</v>
      </c>
      <c r="EA76" s="82">
        <f t="shared" si="160"/>
        <v>0.46994999999999998</v>
      </c>
      <c r="EB76" s="82">
        <f t="shared" si="161"/>
        <v>2.38605</v>
      </c>
      <c r="EC76" s="82">
        <f t="shared" si="75"/>
        <v>2.4010500000000001</v>
      </c>
      <c r="EF76" s="83">
        <f t="shared" si="107"/>
        <v>-126.6666666666663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2"/>
        <v>GAA5052-5.7x3-H9A14</v>
      </c>
      <c r="H77" s="46" t="str">
        <f t="shared" si="133"/>
        <v>A5052GA5.70DH9</v>
      </c>
      <c r="I77" s="46" t="str">
        <f t="shared" si="134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5"/>
        <v>16</v>
      </c>
      <c r="T77" s="51">
        <f>'03.02'!BG77</f>
        <v>14</v>
      </c>
      <c r="U77" s="92">
        <v>11</v>
      </c>
      <c r="V77" s="100">
        <v>0.15</v>
      </c>
      <c r="W77" s="93">
        <f t="shared" si="114"/>
        <v>0</v>
      </c>
      <c r="X77" s="93">
        <f t="shared" si="115"/>
        <v>0</v>
      </c>
      <c r="Y77" s="93">
        <f t="shared" si="116"/>
        <v>0</v>
      </c>
      <c r="Z77" s="93">
        <f t="shared" si="117"/>
        <v>0</v>
      </c>
      <c r="AA77" s="93">
        <f t="shared" si="118"/>
        <v>0</v>
      </c>
      <c r="AB77" s="93">
        <f t="shared" si="119"/>
        <v>1400</v>
      </c>
      <c r="AC77" s="93">
        <f t="shared" si="120"/>
        <v>0</v>
      </c>
      <c r="AD77" s="93">
        <f t="shared" si="121"/>
        <v>260</v>
      </c>
      <c r="AE77" s="93">
        <f t="shared" si="136"/>
        <v>1400</v>
      </c>
      <c r="AF77" s="54">
        <f>AE77+'03.02'!AF77</f>
        <v>8366</v>
      </c>
      <c r="AG77" s="94">
        <f t="shared" si="162"/>
        <v>14</v>
      </c>
      <c r="AH77" s="56">
        <f t="shared" si="137"/>
        <v>0</v>
      </c>
      <c r="AI77" s="93">
        <v>3</v>
      </c>
      <c r="AJ77" s="93">
        <f t="shared" si="163"/>
        <v>18</v>
      </c>
      <c r="AK77" s="95">
        <f t="shared" si="138"/>
        <v>0.5</v>
      </c>
      <c r="AL77" s="58">
        <f t="shared" si="174"/>
        <v>2.5</v>
      </c>
      <c r="AM77" s="55">
        <f t="shared" si="164"/>
        <v>22.5</v>
      </c>
      <c r="AN77" s="93"/>
      <c r="AO77" s="96"/>
      <c r="AP77" s="96"/>
      <c r="AQ77" s="96"/>
      <c r="AR77" s="96"/>
      <c r="AS77" s="96"/>
      <c r="AT77" s="96">
        <f>$CJ77</f>
        <v>50</v>
      </c>
      <c r="AU77" s="96">
        <f t="shared" si="139"/>
        <v>0</v>
      </c>
      <c r="AV77" s="96">
        <f t="shared" si="139"/>
        <v>39</v>
      </c>
      <c r="AW77" s="96">
        <f t="shared" si="140"/>
        <v>89</v>
      </c>
      <c r="AX77" s="96">
        <f t="shared" si="141"/>
        <v>593</v>
      </c>
      <c r="AY77" s="94">
        <f t="shared" si="165"/>
        <v>-1</v>
      </c>
      <c r="AZ77" s="94">
        <f t="shared" si="142"/>
        <v>-6.666666666666667</v>
      </c>
      <c r="BA77" s="94">
        <f t="shared" si="171"/>
        <v>22.5</v>
      </c>
      <c r="BB77" s="97">
        <f t="shared" si="172"/>
        <v>0.5</v>
      </c>
      <c r="BC77" s="93">
        <v>4</v>
      </c>
      <c r="BD77" s="93">
        <f t="shared" si="143"/>
        <v>0</v>
      </c>
      <c r="BE77" s="95">
        <f t="shared" si="144"/>
        <v>1</v>
      </c>
      <c r="BF77" s="58">
        <f t="shared" ref="BF77:BF106" si="175">IF(V77="","",MAX(ROUNDUP((IF(BC77+BD77=0,0,BB77)+BC77+BE77-1),2),0))</f>
        <v>4.5</v>
      </c>
      <c r="BG77" s="94">
        <f t="shared" si="145"/>
        <v>18</v>
      </c>
      <c r="BH77" s="89"/>
      <c r="BI77" s="89"/>
      <c r="BJ77" s="89"/>
      <c r="BK77" s="89"/>
      <c r="BL77" s="89"/>
      <c r="BM77" s="89"/>
      <c r="BN77" s="92">
        <f>$CN77</f>
        <v>160</v>
      </c>
      <c r="BO77" s="92">
        <f t="shared" si="166"/>
        <v>0</v>
      </c>
      <c r="BP77" s="92">
        <f t="shared" si="166"/>
        <v>0</v>
      </c>
      <c r="BQ77" s="96">
        <f t="shared" si="146"/>
        <v>160</v>
      </c>
      <c r="BR77" s="96">
        <f t="shared" si="147"/>
        <v>1066</v>
      </c>
      <c r="BS77" s="96">
        <f t="shared" si="167"/>
        <v>-2</v>
      </c>
      <c r="BT77" s="96">
        <f t="shared" si="148"/>
        <v>-13.333333333333334</v>
      </c>
      <c r="BU77" s="92">
        <f t="shared" si="122"/>
        <v>1400</v>
      </c>
      <c r="BV77" s="98">
        <f t="shared" si="168"/>
        <v>7</v>
      </c>
      <c r="BW77" s="92">
        <f t="shared" si="123"/>
        <v>-20</v>
      </c>
      <c r="BX77" s="98">
        <f t="shared" si="149"/>
        <v>1.4279999999999999</v>
      </c>
      <c r="BY77" s="61">
        <f t="shared" si="173"/>
        <v>7</v>
      </c>
      <c r="BZ77" s="62">
        <f t="shared" si="150"/>
        <v>7</v>
      </c>
      <c r="CA77" s="98">
        <f t="shared" si="151"/>
        <v>0.249</v>
      </c>
      <c r="CB77" s="92">
        <f t="shared" si="124"/>
        <v>1659</v>
      </c>
      <c r="CC77" s="92">
        <f t="shared" si="124"/>
        <v>-3</v>
      </c>
      <c r="CD77" s="92">
        <f t="shared" si="124"/>
        <v>-20</v>
      </c>
      <c r="CE77" s="99"/>
      <c r="CF77" s="99"/>
      <c r="CG77" s="51">
        <f t="shared" si="152"/>
        <v>1.2179999999999997</v>
      </c>
      <c r="CH77" s="62">
        <f t="shared" si="153"/>
        <v>1.2179999999999997</v>
      </c>
      <c r="CI77" s="89">
        <v>18</v>
      </c>
      <c r="CJ77" s="89">
        <v>50</v>
      </c>
      <c r="CK77" s="89"/>
      <c r="CL77" s="96">
        <v>39</v>
      </c>
      <c r="CM77" s="89"/>
      <c r="CN77" s="89">
        <v>160</v>
      </c>
      <c r="CO77" s="92"/>
      <c r="CP77" s="101"/>
      <c r="CQ77" s="102">
        <f t="shared" si="101"/>
        <v>333</v>
      </c>
      <c r="CR77" s="102">
        <f t="shared" si="101"/>
        <v>0</v>
      </c>
      <c r="CS77" s="102">
        <f t="shared" si="101"/>
        <v>260</v>
      </c>
      <c r="CT77" s="92">
        <f t="shared" si="154"/>
        <v>1067</v>
      </c>
      <c r="CU77" s="92">
        <f t="shared" si="102"/>
        <v>0</v>
      </c>
      <c r="CV77" s="103">
        <f t="shared" si="102"/>
        <v>0</v>
      </c>
      <c r="CW77" s="104" t="s">
        <v>147</v>
      </c>
      <c r="CX77" s="105">
        <v>21.26</v>
      </c>
      <c r="CY77" s="106">
        <f t="shared" si="155"/>
        <v>1955</v>
      </c>
      <c r="CZ77" s="106">
        <f t="shared" si="156"/>
        <v>86.103000000000023</v>
      </c>
      <c r="DA77" s="106"/>
      <c r="DB77" s="106"/>
      <c r="DC77" s="105"/>
      <c r="DD77" s="107"/>
      <c r="DE77" s="92">
        <f t="shared" si="125"/>
        <v>333</v>
      </c>
      <c r="DF77" s="108">
        <f t="shared" si="126"/>
        <v>2.5</v>
      </c>
      <c r="DG77" s="115">
        <f t="shared" si="127"/>
        <v>-6.666666666666667</v>
      </c>
      <c r="DH77" s="110">
        <f t="shared" si="128"/>
        <v>1067</v>
      </c>
      <c r="DI77" s="108">
        <f t="shared" si="129"/>
        <v>4.5</v>
      </c>
      <c r="DJ77" s="112">
        <f t="shared" si="130"/>
        <v>-13.333333333333334</v>
      </c>
      <c r="DK77" s="110">
        <f t="shared" si="86"/>
        <v>1400</v>
      </c>
      <c r="DL77" s="108">
        <f t="shared" si="86"/>
        <v>7</v>
      </c>
      <c r="DM77" s="111">
        <f t="shared" si="86"/>
        <v>-20</v>
      </c>
      <c r="DN77" s="76">
        <f t="shared" si="89"/>
        <v>14</v>
      </c>
      <c r="DO77" s="76">
        <f t="shared" si="89"/>
        <v>11</v>
      </c>
      <c r="DP77" s="112"/>
      <c r="DQ77" s="112"/>
      <c r="DR77" s="113" t="s">
        <v>465</v>
      </c>
      <c r="DS77" s="112"/>
      <c r="DT77" s="112"/>
      <c r="DU77" s="111"/>
      <c r="DV77" s="114"/>
      <c r="DW77" s="80">
        <f t="shared" si="157"/>
        <v>1407</v>
      </c>
      <c r="DX77" s="81">
        <f t="shared" si="131"/>
        <v>1387</v>
      </c>
      <c r="DY77" s="80">
        <f t="shared" si="158"/>
        <v>1660</v>
      </c>
      <c r="DZ77" s="82">
        <f t="shared" si="159"/>
        <v>3.9E-2</v>
      </c>
      <c r="EA77" s="82">
        <f t="shared" si="160"/>
        <v>0.21</v>
      </c>
      <c r="EB77" s="82">
        <f t="shared" si="161"/>
        <v>1.218</v>
      </c>
      <c r="EC77" s="82">
        <f t="shared" si="75"/>
        <v>1.2569999999999999</v>
      </c>
      <c r="EF77" s="83">
        <f t="shared" si="107"/>
        <v>-20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2"/>
        <v>TTS22C-2x2-H9A12</v>
      </c>
      <c r="H78" s="46" t="str">
        <f t="shared" si="133"/>
        <v>S22CTT20DH9</v>
      </c>
      <c r="I78" s="46" t="str">
        <f t="shared" si="134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5"/>
        <v>16</v>
      </c>
      <c r="T78" s="51">
        <f>'03.02'!BG78</f>
        <v>16</v>
      </c>
      <c r="U78" s="92">
        <v>14</v>
      </c>
      <c r="V78" s="100">
        <v>3.5000000000000003E-2</v>
      </c>
      <c r="W78" s="93">
        <f t="shared" si="114"/>
        <v>0</v>
      </c>
      <c r="X78" s="93">
        <f t="shared" si="115"/>
        <v>0</v>
      </c>
      <c r="Y78" s="93">
        <f t="shared" si="116"/>
        <v>0</v>
      </c>
      <c r="Z78" s="93">
        <f t="shared" si="117"/>
        <v>7142</v>
      </c>
      <c r="AA78" s="93">
        <f t="shared" si="118"/>
        <v>0</v>
      </c>
      <c r="AB78" s="93">
        <f t="shared" si="119"/>
        <v>0</v>
      </c>
      <c r="AC78" s="93">
        <f t="shared" si="120"/>
        <v>0</v>
      </c>
      <c r="AD78" s="93">
        <f t="shared" si="121"/>
        <v>0</v>
      </c>
      <c r="AE78" s="93">
        <f t="shared" si="136"/>
        <v>7142</v>
      </c>
      <c r="AF78" s="54">
        <f>AE78+'03.02'!AF78</f>
        <v>27426</v>
      </c>
      <c r="AG78" s="94">
        <f t="shared" si="162"/>
        <v>16</v>
      </c>
      <c r="AH78" s="56">
        <f t="shared" si="137"/>
        <v>0</v>
      </c>
      <c r="AI78" s="93">
        <v>7</v>
      </c>
      <c r="AJ78" s="93">
        <f t="shared" si="163"/>
        <v>0</v>
      </c>
      <c r="AK78" s="95">
        <f t="shared" si="138"/>
        <v>1</v>
      </c>
      <c r="AL78" s="58">
        <f t="shared" si="174"/>
        <v>7</v>
      </c>
      <c r="AM78" s="55">
        <f t="shared" si="164"/>
        <v>23</v>
      </c>
      <c r="AN78" s="93"/>
      <c r="AO78" s="96"/>
      <c r="AP78" s="96"/>
      <c r="AQ78" s="96"/>
      <c r="AR78" s="96">
        <f>$CJ78</f>
        <v>125</v>
      </c>
      <c r="AS78" s="96"/>
      <c r="AT78" s="96"/>
      <c r="AU78" s="96">
        <f t="shared" si="139"/>
        <v>0</v>
      </c>
      <c r="AV78" s="96">
        <f t="shared" si="139"/>
        <v>0</v>
      </c>
      <c r="AW78" s="96">
        <f t="shared" si="140"/>
        <v>125</v>
      </c>
      <c r="AX78" s="96">
        <f t="shared" si="141"/>
        <v>3571</v>
      </c>
      <c r="AY78" s="94">
        <f t="shared" si="165"/>
        <v>2.2549999999999812</v>
      </c>
      <c r="AZ78" s="94">
        <f t="shared" si="142"/>
        <v>64.428571428570891</v>
      </c>
      <c r="BA78" s="94">
        <f t="shared" si="171"/>
        <v>23</v>
      </c>
      <c r="BB78" s="97">
        <f t="shared" si="172"/>
        <v>0</v>
      </c>
      <c r="BC78" s="93">
        <v>7</v>
      </c>
      <c r="BD78" s="93">
        <f t="shared" si="143"/>
        <v>0</v>
      </c>
      <c r="BE78" s="95">
        <f t="shared" si="144"/>
        <v>1</v>
      </c>
      <c r="BF78" s="58">
        <f t="shared" si="175"/>
        <v>7</v>
      </c>
      <c r="BG78" s="94">
        <f t="shared" si="145"/>
        <v>16</v>
      </c>
      <c r="BH78" s="89"/>
      <c r="BI78" s="89"/>
      <c r="BJ78" s="89"/>
      <c r="BK78" s="89"/>
      <c r="BL78" s="92">
        <f>$CN78</f>
        <v>125</v>
      </c>
      <c r="BM78" s="89"/>
      <c r="BN78" s="89"/>
      <c r="BO78" s="92">
        <f t="shared" si="166"/>
        <v>0</v>
      </c>
      <c r="BP78" s="92">
        <f t="shared" si="166"/>
        <v>0</v>
      </c>
      <c r="BQ78" s="96">
        <f t="shared" si="146"/>
        <v>125</v>
      </c>
      <c r="BR78" s="96">
        <f t="shared" si="147"/>
        <v>3571</v>
      </c>
      <c r="BS78" s="96">
        <f t="shared" si="167"/>
        <v>2.2549999999999812</v>
      </c>
      <c r="BT78" s="96">
        <f t="shared" si="148"/>
        <v>64.428571428570891</v>
      </c>
      <c r="BU78" s="92">
        <f t="shared" si="122"/>
        <v>7142</v>
      </c>
      <c r="BV78" s="98">
        <f t="shared" si="168"/>
        <v>14</v>
      </c>
      <c r="BW78" s="92">
        <f t="shared" si="123"/>
        <v>128.85714285714178</v>
      </c>
      <c r="BX78" s="98" t="str">
        <f t="shared" si="149"/>
        <v/>
      </c>
      <c r="BY78" s="61">
        <f t="shared" si="173"/>
        <v>14</v>
      </c>
      <c r="BZ78" s="62">
        <f t="shared" si="150"/>
        <v>14</v>
      </c>
      <c r="CA78" s="98">
        <f t="shared" si="151"/>
        <v>0.25</v>
      </c>
      <c r="CB78" s="92">
        <f t="shared" si="124"/>
        <v>7142</v>
      </c>
      <c r="CC78" s="92">
        <f t="shared" si="124"/>
        <v>4.5099999999999625</v>
      </c>
      <c r="CD78" s="92">
        <f t="shared" si="124"/>
        <v>128.85714285714178</v>
      </c>
      <c r="CE78" s="99"/>
      <c r="CF78" s="99"/>
      <c r="CG78" s="51">
        <f t="shared" si="152"/>
        <v>0</v>
      </c>
      <c r="CH78" s="62">
        <f t="shared" si="153"/>
        <v>0</v>
      </c>
      <c r="CI78" s="89"/>
      <c r="CJ78" s="89">
        <v>125</v>
      </c>
      <c r="CK78" s="89"/>
      <c r="CL78" s="96"/>
      <c r="CM78" s="89"/>
      <c r="CN78" s="89">
        <v>125</v>
      </c>
      <c r="CO78" s="92"/>
      <c r="CP78" s="101"/>
      <c r="CQ78" s="102">
        <f t="shared" si="101"/>
        <v>3571</v>
      </c>
      <c r="CR78" s="102">
        <f t="shared" si="101"/>
        <v>0</v>
      </c>
      <c r="CS78" s="102">
        <f t="shared" si="101"/>
        <v>0</v>
      </c>
      <c r="CT78" s="92">
        <f t="shared" si="154"/>
        <v>3571</v>
      </c>
      <c r="CU78" s="92">
        <f t="shared" si="102"/>
        <v>0</v>
      </c>
      <c r="CV78" s="103">
        <f t="shared" si="102"/>
        <v>0</v>
      </c>
      <c r="CW78" s="104" t="s">
        <v>147</v>
      </c>
      <c r="CX78" s="105">
        <v>9.85</v>
      </c>
      <c r="CY78" s="106">
        <f t="shared" si="155"/>
        <v>4221</v>
      </c>
      <c r="CZ78" s="106">
        <f t="shared" si="156"/>
        <v>39.892499999999998</v>
      </c>
      <c r="DA78" s="106"/>
      <c r="DB78" s="106"/>
      <c r="DC78" s="105"/>
      <c r="DD78" s="107"/>
      <c r="DE78" s="92">
        <f t="shared" si="125"/>
        <v>3571</v>
      </c>
      <c r="DF78" s="108">
        <f t="shared" si="126"/>
        <v>7</v>
      </c>
      <c r="DG78" s="115">
        <f t="shared" si="127"/>
        <v>64.428571428570891</v>
      </c>
      <c r="DH78" s="110">
        <f t="shared" si="128"/>
        <v>3571</v>
      </c>
      <c r="DI78" s="108">
        <f t="shared" si="129"/>
        <v>7</v>
      </c>
      <c r="DJ78" s="115">
        <f t="shared" si="130"/>
        <v>64.428571428570891</v>
      </c>
      <c r="DK78" s="110">
        <f t="shared" si="86"/>
        <v>7142</v>
      </c>
      <c r="DL78" s="108">
        <f t="shared" si="86"/>
        <v>14</v>
      </c>
      <c r="DM78" s="111">
        <f t="shared" si="86"/>
        <v>128.85714285714178</v>
      </c>
      <c r="DN78" s="76">
        <f t="shared" si="89"/>
        <v>16</v>
      </c>
      <c r="DO78" s="76">
        <f t="shared" si="89"/>
        <v>14</v>
      </c>
      <c r="DP78" s="112"/>
      <c r="DQ78" s="112"/>
      <c r="DR78" s="113" t="s">
        <v>466</v>
      </c>
      <c r="DS78" s="112"/>
      <c r="DT78" s="112"/>
      <c r="DU78" s="111"/>
      <c r="DV78" s="114"/>
      <c r="DW78" s="80">
        <f t="shared" si="157"/>
        <v>7156</v>
      </c>
      <c r="DX78" s="81">
        <f t="shared" si="131"/>
        <v>7284.8571428571422</v>
      </c>
      <c r="DY78" s="80">
        <f t="shared" si="158"/>
        <v>7142</v>
      </c>
      <c r="DZ78" s="82">
        <f t="shared" si="159"/>
        <v>0</v>
      </c>
      <c r="EA78" s="82">
        <f t="shared" si="160"/>
        <v>0.24997000000000003</v>
      </c>
      <c r="EB78" s="82" t="e">
        <f t="shared" si="161"/>
        <v>#VALUE!</v>
      </c>
      <c r="EC78" s="82" t="e">
        <f t="shared" si="75"/>
        <v>#VALUE!</v>
      </c>
      <c r="EF78" s="83">
        <f t="shared" si="107"/>
        <v>128.85714285714178</v>
      </c>
    </row>
    <row r="79" spans="1:136" ht="15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2"/>
        <v>IBC3604-6x3-H9B13</v>
      </c>
      <c r="H79" s="46" t="str">
        <f t="shared" si="133"/>
        <v>C3604IB60DH9</v>
      </c>
      <c r="I79" s="46" t="str">
        <f t="shared" si="134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5"/>
        <v>10</v>
      </c>
      <c r="T79" s="51">
        <f>'03.02'!BG79</f>
        <v>0</v>
      </c>
      <c r="U79" s="92"/>
      <c r="V79" s="100">
        <v>0.67</v>
      </c>
      <c r="W79" s="93">
        <f t="shared" si="114"/>
        <v>0</v>
      </c>
      <c r="X79" s="93">
        <f t="shared" si="115"/>
        <v>0</v>
      </c>
      <c r="Y79" s="93">
        <f t="shared" si="116"/>
        <v>0</v>
      </c>
      <c r="Z79" s="93">
        <f t="shared" si="117"/>
        <v>0</v>
      </c>
      <c r="AA79" s="93">
        <f t="shared" si="118"/>
        <v>0</v>
      </c>
      <c r="AB79" s="93">
        <f t="shared" si="119"/>
        <v>0</v>
      </c>
      <c r="AC79" s="93">
        <f t="shared" si="120"/>
        <v>0</v>
      </c>
      <c r="AD79" s="93">
        <f t="shared" si="121"/>
        <v>0</v>
      </c>
      <c r="AE79" s="93">
        <f t="shared" si="136"/>
        <v>0</v>
      </c>
      <c r="AF79" s="54">
        <f>AE79+'03.02'!AF79</f>
        <v>0</v>
      </c>
      <c r="AG79" s="94">
        <f t="shared" si="162"/>
        <v>0</v>
      </c>
      <c r="AH79" s="56">
        <f t="shared" si="137"/>
        <v>0</v>
      </c>
      <c r="AI79" s="93"/>
      <c r="AJ79" s="93">
        <f t="shared" si="163"/>
        <v>0</v>
      </c>
      <c r="AK79" s="95">
        <f t="shared" si="138"/>
        <v>1</v>
      </c>
      <c r="AL79" s="58">
        <f t="shared" si="174"/>
        <v>0</v>
      </c>
      <c r="AM79" s="55">
        <f t="shared" si="164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39"/>
        <v>0</v>
      </c>
      <c r="AV79" s="96">
        <f t="shared" si="139"/>
        <v>0</v>
      </c>
      <c r="AW79" s="96">
        <f t="shared" si="140"/>
        <v>0</v>
      </c>
      <c r="AX79" s="96">
        <f t="shared" si="141"/>
        <v>0</v>
      </c>
      <c r="AY79" s="94">
        <f t="shared" si="165"/>
        <v>0</v>
      </c>
      <c r="AZ79" s="94">
        <f t="shared" si="142"/>
        <v>0</v>
      </c>
      <c r="BA79" s="94">
        <f t="shared" si="171"/>
        <v>0</v>
      </c>
      <c r="BB79" s="97">
        <f t="shared" si="172"/>
        <v>0</v>
      </c>
      <c r="BC79" s="93"/>
      <c r="BD79" s="93">
        <f t="shared" si="143"/>
        <v>0</v>
      </c>
      <c r="BE79" s="95">
        <f t="shared" si="144"/>
        <v>1</v>
      </c>
      <c r="BF79" s="58">
        <f t="shared" si="175"/>
        <v>0</v>
      </c>
      <c r="BG79" s="94">
        <f t="shared" si="145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6"/>
        <v>0</v>
      </c>
      <c r="BP79" s="92">
        <f t="shared" si="166"/>
        <v>0</v>
      </c>
      <c r="BQ79" s="96">
        <f t="shared" si="146"/>
        <v>0</v>
      </c>
      <c r="BR79" s="96">
        <f t="shared" si="147"/>
        <v>0</v>
      </c>
      <c r="BS79" s="96">
        <f t="shared" si="167"/>
        <v>0</v>
      </c>
      <c r="BT79" s="96">
        <f t="shared" si="148"/>
        <v>0</v>
      </c>
      <c r="BU79" s="92">
        <f t="shared" si="122"/>
        <v>0</v>
      </c>
      <c r="BV79" s="98">
        <f t="shared" si="168"/>
        <v>0</v>
      </c>
      <c r="BW79" s="92">
        <f t="shared" si="123"/>
        <v>0</v>
      </c>
      <c r="BX79" s="98">
        <f t="shared" si="149"/>
        <v>0</v>
      </c>
      <c r="BY79" s="61">
        <f t="shared" si="173"/>
        <v>0</v>
      </c>
      <c r="BZ79" s="62">
        <f t="shared" si="150"/>
        <v>0</v>
      </c>
      <c r="CA79" s="98">
        <f t="shared" si="151"/>
        <v>0</v>
      </c>
      <c r="CB79" s="92">
        <f t="shared" si="124"/>
        <v>0</v>
      </c>
      <c r="CC79" s="92">
        <f t="shared" si="124"/>
        <v>0</v>
      </c>
      <c r="CD79" s="92">
        <f t="shared" si="124"/>
        <v>0</v>
      </c>
      <c r="CE79" s="99"/>
      <c r="CF79" s="99"/>
      <c r="CG79" s="51">
        <f t="shared" si="152"/>
        <v>0</v>
      </c>
      <c r="CH79" s="62">
        <f t="shared" si="153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101"/>
        <v>0</v>
      </c>
      <c r="CR79" s="102">
        <f t="shared" si="101"/>
        <v>0</v>
      </c>
      <c r="CS79" s="102">
        <f t="shared" si="101"/>
        <v>0</v>
      </c>
      <c r="CT79" s="92">
        <f t="shared" si="154"/>
        <v>0</v>
      </c>
      <c r="CU79" s="92">
        <f t="shared" si="102"/>
        <v>0</v>
      </c>
      <c r="CV79" s="103">
        <f t="shared" si="102"/>
        <v>0</v>
      </c>
      <c r="CW79" s="104" t="s">
        <v>147</v>
      </c>
      <c r="CX79" s="105">
        <v>20</v>
      </c>
      <c r="CY79" s="106">
        <f t="shared" si="155"/>
        <v>2106</v>
      </c>
      <c r="CZ79" s="106">
        <f t="shared" si="156"/>
        <v>81</v>
      </c>
      <c r="DA79" s="106"/>
      <c r="DB79" s="106"/>
      <c r="DC79" s="105"/>
      <c r="DD79" s="107"/>
      <c r="DE79" s="92">
        <f t="shared" si="125"/>
        <v>0</v>
      </c>
      <c r="DF79" s="108">
        <f t="shared" si="126"/>
        <v>0</v>
      </c>
      <c r="DG79" s="115">
        <f t="shared" si="127"/>
        <v>0</v>
      </c>
      <c r="DH79" s="110">
        <f t="shared" si="128"/>
        <v>0</v>
      </c>
      <c r="DI79" s="108">
        <f t="shared" si="129"/>
        <v>0</v>
      </c>
      <c r="DJ79" s="112">
        <f t="shared" si="130"/>
        <v>0</v>
      </c>
      <c r="DK79" s="110">
        <f t="shared" si="86"/>
        <v>0</v>
      </c>
      <c r="DL79" s="108">
        <f t="shared" si="86"/>
        <v>0</v>
      </c>
      <c r="DM79" s="111">
        <f t="shared" si="86"/>
        <v>0</v>
      </c>
      <c r="DN79" s="76">
        <f t="shared" si="89"/>
        <v>0</v>
      </c>
      <c r="DO79" s="76">
        <f t="shared" si="89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7"/>
        <v>0</v>
      </c>
      <c r="DX79" s="81">
        <f t="shared" si="131"/>
        <v>0</v>
      </c>
      <c r="DY79" s="80">
        <f t="shared" si="158"/>
        <v>0</v>
      </c>
      <c r="DZ79" s="82">
        <f t="shared" si="159"/>
        <v>0</v>
      </c>
      <c r="EA79" s="82">
        <f t="shared" si="160"/>
        <v>0</v>
      </c>
      <c r="EB79" s="82">
        <f t="shared" si="161"/>
        <v>0</v>
      </c>
      <c r="EC79" s="82">
        <f t="shared" ref="EC79:EC82" si="176">(BX79-CA79)+((AV79+BP79)/1000)</f>
        <v>0</v>
      </c>
      <c r="EF79" s="83">
        <f t="shared" si="107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2"/>
        <v>YHC2700-5.5x3-H9A14</v>
      </c>
      <c r="H80" s="46" t="str">
        <f t="shared" si="133"/>
        <v>C2700YH5.50DH9</v>
      </c>
      <c r="I80" s="46" t="str">
        <f t="shared" si="134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5"/>
        <v>46</v>
      </c>
      <c r="T80" s="51">
        <v>30</v>
      </c>
      <c r="U80" s="92"/>
      <c r="V80" s="100">
        <v>1.1000000000000001</v>
      </c>
      <c r="W80" s="93">
        <f t="shared" si="114"/>
        <v>0</v>
      </c>
      <c r="X80" s="93">
        <f t="shared" si="115"/>
        <v>3396</v>
      </c>
      <c r="Y80" s="93">
        <f t="shared" si="116"/>
        <v>0</v>
      </c>
      <c r="Z80" s="93">
        <f t="shared" si="117"/>
        <v>0</v>
      </c>
      <c r="AA80" s="93">
        <f t="shared" si="118"/>
        <v>0</v>
      </c>
      <c r="AB80" s="93">
        <f t="shared" si="119"/>
        <v>0</v>
      </c>
      <c r="AC80" s="93">
        <f t="shared" si="120"/>
        <v>0</v>
      </c>
      <c r="AD80" s="93">
        <f t="shared" si="121"/>
        <v>0</v>
      </c>
      <c r="AE80" s="93">
        <f t="shared" si="136"/>
        <v>3396</v>
      </c>
      <c r="AF80" s="54">
        <f>AE80+'03.02'!AF80</f>
        <v>8980</v>
      </c>
      <c r="AG80" s="94">
        <f t="shared" si="162"/>
        <v>30</v>
      </c>
      <c r="AH80" s="56">
        <f t="shared" si="137"/>
        <v>0</v>
      </c>
      <c r="AI80" s="93">
        <v>11</v>
      </c>
      <c r="AJ80" s="93">
        <f t="shared" si="163"/>
        <v>0</v>
      </c>
      <c r="AK80" s="95">
        <f t="shared" si="138"/>
        <v>1</v>
      </c>
      <c r="AL80" s="58">
        <f t="shared" si="174"/>
        <v>11</v>
      </c>
      <c r="AM80" s="55">
        <f t="shared" si="164"/>
        <v>19</v>
      </c>
      <c r="AN80" s="93"/>
      <c r="AO80" s="96"/>
      <c r="AP80" s="96">
        <f>$CJ80</f>
        <v>1969</v>
      </c>
      <c r="AQ80" s="96"/>
      <c r="AR80" s="96"/>
      <c r="AS80" s="96"/>
      <c r="AT80" s="96"/>
      <c r="AU80" s="96">
        <f t="shared" si="139"/>
        <v>0</v>
      </c>
      <c r="AV80" s="96">
        <f t="shared" si="139"/>
        <v>0</v>
      </c>
      <c r="AW80" s="96">
        <f t="shared" si="140"/>
        <v>1969</v>
      </c>
      <c r="AX80" s="96">
        <f t="shared" si="141"/>
        <v>1790</v>
      </c>
      <c r="AY80" s="94">
        <f t="shared" si="165"/>
        <v>-27.500000000000227</v>
      </c>
      <c r="AZ80" s="94">
        <f t="shared" si="142"/>
        <v>-25.000000000000206</v>
      </c>
      <c r="BA80" s="94">
        <f t="shared" si="171"/>
        <v>19</v>
      </c>
      <c r="BB80" s="97">
        <f t="shared" si="172"/>
        <v>0</v>
      </c>
      <c r="BC80" s="93">
        <v>10</v>
      </c>
      <c r="BD80" s="93">
        <f t="shared" si="143"/>
        <v>0</v>
      </c>
      <c r="BE80" s="95">
        <f t="shared" si="144"/>
        <v>1</v>
      </c>
      <c r="BF80" s="58">
        <f t="shared" si="175"/>
        <v>10</v>
      </c>
      <c r="BG80" s="94">
        <f t="shared" si="145"/>
        <v>9</v>
      </c>
      <c r="BH80" s="89"/>
      <c r="BI80" s="89"/>
      <c r="BJ80" s="92">
        <f>$CN80</f>
        <v>1767</v>
      </c>
      <c r="BK80" s="89"/>
      <c r="BL80" s="89"/>
      <c r="BM80" s="89"/>
      <c r="BN80" s="92"/>
      <c r="BO80" s="92">
        <f t="shared" si="166"/>
        <v>0</v>
      </c>
      <c r="BP80" s="92">
        <f t="shared" si="166"/>
        <v>0</v>
      </c>
      <c r="BQ80" s="96">
        <f t="shared" si="146"/>
        <v>1767</v>
      </c>
      <c r="BR80" s="96">
        <f t="shared" si="147"/>
        <v>1606</v>
      </c>
      <c r="BS80" s="96">
        <f t="shared" si="167"/>
        <v>-48.000000000000227</v>
      </c>
      <c r="BT80" s="96">
        <f t="shared" si="148"/>
        <v>-43.636363636363839</v>
      </c>
      <c r="BU80" s="92">
        <f t="shared" si="122"/>
        <v>3396</v>
      </c>
      <c r="BV80" s="98">
        <f t="shared" si="168"/>
        <v>21</v>
      </c>
      <c r="BW80" s="92">
        <f t="shared" si="123"/>
        <v>-68.636363636364052</v>
      </c>
      <c r="BX80" s="98">
        <f t="shared" si="149"/>
        <v>12.578999999999999</v>
      </c>
      <c r="BY80" s="61">
        <f t="shared" si="173"/>
        <v>21</v>
      </c>
      <c r="BZ80" s="62">
        <f t="shared" si="150"/>
        <v>21</v>
      </c>
      <c r="CA80" s="98">
        <f t="shared" si="151"/>
        <v>3.7360000000000002</v>
      </c>
      <c r="CB80" s="92">
        <f>IFERROR(BR80+AX80,"")</f>
        <v>3396</v>
      </c>
      <c r="CC80" s="92">
        <f t="shared" si="124"/>
        <v>-75.500000000000455</v>
      </c>
      <c r="CD80" s="92">
        <f t="shared" si="124"/>
        <v>-68.636363636364052</v>
      </c>
      <c r="CE80" s="99"/>
      <c r="CF80" s="99"/>
      <c r="CG80" s="51">
        <f t="shared" si="152"/>
        <v>8.8429999999999982</v>
      </c>
      <c r="CH80" s="62">
        <f t="shared" si="153"/>
        <v>8.8429999999999982</v>
      </c>
      <c r="CI80" s="89"/>
      <c r="CJ80" s="89">
        <v>1969</v>
      </c>
      <c r="CK80" s="89"/>
      <c r="CL80" s="96"/>
      <c r="CM80" s="89"/>
      <c r="CN80" s="89">
        <v>1767</v>
      </c>
      <c r="CO80" s="92"/>
      <c r="CP80" s="101"/>
      <c r="CQ80" s="102">
        <f t="shared" si="101"/>
        <v>1790</v>
      </c>
      <c r="CR80" s="102">
        <f t="shared" si="101"/>
        <v>0</v>
      </c>
      <c r="CS80" s="102">
        <f t="shared" si="101"/>
        <v>0</v>
      </c>
      <c r="CT80" s="92">
        <f t="shared" si="154"/>
        <v>1606</v>
      </c>
      <c r="CU80" s="92">
        <f t="shared" si="102"/>
        <v>0</v>
      </c>
      <c r="CV80" s="103">
        <f t="shared" si="102"/>
        <v>0</v>
      </c>
      <c r="CW80" s="104" t="s">
        <v>147</v>
      </c>
      <c r="CX80" s="105">
        <v>10</v>
      </c>
      <c r="CY80" s="106">
        <f t="shared" si="155"/>
        <v>3834</v>
      </c>
      <c r="CZ80" s="106">
        <f t="shared" si="156"/>
        <v>40.5</v>
      </c>
      <c r="DA80" s="106"/>
      <c r="DB80" s="106"/>
      <c r="DC80" s="105"/>
      <c r="DD80" s="107"/>
      <c r="DE80" s="92">
        <f t="shared" si="125"/>
        <v>1790</v>
      </c>
      <c r="DF80" s="108">
        <f t="shared" si="126"/>
        <v>11</v>
      </c>
      <c r="DG80" s="115">
        <f t="shared" si="127"/>
        <v>-25.000000000000206</v>
      </c>
      <c r="DH80" s="110">
        <f t="shared" si="128"/>
        <v>1606</v>
      </c>
      <c r="DI80" s="108">
        <f t="shared" si="129"/>
        <v>10</v>
      </c>
      <c r="DJ80" s="112">
        <f t="shared" si="130"/>
        <v>-43.636363636363839</v>
      </c>
      <c r="DK80" s="110">
        <f t="shared" si="86"/>
        <v>3396</v>
      </c>
      <c r="DL80" s="108">
        <f t="shared" si="86"/>
        <v>21</v>
      </c>
      <c r="DM80" s="111">
        <f t="shared" si="86"/>
        <v>-68.636363636364052</v>
      </c>
      <c r="DN80" s="76">
        <f t="shared" si="89"/>
        <v>30</v>
      </c>
      <c r="DO80" s="76">
        <f t="shared" si="89"/>
        <v>0</v>
      </c>
      <c r="DP80" s="112"/>
      <c r="DQ80" s="112"/>
      <c r="DR80" s="113" t="s">
        <v>467</v>
      </c>
      <c r="DS80" s="112"/>
      <c r="DT80" s="112"/>
      <c r="DU80" s="111"/>
      <c r="DV80" s="114"/>
      <c r="DW80" s="80">
        <f t="shared" si="157"/>
        <v>3417</v>
      </c>
      <c r="DX80" s="81">
        <f t="shared" si="131"/>
        <v>3348.363636363636</v>
      </c>
      <c r="DY80" s="80">
        <f t="shared" si="158"/>
        <v>3396</v>
      </c>
      <c r="DZ80" s="82">
        <f t="shared" si="159"/>
        <v>0</v>
      </c>
      <c r="EA80" s="82">
        <f t="shared" si="160"/>
        <v>3.7356000000000003</v>
      </c>
      <c r="EB80" s="82">
        <f t="shared" si="161"/>
        <v>8.843399999999999</v>
      </c>
      <c r="EC80" s="82">
        <f t="shared" si="176"/>
        <v>8.8429999999999982</v>
      </c>
      <c r="EF80" s="83">
        <f t="shared" si="107"/>
        <v>-68.636363636364052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2"/>
        <v>IBC3604-7x3-H9D14</v>
      </c>
      <c r="H81" s="46" t="str">
        <f t="shared" si="133"/>
        <v>C3604IB70DH9</v>
      </c>
      <c r="I81" s="46" t="str">
        <f t="shared" si="134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5"/>
        <v>34</v>
      </c>
      <c r="T81" s="51">
        <f>'03.02'!BG81</f>
        <v>16</v>
      </c>
      <c r="U81" s="92">
        <v>34</v>
      </c>
      <c r="V81" s="100">
        <v>2.12</v>
      </c>
      <c r="W81" s="93">
        <f t="shared" si="114"/>
        <v>0</v>
      </c>
      <c r="X81" s="93">
        <f t="shared" si="115"/>
        <v>5605</v>
      </c>
      <c r="Y81" s="93">
        <f t="shared" si="116"/>
        <v>0</v>
      </c>
      <c r="Z81" s="93">
        <f t="shared" si="117"/>
        <v>0</v>
      </c>
      <c r="AA81" s="93">
        <f t="shared" si="118"/>
        <v>0</v>
      </c>
      <c r="AB81" s="93">
        <f t="shared" si="119"/>
        <v>0</v>
      </c>
      <c r="AC81" s="93">
        <f t="shared" si="120"/>
        <v>0</v>
      </c>
      <c r="AD81" s="93">
        <f t="shared" si="121"/>
        <v>0</v>
      </c>
      <c r="AE81" s="93">
        <f t="shared" si="136"/>
        <v>5605</v>
      </c>
      <c r="AF81" s="54">
        <f>AE81+'03.02'!AF81</f>
        <v>19950</v>
      </c>
      <c r="AG81" s="94">
        <f t="shared" si="162"/>
        <v>16</v>
      </c>
      <c r="AH81" s="56">
        <f t="shared" si="137"/>
        <v>0</v>
      </c>
      <c r="AI81" s="93">
        <v>16</v>
      </c>
      <c r="AJ81" s="93">
        <f t="shared" si="163"/>
        <v>0</v>
      </c>
      <c r="AK81" s="95">
        <f t="shared" si="138"/>
        <v>1</v>
      </c>
      <c r="AL81" s="58">
        <f t="shared" si="174"/>
        <v>16</v>
      </c>
      <c r="AM81" s="55">
        <f t="shared" si="164"/>
        <v>34</v>
      </c>
      <c r="AN81" s="93"/>
      <c r="AO81" s="96"/>
      <c r="AP81" s="96">
        <f>$CJ81</f>
        <v>5910</v>
      </c>
      <c r="AQ81" s="96"/>
      <c r="AR81" s="96"/>
      <c r="AS81" s="96"/>
      <c r="AT81" s="96"/>
      <c r="AU81" s="96">
        <f t="shared" si="139"/>
        <v>0</v>
      </c>
      <c r="AV81" s="96">
        <f t="shared" si="139"/>
        <v>0</v>
      </c>
      <c r="AW81" s="96">
        <f t="shared" si="140"/>
        <v>5910</v>
      </c>
      <c r="AX81" s="96">
        <f t="shared" si="141"/>
        <v>2787</v>
      </c>
      <c r="AY81" s="94">
        <f t="shared" si="165"/>
        <v>41.840000000000146</v>
      </c>
      <c r="AZ81" s="94">
        <f t="shared" si="142"/>
        <v>19.73584905660384</v>
      </c>
      <c r="BA81" s="94">
        <f t="shared" si="171"/>
        <v>34</v>
      </c>
      <c r="BB81" s="97">
        <f t="shared" si="172"/>
        <v>0</v>
      </c>
      <c r="BC81" s="93">
        <v>16</v>
      </c>
      <c r="BD81" s="93">
        <f t="shared" si="143"/>
        <v>0</v>
      </c>
      <c r="BE81" s="95">
        <f t="shared" si="144"/>
        <v>1</v>
      </c>
      <c r="BF81" s="58">
        <f t="shared" si="175"/>
        <v>16</v>
      </c>
      <c r="BG81" s="94">
        <f t="shared" si="145"/>
        <v>18</v>
      </c>
      <c r="BH81" s="89"/>
      <c r="BI81" s="89"/>
      <c r="BJ81" s="92">
        <f>$CN81</f>
        <v>5974</v>
      </c>
      <c r="BK81" s="89"/>
      <c r="BL81" s="89"/>
      <c r="BM81" s="89"/>
      <c r="BN81" s="89"/>
      <c r="BO81" s="92">
        <f t="shared" si="166"/>
        <v>0</v>
      </c>
      <c r="BP81" s="92">
        <f t="shared" si="166"/>
        <v>0</v>
      </c>
      <c r="BQ81" s="96">
        <f t="shared" si="146"/>
        <v>5974</v>
      </c>
      <c r="BR81" s="96">
        <f t="shared" si="147"/>
        <v>2817</v>
      </c>
      <c r="BS81" s="96">
        <f t="shared" si="167"/>
        <v>105.84000000000015</v>
      </c>
      <c r="BT81" s="96">
        <f t="shared" si="148"/>
        <v>49.924528301886859</v>
      </c>
      <c r="BU81" s="92">
        <f t="shared" si="122"/>
        <v>5605</v>
      </c>
      <c r="BV81" s="98">
        <f t="shared" si="168"/>
        <v>32</v>
      </c>
      <c r="BW81" s="92">
        <f t="shared" si="123"/>
        <v>69.660377358490706</v>
      </c>
      <c r="BX81" s="98">
        <f t="shared" si="149"/>
        <v>31.36</v>
      </c>
      <c r="BY81" s="61">
        <f t="shared" si="173"/>
        <v>32</v>
      </c>
      <c r="BZ81" s="62">
        <f t="shared" si="150"/>
        <v>32</v>
      </c>
      <c r="CA81" s="98">
        <f t="shared" si="151"/>
        <v>11.884</v>
      </c>
      <c r="CB81" s="92">
        <f t="shared" si="124"/>
        <v>5604</v>
      </c>
      <c r="CC81" s="92">
        <f t="shared" si="124"/>
        <v>147.68000000000029</v>
      </c>
      <c r="CD81" s="92">
        <f t="shared" si="124"/>
        <v>69.660377358490706</v>
      </c>
      <c r="CE81" s="99"/>
      <c r="CF81" s="99"/>
      <c r="CG81" s="51">
        <f t="shared" si="152"/>
        <v>19.475999999999999</v>
      </c>
      <c r="CH81" s="62">
        <f t="shared" si="153"/>
        <v>19.475999999999999</v>
      </c>
      <c r="CI81" s="89"/>
      <c r="CJ81" s="89">
        <v>5910</v>
      </c>
      <c r="CK81" s="89"/>
      <c r="CL81" s="96"/>
      <c r="CM81" s="89"/>
      <c r="CN81" s="89">
        <v>5974</v>
      </c>
      <c r="CO81" s="92"/>
      <c r="CP81" s="101"/>
      <c r="CQ81" s="102">
        <f t="shared" si="101"/>
        <v>2787</v>
      </c>
      <c r="CR81" s="102">
        <f t="shared" si="101"/>
        <v>0</v>
      </c>
      <c r="CS81" s="102">
        <f t="shared" si="101"/>
        <v>0</v>
      </c>
      <c r="CT81" s="92">
        <f t="shared" si="154"/>
        <v>2818</v>
      </c>
      <c r="CU81" s="92">
        <f t="shared" si="102"/>
        <v>0</v>
      </c>
      <c r="CV81" s="103">
        <f t="shared" si="102"/>
        <v>0</v>
      </c>
      <c r="CW81" s="104" t="s">
        <v>147</v>
      </c>
      <c r="CX81" s="105">
        <v>13.35</v>
      </c>
      <c r="CY81" s="106">
        <f t="shared" si="155"/>
        <v>2979</v>
      </c>
      <c r="CZ81" s="106">
        <f t="shared" si="156"/>
        <v>54.067500000000003</v>
      </c>
      <c r="DA81" s="106"/>
      <c r="DB81" s="106"/>
      <c r="DC81" s="105"/>
      <c r="DD81" s="107"/>
      <c r="DE81" s="92">
        <f t="shared" si="125"/>
        <v>2787</v>
      </c>
      <c r="DF81" s="108">
        <f t="shared" si="126"/>
        <v>16</v>
      </c>
      <c r="DG81" s="115">
        <f t="shared" si="127"/>
        <v>19.73584905660384</v>
      </c>
      <c r="DH81" s="110">
        <f t="shared" si="128"/>
        <v>2818</v>
      </c>
      <c r="DI81" s="108">
        <f t="shared" si="129"/>
        <v>16</v>
      </c>
      <c r="DJ81" s="112">
        <f t="shared" si="130"/>
        <v>49.924528301886859</v>
      </c>
      <c r="DK81" s="110">
        <f t="shared" si="86"/>
        <v>5605</v>
      </c>
      <c r="DL81" s="108">
        <f t="shared" si="86"/>
        <v>32</v>
      </c>
      <c r="DM81" s="111">
        <f t="shared" si="86"/>
        <v>69.660377358490706</v>
      </c>
      <c r="DN81" s="76">
        <f t="shared" si="89"/>
        <v>16</v>
      </c>
      <c r="DO81" s="76">
        <f t="shared" si="89"/>
        <v>34</v>
      </c>
      <c r="DP81" s="112"/>
      <c r="DQ81" s="112"/>
      <c r="DR81" s="113" t="s">
        <v>468</v>
      </c>
      <c r="DS81" s="112"/>
      <c r="DT81" s="112"/>
      <c r="DU81" s="111"/>
      <c r="DV81" s="114"/>
      <c r="DW81" s="80">
        <f t="shared" ref="DW81:DW82" si="177">IFERROR(AL81+BF81,"")</f>
        <v>32</v>
      </c>
      <c r="DX81" s="81">
        <f t="shared" si="131"/>
        <v>5706.6603773584911</v>
      </c>
      <c r="DY81" s="80">
        <f t="shared" si="158"/>
        <v>5605</v>
      </c>
      <c r="DZ81" s="82">
        <f t="shared" si="159"/>
        <v>0</v>
      </c>
      <c r="EA81" s="82">
        <f t="shared" si="160"/>
        <v>11.8826</v>
      </c>
      <c r="EB81" s="82">
        <f t="shared" si="161"/>
        <v>19.477399999999999</v>
      </c>
      <c r="EC81" s="82">
        <f t="shared" si="176"/>
        <v>19.475999999999999</v>
      </c>
      <c r="EF81" s="83">
        <f t="shared" si="107"/>
        <v>69.660377358490706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2"/>
        <v>IBC3602-7.5x3-H9B14</v>
      </c>
      <c r="H82" s="46" t="str">
        <f t="shared" si="133"/>
        <v>C3602IB7.50DH9</v>
      </c>
      <c r="I82" s="46" t="str">
        <f t="shared" si="134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5"/>
        <v>34</v>
      </c>
      <c r="T82" s="51">
        <f>'03.02'!BG82</f>
        <v>13.93</v>
      </c>
      <c r="U82" s="92">
        <v>36</v>
      </c>
      <c r="V82" s="174">
        <v>1.23</v>
      </c>
      <c r="W82" s="93">
        <f t="shared" si="114"/>
        <v>0</v>
      </c>
      <c r="X82" s="93">
        <f t="shared" si="115"/>
        <v>0</v>
      </c>
      <c r="Y82" s="93">
        <f t="shared" si="116"/>
        <v>6126</v>
      </c>
      <c r="Z82" s="93">
        <f t="shared" si="117"/>
        <v>0</v>
      </c>
      <c r="AA82" s="93">
        <f t="shared" si="118"/>
        <v>0</v>
      </c>
      <c r="AB82" s="93">
        <f t="shared" si="119"/>
        <v>0</v>
      </c>
      <c r="AC82" s="93">
        <f t="shared" si="120"/>
        <v>0</v>
      </c>
      <c r="AD82" s="93">
        <f t="shared" si="121"/>
        <v>113</v>
      </c>
      <c r="AE82" s="93">
        <f t="shared" si="136"/>
        <v>6126</v>
      </c>
      <c r="AF82" s="54">
        <f>AE82+'03.02'!AF82</f>
        <v>23122</v>
      </c>
      <c r="AG82" s="94">
        <f t="shared" si="162"/>
        <v>13.93</v>
      </c>
      <c r="AH82" s="56">
        <f t="shared" si="137"/>
        <v>0.93</v>
      </c>
      <c r="AI82" s="93">
        <v>19</v>
      </c>
      <c r="AJ82" s="93">
        <f t="shared" si="163"/>
        <v>0</v>
      </c>
      <c r="AK82" s="95">
        <f t="shared" si="138"/>
        <v>1</v>
      </c>
      <c r="AL82" s="58">
        <f t="shared" si="174"/>
        <v>19.93</v>
      </c>
      <c r="AM82" s="55">
        <f t="shared" si="164"/>
        <v>30</v>
      </c>
      <c r="AN82" s="93"/>
      <c r="AO82" s="96"/>
      <c r="AP82" s="96"/>
      <c r="AQ82" s="96">
        <f>$CJ82</f>
        <v>3826</v>
      </c>
      <c r="AR82" s="96"/>
      <c r="AS82" s="96"/>
      <c r="AT82" s="96"/>
      <c r="AU82" s="96">
        <f t="shared" si="139"/>
        <v>0</v>
      </c>
      <c r="AV82" s="96">
        <f t="shared" si="139"/>
        <v>10</v>
      </c>
      <c r="AW82" s="96">
        <f t="shared" si="140"/>
        <v>3836</v>
      </c>
      <c r="AX82" s="96">
        <f t="shared" si="141"/>
        <v>3118</v>
      </c>
      <c r="AY82" s="94">
        <f t="shared" si="165"/>
        <v>-110.73790000000008</v>
      </c>
      <c r="AZ82" s="94">
        <f t="shared" si="142"/>
        <v>-90.030813008130153</v>
      </c>
      <c r="BA82" s="94">
        <f t="shared" si="171"/>
        <v>30</v>
      </c>
      <c r="BB82" s="97">
        <f t="shared" si="172"/>
        <v>0</v>
      </c>
      <c r="BC82" s="93">
        <v>19</v>
      </c>
      <c r="BD82" s="93">
        <f t="shared" si="143"/>
        <v>0</v>
      </c>
      <c r="BE82" s="95">
        <f t="shared" si="144"/>
        <v>1</v>
      </c>
      <c r="BF82" s="58">
        <f t="shared" si="175"/>
        <v>19</v>
      </c>
      <c r="BG82" s="94">
        <f t="shared" si="145"/>
        <v>11</v>
      </c>
      <c r="BH82" s="89"/>
      <c r="BI82" s="89"/>
      <c r="BJ82" s="89"/>
      <c r="BK82" s="92">
        <f>$CN82</f>
        <v>3710</v>
      </c>
      <c r="BL82" s="89"/>
      <c r="BM82" s="89"/>
      <c r="BN82" s="89"/>
      <c r="BO82" s="92">
        <f t="shared" si="166"/>
        <v>0</v>
      </c>
      <c r="BP82" s="92">
        <f t="shared" si="166"/>
        <v>130</v>
      </c>
      <c r="BQ82" s="96">
        <f t="shared" si="146"/>
        <v>3840</v>
      </c>
      <c r="BR82" s="96">
        <f t="shared" si="147"/>
        <v>3121</v>
      </c>
      <c r="BS82" s="96">
        <f t="shared" si="167"/>
        <v>77.429999999999836</v>
      </c>
      <c r="BT82" s="96">
        <f t="shared" si="148"/>
        <v>62.951219512194989</v>
      </c>
      <c r="BU82" s="92">
        <f t="shared" si="122"/>
        <v>6126</v>
      </c>
      <c r="BV82" s="98">
        <f t="shared" si="168"/>
        <v>38.93</v>
      </c>
      <c r="BW82" s="92">
        <f t="shared" si="123"/>
        <v>-27.079593495935164</v>
      </c>
      <c r="BX82" s="98">
        <f t="shared" si="149"/>
        <v>43.640529999999998</v>
      </c>
      <c r="BY82" s="61">
        <f t="shared" si="173"/>
        <v>38.93</v>
      </c>
      <c r="BZ82" s="62">
        <f t="shared" si="150"/>
        <v>38.93</v>
      </c>
      <c r="CA82" s="98">
        <f t="shared" si="151"/>
        <v>7.6760000000000002</v>
      </c>
      <c r="CB82" s="92">
        <f t="shared" si="124"/>
        <v>6239</v>
      </c>
      <c r="CC82" s="92">
        <f t="shared" si="124"/>
        <v>-33.307900000000245</v>
      </c>
      <c r="CD82" s="92">
        <f t="shared" si="124"/>
        <v>-27.079593495935164</v>
      </c>
      <c r="CE82" s="99"/>
      <c r="CF82" s="99"/>
      <c r="CG82" s="51">
        <f t="shared" si="152"/>
        <v>36.104529999999997</v>
      </c>
      <c r="CH82" s="62">
        <f t="shared" si="153"/>
        <v>36.104529999999997</v>
      </c>
      <c r="CI82" s="89"/>
      <c r="CJ82" s="89">
        <v>3826</v>
      </c>
      <c r="CK82" s="89"/>
      <c r="CL82" s="96">
        <v>10</v>
      </c>
      <c r="CM82" s="89"/>
      <c r="CN82" s="89">
        <v>3710</v>
      </c>
      <c r="CO82" s="92"/>
      <c r="CP82" s="101">
        <v>130</v>
      </c>
      <c r="CQ82" s="102">
        <f t="shared" si="101"/>
        <v>3110</v>
      </c>
      <c r="CR82" s="102">
        <f t="shared" si="101"/>
        <v>0</v>
      </c>
      <c r="CS82" s="102">
        <f t="shared" si="101"/>
        <v>8</v>
      </c>
      <c r="CT82" s="92">
        <f t="shared" si="154"/>
        <v>3016</v>
      </c>
      <c r="CU82" s="92">
        <f t="shared" si="102"/>
        <v>0</v>
      </c>
      <c r="CV82" s="103">
        <f t="shared" si="102"/>
        <v>105</v>
      </c>
      <c r="CW82" s="104" t="s">
        <v>147</v>
      </c>
      <c r="CX82" s="105">
        <v>15</v>
      </c>
      <c r="CY82" s="106">
        <f t="shared" si="155"/>
        <v>2664</v>
      </c>
      <c r="CZ82" s="106">
        <f t="shared" si="156"/>
        <v>60.750000000000007</v>
      </c>
      <c r="DA82" s="106"/>
      <c r="DB82" s="106"/>
      <c r="DC82" s="105"/>
      <c r="DD82" s="107"/>
      <c r="DE82" s="92">
        <f t="shared" si="125"/>
        <v>3110</v>
      </c>
      <c r="DF82" s="108">
        <f t="shared" si="126"/>
        <v>19.93</v>
      </c>
      <c r="DG82" s="115">
        <f t="shared" si="127"/>
        <v>-90.030813008130153</v>
      </c>
      <c r="DH82" s="110">
        <f t="shared" si="128"/>
        <v>3016</v>
      </c>
      <c r="DI82" s="108">
        <f t="shared" si="129"/>
        <v>19</v>
      </c>
      <c r="DJ82" s="112">
        <f t="shared" si="130"/>
        <v>62.951219512194989</v>
      </c>
      <c r="DK82" s="110">
        <f t="shared" si="86"/>
        <v>6126</v>
      </c>
      <c r="DL82" s="108">
        <f t="shared" si="86"/>
        <v>38.93</v>
      </c>
      <c r="DM82" s="111">
        <f t="shared" si="86"/>
        <v>-27.079593495935164</v>
      </c>
      <c r="DN82" s="76">
        <f t="shared" si="89"/>
        <v>13.93</v>
      </c>
      <c r="DO82" s="76">
        <f t="shared" si="89"/>
        <v>36</v>
      </c>
      <c r="DP82" s="112"/>
      <c r="DQ82" s="112"/>
      <c r="DR82" s="113" t="s">
        <v>469</v>
      </c>
      <c r="DS82" s="112"/>
      <c r="DT82" s="112"/>
      <c r="DU82" s="111"/>
      <c r="DV82" s="114"/>
      <c r="DW82" s="80">
        <f t="shared" si="177"/>
        <v>38.93</v>
      </c>
      <c r="DX82" s="81">
        <f t="shared" si="131"/>
        <v>6137.8504065040652</v>
      </c>
      <c r="DY82" s="80">
        <f t="shared" si="158"/>
        <v>6239</v>
      </c>
      <c r="DZ82" s="82">
        <f t="shared" si="159"/>
        <v>0.13899</v>
      </c>
      <c r="EA82" s="82">
        <f t="shared" si="160"/>
        <v>7.5349799999999991</v>
      </c>
      <c r="EB82" s="82">
        <f t="shared" si="161"/>
        <v>36.105550000000001</v>
      </c>
      <c r="EC82" s="82">
        <f t="shared" si="176"/>
        <v>36.104529999999997</v>
      </c>
      <c r="EF82" s="83">
        <f t="shared" si="107"/>
        <v>-27.079593495935164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2"/>
        <v>GWA6063-T5-7.5x3-H9B14</v>
      </c>
      <c r="H83" s="46" t="str">
        <f t="shared" si="133"/>
        <v>A6063-T5GW7.50DH9</v>
      </c>
      <c r="I83" s="46" t="str">
        <f t="shared" si="134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5"/>
        <v>18</v>
      </c>
      <c r="T83" s="51">
        <f>'03.02'!BG83</f>
        <v>46</v>
      </c>
      <c r="U83" s="92"/>
      <c r="V83" s="100">
        <v>0.70299999999999996</v>
      </c>
      <c r="W83" s="93">
        <f t="shared" si="114"/>
        <v>0</v>
      </c>
      <c r="X83" s="93">
        <f t="shared" si="115"/>
        <v>0</v>
      </c>
      <c r="Y83" s="93">
        <f t="shared" si="116"/>
        <v>0</v>
      </c>
      <c r="Z83" s="93">
        <f t="shared" si="117"/>
        <v>0</v>
      </c>
      <c r="AA83" s="93">
        <f t="shared" si="118"/>
        <v>0</v>
      </c>
      <c r="AB83" s="93">
        <f t="shared" si="119"/>
        <v>0</v>
      </c>
      <c r="AC83" s="93">
        <f t="shared" si="120"/>
        <v>0</v>
      </c>
      <c r="AD83" s="93">
        <f t="shared" si="121"/>
        <v>0</v>
      </c>
      <c r="AE83" s="93">
        <f t="shared" si="136"/>
        <v>0</v>
      </c>
      <c r="AF83" s="54">
        <f>AE83+'03.02'!AF83</f>
        <v>0</v>
      </c>
      <c r="AG83" s="94">
        <f t="shared" si="162"/>
        <v>46</v>
      </c>
      <c r="AH83" s="56">
        <f t="shared" si="137"/>
        <v>0</v>
      </c>
      <c r="AI83" s="93"/>
      <c r="AJ83" s="93">
        <f t="shared" si="163"/>
        <v>0</v>
      </c>
      <c r="AK83" s="95">
        <f t="shared" si="138"/>
        <v>1</v>
      </c>
      <c r="AL83" s="58">
        <f t="shared" si="174"/>
        <v>0</v>
      </c>
      <c r="AM83" s="55">
        <f t="shared" si="164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39"/>
        <v>0</v>
      </c>
      <c r="AV83" s="96">
        <f t="shared" si="139"/>
        <v>0</v>
      </c>
      <c r="AW83" s="96">
        <f t="shared" si="140"/>
        <v>0</v>
      </c>
      <c r="AX83" s="96">
        <f t="shared" si="141"/>
        <v>0</v>
      </c>
      <c r="AY83" s="94">
        <f t="shared" si="165"/>
        <v>0</v>
      </c>
      <c r="AZ83" s="94">
        <f t="shared" si="142"/>
        <v>0</v>
      </c>
      <c r="BA83" s="94">
        <f t="shared" si="171"/>
        <v>46</v>
      </c>
      <c r="BB83" s="97">
        <f t="shared" si="172"/>
        <v>0</v>
      </c>
      <c r="BC83" s="93"/>
      <c r="BD83" s="93">
        <f t="shared" si="143"/>
        <v>0</v>
      </c>
      <c r="BE83" s="95">
        <f t="shared" si="144"/>
        <v>1</v>
      </c>
      <c r="BF83" s="58">
        <f t="shared" si="175"/>
        <v>0</v>
      </c>
      <c r="BG83" s="94">
        <f t="shared" si="145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6"/>
        <v>0</v>
      </c>
      <c r="BP83" s="92">
        <f t="shared" si="166"/>
        <v>0</v>
      </c>
      <c r="BQ83" s="96">
        <f t="shared" si="146"/>
        <v>0</v>
      </c>
      <c r="BR83" s="96">
        <f t="shared" si="147"/>
        <v>0</v>
      </c>
      <c r="BS83" s="96">
        <f t="shared" si="167"/>
        <v>0</v>
      </c>
      <c r="BT83" s="96">
        <f t="shared" si="148"/>
        <v>0</v>
      </c>
      <c r="BU83" s="92">
        <f t="shared" si="122"/>
        <v>0</v>
      </c>
      <c r="BV83" s="98">
        <f t="shared" si="168"/>
        <v>0</v>
      </c>
      <c r="BW83" s="92">
        <f t="shared" si="123"/>
        <v>0</v>
      </c>
      <c r="BX83" s="98">
        <f t="shared" si="149"/>
        <v>0</v>
      </c>
      <c r="BY83" s="61">
        <f t="shared" si="173"/>
        <v>0</v>
      </c>
      <c r="BZ83" s="62">
        <f t="shared" si="150"/>
        <v>0</v>
      </c>
      <c r="CA83" s="98">
        <f t="shared" si="151"/>
        <v>0</v>
      </c>
      <c r="CB83" s="92">
        <f t="shared" si="124"/>
        <v>0</v>
      </c>
      <c r="CC83" s="92">
        <f t="shared" si="124"/>
        <v>0</v>
      </c>
      <c r="CD83" s="92">
        <f t="shared" si="124"/>
        <v>0</v>
      </c>
      <c r="CE83" s="99"/>
      <c r="CF83" s="99"/>
      <c r="CG83" s="51">
        <f t="shared" si="152"/>
        <v>0</v>
      </c>
      <c r="CH83" s="62">
        <f t="shared" si="153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101"/>
        <v>0</v>
      </c>
      <c r="CR83" s="102">
        <f t="shared" si="101"/>
        <v>0</v>
      </c>
      <c r="CS83" s="102">
        <f t="shared" si="101"/>
        <v>0</v>
      </c>
      <c r="CT83" s="92">
        <f t="shared" si="154"/>
        <v>0</v>
      </c>
      <c r="CU83" s="92">
        <f t="shared" si="102"/>
        <v>0</v>
      </c>
      <c r="CV83" s="103">
        <f t="shared" si="102"/>
        <v>0</v>
      </c>
      <c r="CW83" s="104" t="s">
        <v>147</v>
      </c>
      <c r="CX83" s="105">
        <v>18.5</v>
      </c>
      <c r="CY83" s="106">
        <f t="shared" si="155"/>
        <v>2237</v>
      </c>
      <c r="CZ83" s="106">
        <f t="shared" si="156"/>
        <v>74.925000000000011</v>
      </c>
      <c r="DA83" s="106"/>
      <c r="DB83" s="106"/>
      <c r="DC83" s="105"/>
      <c r="DD83" s="107"/>
      <c r="DE83" s="92">
        <f t="shared" si="125"/>
        <v>0</v>
      </c>
      <c r="DF83" s="108">
        <f t="shared" si="126"/>
        <v>0</v>
      </c>
      <c r="DG83" s="115">
        <f t="shared" si="127"/>
        <v>0</v>
      </c>
      <c r="DH83" s="110">
        <f t="shared" si="128"/>
        <v>0</v>
      </c>
      <c r="DI83" s="108">
        <f t="shared" si="129"/>
        <v>0</v>
      </c>
      <c r="DJ83" s="112">
        <f t="shared" si="130"/>
        <v>0</v>
      </c>
      <c r="DK83" s="110">
        <f t="shared" si="86"/>
        <v>0</v>
      </c>
      <c r="DL83" s="108">
        <f t="shared" si="86"/>
        <v>0</v>
      </c>
      <c r="DM83" s="111">
        <f t="shared" si="86"/>
        <v>0</v>
      </c>
      <c r="DN83" s="76">
        <f t="shared" si="89"/>
        <v>46</v>
      </c>
      <c r="DO83" s="76">
        <f t="shared" si="89"/>
        <v>0</v>
      </c>
      <c r="DP83" s="112"/>
      <c r="DQ83" s="112"/>
      <c r="DR83" s="113" t="s">
        <v>470</v>
      </c>
      <c r="DS83" s="112"/>
      <c r="DT83" s="112"/>
      <c r="DU83" s="111"/>
      <c r="DV83" s="114"/>
      <c r="DW83" s="80">
        <f t="shared" si="157"/>
        <v>0</v>
      </c>
      <c r="DX83" s="81">
        <f t="shared" si="131"/>
        <v>0</v>
      </c>
      <c r="DY83" s="80">
        <f t="shared" si="158"/>
        <v>0</v>
      </c>
      <c r="DZ83" s="82">
        <f t="shared" si="159"/>
        <v>0</v>
      </c>
      <c r="EA83" s="82">
        <f t="shared" si="160"/>
        <v>0</v>
      </c>
      <c r="EB83" s="82">
        <f t="shared" si="161"/>
        <v>0</v>
      </c>
      <c r="EC83" s="82">
        <f t="shared" ref="EC83:EC106" si="178">EB83+DZ83</f>
        <v>0</v>
      </c>
      <c r="EF83" s="83">
        <f t="shared" si="107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2"/>
        <v>GAA5052-5.7x3-H9A14</v>
      </c>
      <c r="H84" s="46" t="str">
        <f t="shared" si="133"/>
        <v>A5052GA5.70DH9</v>
      </c>
      <c r="I84" s="46" t="str">
        <f t="shared" si="134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5"/>
        <v>30</v>
      </c>
      <c r="T84" s="51">
        <f>'03.02'!BG84</f>
        <v>11.999999999999996</v>
      </c>
      <c r="U84" s="92">
        <v>13</v>
      </c>
      <c r="V84" s="100">
        <v>0.15</v>
      </c>
      <c r="W84" s="93">
        <f t="shared" si="114"/>
        <v>0</v>
      </c>
      <c r="X84" s="93">
        <f t="shared" si="115"/>
        <v>0</v>
      </c>
      <c r="Y84" s="93">
        <f t="shared" si="116"/>
        <v>0</v>
      </c>
      <c r="Z84" s="93">
        <f t="shared" si="117"/>
        <v>0</v>
      </c>
      <c r="AA84" s="93">
        <f t="shared" si="118"/>
        <v>0</v>
      </c>
      <c r="AB84" s="93">
        <f t="shared" si="119"/>
        <v>3160</v>
      </c>
      <c r="AC84" s="93">
        <f t="shared" si="120"/>
        <v>0</v>
      </c>
      <c r="AD84" s="93">
        <f t="shared" si="121"/>
        <v>146</v>
      </c>
      <c r="AE84" s="93">
        <f t="shared" si="136"/>
        <v>3160</v>
      </c>
      <c r="AF84" s="54">
        <f>AE84+'03.02'!AF84</f>
        <v>12086</v>
      </c>
      <c r="AG84" s="94">
        <f t="shared" si="162"/>
        <v>11.999999999999996</v>
      </c>
      <c r="AH84" s="56">
        <f t="shared" si="137"/>
        <v>0</v>
      </c>
      <c r="AI84" s="93">
        <v>7</v>
      </c>
      <c r="AJ84" s="93">
        <f t="shared" si="163"/>
        <v>31</v>
      </c>
      <c r="AK84" s="95">
        <f t="shared" si="138"/>
        <v>0.86111111111111116</v>
      </c>
      <c r="AL84" s="58">
        <f t="shared" si="174"/>
        <v>6.87</v>
      </c>
      <c r="AM84" s="55">
        <f t="shared" si="164"/>
        <v>18.129999999999995</v>
      </c>
      <c r="AN84" s="93"/>
      <c r="AO84" s="96"/>
      <c r="AP84" s="96"/>
      <c r="AQ84" s="96"/>
      <c r="AR84" s="96"/>
      <c r="AS84" s="96"/>
      <c r="AT84" s="96">
        <f>$CJ84</f>
        <v>224</v>
      </c>
      <c r="AU84" s="96">
        <f t="shared" si="139"/>
        <v>0</v>
      </c>
      <c r="AV84" s="96">
        <f t="shared" si="139"/>
        <v>12</v>
      </c>
      <c r="AW84" s="96">
        <f t="shared" ref="AW84" si="179">SUM(AO84:AV84)</f>
        <v>236</v>
      </c>
      <c r="AX84" s="96">
        <f t="shared" si="141"/>
        <v>1573</v>
      </c>
      <c r="AY84" s="94">
        <f t="shared" si="165"/>
        <v>-11.319999999999993</v>
      </c>
      <c r="AZ84" s="94">
        <f t="shared" si="142"/>
        <v>-75.466666666666626</v>
      </c>
      <c r="BA84" s="94">
        <f t="shared" si="171"/>
        <v>18.129999999999995</v>
      </c>
      <c r="BB84" s="97">
        <f t="shared" si="172"/>
        <v>0.13</v>
      </c>
      <c r="BC84" s="93">
        <v>8</v>
      </c>
      <c r="BD84" s="93">
        <f t="shared" si="143"/>
        <v>22</v>
      </c>
      <c r="BE84" s="95">
        <f t="shared" si="144"/>
        <v>0.61111111111111116</v>
      </c>
      <c r="BF84" s="58">
        <f t="shared" si="175"/>
        <v>7.75</v>
      </c>
      <c r="BG84" s="94">
        <f t="shared" si="145"/>
        <v>10.379999999999995</v>
      </c>
      <c r="BH84" s="89"/>
      <c r="BI84" s="89"/>
      <c r="BJ84" s="92"/>
      <c r="BK84" s="89"/>
      <c r="BL84" s="89"/>
      <c r="BM84" s="89"/>
      <c r="BN84" s="92">
        <f>$CN84</f>
        <v>250</v>
      </c>
      <c r="BO84" s="92">
        <f t="shared" si="166"/>
        <v>0</v>
      </c>
      <c r="BP84" s="92">
        <f t="shared" si="166"/>
        <v>10</v>
      </c>
      <c r="BQ84" s="96">
        <f t="shared" si="146"/>
        <v>260</v>
      </c>
      <c r="BR84" s="96">
        <f t="shared" si="147"/>
        <v>1733</v>
      </c>
      <c r="BS84" s="96">
        <f t="shared" si="167"/>
        <v>-19</v>
      </c>
      <c r="BT84" s="96">
        <f t="shared" si="148"/>
        <v>-126.66666666666667</v>
      </c>
      <c r="BU84" s="92">
        <f t="shared" si="122"/>
        <v>3160</v>
      </c>
      <c r="BV84" s="98">
        <f t="shared" si="168"/>
        <v>14.620000000000001</v>
      </c>
      <c r="BW84" s="92">
        <f t="shared" si="123"/>
        <v>-202.1333333333333</v>
      </c>
      <c r="BX84" s="98">
        <f t="shared" si="149"/>
        <v>2.9824799999999998</v>
      </c>
      <c r="BY84" s="61">
        <f t="shared" si="173"/>
        <v>14.620000000000001</v>
      </c>
      <c r="BZ84" s="62">
        <f t="shared" si="150"/>
        <v>14.620000000000001</v>
      </c>
      <c r="CA84" s="98">
        <f t="shared" si="151"/>
        <v>0.496</v>
      </c>
      <c r="CB84" s="92">
        <f t="shared" si="124"/>
        <v>3306</v>
      </c>
      <c r="CC84" s="92">
        <f t="shared" si="124"/>
        <v>-30.319999999999993</v>
      </c>
      <c r="CD84" s="92">
        <f t="shared" si="124"/>
        <v>-202.1333333333333</v>
      </c>
      <c r="CE84" s="99"/>
      <c r="CF84" s="99"/>
      <c r="CG84" s="51">
        <f t="shared" si="152"/>
        <v>2.5084799999999996</v>
      </c>
      <c r="CH84" s="62">
        <f t="shared" si="153"/>
        <v>2.5084799999999996</v>
      </c>
      <c r="CI84" s="89">
        <v>31</v>
      </c>
      <c r="CJ84" s="89">
        <v>224</v>
      </c>
      <c r="CK84" s="89"/>
      <c r="CL84" s="96">
        <v>12</v>
      </c>
      <c r="CM84" s="89">
        <v>22</v>
      </c>
      <c r="CN84" s="89">
        <v>250</v>
      </c>
      <c r="CO84" s="92"/>
      <c r="CP84" s="101">
        <v>10</v>
      </c>
      <c r="CQ84" s="102">
        <f t="shared" si="101"/>
        <v>1493</v>
      </c>
      <c r="CR84" s="102">
        <f t="shared" si="101"/>
        <v>0</v>
      </c>
      <c r="CS84" s="102">
        <f t="shared" si="101"/>
        <v>80</v>
      </c>
      <c r="CT84" s="92">
        <f t="shared" si="154"/>
        <v>1667</v>
      </c>
      <c r="CU84" s="92">
        <f t="shared" si="102"/>
        <v>0</v>
      </c>
      <c r="CV84" s="103">
        <f t="shared" si="102"/>
        <v>66</v>
      </c>
      <c r="CW84" s="104" t="s">
        <v>147</v>
      </c>
      <c r="CX84" s="105">
        <v>11</v>
      </c>
      <c r="CY84" s="106">
        <f t="shared" si="155"/>
        <v>3649</v>
      </c>
      <c r="CZ84" s="106">
        <f t="shared" si="156"/>
        <v>44.550000000000004</v>
      </c>
      <c r="DA84" s="106"/>
      <c r="DB84" s="106"/>
      <c r="DC84" s="105"/>
      <c r="DD84" s="107"/>
      <c r="DE84" s="92">
        <f t="shared" si="125"/>
        <v>1493</v>
      </c>
      <c r="DF84" s="108">
        <f t="shared" si="126"/>
        <v>6.87</v>
      </c>
      <c r="DG84" s="115">
        <f t="shared" si="127"/>
        <v>-75.466666666666626</v>
      </c>
      <c r="DH84" s="110">
        <f t="shared" si="128"/>
        <v>1667</v>
      </c>
      <c r="DI84" s="108">
        <f t="shared" si="129"/>
        <v>7.75</v>
      </c>
      <c r="DJ84" s="112">
        <f t="shared" si="130"/>
        <v>-126.66666666666667</v>
      </c>
      <c r="DK84" s="110">
        <f t="shared" si="86"/>
        <v>3160</v>
      </c>
      <c r="DL84" s="108">
        <f t="shared" si="86"/>
        <v>14.620000000000001</v>
      </c>
      <c r="DM84" s="111">
        <f t="shared" si="86"/>
        <v>-202.1333333333333</v>
      </c>
      <c r="DN84" s="76">
        <f t="shared" si="89"/>
        <v>11.999999999999996</v>
      </c>
      <c r="DO84" s="76">
        <f t="shared" si="89"/>
        <v>13</v>
      </c>
      <c r="DP84" s="112"/>
      <c r="DQ84" s="112"/>
      <c r="DR84" s="113" t="s">
        <v>471</v>
      </c>
      <c r="DS84" s="112"/>
      <c r="DT84" s="112"/>
      <c r="DU84" s="111"/>
      <c r="DV84" s="114"/>
      <c r="DW84" s="80">
        <f t="shared" si="157"/>
        <v>3174.62</v>
      </c>
      <c r="DX84" s="81">
        <f t="shared" si="131"/>
        <v>2972.4866666666667</v>
      </c>
      <c r="DY84" s="80">
        <f t="shared" si="158"/>
        <v>3306</v>
      </c>
      <c r="DZ84" s="82">
        <f t="shared" si="159"/>
        <v>2.1899999999999999E-2</v>
      </c>
      <c r="EA84" s="82">
        <f t="shared" si="160"/>
        <v>0.47399999999999998</v>
      </c>
      <c r="EB84" s="82">
        <f t="shared" si="161"/>
        <v>2.5084799999999996</v>
      </c>
      <c r="EC84" s="82">
        <f t="shared" si="178"/>
        <v>2.5303799999999996</v>
      </c>
      <c r="EF84" s="83">
        <f t="shared" si="107"/>
        <v>-202.1333333333333</v>
      </c>
    </row>
    <row r="85" spans="1:136" ht="15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2"/>
        <v>TVSUS303Cu-H15.87x2.5-H11B14</v>
      </c>
      <c r="H85" s="46" t="str">
        <f t="shared" si="133"/>
        <v>SUS303CuTV15.870HH11</v>
      </c>
      <c r="I85" s="46" t="str">
        <f t="shared" si="134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f>'03.02'!BG85</f>
        <v>0</v>
      </c>
      <c r="U85" s="92"/>
      <c r="V85" s="100">
        <v>27.35</v>
      </c>
      <c r="W85" s="93">
        <f t="shared" si="114"/>
        <v>0</v>
      </c>
      <c r="X85" s="93">
        <f t="shared" si="115"/>
        <v>0</v>
      </c>
      <c r="Y85" s="93">
        <f t="shared" si="116"/>
        <v>0</v>
      </c>
      <c r="Z85" s="93">
        <f t="shared" si="117"/>
        <v>0</v>
      </c>
      <c r="AA85" s="93">
        <f t="shared" si="118"/>
        <v>0</v>
      </c>
      <c r="AB85" s="93">
        <f t="shared" si="119"/>
        <v>0</v>
      </c>
      <c r="AC85" s="93">
        <f t="shared" si="120"/>
        <v>0</v>
      </c>
      <c r="AD85" s="93">
        <f t="shared" si="121"/>
        <v>0</v>
      </c>
      <c r="AE85" s="93">
        <f t="shared" si="136"/>
        <v>0</v>
      </c>
      <c r="AF85" s="54">
        <f>AE85+'03.02'!AF85</f>
        <v>0</v>
      </c>
      <c r="AG85" s="94">
        <f t="shared" si="162"/>
        <v>0</v>
      </c>
      <c r="AH85" s="56">
        <f t="shared" si="137"/>
        <v>0</v>
      </c>
      <c r="AI85" s="93"/>
      <c r="AJ85" s="93">
        <f t="shared" si="163"/>
        <v>0</v>
      </c>
      <c r="AK85" s="95">
        <f t="shared" si="138"/>
        <v>1</v>
      </c>
      <c r="AL85" s="58">
        <f t="shared" si="174"/>
        <v>0</v>
      </c>
      <c r="AM85" s="55">
        <f t="shared" si="164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39"/>
        <v>0</v>
      </c>
      <c r="AV85" s="96">
        <f t="shared" si="139"/>
        <v>0</v>
      </c>
      <c r="AW85" s="96">
        <f t="shared" si="140"/>
        <v>0</v>
      </c>
      <c r="AX85" s="96">
        <f t="shared" si="141"/>
        <v>0</v>
      </c>
      <c r="AY85" s="94">
        <f t="shared" si="165"/>
        <v>0</v>
      </c>
      <c r="AZ85" s="94">
        <f t="shared" si="142"/>
        <v>0</v>
      </c>
      <c r="BA85" s="94">
        <f t="shared" si="171"/>
        <v>0</v>
      </c>
      <c r="BB85" s="97">
        <f t="shared" si="172"/>
        <v>0</v>
      </c>
      <c r="BC85" s="93"/>
      <c r="BD85" s="93">
        <f t="shared" si="143"/>
        <v>0</v>
      </c>
      <c r="BE85" s="95">
        <f t="shared" si="144"/>
        <v>1</v>
      </c>
      <c r="BF85" s="58">
        <f t="shared" si="175"/>
        <v>0</v>
      </c>
      <c r="BG85" s="94">
        <f t="shared" si="145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6"/>
        <v>0</v>
      </c>
      <c r="BP85" s="92">
        <f t="shared" si="166"/>
        <v>0</v>
      </c>
      <c r="BQ85" s="96">
        <f t="shared" si="146"/>
        <v>0</v>
      </c>
      <c r="BR85" s="96">
        <f t="shared" si="147"/>
        <v>0</v>
      </c>
      <c r="BS85" s="96">
        <f t="shared" si="167"/>
        <v>0</v>
      </c>
      <c r="BT85" s="96">
        <f t="shared" si="148"/>
        <v>0</v>
      </c>
      <c r="BU85" s="92">
        <f t="shared" si="122"/>
        <v>0</v>
      </c>
      <c r="BV85" s="98">
        <f t="shared" si="168"/>
        <v>0</v>
      </c>
      <c r="BW85" s="92">
        <f t="shared" si="123"/>
        <v>0</v>
      </c>
      <c r="BX85" s="98">
        <f t="shared" si="149"/>
        <v>0</v>
      </c>
      <c r="BY85" s="61">
        <f t="shared" si="173"/>
        <v>0</v>
      </c>
      <c r="BZ85" s="62">
        <f t="shared" si="150"/>
        <v>0</v>
      </c>
      <c r="CA85" s="98">
        <f t="shared" si="151"/>
        <v>0</v>
      </c>
      <c r="CB85" s="92">
        <f t="shared" si="124"/>
        <v>0</v>
      </c>
      <c r="CC85" s="92">
        <f t="shared" si="124"/>
        <v>0</v>
      </c>
      <c r="CD85" s="92">
        <f t="shared" si="124"/>
        <v>0</v>
      </c>
      <c r="CE85" s="99"/>
      <c r="CF85" s="99"/>
      <c r="CG85" s="51">
        <f t="shared" si="152"/>
        <v>0</v>
      </c>
      <c r="CH85" s="62">
        <f t="shared" si="153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101"/>
        <v>0</v>
      </c>
      <c r="CR85" s="102">
        <f t="shared" si="101"/>
        <v>0</v>
      </c>
      <c r="CS85" s="102">
        <f t="shared" si="101"/>
        <v>0</v>
      </c>
      <c r="CT85" s="92">
        <f t="shared" si="154"/>
        <v>0</v>
      </c>
      <c r="CU85" s="92">
        <f t="shared" si="102"/>
        <v>0</v>
      </c>
      <c r="CV85" s="103">
        <f t="shared" si="102"/>
        <v>0</v>
      </c>
      <c r="CW85" s="104"/>
      <c r="CX85" s="105">
        <v>100</v>
      </c>
      <c r="CY85" s="106">
        <f t="shared" si="155"/>
        <v>414</v>
      </c>
      <c r="CZ85" s="106">
        <f t="shared" si="156"/>
        <v>810</v>
      </c>
      <c r="DA85" s="106"/>
      <c r="DB85" s="106"/>
      <c r="DC85" s="105"/>
      <c r="DD85" s="107"/>
      <c r="DE85" s="92">
        <f t="shared" si="125"/>
        <v>0</v>
      </c>
      <c r="DF85" s="108">
        <f t="shared" si="126"/>
        <v>0</v>
      </c>
      <c r="DG85" s="115">
        <f t="shared" si="127"/>
        <v>0</v>
      </c>
      <c r="DH85" s="110">
        <f t="shared" si="128"/>
        <v>0</v>
      </c>
      <c r="DI85" s="108">
        <f t="shared" si="129"/>
        <v>0</v>
      </c>
      <c r="DJ85" s="112">
        <f t="shared" si="130"/>
        <v>0</v>
      </c>
      <c r="DK85" s="110">
        <f t="shared" si="86"/>
        <v>0</v>
      </c>
      <c r="DL85" s="108">
        <f t="shared" si="86"/>
        <v>0</v>
      </c>
      <c r="DM85" s="111">
        <f t="shared" si="86"/>
        <v>0</v>
      </c>
      <c r="DN85" s="76">
        <f t="shared" si="89"/>
        <v>0</v>
      </c>
      <c r="DO85" s="76">
        <f t="shared" si="89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7"/>
        <v>0</v>
      </c>
      <c r="DX85" s="81">
        <f t="shared" si="131"/>
        <v>0</v>
      </c>
      <c r="DY85" s="80">
        <f t="shared" si="158"/>
        <v>0</v>
      </c>
      <c r="DZ85" s="82">
        <f t="shared" si="159"/>
        <v>0</v>
      </c>
      <c r="EA85" s="82">
        <f t="shared" si="160"/>
        <v>0</v>
      </c>
      <c r="EB85" s="82">
        <f t="shared" si="161"/>
        <v>0</v>
      </c>
      <c r="EC85" s="82">
        <f t="shared" ref="EC85:EC86" si="180">(BX85-CA85)+((AV85+BP85)/1000)</f>
        <v>0</v>
      </c>
      <c r="EF85" s="83">
        <f t="shared" si="107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2"/>
        <v>TVSUS303Cu-24x2.5-H9A15</v>
      </c>
      <c r="H86" s="46" t="str">
        <f t="shared" si="133"/>
        <v>SUS303CuTV240DH9</v>
      </c>
      <c r="I86" s="46" t="str">
        <f t="shared" si="134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5"/>
        <v>16</v>
      </c>
      <c r="T86" s="51">
        <f>'03.02'!BG86</f>
        <v>4</v>
      </c>
      <c r="U86" s="92">
        <v>3</v>
      </c>
      <c r="V86" s="100">
        <v>59.75</v>
      </c>
      <c r="W86" s="93">
        <f t="shared" si="114"/>
        <v>149</v>
      </c>
      <c r="X86" s="93">
        <f t="shared" si="115"/>
        <v>0</v>
      </c>
      <c r="Y86" s="93">
        <f t="shared" si="116"/>
        <v>0</v>
      </c>
      <c r="Z86" s="93">
        <f t="shared" si="117"/>
        <v>0</v>
      </c>
      <c r="AA86" s="93">
        <f t="shared" si="118"/>
        <v>0</v>
      </c>
      <c r="AB86" s="93">
        <f t="shared" si="119"/>
        <v>0</v>
      </c>
      <c r="AC86" s="93">
        <f t="shared" si="120"/>
        <v>0</v>
      </c>
      <c r="AD86" s="93">
        <f t="shared" si="121"/>
        <v>11</v>
      </c>
      <c r="AE86" s="93">
        <f t="shared" si="136"/>
        <v>149</v>
      </c>
      <c r="AF86" s="54">
        <f>AE86+'03.02'!AF86</f>
        <v>621</v>
      </c>
      <c r="AG86" s="94">
        <f t="shared" si="162"/>
        <v>4</v>
      </c>
      <c r="AH86" s="56">
        <f t="shared" si="137"/>
        <v>0</v>
      </c>
      <c r="AI86" s="93">
        <v>2</v>
      </c>
      <c r="AJ86" s="93">
        <f t="shared" si="163"/>
        <v>0</v>
      </c>
      <c r="AK86" s="95">
        <f t="shared" si="138"/>
        <v>1</v>
      </c>
      <c r="AL86" s="58">
        <f t="shared" si="174"/>
        <v>2</v>
      </c>
      <c r="AM86" s="55">
        <f t="shared" si="164"/>
        <v>5</v>
      </c>
      <c r="AN86" s="93"/>
      <c r="AO86" s="96">
        <f>$CJ86</f>
        <v>4780</v>
      </c>
      <c r="AP86" s="96"/>
      <c r="AQ86" s="96"/>
      <c r="AR86" s="96"/>
      <c r="AS86" s="96"/>
      <c r="AT86" s="96"/>
      <c r="AU86" s="96">
        <f t="shared" si="139"/>
        <v>0</v>
      </c>
      <c r="AV86" s="96">
        <f t="shared" si="139"/>
        <v>660</v>
      </c>
      <c r="AW86" s="96">
        <f t="shared" si="140"/>
        <v>5440</v>
      </c>
      <c r="AX86" s="96">
        <f t="shared" si="141"/>
        <v>91</v>
      </c>
      <c r="AY86" s="94">
        <f t="shared" si="165"/>
        <v>-2208</v>
      </c>
      <c r="AZ86" s="94">
        <f t="shared" si="142"/>
        <v>-36.953974895397486</v>
      </c>
      <c r="BA86" s="94">
        <f t="shared" si="171"/>
        <v>5</v>
      </c>
      <c r="BB86" s="97">
        <f t="shared" si="172"/>
        <v>0</v>
      </c>
      <c r="BC86" s="93">
        <v>1</v>
      </c>
      <c r="BD86" s="93">
        <f t="shared" si="143"/>
        <v>0</v>
      </c>
      <c r="BE86" s="95">
        <f t="shared" si="144"/>
        <v>1</v>
      </c>
      <c r="BF86" s="58">
        <f t="shared" si="175"/>
        <v>1</v>
      </c>
      <c r="BG86" s="94">
        <f t="shared" si="145"/>
        <v>4</v>
      </c>
      <c r="BH86" s="89"/>
      <c r="BI86" s="92">
        <f>$CN86</f>
        <v>4122.75</v>
      </c>
      <c r="BJ86" s="92"/>
      <c r="BK86" s="89"/>
      <c r="BL86" s="89"/>
      <c r="BM86" s="89"/>
      <c r="BN86" s="89"/>
      <c r="BO86" s="92">
        <f t="shared" si="166"/>
        <v>0</v>
      </c>
      <c r="BP86" s="92">
        <f t="shared" si="166"/>
        <v>0</v>
      </c>
      <c r="BQ86" s="96">
        <f t="shared" si="146"/>
        <v>4122.75</v>
      </c>
      <c r="BR86" s="96">
        <f t="shared" si="147"/>
        <v>69</v>
      </c>
      <c r="BS86" s="96">
        <f t="shared" si="167"/>
        <v>298.75</v>
      </c>
      <c r="BT86" s="96">
        <f t="shared" si="148"/>
        <v>5</v>
      </c>
      <c r="BU86" s="92">
        <f t="shared" si="122"/>
        <v>149</v>
      </c>
      <c r="BV86" s="98">
        <f t="shared" si="168"/>
        <v>3</v>
      </c>
      <c r="BW86" s="92">
        <f t="shared" si="123"/>
        <v>-31.953974895397486</v>
      </c>
      <c r="BX86" s="98">
        <f t="shared" si="149"/>
        <v>27.150000000000002</v>
      </c>
      <c r="BY86" s="61">
        <f t="shared" si="173"/>
        <v>3</v>
      </c>
      <c r="BZ86" s="62">
        <f t="shared" si="150"/>
        <v>3</v>
      </c>
      <c r="CA86" s="98">
        <f t="shared" si="151"/>
        <v>9.5627499999999994</v>
      </c>
      <c r="CB86" s="92">
        <f t="shared" si="124"/>
        <v>160</v>
      </c>
      <c r="CC86" s="92">
        <f t="shared" si="124"/>
        <v>-1909.25</v>
      </c>
      <c r="CD86" s="92">
        <f t="shared" si="124"/>
        <v>-31.953974895397486</v>
      </c>
      <c r="CE86" s="99"/>
      <c r="CF86" s="99"/>
      <c r="CG86" s="51">
        <f t="shared" si="152"/>
        <v>18.247250000000005</v>
      </c>
      <c r="CH86" s="62">
        <f t="shared" si="153"/>
        <v>18.247250000000005</v>
      </c>
      <c r="CI86" s="89"/>
      <c r="CJ86" s="89">
        <f>80*59.75</f>
        <v>4780</v>
      </c>
      <c r="CK86" s="89"/>
      <c r="CL86" s="96">
        <v>660</v>
      </c>
      <c r="CM86" s="89"/>
      <c r="CN86" s="89">
        <f>69*59.75</f>
        <v>4122.75</v>
      </c>
      <c r="CO86" s="92"/>
      <c r="CP86" s="101"/>
      <c r="CQ86" s="102">
        <f t="shared" si="101"/>
        <v>80</v>
      </c>
      <c r="CR86" s="102">
        <f t="shared" si="101"/>
        <v>0</v>
      </c>
      <c r="CS86" s="102">
        <f t="shared" si="101"/>
        <v>11</v>
      </c>
      <c r="CT86" s="92">
        <f t="shared" si="154"/>
        <v>69</v>
      </c>
      <c r="CU86" s="92">
        <f t="shared" si="102"/>
        <v>0</v>
      </c>
      <c r="CV86" s="103">
        <f t="shared" si="102"/>
        <v>0</v>
      </c>
      <c r="CW86" s="104"/>
      <c r="CX86" s="105">
        <v>80</v>
      </c>
      <c r="CY86" s="106">
        <f t="shared" si="155"/>
        <v>506</v>
      </c>
      <c r="CZ86" s="106">
        <f t="shared" si="156"/>
        <v>648</v>
      </c>
      <c r="DA86" s="106"/>
      <c r="DB86" s="106"/>
      <c r="DC86" s="105"/>
      <c r="DD86" s="107"/>
      <c r="DE86" s="92">
        <f t="shared" si="125"/>
        <v>80</v>
      </c>
      <c r="DF86" s="108">
        <f t="shared" si="126"/>
        <v>2</v>
      </c>
      <c r="DG86" s="115">
        <f t="shared" si="127"/>
        <v>-36.953974895397486</v>
      </c>
      <c r="DH86" s="110">
        <f t="shared" si="128"/>
        <v>69</v>
      </c>
      <c r="DI86" s="108">
        <f t="shared" si="129"/>
        <v>1</v>
      </c>
      <c r="DJ86" s="112">
        <f t="shared" si="130"/>
        <v>5</v>
      </c>
      <c r="DK86" s="110">
        <f t="shared" si="86"/>
        <v>149</v>
      </c>
      <c r="DL86" s="108">
        <f t="shared" si="86"/>
        <v>3</v>
      </c>
      <c r="DM86" s="111">
        <f t="shared" si="86"/>
        <v>-31.953974895397486</v>
      </c>
      <c r="DN86" s="76">
        <f t="shared" si="89"/>
        <v>4</v>
      </c>
      <c r="DO86" s="76">
        <f t="shared" si="89"/>
        <v>3</v>
      </c>
      <c r="DP86" s="112"/>
      <c r="DQ86" s="112"/>
      <c r="DR86" s="113" t="s">
        <v>472</v>
      </c>
      <c r="DS86" s="112"/>
      <c r="DT86" s="112"/>
      <c r="DU86" s="111"/>
      <c r="DV86" s="114"/>
      <c r="DW86" s="80">
        <f>IFERROR(AL86+BF86,"")</f>
        <v>3</v>
      </c>
      <c r="DX86" s="81">
        <f t="shared" si="131"/>
        <v>120.04602510460251</v>
      </c>
      <c r="DY86" s="80">
        <f t="shared" si="158"/>
        <v>160</v>
      </c>
      <c r="DZ86" s="82">
        <f t="shared" si="159"/>
        <v>0.65725</v>
      </c>
      <c r="EA86" s="82">
        <f t="shared" si="160"/>
        <v>8.9027499999999993</v>
      </c>
      <c r="EB86" s="82">
        <f t="shared" si="161"/>
        <v>18.247250000000001</v>
      </c>
      <c r="EC86" s="82">
        <f t="shared" si="180"/>
        <v>18.247250000000005</v>
      </c>
      <c r="EF86" s="83">
        <f t="shared" si="107"/>
        <v>-31.953974895397486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2"/>
        <v>TVSUS303-7.5x2.5-H9A14</v>
      </c>
      <c r="H87" s="46" t="str">
        <f t="shared" si="133"/>
        <v>SUS303TV7.50DH9</v>
      </c>
      <c r="I87" s="46" t="str">
        <f t="shared" si="134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5"/>
        <v>2</v>
      </c>
      <c r="T87" s="51">
        <f>'03.02'!BG87</f>
        <v>2</v>
      </c>
      <c r="U87" s="92">
        <v>8</v>
      </c>
      <c r="V87" s="100">
        <v>0.7</v>
      </c>
      <c r="W87" s="93">
        <f t="shared" si="114"/>
        <v>0</v>
      </c>
      <c r="X87" s="93">
        <f t="shared" si="115"/>
        <v>0</v>
      </c>
      <c r="Y87" s="93">
        <f t="shared" si="116"/>
        <v>0</v>
      </c>
      <c r="Z87" s="93">
        <f t="shared" si="117"/>
        <v>0</v>
      </c>
      <c r="AA87" s="93">
        <f t="shared" si="118"/>
        <v>0</v>
      </c>
      <c r="AB87" s="93">
        <f t="shared" si="119"/>
        <v>751</v>
      </c>
      <c r="AC87" s="93">
        <f t="shared" si="120"/>
        <v>0</v>
      </c>
      <c r="AD87" s="93">
        <f t="shared" si="121"/>
        <v>0</v>
      </c>
      <c r="AE87" s="93">
        <f t="shared" si="136"/>
        <v>751</v>
      </c>
      <c r="AF87" s="54">
        <f>AE87+'03.02'!AF87</f>
        <v>3096</v>
      </c>
      <c r="AG87" s="94">
        <f t="shared" si="162"/>
        <v>2</v>
      </c>
      <c r="AH87" s="56">
        <f t="shared" si="137"/>
        <v>0</v>
      </c>
      <c r="AI87" s="93">
        <v>2</v>
      </c>
      <c r="AJ87" s="93">
        <f t="shared" si="163"/>
        <v>0</v>
      </c>
      <c r="AK87" s="95">
        <f t="shared" si="138"/>
        <v>1</v>
      </c>
      <c r="AL87" s="58">
        <f t="shared" si="174"/>
        <v>2</v>
      </c>
      <c r="AM87" s="55">
        <f t="shared" si="164"/>
        <v>8</v>
      </c>
      <c r="AN87" s="93"/>
      <c r="AO87" s="96"/>
      <c r="AP87" s="96"/>
      <c r="AQ87" s="96"/>
      <c r="AR87" s="96"/>
      <c r="AS87" s="96"/>
      <c r="AT87" s="96">
        <f>$CJ87</f>
        <v>297</v>
      </c>
      <c r="AU87" s="96">
        <f t="shared" si="139"/>
        <v>0</v>
      </c>
      <c r="AV87" s="96">
        <f t="shared" si="139"/>
        <v>0</v>
      </c>
      <c r="AW87" s="96">
        <f t="shared" si="140"/>
        <v>297</v>
      </c>
      <c r="AX87" s="96">
        <f t="shared" si="141"/>
        <v>424</v>
      </c>
      <c r="AY87" s="94">
        <f t="shared" si="165"/>
        <v>-16.599999999999966</v>
      </c>
      <c r="AZ87" s="94">
        <f t="shared" si="142"/>
        <v>-23.714285714285666</v>
      </c>
      <c r="BA87" s="94">
        <f t="shared" si="171"/>
        <v>8</v>
      </c>
      <c r="BB87" s="97">
        <f t="shared" si="172"/>
        <v>0</v>
      </c>
      <c r="BC87" s="93">
        <v>2</v>
      </c>
      <c r="BD87" s="93">
        <f t="shared" si="143"/>
        <v>0</v>
      </c>
      <c r="BE87" s="95">
        <f t="shared" si="144"/>
        <v>1</v>
      </c>
      <c r="BF87" s="58">
        <f t="shared" si="175"/>
        <v>2</v>
      </c>
      <c r="BG87" s="94">
        <f t="shared" si="145"/>
        <v>6</v>
      </c>
      <c r="BH87" s="89"/>
      <c r="BI87" s="89"/>
      <c r="BJ87" s="92"/>
      <c r="BK87" s="89"/>
      <c r="BL87" s="89"/>
      <c r="BM87" s="89"/>
      <c r="BN87" s="92">
        <f>$CN87</f>
        <v>229</v>
      </c>
      <c r="BO87" s="92">
        <f t="shared" si="166"/>
        <v>0</v>
      </c>
      <c r="BP87" s="92">
        <f t="shared" si="166"/>
        <v>0</v>
      </c>
      <c r="BQ87" s="96">
        <f t="shared" si="146"/>
        <v>229</v>
      </c>
      <c r="BR87" s="96">
        <f t="shared" si="147"/>
        <v>327</v>
      </c>
      <c r="BS87" s="96">
        <f t="shared" si="167"/>
        <v>-84.599999999999966</v>
      </c>
      <c r="BT87" s="96">
        <f t="shared" si="148"/>
        <v>-120.85714285714282</v>
      </c>
      <c r="BU87" s="92">
        <f t="shared" si="122"/>
        <v>751</v>
      </c>
      <c r="BV87" s="98">
        <f t="shared" si="168"/>
        <v>4</v>
      </c>
      <c r="BW87" s="92">
        <f t="shared" si="123"/>
        <v>-144.5714285714285</v>
      </c>
      <c r="BX87" s="98">
        <f t="shared" si="149"/>
        <v>2.2160000000000002</v>
      </c>
      <c r="BY87" s="61">
        <f t="shared" si="173"/>
        <v>4</v>
      </c>
      <c r="BZ87" s="62">
        <f t="shared" si="150"/>
        <v>4</v>
      </c>
      <c r="CA87" s="98">
        <f t="shared" si="151"/>
        <v>0.52600000000000002</v>
      </c>
      <c r="CB87" s="92">
        <f t="shared" si="124"/>
        <v>751</v>
      </c>
      <c r="CC87" s="92">
        <f t="shared" si="124"/>
        <v>-101.19999999999993</v>
      </c>
      <c r="CD87" s="92">
        <f t="shared" si="124"/>
        <v>-144.5714285714285</v>
      </c>
      <c r="CE87" s="99"/>
      <c r="CF87" s="99"/>
      <c r="CG87" s="51">
        <f t="shared" si="152"/>
        <v>1.6900000000000002</v>
      </c>
      <c r="CH87" s="62">
        <f t="shared" si="153"/>
        <v>1.6900000000000002</v>
      </c>
      <c r="CI87" s="89"/>
      <c r="CJ87" s="89">
        <v>297</v>
      </c>
      <c r="CK87" s="89"/>
      <c r="CL87" s="96"/>
      <c r="CM87" s="89"/>
      <c r="CN87" s="89">
        <v>229</v>
      </c>
      <c r="CO87" s="92"/>
      <c r="CP87" s="101"/>
      <c r="CQ87" s="102">
        <f t="shared" si="101"/>
        <v>424</v>
      </c>
      <c r="CR87" s="102">
        <f t="shared" si="101"/>
        <v>0</v>
      </c>
      <c r="CS87" s="102">
        <f t="shared" si="101"/>
        <v>0</v>
      </c>
      <c r="CT87" s="92">
        <f t="shared" si="154"/>
        <v>327</v>
      </c>
      <c r="CU87" s="92">
        <f t="shared" si="102"/>
        <v>0</v>
      </c>
      <c r="CV87" s="103">
        <f t="shared" si="102"/>
        <v>0</v>
      </c>
      <c r="CW87" s="104"/>
      <c r="CX87" s="105">
        <v>134</v>
      </c>
      <c r="CY87" s="106">
        <f t="shared" si="155"/>
        <v>317</v>
      </c>
      <c r="CZ87" s="106">
        <f t="shared" si="156"/>
        <v>1085.4000000000001</v>
      </c>
      <c r="DA87" s="106"/>
      <c r="DB87" s="106"/>
      <c r="DC87" s="105"/>
      <c r="DD87" s="107"/>
      <c r="DE87" s="92">
        <f t="shared" si="125"/>
        <v>424</v>
      </c>
      <c r="DF87" s="108">
        <f t="shared" si="126"/>
        <v>2</v>
      </c>
      <c r="DG87" s="115">
        <f t="shared" si="127"/>
        <v>-23.714285714285666</v>
      </c>
      <c r="DH87" s="110">
        <f t="shared" si="128"/>
        <v>327</v>
      </c>
      <c r="DI87" s="108">
        <f t="shared" si="129"/>
        <v>2</v>
      </c>
      <c r="DJ87" s="112">
        <f t="shared" si="130"/>
        <v>-120.85714285714282</v>
      </c>
      <c r="DK87" s="110">
        <f t="shared" si="86"/>
        <v>751</v>
      </c>
      <c r="DL87" s="108">
        <f t="shared" si="86"/>
        <v>4</v>
      </c>
      <c r="DM87" s="111">
        <f t="shared" si="86"/>
        <v>-144.5714285714285</v>
      </c>
      <c r="DN87" s="76">
        <f t="shared" si="89"/>
        <v>2</v>
      </c>
      <c r="DO87" s="76">
        <f t="shared" si="89"/>
        <v>8</v>
      </c>
      <c r="DP87" s="112"/>
      <c r="DQ87" s="112"/>
      <c r="DR87" s="113" t="s">
        <v>473</v>
      </c>
      <c r="DS87" s="112"/>
      <c r="DT87" s="112"/>
      <c r="DU87" s="111"/>
      <c r="DV87" s="114"/>
      <c r="DW87" s="80">
        <f t="shared" si="157"/>
        <v>755</v>
      </c>
      <c r="DX87" s="81">
        <f t="shared" si="131"/>
        <v>610.42857142857156</v>
      </c>
      <c r="DY87" s="80">
        <f t="shared" si="158"/>
        <v>751</v>
      </c>
      <c r="DZ87" s="82">
        <f t="shared" si="159"/>
        <v>0</v>
      </c>
      <c r="EA87" s="82">
        <f t="shared" si="160"/>
        <v>0.52569999999999995</v>
      </c>
      <c r="EB87" s="82">
        <f t="shared" si="161"/>
        <v>1.6903000000000001</v>
      </c>
      <c r="EC87" s="82">
        <f t="shared" si="178"/>
        <v>1.6903000000000001</v>
      </c>
      <c r="EF87" s="83">
        <f t="shared" si="107"/>
        <v>-144.5714285714285</v>
      </c>
    </row>
    <row r="88" spans="1:136" ht="15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2"/>
        <v>MESUS303-8x3-H7C14</v>
      </c>
      <c r="H88" s="46" t="str">
        <f t="shared" si="133"/>
        <v>SUS303ME80DH7</v>
      </c>
      <c r="I88" s="46" t="str">
        <f t="shared" si="134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5"/>
        <v>22</v>
      </c>
      <c r="T88" s="51">
        <f>'03.02'!BG88</f>
        <v>0</v>
      </c>
      <c r="U88" s="92"/>
      <c r="V88" s="100">
        <v>15.11</v>
      </c>
      <c r="W88" s="93">
        <f t="shared" si="114"/>
        <v>0</v>
      </c>
      <c r="X88" s="93">
        <f t="shared" si="115"/>
        <v>0</v>
      </c>
      <c r="Y88" s="93">
        <f t="shared" si="116"/>
        <v>0</v>
      </c>
      <c r="Z88" s="93">
        <f t="shared" si="117"/>
        <v>0</v>
      </c>
      <c r="AA88" s="93">
        <f t="shared" si="118"/>
        <v>0</v>
      </c>
      <c r="AB88" s="93">
        <f t="shared" si="119"/>
        <v>0</v>
      </c>
      <c r="AC88" s="93">
        <f t="shared" si="120"/>
        <v>0</v>
      </c>
      <c r="AD88" s="93">
        <f t="shared" si="121"/>
        <v>0</v>
      </c>
      <c r="AE88" s="93">
        <f t="shared" si="136"/>
        <v>0</v>
      </c>
      <c r="AF88" s="54">
        <f>AE88+'03.02'!AF88</f>
        <v>0</v>
      </c>
      <c r="AG88" s="94">
        <f t="shared" si="162"/>
        <v>0</v>
      </c>
      <c r="AH88" s="56">
        <f t="shared" si="137"/>
        <v>0</v>
      </c>
      <c r="AI88" s="93"/>
      <c r="AJ88" s="93">
        <f t="shared" si="163"/>
        <v>0</v>
      </c>
      <c r="AK88" s="95">
        <f t="shared" si="138"/>
        <v>1</v>
      </c>
      <c r="AL88" s="58">
        <f t="shared" si="174"/>
        <v>0</v>
      </c>
      <c r="AM88" s="55">
        <f t="shared" si="164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39"/>
        <v>0</v>
      </c>
      <c r="AV88" s="96">
        <f t="shared" si="139"/>
        <v>0</v>
      </c>
      <c r="AW88" s="96">
        <f t="shared" si="140"/>
        <v>0</v>
      </c>
      <c r="AX88" s="96">
        <f t="shared" si="141"/>
        <v>0</v>
      </c>
      <c r="AY88" s="94">
        <f t="shared" si="165"/>
        <v>0</v>
      </c>
      <c r="AZ88" s="94">
        <f t="shared" si="142"/>
        <v>0</v>
      </c>
      <c r="BA88" s="94">
        <f t="shared" si="171"/>
        <v>0</v>
      </c>
      <c r="BB88" s="97">
        <f t="shared" si="172"/>
        <v>0</v>
      </c>
      <c r="BC88" s="93"/>
      <c r="BD88" s="93">
        <f t="shared" si="143"/>
        <v>0</v>
      </c>
      <c r="BE88" s="95">
        <f t="shared" si="144"/>
        <v>1</v>
      </c>
      <c r="BF88" s="58">
        <f t="shared" si="175"/>
        <v>0</v>
      </c>
      <c r="BG88" s="94">
        <f t="shared" si="145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6"/>
        <v>0</v>
      </c>
      <c r="BP88" s="92">
        <f t="shared" si="166"/>
        <v>0</v>
      </c>
      <c r="BQ88" s="96">
        <f t="shared" si="146"/>
        <v>0</v>
      </c>
      <c r="BR88" s="96">
        <f t="shared" si="147"/>
        <v>0</v>
      </c>
      <c r="BS88" s="96">
        <f t="shared" si="167"/>
        <v>0</v>
      </c>
      <c r="BT88" s="96">
        <f t="shared" si="148"/>
        <v>0</v>
      </c>
      <c r="BU88" s="92">
        <f t="shared" si="122"/>
        <v>0</v>
      </c>
      <c r="BV88" s="98">
        <f t="shared" si="168"/>
        <v>0</v>
      </c>
      <c r="BW88" s="92">
        <f t="shared" si="123"/>
        <v>0</v>
      </c>
      <c r="BX88" s="98">
        <f t="shared" si="149"/>
        <v>0</v>
      </c>
      <c r="BY88" s="61">
        <f t="shared" si="173"/>
        <v>0</v>
      </c>
      <c r="BZ88" s="62">
        <f t="shared" si="150"/>
        <v>0</v>
      </c>
      <c r="CA88" s="98">
        <f t="shared" si="151"/>
        <v>0</v>
      </c>
      <c r="CB88" s="92">
        <f t="shared" si="124"/>
        <v>0</v>
      </c>
      <c r="CC88" s="92">
        <f t="shared" si="124"/>
        <v>0</v>
      </c>
      <c r="CD88" s="92">
        <f t="shared" si="124"/>
        <v>0</v>
      </c>
      <c r="CE88" s="99"/>
      <c r="CF88" s="99"/>
      <c r="CG88" s="51">
        <f t="shared" si="152"/>
        <v>0</v>
      </c>
      <c r="CH88" s="62">
        <f t="shared" si="153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101"/>
        <v>0</v>
      </c>
      <c r="CR88" s="102">
        <f t="shared" si="101"/>
        <v>0</v>
      </c>
      <c r="CS88" s="102">
        <f t="shared" si="101"/>
        <v>0</v>
      </c>
      <c r="CT88" s="92">
        <f t="shared" si="154"/>
        <v>0</v>
      </c>
      <c r="CU88" s="92">
        <f t="shared" si="102"/>
        <v>0</v>
      </c>
      <c r="CV88" s="103">
        <f t="shared" si="102"/>
        <v>0</v>
      </c>
      <c r="CW88" s="104"/>
      <c r="CX88" s="105">
        <v>61</v>
      </c>
      <c r="CY88" s="106">
        <f t="shared" si="155"/>
        <v>649</v>
      </c>
      <c r="CZ88" s="106">
        <f t="shared" si="156"/>
        <v>494.1</v>
      </c>
      <c r="DA88" s="106"/>
      <c r="DB88" s="106"/>
      <c r="DC88" s="105"/>
      <c r="DD88" s="107"/>
      <c r="DE88" s="92">
        <f t="shared" si="125"/>
        <v>0</v>
      </c>
      <c r="DF88" s="108">
        <f t="shared" si="126"/>
        <v>0</v>
      </c>
      <c r="DG88" s="115">
        <f t="shared" si="127"/>
        <v>0</v>
      </c>
      <c r="DH88" s="110">
        <f t="shared" si="128"/>
        <v>0</v>
      </c>
      <c r="DI88" s="108">
        <f t="shared" si="129"/>
        <v>0</v>
      </c>
      <c r="DJ88" s="112">
        <f t="shared" si="130"/>
        <v>0</v>
      </c>
      <c r="DK88" s="110">
        <f t="shared" ref="DK88:DM106" si="181">IFERROR(DE88+DH88,"")</f>
        <v>0</v>
      </c>
      <c r="DL88" s="108">
        <f t="shared" si="181"/>
        <v>0</v>
      </c>
      <c r="DM88" s="111">
        <f t="shared" si="181"/>
        <v>0</v>
      </c>
      <c r="DN88" s="76">
        <f t="shared" si="89"/>
        <v>0</v>
      </c>
      <c r="DO88" s="76">
        <f t="shared" si="89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7"/>
        <v>0</v>
      </c>
      <c r="DX88" s="81">
        <f t="shared" si="131"/>
        <v>0</v>
      </c>
      <c r="DY88" s="80">
        <f t="shared" si="158"/>
        <v>0</v>
      </c>
      <c r="DZ88" s="82">
        <f t="shared" si="159"/>
        <v>0</v>
      </c>
      <c r="EA88" s="82">
        <f t="shared" si="160"/>
        <v>0</v>
      </c>
      <c r="EB88" s="82">
        <f t="shared" si="161"/>
        <v>0</v>
      </c>
      <c r="EC88" s="82">
        <f t="shared" si="178"/>
        <v>0</v>
      </c>
      <c r="EF88" s="83">
        <f t="shared" si="107"/>
        <v>0</v>
      </c>
    </row>
    <row r="89" spans="1:136" ht="15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2"/>
        <v>-xx-</v>
      </c>
      <c r="H89" s="46" t="str">
        <f t="shared" si="133"/>
        <v/>
      </c>
      <c r="I89" s="46" t="str">
        <f t="shared" si="134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5"/>
        <v>#DIV/0!</v>
      </c>
      <c r="T89" s="51">
        <f>'03.02'!BG89</f>
        <v>0</v>
      </c>
      <c r="U89" s="92"/>
      <c r="V89" s="100">
        <v>1</v>
      </c>
      <c r="W89" s="93">
        <f t="shared" si="114"/>
        <v>0</v>
      </c>
      <c r="X89" s="93">
        <f t="shared" si="115"/>
        <v>0</v>
      </c>
      <c r="Y89" s="93">
        <f t="shared" si="116"/>
        <v>0</v>
      </c>
      <c r="Z89" s="93">
        <f t="shared" si="117"/>
        <v>0</v>
      </c>
      <c r="AA89" s="93">
        <f t="shared" si="118"/>
        <v>0</v>
      </c>
      <c r="AB89" s="93">
        <f t="shared" si="119"/>
        <v>0</v>
      </c>
      <c r="AC89" s="93">
        <f t="shared" si="120"/>
        <v>0</v>
      </c>
      <c r="AD89" s="93">
        <f t="shared" si="121"/>
        <v>0</v>
      </c>
      <c r="AE89" s="93">
        <f t="shared" si="136"/>
        <v>0</v>
      </c>
      <c r="AF89" s="54">
        <f>AE89+'03.02'!AF89</f>
        <v>0</v>
      </c>
      <c r="AG89" s="94">
        <f t="shared" si="162"/>
        <v>0</v>
      </c>
      <c r="AH89" s="56">
        <f t="shared" si="137"/>
        <v>0</v>
      </c>
      <c r="AI89" s="93"/>
      <c r="AJ89" s="93">
        <f t="shared" si="163"/>
        <v>0</v>
      </c>
      <c r="AK89" s="95">
        <f t="shared" si="138"/>
        <v>1</v>
      </c>
      <c r="AL89" s="58">
        <f t="shared" si="174"/>
        <v>0</v>
      </c>
      <c r="AM89" s="55">
        <f t="shared" si="164"/>
        <v>0</v>
      </c>
      <c r="AN89" s="93"/>
      <c r="AO89" s="96"/>
      <c r="AP89" s="96"/>
      <c r="AQ89" s="96"/>
      <c r="AR89" s="96"/>
      <c r="AS89" s="96"/>
      <c r="AT89" s="96"/>
      <c r="AU89" s="96">
        <f t="shared" si="139"/>
        <v>0</v>
      </c>
      <c r="AV89" s="96">
        <f t="shared" si="139"/>
        <v>0</v>
      </c>
      <c r="AW89" s="96">
        <f t="shared" si="140"/>
        <v>0</v>
      </c>
      <c r="AX89" s="96">
        <f t="shared" si="141"/>
        <v>0</v>
      </c>
      <c r="AY89" s="94">
        <f t="shared" si="165"/>
        <v>0</v>
      </c>
      <c r="AZ89" s="94">
        <f t="shared" si="142"/>
        <v>0</v>
      </c>
      <c r="BA89" s="94">
        <f t="shared" si="171"/>
        <v>0</v>
      </c>
      <c r="BB89" s="97">
        <f t="shared" si="172"/>
        <v>0</v>
      </c>
      <c r="BC89" s="93"/>
      <c r="BD89" s="93">
        <f t="shared" si="143"/>
        <v>0</v>
      </c>
      <c r="BE89" s="95">
        <f t="shared" si="144"/>
        <v>1</v>
      </c>
      <c r="BF89" s="58">
        <f t="shared" si="175"/>
        <v>0</v>
      </c>
      <c r="BG89" s="94">
        <f t="shared" si="145"/>
        <v>0</v>
      </c>
      <c r="BH89" s="89"/>
      <c r="BI89" s="89"/>
      <c r="BJ89" s="89"/>
      <c r="BK89" s="89"/>
      <c r="BL89" s="89"/>
      <c r="BM89" s="89"/>
      <c r="BN89" s="89"/>
      <c r="BO89" s="92">
        <f t="shared" si="166"/>
        <v>0</v>
      </c>
      <c r="BP89" s="92">
        <f t="shared" si="166"/>
        <v>0</v>
      </c>
      <c r="BQ89" s="96">
        <f t="shared" si="146"/>
        <v>0</v>
      </c>
      <c r="BR89" s="96">
        <f>IF(AA89="","",INT(BQ89/$V89))</f>
        <v>0</v>
      </c>
      <c r="BS89" s="96">
        <f t="shared" si="167"/>
        <v>0</v>
      </c>
      <c r="BT89" s="96">
        <f t="shared" si="148"/>
        <v>0</v>
      </c>
      <c r="BU89" s="92">
        <f t="shared" si="122"/>
        <v>0</v>
      </c>
      <c r="BV89" s="98">
        <f t="shared" si="168"/>
        <v>0</v>
      </c>
      <c r="BW89" s="92">
        <f t="shared" si="123"/>
        <v>0</v>
      </c>
      <c r="BX89" s="98" t="str">
        <f t="shared" si="149"/>
        <v/>
      </c>
      <c r="BY89" s="61">
        <f t="shared" si="173"/>
        <v>0</v>
      </c>
      <c r="BZ89" s="62">
        <f t="shared" si="150"/>
        <v>0</v>
      </c>
      <c r="CA89" s="98">
        <f t="shared" si="151"/>
        <v>0</v>
      </c>
      <c r="CB89" s="92">
        <f t="shared" si="124"/>
        <v>0</v>
      </c>
      <c r="CC89" s="92">
        <f t="shared" si="124"/>
        <v>0</v>
      </c>
      <c r="CD89" s="92">
        <f t="shared" si="124"/>
        <v>0</v>
      </c>
      <c r="CE89" s="99"/>
      <c r="CF89" s="99"/>
      <c r="CG89" s="51">
        <f t="shared" si="152"/>
        <v>0</v>
      </c>
      <c r="CH89" s="62">
        <f t="shared" si="153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101"/>
        <v>0</v>
      </c>
      <c r="CR89" s="102">
        <f t="shared" si="101"/>
        <v>0</v>
      </c>
      <c r="CS89" s="102">
        <f t="shared" si="101"/>
        <v>0</v>
      </c>
      <c r="CT89" s="92">
        <f t="shared" si="154"/>
        <v>0</v>
      </c>
      <c r="CU89" s="92">
        <f t="shared" si="102"/>
        <v>0</v>
      </c>
      <c r="CV89" s="103">
        <f t="shared" si="102"/>
        <v>0</v>
      </c>
      <c r="CW89" s="104"/>
      <c r="CX89" s="105"/>
      <c r="CY89" s="106" t="e">
        <f t="shared" si="155"/>
        <v>#DIV/0!</v>
      </c>
      <c r="CZ89" s="106">
        <f t="shared" si="156"/>
        <v>0</v>
      </c>
      <c r="DA89" s="106"/>
      <c r="DB89" s="106"/>
      <c r="DC89" s="105"/>
      <c r="DD89" s="107"/>
      <c r="DE89" s="92">
        <f t="shared" si="125"/>
        <v>0</v>
      </c>
      <c r="DF89" s="108">
        <f t="shared" si="126"/>
        <v>0</v>
      </c>
      <c r="DG89" s="115">
        <f t="shared" si="127"/>
        <v>0</v>
      </c>
      <c r="DH89" s="110">
        <f t="shared" si="128"/>
        <v>0</v>
      </c>
      <c r="DI89" s="108">
        <f t="shared" si="129"/>
        <v>0</v>
      </c>
      <c r="DJ89" s="112">
        <f t="shared" si="130"/>
        <v>0</v>
      </c>
      <c r="DK89" s="110">
        <f t="shared" si="181"/>
        <v>0</v>
      </c>
      <c r="DL89" s="108">
        <f t="shared" si="181"/>
        <v>0</v>
      </c>
      <c r="DM89" s="111">
        <f t="shared" si="181"/>
        <v>0</v>
      </c>
      <c r="DN89" s="76">
        <f t="shared" si="89"/>
        <v>0</v>
      </c>
      <c r="DO89" s="76">
        <f t="shared" si="89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7"/>
        <v>0</v>
      </c>
      <c r="DX89" s="81">
        <f t="shared" si="131"/>
        <v>0</v>
      </c>
      <c r="DY89" s="80">
        <f t="shared" si="158"/>
        <v>0</v>
      </c>
      <c r="DZ89" s="82">
        <f t="shared" si="159"/>
        <v>0</v>
      </c>
      <c r="EA89" s="82">
        <f t="shared" si="160"/>
        <v>0</v>
      </c>
      <c r="EB89" s="82" t="e">
        <f t="shared" si="161"/>
        <v>#VALUE!</v>
      </c>
      <c r="EC89" s="82" t="e">
        <f t="shared" si="178"/>
        <v>#VALUE!</v>
      </c>
    </row>
    <row r="90" spans="1:136" ht="15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2"/>
        <v>-xx-</v>
      </c>
      <c r="H90" s="46" t="str">
        <f t="shared" si="133"/>
        <v/>
      </c>
      <c r="I90" s="46" t="str">
        <f t="shared" si="134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5"/>
        <v>#DIV/0!</v>
      </c>
      <c r="T90" s="51">
        <f>'03.02'!BG90</f>
        <v>0</v>
      </c>
      <c r="U90" s="92"/>
      <c r="V90" s="100">
        <v>1</v>
      </c>
      <c r="W90" s="93">
        <f t="shared" si="114"/>
        <v>0</v>
      </c>
      <c r="X90" s="93">
        <f t="shared" si="115"/>
        <v>0</v>
      </c>
      <c r="Y90" s="93">
        <f t="shared" si="116"/>
        <v>0</v>
      </c>
      <c r="Z90" s="93">
        <f t="shared" si="117"/>
        <v>0</v>
      </c>
      <c r="AA90" s="93">
        <f t="shared" si="118"/>
        <v>0</v>
      </c>
      <c r="AB90" s="93">
        <f t="shared" si="119"/>
        <v>0</v>
      </c>
      <c r="AC90" s="93">
        <f t="shared" si="120"/>
        <v>0</v>
      </c>
      <c r="AD90" s="93">
        <f t="shared" si="121"/>
        <v>0</v>
      </c>
      <c r="AE90" s="93">
        <f t="shared" si="136"/>
        <v>0</v>
      </c>
      <c r="AF90" s="54">
        <f>AE90+'03.02'!AF90</f>
        <v>0</v>
      </c>
      <c r="AG90" s="94">
        <f t="shared" si="162"/>
        <v>0</v>
      </c>
      <c r="AH90" s="56">
        <f t="shared" si="137"/>
        <v>0</v>
      </c>
      <c r="AI90" s="93"/>
      <c r="AJ90" s="93">
        <f t="shared" si="163"/>
        <v>0</v>
      </c>
      <c r="AK90" s="95">
        <f t="shared" si="138"/>
        <v>1</v>
      </c>
      <c r="AL90" s="58">
        <f t="shared" si="174"/>
        <v>0</v>
      </c>
      <c r="AM90" s="55">
        <f t="shared" si="164"/>
        <v>0</v>
      </c>
      <c r="AN90" s="93"/>
      <c r="AO90" s="96"/>
      <c r="AP90" s="96"/>
      <c r="AQ90" s="96"/>
      <c r="AR90" s="96"/>
      <c r="AS90" s="96"/>
      <c r="AT90" s="96"/>
      <c r="AU90" s="96">
        <f t="shared" si="139"/>
        <v>0</v>
      </c>
      <c r="AV90" s="96">
        <f t="shared" si="139"/>
        <v>0</v>
      </c>
      <c r="AW90" s="96">
        <f t="shared" si="140"/>
        <v>0</v>
      </c>
      <c r="AX90" s="96">
        <f t="shared" si="141"/>
        <v>0</v>
      </c>
      <c r="AY90" s="94">
        <f t="shared" si="165"/>
        <v>0</v>
      </c>
      <c r="AZ90" s="94">
        <f t="shared" si="142"/>
        <v>0</v>
      </c>
      <c r="BA90" s="94">
        <f t="shared" si="171"/>
        <v>0</v>
      </c>
      <c r="BB90" s="97">
        <f t="shared" si="172"/>
        <v>0</v>
      </c>
      <c r="BC90" s="93"/>
      <c r="BD90" s="93">
        <f t="shared" si="143"/>
        <v>0</v>
      </c>
      <c r="BE90" s="95">
        <f t="shared" si="144"/>
        <v>1</v>
      </c>
      <c r="BF90" s="58">
        <f t="shared" si="175"/>
        <v>0</v>
      </c>
      <c r="BG90" s="94">
        <f t="shared" si="145"/>
        <v>0</v>
      </c>
      <c r="BH90" s="89"/>
      <c r="BI90" s="89"/>
      <c r="BJ90" s="89"/>
      <c r="BK90" s="89"/>
      <c r="BL90" s="89"/>
      <c r="BM90" s="89"/>
      <c r="BN90" s="89"/>
      <c r="BO90" s="92">
        <f t="shared" si="166"/>
        <v>0</v>
      </c>
      <c r="BP90" s="92">
        <f t="shared" si="166"/>
        <v>0</v>
      </c>
      <c r="BQ90" s="96">
        <f t="shared" si="146"/>
        <v>0</v>
      </c>
      <c r="BR90" s="96">
        <f t="shared" si="147"/>
        <v>0</v>
      </c>
      <c r="BS90" s="96">
        <f t="shared" si="167"/>
        <v>0</v>
      </c>
      <c r="BT90" s="96">
        <f t="shared" si="148"/>
        <v>0</v>
      </c>
      <c r="BU90" s="92">
        <f t="shared" si="122"/>
        <v>0</v>
      </c>
      <c r="BV90" s="98">
        <f t="shared" si="168"/>
        <v>0</v>
      </c>
      <c r="BW90" s="92">
        <f t="shared" si="123"/>
        <v>0</v>
      </c>
      <c r="BX90" s="98" t="str">
        <f t="shared" si="149"/>
        <v/>
      </c>
      <c r="BY90" s="61">
        <f t="shared" si="173"/>
        <v>0</v>
      </c>
      <c r="BZ90" s="62">
        <f t="shared" si="150"/>
        <v>0</v>
      </c>
      <c r="CA90" s="98">
        <f t="shared" si="151"/>
        <v>0</v>
      </c>
      <c r="CB90" s="92">
        <f t="shared" si="124"/>
        <v>0</v>
      </c>
      <c r="CC90" s="92">
        <f t="shared" si="124"/>
        <v>0</v>
      </c>
      <c r="CD90" s="92">
        <f t="shared" si="124"/>
        <v>0</v>
      </c>
      <c r="CE90" s="99"/>
      <c r="CF90" s="99"/>
      <c r="CG90" s="51">
        <f t="shared" si="152"/>
        <v>0</v>
      </c>
      <c r="CH90" s="62">
        <f t="shared" si="153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101"/>
        <v>0</v>
      </c>
      <c r="CR90" s="102">
        <f t="shared" si="101"/>
        <v>0</v>
      </c>
      <c r="CS90" s="102">
        <f t="shared" si="101"/>
        <v>0</v>
      </c>
      <c r="CT90" s="92">
        <f t="shared" si="154"/>
        <v>0</v>
      </c>
      <c r="CU90" s="92">
        <f t="shared" si="102"/>
        <v>0</v>
      </c>
      <c r="CV90" s="103">
        <f t="shared" si="102"/>
        <v>0</v>
      </c>
      <c r="CW90" s="104"/>
      <c r="CX90" s="105"/>
      <c r="CY90" s="106" t="e">
        <f t="shared" si="155"/>
        <v>#DIV/0!</v>
      </c>
      <c r="CZ90" s="106">
        <f t="shared" si="156"/>
        <v>0</v>
      </c>
      <c r="DA90" s="106"/>
      <c r="DB90" s="106"/>
      <c r="DC90" s="105"/>
      <c r="DD90" s="107"/>
      <c r="DE90" s="92">
        <f t="shared" si="125"/>
        <v>0</v>
      </c>
      <c r="DF90" s="108">
        <f t="shared" si="126"/>
        <v>0</v>
      </c>
      <c r="DG90" s="115">
        <f t="shared" si="127"/>
        <v>0</v>
      </c>
      <c r="DH90" s="110">
        <f t="shared" si="128"/>
        <v>0</v>
      </c>
      <c r="DI90" s="108">
        <f t="shared" si="129"/>
        <v>0</v>
      </c>
      <c r="DJ90" s="112">
        <f t="shared" si="130"/>
        <v>0</v>
      </c>
      <c r="DK90" s="110">
        <f t="shared" si="181"/>
        <v>0</v>
      </c>
      <c r="DL90" s="108">
        <f t="shared" si="181"/>
        <v>0</v>
      </c>
      <c r="DM90" s="111">
        <f t="shared" si="181"/>
        <v>0</v>
      </c>
      <c r="DN90" s="76">
        <f t="shared" ref="DN90:DO106" si="182">T90</f>
        <v>0</v>
      </c>
      <c r="DO90" s="76">
        <f t="shared" si="182"/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7"/>
        <v>0</v>
      </c>
      <c r="DX90" s="81">
        <f t="shared" si="131"/>
        <v>0</v>
      </c>
      <c r="DY90" s="80">
        <f t="shared" si="158"/>
        <v>0</v>
      </c>
      <c r="DZ90" s="82">
        <f t="shared" si="159"/>
        <v>0</v>
      </c>
      <c r="EA90" s="82">
        <f t="shared" si="160"/>
        <v>0</v>
      </c>
      <c r="EB90" s="82" t="e">
        <f t="shared" si="161"/>
        <v>#VALUE!</v>
      </c>
      <c r="EC90" s="82" t="e">
        <f t="shared" si="178"/>
        <v>#VALUE!</v>
      </c>
    </row>
    <row r="91" spans="1:136" ht="15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2"/>
        <v>GWA6063-T5-17x3-H9I14</v>
      </c>
      <c r="H91" s="46" t="str">
        <f t="shared" si="133"/>
        <v>A6063-T5GW170DH9</v>
      </c>
      <c r="I91" s="46" t="str">
        <f t="shared" si="134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5"/>
        <v>8</v>
      </c>
      <c r="T91" s="51">
        <f>'03.02'!BG91</f>
        <v>0</v>
      </c>
      <c r="U91" s="92"/>
      <c r="V91" s="100">
        <v>5.133</v>
      </c>
      <c r="W91" s="93">
        <f t="shared" si="114"/>
        <v>0</v>
      </c>
      <c r="X91" s="93">
        <f t="shared" si="115"/>
        <v>0</v>
      </c>
      <c r="Y91" s="93">
        <f t="shared" si="116"/>
        <v>0</v>
      </c>
      <c r="Z91" s="93">
        <f t="shared" si="117"/>
        <v>0</v>
      </c>
      <c r="AA91" s="93">
        <f t="shared" si="118"/>
        <v>0</v>
      </c>
      <c r="AB91" s="93">
        <f t="shared" si="119"/>
        <v>0</v>
      </c>
      <c r="AC91" s="93">
        <f t="shared" si="120"/>
        <v>0</v>
      </c>
      <c r="AD91" s="93">
        <f t="shared" si="121"/>
        <v>0</v>
      </c>
      <c r="AE91" s="93">
        <f t="shared" si="136"/>
        <v>0</v>
      </c>
      <c r="AF91" s="54">
        <f>AE91+'03.02'!AF91</f>
        <v>0</v>
      </c>
      <c r="AG91" s="94">
        <f t="shared" si="162"/>
        <v>0</v>
      </c>
      <c r="AH91" s="56">
        <f t="shared" si="137"/>
        <v>0</v>
      </c>
      <c r="AI91" s="93"/>
      <c r="AJ91" s="93">
        <f t="shared" si="163"/>
        <v>0</v>
      </c>
      <c r="AK91" s="95">
        <f t="shared" si="138"/>
        <v>1</v>
      </c>
      <c r="AL91" s="58">
        <f t="shared" si="174"/>
        <v>0</v>
      </c>
      <c r="AM91" s="55">
        <f t="shared" si="164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39"/>
        <v>0</v>
      </c>
      <c r="AV91" s="96">
        <f t="shared" si="139"/>
        <v>0</v>
      </c>
      <c r="AW91" s="96">
        <f t="shared" si="140"/>
        <v>0</v>
      </c>
      <c r="AX91" s="96">
        <f t="shared" si="141"/>
        <v>0</v>
      </c>
      <c r="AY91" s="94">
        <f t="shared" si="165"/>
        <v>0</v>
      </c>
      <c r="AZ91" s="94">
        <f t="shared" si="142"/>
        <v>0</v>
      </c>
      <c r="BA91" s="94">
        <f t="shared" si="171"/>
        <v>0</v>
      </c>
      <c r="BB91" s="97">
        <f t="shared" si="172"/>
        <v>0</v>
      </c>
      <c r="BC91" s="93"/>
      <c r="BD91" s="93">
        <f t="shared" si="143"/>
        <v>0</v>
      </c>
      <c r="BE91" s="95">
        <f t="shared" si="144"/>
        <v>1</v>
      </c>
      <c r="BF91" s="58">
        <f t="shared" si="175"/>
        <v>0</v>
      </c>
      <c r="BG91" s="94">
        <f t="shared" si="145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6"/>
        <v>0</v>
      </c>
      <c r="BP91" s="92">
        <f t="shared" si="166"/>
        <v>0</v>
      </c>
      <c r="BQ91" s="96">
        <f t="shared" si="146"/>
        <v>0</v>
      </c>
      <c r="BR91" s="96">
        <f t="shared" si="147"/>
        <v>0</v>
      </c>
      <c r="BS91" s="96">
        <f t="shared" si="167"/>
        <v>0</v>
      </c>
      <c r="BT91" s="96">
        <f t="shared" si="148"/>
        <v>0</v>
      </c>
      <c r="BU91" s="92">
        <f t="shared" si="122"/>
        <v>0</v>
      </c>
      <c r="BV91" s="98">
        <f t="shared" si="168"/>
        <v>0</v>
      </c>
      <c r="BW91" s="92">
        <f t="shared" si="123"/>
        <v>0</v>
      </c>
      <c r="BX91" s="98">
        <f t="shared" si="149"/>
        <v>0</v>
      </c>
      <c r="BY91" s="61">
        <f t="shared" si="173"/>
        <v>0</v>
      </c>
      <c r="BZ91" s="62">
        <f t="shared" si="150"/>
        <v>0</v>
      </c>
      <c r="CA91" s="98">
        <f t="shared" si="151"/>
        <v>0</v>
      </c>
      <c r="CB91" s="92">
        <f t="shared" si="124"/>
        <v>0</v>
      </c>
      <c r="CC91" s="92">
        <f t="shared" si="124"/>
        <v>0</v>
      </c>
      <c r="CD91" s="92">
        <f t="shared" si="124"/>
        <v>0</v>
      </c>
      <c r="CE91" s="99"/>
      <c r="CF91" s="99"/>
      <c r="CG91" s="51">
        <f t="shared" si="152"/>
        <v>0</v>
      </c>
      <c r="CH91" s="62">
        <f t="shared" si="153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101"/>
        <v>0</v>
      </c>
      <c r="CR91" s="102">
        <f t="shared" si="101"/>
        <v>0</v>
      </c>
      <c r="CS91" s="102">
        <f t="shared" si="101"/>
        <v>0</v>
      </c>
      <c r="CT91" s="92">
        <f t="shared" si="154"/>
        <v>0</v>
      </c>
      <c r="CU91" s="92">
        <f t="shared" si="102"/>
        <v>0</v>
      </c>
      <c r="CV91" s="103">
        <f t="shared" si="102"/>
        <v>0</v>
      </c>
      <c r="CW91" s="104"/>
      <c r="CX91" s="105">
        <v>56</v>
      </c>
      <c r="CY91" s="106">
        <f t="shared" si="155"/>
        <v>744</v>
      </c>
      <c r="CZ91" s="106">
        <f t="shared" si="156"/>
        <v>453.6</v>
      </c>
      <c r="DA91" s="106"/>
      <c r="DB91" s="106"/>
      <c r="DC91" s="105"/>
      <c r="DD91" s="107"/>
      <c r="DE91" s="92">
        <f t="shared" si="125"/>
        <v>0</v>
      </c>
      <c r="DF91" s="108">
        <f t="shared" si="126"/>
        <v>0</v>
      </c>
      <c r="DG91" s="115">
        <f t="shared" si="127"/>
        <v>0</v>
      </c>
      <c r="DH91" s="110">
        <f t="shared" si="128"/>
        <v>0</v>
      </c>
      <c r="DI91" s="108">
        <f t="shared" si="129"/>
        <v>0</v>
      </c>
      <c r="DJ91" s="112">
        <f t="shared" si="130"/>
        <v>0</v>
      </c>
      <c r="DK91" s="110">
        <f t="shared" si="181"/>
        <v>0</v>
      </c>
      <c r="DL91" s="108">
        <f t="shared" si="181"/>
        <v>0</v>
      </c>
      <c r="DM91" s="111">
        <f t="shared" si="181"/>
        <v>0</v>
      </c>
      <c r="DN91" s="76">
        <f t="shared" si="182"/>
        <v>0</v>
      </c>
      <c r="DO91" s="76">
        <f t="shared" si="182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7"/>
        <v>0</v>
      </c>
      <c r="DX91" s="81">
        <f t="shared" si="131"/>
        <v>0</v>
      </c>
      <c r="DY91" s="80">
        <f t="shared" si="158"/>
        <v>0</v>
      </c>
      <c r="DZ91" s="82">
        <f t="shared" si="159"/>
        <v>0</v>
      </c>
      <c r="EA91" s="82">
        <f t="shared" si="160"/>
        <v>0</v>
      </c>
      <c r="EB91" s="82">
        <f t="shared" si="161"/>
        <v>0</v>
      </c>
      <c r="EC91" s="82">
        <f t="shared" si="178"/>
        <v>0</v>
      </c>
      <c r="EF91" s="83">
        <f t="shared" ref="EF91:EF101" si="183">DG91+DJ91</f>
        <v>0</v>
      </c>
    </row>
    <row r="92" spans="1:136" ht="15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2"/>
        <v>TVSUS303Cu-H15.87x2.5-H11B14</v>
      </c>
      <c r="H92" s="46" t="str">
        <f t="shared" si="133"/>
        <v>SUS303CuTV15.870HH11</v>
      </c>
      <c r="I92" s="46" t="str">
        <f t="shared" si="134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5"/>
        <v>18</v>
      </c>
      <c r="T92" s="51">
        <f>'03.02'!BG92</f>
        <v>0</v>
      </c>
      <c r="U92" s="92"/>
      <c r="V92" s="100">
        <v>27.35</v>
      </c>
      <c r="W92" s="93">
        <f t="shared" si="114"/>
        <v>0</v>
      </c>
      <c r="X92" s="93">
        <f t="shared" si="115"/>
        <v>0</v>
      </c>
      <c r="Y92" s="93">
        <f t="shared" si="116"/>
        <v>0</v>
      </c>
      <c r="Z92" s="93">
        <f t="shared" si="117"/>
        <v>0</v>
      </c>
      <c r="AA92" s="93">
        <f t="shared" si="118"/>
        <v>0</v>
      </c>
      <c r="AB92" s="93">
        <f t="shared" si="119"/>
        <v>0</v>
      </c>
      <c r="AC92" s="93">
        <f t="shared" si="120"/>
        <v>0</v>
      </c>
      <c r="AD92" s="93">
        <f t="shared" si="121"/>
        <v>0</v>
      </c>
      <c r="AE92" s="93">
        <f t="shared" si="136"/>
        <v>0</v>
      </c>
      <c r="AF92" s="54">
        <f>AE92+'03.02'!AF92</f>
        <v>0</v>
      </c>
      <c r="AG92" s="94">
        <f t="shared" si="162"/>
        <v>0</v>
      </c>
      <c r="AH92" s="56">
        <f t="shared" si="137"/>
        <v>0</v>
      </c>
      <c r="AI92" s="93"/>
      <c r="AJ92" s="93">
        <f t="shared" si="163"/>
        <v>0</v>
      </c>
      <c r="AK92" s="95">
        <f t="shared" si="138"/>
        <v>1</v>
      </c>
      <c r="AL92" s="58">
        <f t="shared" si="174"/>
        <v>0</v>
      </c>
      <c r="AM92" s="55">
        <f t="shared" si="164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39"/>
        <v>0</v>
      </c>
      <c r="AV92" s="96">
        <f t="shared" si="139"/>
        <v>0</v>
      </c>
      <c r="AW92" s="96">
        <f t="shared" si="140"/>
        <v>0</v>
      </c>
      <c r="AX92" s="96">
        <f t="shared" si="141"/>
        <v>0</v>
      </c>
      <c r="AY92" s="94">
        <f t="shared" si="165"/>
        <v>0</v>
      </c>
      <c r="AZ92" s="94">
        <f t="shared" si="142"/>
        <v>0</v>
      </c>
      <c r="BA92" s="94">
        <f t="shared" si="171"/>
        <v>0</v>
      </c>
      <c r="BB92" s="97">
        <f t="shared" si="172"/>
        <v>0</v>
      </c>
      <c r="BC92" s="93"/>
      <c r="BD92" s="93">
        <f t="shared" si="143"/>
        <v>0</v>
      </c>
      <c r="BE92" s="95">
        <f t="shared" si="144"/>
        <v>1</v>
      </c>
      <c r="BF92" s="58">
        <f t="shared" si="175"/>
        <v>0</v>
      </c>
      <c r="BG92" s="94">
        <f t="shared" si="145"/>
        <v>0</v>
      </c>
      <c r="BH92" s="89"/>
      <c r="BI92" s="92">
        <f t="shared" ref="BI92:BJ97" si="184">$CN92</f>
        <v>0</v>
      </c>
      <c r="BJ92" s="92"/>
      <c r="BK92" s="89"/>
      <c r="BL92" s="89"/>
      <c r="BM92" s="89"/>
      <c r="BN92" s="92"/>
      <c r="BO92" s="92">
        <f t="shared" si="166"/>
        <v>0</v>
      </c>
      <c r="BP92" s="92">
        <f t="shared" si="166"/>
        <v>0</v>
      </c>
      <c r="BQ92" s="96">
        <f t="shared" si="146"/>
        <v>0</v>
      </c>
      <c r="BR92" s="96">
        <f t="shared" si="147"/>
        <v>0</v>
      </c>
      <c r="BS92" s="96">
        <f t="shared" si="167"/>
        <v>0</v>
      </c>
      <c r="BT92" s="96">
        <f t="shared" si="148"/>
        <v>0</v>
      </c>
      <c r="BU92" s="92">
        <f t="shared" si="122"/>
        <v>0</v>
      </c>
      <c r="BV92" s="98">
        <f t="shared" si="168"/>
        <v>0</v>
      </c>
      <c r="BW92" s="92">
        <f t="shared" si="123"/>
        <v>0</v>
      </c>
      <c r="BX92" s="98">
        <f t="shared" si="149"/>
        <v>0</v>
      </c>
      <c r="BY92" s="61">
        <f t="shared" si="173"/>
        <v>0</v>
      </c>
      <c r="BZ92" s="62">
        <f t="shared" si="150"/>
        <v>0</v>
      </c>
      <c r="CA92" s="98">
        <f t="shared" si="151"/>
        <v>0</v>
      </c>
      <c r="CB92" s="92">
        <f t="shared" si="124"/>
        <v>0</v>
      </c>
      <c r="CC92" s="92">
        <f t="shared" si="124"/>
        <v>0</v>
      </c>
      <c r="CD92" s="92">
        <f t="shared" si="124"/>
        <v>0</v>
      </c>
      <c r="CE92" s="99"/>
      <c r="CF92" s="99"/>
      <c r="CG92" s="51">
        <f t="shared" si="152"/>
        <v>0</v>
      </c>
      <c r="CH92" s="62">
        <f t="shared" si="153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101"/>
        <v>0</v>
      </c>
      <c r="CR92" s="102">
        <f t="shared" si="101"/>
        <v>0</v>
      </c>
      <c r="CS92" s="102">
        <f t="shared" si="101"/>
        <v>0</v>
      </c>
      <c r="CT92" s="92">
        <f t="shared" si="154"/>
        <v>0</v>
      </c>
      <c r="CU92" s="92">
        <f t="shared" si="102"/>
        <v>0</v>
      </c>
      <c r="CV92" s="103">
        <f t="shared" si="102"/>
        <v>0</v>
      </c>
      <c r="CW92" s="104"/>
      <c r="CX92" s="105">
        <v>60</v>
      </c>
      <c r="CY92" s="106">
        <f t="shared" si="155"/>
        <v>670</v>
      </c>
      <c r="CZ92" s="106">
        <f t="shared" si="156"/>
        <v>486.00000000000006</v>
      </c>
      <c r="DA92" s="106"/>
      <c r="DB92" s="106"/>
      <c r="DC92" s="105"/>
      <c r="DD92" s="107"/>
      <c r="DE92" s="92">
        <f t="shared" si="125"/>
        <v>0</v>
      </c>
      <c r="DF92" s="108">
        <f t="shared" si="126"/>
        <v>0</v>
      </c>
      <c r="DG92" s="115">
        <f t="shared" si="127"/>
        <v>0</v>
      </c>
      <c r="DH92" s="110">
        <f t="shared" si="128"/>
        <v>0</v>
      </c>
      <c r="DI92" s="108">
        <f t="shared" si="129"/>
        <v>0</v>
      </c>
      <c r="DJ92" s="112">
        <f t="shared" si="130"/>
        <v>0</v>
      </c>
      <c r="DK92" s="110">
        <f t="shared" si="181"/>
        <v>0</v>
      </c>
      <c r="DL92" s="108">
        <f t="shared" si="181"/>
        <v>0</v>
      </c>
      <c r="DM92" s="111">
        <f t="shared" si="181"/>
        <v>0</v>
      </c>
      <c r="DN92" s="76">
        <f t="shared" si="182"/>
        <v>0</v>
      </c>
      <c r="DO92" s="76">
        <f t="shared" si="182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7"/>
        <v>0</v>
      </c>
      <c r="DX92" s="81">
        <f t="shared" si="131"/>
        <v>0</v>
      </c>
      <c r="DY92" s="80">
        <f t="shared" si="158"/>
        <v>0</v>
      </c>
      <c r="DZ92" s="82">
        <f t="shared" si="159"/>
        <v>0</v>
      </c>
      <c r="EA92" s="82">
        <f t="shared" si="160"/>
        <v>0</v>
      </c>
      <c r="EB92" s="82">
        <f t="shared" si="161"/>
        <v>0</v>
      </c>
      <c r="EC92" s="82">
        <f t="shared" si="178"/>
        <v>0</v>
      </c>
      <c r="EF92" s="83">
        <f t="shared" si="183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2"/>
        <v>GWA6061-T6-16x3-H9A15</v>
      </c>
      <c r="H93" s="46" t="str">
        <f t="shared" si="133"/>
        <v>A6061-T6GW160DH9</v>
      </c>
      <c r="I93" s="46" t="str">
        <f t="shared" si="134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5"/>
        <v>22</v>
      </c>
      <c r="T93" s="51">
        <v>11</v>
      </c>
      <c r="U93" s="92">
        <v>20</v>
      </c>
      <c r="V93" s="100">
        <v>14.1</v>
      </c>
      <c r="W93" s="93">
        <f t="shared" si="114"/>
        <v>586</v>
      </c>
      <c r="X93" s="93">
        <f t="shared" si="115"/>
        <v>0</v>
      </c>
      <c r="Y93" s="93">
        <f t="shared" si="116"/>
        <v>0</v>
      </c>
      <c r="Z93" s="93">
        <f t="shared" si="117"/>
        <v>0</v>
      </c>
      <c r="AA93" s="93">
        <f t="shared" si="118"/>
        <v>0</v>
      </c>
      <c r="AB93" s="93">
        <f t="shared" si="119"/>
        <v>0</v>
      </c>
      <c r="AC93" s="93">
        <f t="shared" si="120"/>
        <v>0</v>
      </c>
      <c r="AD93" s="93">
        <f t="shared" si="121"/>
        <v>0</v>
      </c>
      <c r="AE93" s="93">
        <f t="shared" si="136"/>
        <v>586</v>
      </c>
      <c r="AF93" s="54">
        <f>AE93+'03.02'!AF93</f>
        <v>864</v>
      </c>
      <c r="AG93" s="94">
        <f t="shared" si="162"/>
        <v>11</v>
      </c>
      <c r="AH93" s="56">
        <f t="shared" si="137"/>
        <v>0</v>
      </c>
      <c r="AI93" s="93">
        <v>10</v>
      </c>
      <c r="AJ93" s="93">
        <f t="shared" si="163"/>
        <v>0</v>
      </c>
      <c r="AK93" s="95">
        <f t="shared" si="138"/>
        <v>1</v>
      </c>
      <c r="AL93" s="58">
        <f t="shared" si="174"/>
        <v>10</v>
      </c>
      <c r="AM93" s="55">
        <f t="shared" si="164"/>
        <v>21</v>
      </c>
      <c r="AN93" s="93"/>
      <c r="AO93" s="96">
        <f>$CJ93</f>
        <v>3976.2</v>
      </c>
      <c r="AP93" s="96"/>
      <c r="AQ93" s="96"/>
      <c r="AR93" s="96"/>
      <c r="AS93" s="96"/>
      <c r="AT93" s="96"/>
      <c r="AU93" s="96">
        <f t="shared" si="139"/>
        <v>0</v>
      </c>
      <c r="AV93" s="96">
        <f t="shared" si="139"/>
        <v>0</v>
      </c>
      <c r="AW93" s="96">
        <f t="shared" si="140"/>
        <v>3976.2</v>
      </c>
      <c r="AX93" s="96">
        <f t="shared" si="141"/>
        <v>282</v>
      </c>
      <c r="AY93" s="94">
        <f t="shared" si="165"/>
        <v>-676.80000000000018</v>
      </c>
      <c r="AZ93" s="94">
        <f t="shared" si="142"/>
        <v>-48.000000000000014</v>
      </c>
      <c r="BA93" s="94">
        <f t="shared" si="171"/>
        <v>21</v>
      </c>
      <c r="BB93" s="97">
        <f t="shared" si="172"/>
        <v>0</v>
      </c>
      <c r="BC93" s="93">
        <v>9</v>
      </c>
      <c r="BD93" s="93">
        <f t="shared" si="143"/>
        <v>0</v>
      </c>
      <c r="BE93" s="95">
        <f t="shared" si="144"/>
        <v>1</v>
      </c>
      <c r="BF93" s="58">
        <f t="shared" si="175"/>
        <v>9</v>
      </c>
      <c r="BG93" s="94">
        <f t="shared" si="145"/>
        <v>12</v>
      </c>
      <c r="BH93" s="89"/>
      <c r="BI93" s="92">
        <f t="shared" si="184"/>
        <v>4286.3999999999996</v>
      </c>
      <c r="BJ93" s="92"/>
      <c r="BK93" s="89"/>
      <c r="BL93" s="89"/>
      <c r="BM93" s="89"/>
      <c r="BN93" s="89"/>
      <c r="BO93" s="92">
        <f t="shared" si="166"/>
        <v>0</v>
      </c>
      <c r="BP93" s="92">
        <f t="shared" si="166"/>
        <v>0</v>
      </c>
      <c r="BQ93" s="96">
        <f t="shared" si="146"/>
        <v>4286.3999999999996</v>
      </c>
      <c r="BR93" s="96">
        <f t="shared" si="147"/>
        <v>304</v>
      </c>
      <c r="BS93" s="96">
        <f t="shared" si="167"/>
        <v>98.699999999999818</v>
      </c>
      <c r="BT93" s="96">
        <f t="shared" si="148"/>
        <v>6.9999999999999876</v>
      </c>
      <c r="BU93" s="92">
        <f t="shared" si="122"/>
        <v>586</v>
      </c>
      <c r="BV93" s="98">
        <f t="shared" si="168"/>
        <v>19</v>
      </c>
      <c r="BW93" s="92">
        <f t="shared" si="123"/>
        <v>-41.000000000000028</v>
      </c>
      <c r="BX93" s="98">
        <f t="shared" si="149"/>
        <v>30.78</v>
      </c>
      <c r="BY93" s="61">
        <f>IFERROR(BF93+AL93,0)</f>
        <v>19</v>
      </c>
      <c r="BZ93" s="62">
        <f t="shared" si="150"/>
        <v>19</v>
      </c>
      <c r="CA93" s="98">
        <f t="shared" si="151"/>
        <v>8.2625999999999991</v>
      </c>
      <c r="CB93" s="92">
        <f t="shared" si="124"/>
        <v>586</v>
      </c>
      <c r="CC93" s="92">
        <f t="shared" si="124"/>
        <v>-578.10000000000036</v>
      </c>
      <c r="CD93" s="92">
        <f t="shared" si="124"/>
        <v>-41.000000000000028</v>
      </c>
      <c r="CE93" s="99"/>
      <c r="CF93" s="99"/>
      <c r="CG93" s="51">
        <f t="shared" si="152"/>
        <v>22.517400000000002</v>
      </c>
      <c r="CH93" s="62">
        <f t="shared" si="153"/>
        <v>22.517400000000002</v>
      </c>
      <c r="CI93" s="89"/>
      <c r="CJ93" s="89">
        <f>282*14.1</f>
        <v>3976.2</v>
      </c>
      <c r="CK93" s="89"/>
      <c r="CL93" s="96"/>
      <c r="CM93" s="89"/>
      <c r="CN93" s="89">
        <f>304*14.1</f>
        <v>4286.3999999999996</v>
      </c>
      <c r="CO93" s="92"/>
      <c r="CP93" s="101"/>
      <c r="CQ93" s="102">
        <f t="shared" si="101"/>
        <v>282</v>
      </c>
      <c r="CR93" s="102">
        <f t="shared" si="101"/>
        <v>0</v>
      </c>
      <c r="CS93" s="102">
        <f t="shared" si="101"/>
        <v>0</v>
      </c>
      <c r="CT93" s="92">
        <f t="shared" si="154"/>
        <v>304</v>
      </c>
      <c r="CU93" s="92">
        <f t="shared" si="102"/>
        <v>0</v>
      </c>
      <c r="CV93" s="103">
        <f t="shared" si="102"/>
        <v>0</v>
      </c>
      <c r="CW93" s="104"/>
      <c r="CX93" s="105">
        <v>110</v>
      </c>
      <c r="CY93" s="106">
        <f t="shared" si="155"/>
        <v>360</v>
      </c>
      <c r="CZ93" s="106">
        <f t="shared" si="156"/>
        <v>891.00000000000011</v>
      </c>
      <c r="DA93" s="106"/>
      <c r="DB93" s="106"/>
      <c r="DC93" s="105"/>
      <c r="DD93" s="107"/>
      <c r="DE93" s="92">
        <f t="shared" si="125"/>
        <v>282</v>
      </c>
      <c r="DF93" s="108">
        <f t="shared" si="126"/>
        <v>10</v>
      </c>
      <c r="DG93" s="115">
        <f t="shared" si="127"/>
        <v>-48.000000000000014</v>
      </c>
      <c r="DH93" s="110">
        <f t="shared" si="128"/>
        <v>304</v>
      </c>
      <c r="DI93" s="108">
        <f t="shared" si="129"/>
        <v>9</v>
      </c>
      <c r="DJ93" s="115">
        <f t="shared" si="130"/>
        <v>6.9999999999999876</v>
      </c>
      <c r="DK93" s="110">
        <f t="shared" si="181"/>
        <v>586</v>
      </c>
      <c r="DL93" s="108">
        <f t="shared" si="181"/>
        <v>19</v>
      </c>
      <c r="DM93" s="111">
        <f t="shared" si="181"/>
        <v>-41.000000000000028</v>
      </c>
      <c r="DN93" s="76">
        <f t="shared" si="182"/>
        <v>11</v>
      </c>
      <c r="DO93" s="76">
        <v>20</v>
      </c>
      <c r="DP93" s="112"/>
      <c r="DQ93" s="112"/>
      <c r="DR93" s="113" t="s">
        <v>481</v>
      </c>
      <c r="DS93" s="112"/>
      <c r="DT93" s="112"/>
      <c r="DU93" s="111"/>
      <c r="DV93" s="114"/>
      <c r="DW93" s="80">
        <f t="shared" ref="DW93:DW94" si="185">IFERROR(AL93+BF93,"")</f>
        <v>19</v>
      </c>
      <c r="DX93" s="81">
        <f t="shared" si="131"/>
        <v>564</v>
      </c>
      <c r="DY93" s="80">
        <f t="shared" si="158"/>
        <v>586</v>
      </c>
      <c r="DZ93" s="82">
        <f t="shared" si="159"/>
        <v>0</v>
      </c>
      <c r="EA93" s="82">
        <f t="shared" si="160"/>
        <v>8.2626000000000008</v>
      </c>
      <c r="EB93" s="82">
        <f t="shared" si="161"/>
        <v>22.517400000000002</v>
      </c>
      <c r="EC93" s="82">
        <f>(BX93-CA93)+((AV93+BP93)/1000)</f>
        <v>22.517400000000002</v>
      </c>
      <c r="EF93" s="83">
        <f t="shared" si="183"/>
        <v>-41.000000000000028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2"/>
        <v>GWA6061-T6-19.1x3-H9A14</v>
      </c>
      <c r="H94" s="46" t="str">
        <f t="shared" si="133"/>
        <v>A6061-T6GW19.10DH9</v>
      </c>
      <c r="I94" s="46" t="str">
        <f t="shared" si="134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5"/>
        <v>22</v>
      </c>
      <c r="T94" s="51">
        <f>'03.02'!BG94</f>
        <v>7</v>
      </c>
      <c r="U94" s="92">
        <v>20</v>
      </c>
      <c r="V94" s="100">
        <v>20.25</v>
      </c>
      <c r="W94" s="93">
        <f t="shared" si="114"/>
        <v>371</v>
      </c>
      <c r="X94" s="93">
        <f t="shared" si="115"/>
        <v>0</v>
      </c>
      <c r="Y94" s="93">
        <f t="shared" si="116"/>
        <v>0</v>
      </c>
      <c r="Z94" s="93">
        <f t="shared" si="117"/>
        <v>0</v>
      </c>
      <c r="AA94" s="93">
        <f t="shared" si="118"/>
        <v>0</v>
      </c>
      <c r="AB94" s="93">
        <f t="shared" si="119"/>
        <v>0</v>
      </c>
      <c r="AC94" s="93">
        <f t="shared" si="120"/>
        <v>0</v>
      </c>
      <c r="AD94" s="93">
        <f t="shared" si="121"/>
        <v>6</v>
      </c>
      <c r="AE94" s="93">
        <f t="shared" si="136"/>
        <v>371</v>
      </c>
      <c r="AF94" s="54">
        <f>AE94+'03.02'!AF94</f>
        <v>1302</v>
      </c>
      <c r="AG94" s="94">
        <f t="shared" si="162"/>
        <v>7</v>
      </c>
      <c r="AH94" s="56">
        <f t="shared" si="137"/>
        <v>0</v>
      </c>
      <c r="AI94" s="93">
        <v>8</v>
      </c>
      <c r="AJ94" s="93">
        <f t="shared" si="163"/>
        <v>0</v>
      </c>
      <c r="AK94" s="95">
        <f t="shared" si="138"/>
        <v>1</v>
      </c>
      <c r="AL94" s="58">
        <f t="shared" si="174"/>
        <v>8</v>
      </c>
      <c r="AM94" s="55">
        <f t="shared" si="164"/>
        <v>19</v>
      </c>
      <c r="AN94" s="93"/>
      <c r="AO94" s="96">
        <f>$CJ94</f>
        <v>3847.5</v>
      </c>
      <c r="AP94" s="96"/>
      <c r="AQ94" s="96"/>
      <c r="AR94" s="96"/>
      <c r="AS94" s="96"/>
      <c r="AT94" s="96"/>
      <c r="AU94" s="96">
        <f t="shared" si="139"/>
        <v>0</v>
      </c>
      <c r="AV94" s="96">
        <f t="shared" si="139"/>
        <v>77</v>
      </c>
      <c r="AW94" s="96">
        <f t="shared" si="140"/>
        <v>3924.5</v>
      </c>
      <c r="AX94" s="96">
        <f t="shared" si="141"/>
        <v>193</v>
      </c>
      <c r="AY94" s="94">
        <f t="shared" si="165"/>
        <v>36.5</v>
      </c>
      <c r="AZ94" s="94">
        <f t="shared" si="142"/>
        <v>1.8024691358024691</v>
      </c>
      <c r="BA94" s="94">
        <f t="shared" si="171"/>
        <v>19</v>
      </c>
      <c r="BB94" s="97">
        <f t="shared" si="172"/>
        <v>0</v>
      </c>
      <c r="BC94" s="93">
        <v>8</v>
      </c>
      <c r="BD94" s="93">
        <f t="shared" si="143"/>
        <v>0</v>
      </c>
      <c r="BE94" s="95">
        <f t="shared" si="144"/>
        <v>1</v>
      </c>
      <c r="BF94" s="58">
        <f t="shared" si="175"/>
        <v>8</v>
      </c>
      <c r="BG94" s="94">
        <f t="shared" si="145"/>
        <v>11</v>
      </c>
      <c r="BH94" s="89"/>
      <c r="BI94" s="92">
        <f t="shared" si="184"/>
        <v>3665.25</v>
      </c>
      <c r="BJ94" s="92"/>
      <c r="BK94" s="89"/>
      <c r="BL94" s="89"/>
      <c r="BM94" s="89"/>
      <c r="BN94" s="89"/>
      <c r="BO94" s="92">
        <f t="shared" si="166"/>
        <v>0</v>
      </c>
      <c r="BP94" s="92">
        <f t="shared" si="166"/>
        <v>64</v>
      </c>
      <c r="BQ94" s="96">
        <f t="shared" si="146"/>
        <v>3729.25</v>
      </c>
      <c r="BR94" s="96">
        <f t="shared" si="147"/>
        <v>184</v>
      </c>
      <c r="BS94" s="96">
        <f t="shared" si="167"/>
        <v>-158.75</v>
      </c>
      <c r="BT94" s="96">
        <f t="shared" si="148"/>
        <v>-7.8395061728395063</v>
      </c>
      <c r="BU94" s="92">
        <f t="shared" si="122"/>
        <v>371</v>
      </c>
      <c r="BV94" s="98">
        <f t="shared" si="168"/>
        <v>16</v>
      </c>
      <c r="BW94" s="92">
        <f t="shared" si="123"/>
        <v>-6.0370370370370372</v>
      </c>
      <c r="BX94" s="98">
        <f t="shared" si="149"/>
        <v>37.024000000000001</v>
      </c>
      <c r="BY94" s="61">
        <f t="shared" si="173"/>
        <v>16</v>
      </c>
      <c r="BZ94" s="62">
        <f t="shared" si="150"/>
        <v>16</v>
      </c>
      <c r="CA94" s="98">
        <f t="shared" si="151"/>
        <v>7.6537499999999996</v>
      </c>
      <c r="CB94" s="92">
        <f t="shared" si="124"/>
        <v>377</v>
      </c>
      <c r="CC94" s="92">
        <f t="shared" si="124"/>
        <v>-122.25</v>
      </c>
      <c r="CD94" s="92">
        <f t="shared" si="124"/>
        <v>-6.0370370370370372</v>
      </c>
      <c r="CE94" s="99"/>
      <c r="CF94" s="99"/>
      <c r="CG94" s="51">
        <f t="shared" si="152"/>
        <v>29.51125</v>
      </c>
      <c r="CH94" s="62">
        <f t="shared" si="153"/>
        <v>29.51125</v>
      </c>
      <c r="CI94" s="89"/>
      <c r="CJ94" s="89">
        <f>190*20.25</f>
        <v>3847.5</v>
      </c>
      <c r="CK94" s="89"/>
      <c r="CL94" s="96">
        <v>77</v>
      </c>
      <c r="CM94" s="89"/>
      <c r="CN94" s="89">
        <f>181*20.25</f>
        <v>3665.25</v>
      </c>
      <c r="CO94" s="92"/>
      <c r="CP94" s="101">
        <v>64</v>
      </c>
      <c r="CQ94" s="102">
        <f t="shared" si="101"/>
        <v>190</v>
      </c>
      <c r="CR94" s="102">
        <f t="shared" si="101"/>
        <v>0</v>
      </c>
      <c r="CS94" s="102">
        <f t="shared" si="101"/>
        <v>3</v>
      </c>
      <c r="CT94" s="92">
        <f t="shared" si="154"/>
        <v>181</v>
      </c>
      <c r="CU94" s="92">
        <f t="shared" si="102"/>
        <v>0</v>
      </c>
      <c r="CV94" s="103">
        <f t="shared" si="102"/>
        <v>3</v>
      </c>
      <c r="CW94" s="104"/>
      <c r="CX94" s="105">
        <v>150</v>
      </c>
      <c r="CY94" s="106">
        <f t="shared" si="155"/>
        <v>264</v>
      </c>
      <c r="CZ94" s="106">
        <f t="shared" si="156"/>
        <v>1215</v>
      </c>
      <c r="DA94" s="106"/>
      <c r="DB94" s="106"/>
      <c r="DC94" s="105"/>
      <c r="DD94" s="107"/>
      <c r="DE94" s="92">
        <f t="shared" si="125"/>
        <v>190</v>
      </c>
      <c r="DF94" s="108">
        <f t="shared" si="126"/>
        <v>8</v>
      </c>
      <c r="DG94" s="115">
        <f t="shared" si="127"/>
        <v>1.8024691358024691</v>
      </c>
      <c r="DH94" s="110">
        <f t="shared" si="128"/>
        <v>181</v>
      </c>
      <c r="DI94" s="108">
        <f t="shared" si="129"/>
        <v>8</v>
      </c>
      <c r="DJ94" s="115">
        <f t="shared" si="130"/>
        <v>-7.8395061728395063</v>
      </c>
      <c r="DK94" s="110">
        <f t="shared" si="181"/>
        <v>371</v>
      </c>
      <c r="DL94" s="108">
        <f t="shared" si="181"/>
        <v>16</v>
      </c>
      <c r="DM94" s="111">
        <f t="shared" si="181"/>
        <v>-6.0370370370370372</v>
      </c>
      <c r="DN94" s="76">
        <f t="shared" si="182"/>
        <v>7</v>
      </c>
      <c r="DO94" s="76">
        <f t="shared" si="182"/>
        <v>20</v>
      </c>
      <c r="DP94" s="112"/>
      <c r="DQ94" s="112"/>
      <c r="DR94" s="113" t="s">
        <v>474</v>
      </c>
      <c r="DS94" s="112"/>
      <c r="DT94" s="112"/>
      <c r="DU94" s="111"/>
      <c r="DV94" s="114"/>
      <c r="DW94" s="80">
        <f t="shared" si="185"/>
        <v>16</v>
      </c>
      <c r="DX94" s="81">
        <f t="shared" si="131"/>
        <v>380.96296296296299</v>
      </c>
      <c r="DY94" s="80">
        <f t="shared" si="158"/>
        <v>377</v>
      </c>
      <c r="DZ94" s="82">
        <f t="shared" si="159"/>
        <v>0.1215</v>
      </c>
      <c r="EA94" s="82">
        <f t="shared" si="160"/>
        <v>7.5127499999999996</v>
      </c>
      <c r="EB94" s="82">
        <f t="shared" si="161"/>
        <v>29.51125</v>
      </c>
      <c r="EC94" s="82">
        <f t="shared" si="178"/>
        <v>29.632750000000001</v>
      </c>
      <c r="EF94" s="83">
        <f t="shared" si="183"/>
        <v>-6.0370370370370372</v>
      </c>
    </row>
    <row r="95" spans="1:136" ht="15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2"/>
        <v>TVSUS303-10x2.5-H7A14</v>
      </c>
      <c r="H95" s="46" t="str">
        <f t="shared" si="133"/>
        <v>SUS303TV100DH7</v>
      </c>
      <c r="I95" s="46" t="str">
        <f t="shared" si="134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5"/>
        <v>42</v>
      </c>
      <c r="T95" s="51">
        <f>'03.02'!BG95</f>
        <v>0</v>
      </c>
      <c r="U95" s="92"/>
      <c r="V95" s="100">
        <v>67.7</v>
      </c>
      <c r="W95" s="93">
        <f t="shared" si="114"/>
        <v>0</v>
      </c>
      <c r="X95" s="93">
        <f t="shared" si="115"/>
        <v>0</v>
      </c>
      <c r="Y95" s="93">
        <f t="shared" si="116"/>
        <v>0</v>
      </c>
      <c r="Z95" s="93">
        <f t="shared" si="117"/>
        <v>0</v>
      </c>
      <c r="AA95" s="93">
        <f t="shared" si="118"/>
        <v>0</v>
      </c>
      <c r="AB95" s="93">
        <f t="shared" si="119"/>
        <v>0</v>
      </c>
      <c r="AC95" s="93">
        <f t="shared" si="120"/>
        <v>0</v>
      </c>
      <c r="AD95" s="93">
        <f t="shared" si="121"/>
        <v>0</v>
      </c>
      <c r="AE95" s="93">
        <f t="shared" si="136"/>
        <v>0</v>
      </c>
      <c r="AF95" s="54">
        <f>AE95+'03.02'!AF95</f>
        <v>0</v>
      </c>
      <c r="AG95" s="94">
        <f t="shared" si="162"/>
        <v>0</v>
      </c>
      <c r="AH95" s="56">
        <f t="shared" si="137"/>
        <v>0</v>
      </c>
      <c r="AI95" s="93"/>
      <c r="AJ95" s="93">
        <f t="shared" si="163"/>
        <v>0</v>
      </c>
      <c r="AK95" s="95">
        <f t="shared" si="138"/>
        <v>1</v>
      </c>
      <c r="AL95" s="58">
        <f t="shared" si="174"/>
        <v>0</v>
      </c>
      <c r="AM95" s="55">
        <f t="shared" si="164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39"/>
        <v>0</v>
      </c>
      <c r="AV95" s="96">
        <f t="shared" si="139"/>
        <v>0</v>
      </c>
      <c r="AW95" s="96">
        <f t="shared" si="140"/>
        <v>0</v>
      </c>
      <c r="AX95" s="96">
        <f t="shared" si="141"/>
        <v>0</v>
      </c>
      <c r="AY95" s="94">
        <f t="shared" si="165"/>
        <v>0</v>
      </c>
      <c r="AZ95" s="94">
        <f t="shared" si="142"/>
        <v>0</v>
      </c>
      <c r="BA95" s="94">
        <f t="shared" si="171"/>
        <v>0</v>
      </c>
      <c r="BB95" s="97">
        <f t="shared" si="172"/>
        <v>0</v>
      </c>
      <c r="BC95" s="93"/>
      <c r="BD95" s="93">
        <f t="shared" si="143"/>
        <v>0</v>
      </c>
      <c r="BE95" s="95">
        <f t="shared" si="144"/>
        <v>1</v>
      </c>
      <c r="BF95" s="58">
        <f t="shared" si="175"/>
        <v>0</v>
      </c>
      <c r="BG95" s="94">
        <f t="shared" si="145"/>
        <v>0</v>
      </c>
      <c r="BH95" s="89"/>
      <c r="BI95" s="92">
        <f t="shared" si="184"/>
        <v>0</v>
      </c>
      <c r="BJ95" s="89"/>
      <c r="BK95" s="89"/>
      <c r="BL95" s="89"/>
      <c r="BM95" s="89"/>
      <c r="BN95" s="89"/>
      <c r="BO95" s="92">
        <f t="shared" si="166"/>
        <v>0</v>
      </c>
      <c r="BP95" s="92">
        <f t="shared" si="166"/>
        <v>0</v>
      </c>
      <c r="BQ95" s="96">
        <f t="shared" si="146"/>
        <v>0</v>
      </c>
      <c r="BR95" s="96">
        <f t="shared" si="147"/>
        <v>0</v>
      </c>
      <c r="BS95" s="96">
        <f t="shared" si="167"/>
        <v>0</v>
      </c>
      <c r="BT95" s="96">
        <f t="shared" si="148"/>
        <v>0</v>
      </c>
      <c r="BU95" s="92">
        <f t="shared" si="122"/>
        <v>0</v>
      </c>
      <c r="BV95" s="98">
        <f t="shared" si="168"/>
        <v>0</v>
      </c>
      <c r="BW95" s="92">
        <f t="shared" si="123"/>
        <v>0</v>
      </c>
      <c r="BX95" s="98">
        <f t="shared" si="149"/>
        <v>0</v>
      </c>
      <c r="BY95" s="61">
        <f t="shared" si="173"/>
        <v>0</v>
      </c>
      <c r="BZ95" s="62">
        <f t="shared" si="150"/>
        <v>0</v>
      </c>
      <c r="CA95" s="98">
        <f t="shared" si="151"/>
        <v>0</v>
      </c>
      <c r="CB95" s="92">
        <f t="shared" si="124"/>
        <v>0</v>
      </c>
      <c r="CC95" s="92">
        <f t="shared" si="124"/>
        <v>0</v>
      </c>
      <c r="CD95" s="92">
        <f t="shared" si="124"/>
        <v>0</v>
      </c>
      <c r="CE95" s="99"/>
      <c r="CF95" s="99"/>
      <c r="CG95" s="51">
        <f t="shared" si="152"/>
        <v>0</v>
      </c>
      <c r="CH95" s="62">
        <f t="shared" si="153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101"/>
        <v>0</v>
      </c>
      <c r="CR95" s="102">
        <f t="shared" si="101"/>
        <v>0</v>
      </c>
      <c r="CS95" s="102">
        <f t="shared" si="101"/>
        <v>0</v>
      </c>
      <c r="CT95" s="92">
        <f t="shared" si="154"/>
        <v>0</v>
      </c>
      <c r="CU95" s="92">
        <f t="shared" si="102"/>
        <v>0</v>
      </c>
      <c r="CV95" s="103">
        <f t="shared" si="102"/>
        <v>0</v>
      </c>
      <c r="CW95" s="104"/>
      <c r="CX95" s="105">
        <v>90</v>
      </c>
      <c r="CY95" s="106">
        <f t="shared" si="155"/>
        <v>393</v>
      </c>
      <c r="CZ95" s="106">
        <f t="shared" si="156"/>
        <v>729</v>
      </c>
      <c r="DA95" s="106"/>
      <c r="DB95" s="106"/>
      <c r="DC95" s="105"/>
      <c r="DD95" s="107"/>
      <c r="DE95" s="92">
        <f t="shared" si="125"/>
        <v>0</v>
      </c>
      <c r="DF95" s="108">
        <f t="shared" si="126"/>
        <v>0</v>
      </c>
      <c r="DG95" s="115">
        <f t="shared" si="127"/>
        <v>0</v>
      </c>
      <c r="DH95" s="110">
        <f t="shared" si="128"/>
        <v>0</v>
      </c>
      <c r="DI95" s="108">
        <f t="shared" si="129"/>
        <v>0</v>
      </c>
      <c r="DJ95" s="112">
        <f t="shared" si="130"/>
        <v>0</v>
      </c>
      <c r="DK95" s="110">
        <f t="shared" si="181"/>
        <v>0</v>
      </c>
      <c r="DL95" s="108">
        <f t="shared" si="181"/>
        <v>0</v>
      </c>
      <c r="DM95" s="111">
        <f t="shared" si="181"/>
        <v>0</v>
      </c>
      <c r="DN95" s="76">
        <f t="shared" si="182"/>
        <v>0</v>
      </c>
      <c r="DO95" s="76">
        <f t="shared" si="182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7"/>
        <v>0</v>
      </c>
      <c r="DX95" s="81">
        <f t="shared" si="131"/>
        <v>0</v>
      </c>
      <c r="DY95" s="80">
        <f t="shared" si="158"/>
        <v>0</v>
      </c>
      <c r="DZ95" s="82">
        <f t="shared" si="159"/>
        <v>0</v>
      </c>
      <c r="EA95" s="82">
        <f t="shared" si="160"/>
        <v>0</v>
      </c>
      <c r="EB95" s="82">
        <f t="shared" si="161"/>
        <v>0</v>
      </c>
      <c r="EC95" s="82">
        <f t="shared" si="178"/>
        <v>0</v>
      </c>
      <c r="EF95" s="83">
        <f t="shared" si="183"/>
        <v>0</v>
      </c>
    </row>
    <row r="96" spans="1:136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2"/>
        <v>TVSUS303-6x2.5-H9A14</v>
      </c>
      <c r="H96" s="46" t="str">
        <f t="shared" si="133"/>
        <v>SUS303TV60DH9</v>
      </c>
      <c r="I96" s="46" t="str">
        <f t="shared" si="134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5"/>
        <v>8</v>
      </c>
      <c r="T96" s="51">
        <f>'03.02'!BG96</f>
        <v>0</v>
      </c>
      <c r="U96" s="92"/>
      <c r="V96" s="100">
        <v>1.875</v>
      </c>
      <c r="W96" s="93">
        <f t="shared" si="114"/>
        <v>0</v>
      </c>
      <c r="X96" s="93">
        <f t="shared" si="115"/>
        <v>0</v>
      </c>
      <c r="Y96" s="93">
        <f t="shared" si="116"/>
        <v>0</v>
      </c>
      <c r="Z96" s="93">
        <f t="shared" si="117"/>
        <v>0</v>
      </c>
      <c r="AA96" s="93">
        <f t="shared" si="118"/>
        <v>0</v>
      </c>
      <c r="AB96" s="93">
        <f t="shared" si="119"/>
        <v>0</v>
      </c>
      <c r="AC96" s="93">
        <f t="shared" si="120"/>
        <v>0</v>
      </c>
      <c r="AD96" s="93">
        <f t="shared" si="121"/>
        <v>0</v>
      </c>
      <c r="AE96" s="93">
        <f t="shared" si="136"/>
        <v>0</v>
      </c>
      <c r="AF96" s="54">
        <f>AE96+'03.02'!AF96</f>
        <v>0</v>
      </c>
      <c r="AG96" s="94">
        <f t="shared" si="162"/>
        <v>0</v>
      </c>
      <c r="AH96" s="56">
        <f t="shared" si="137"/>
        <v>0</v>
      </c>
      <c r="AI96" s="93"/>
      <c r="AJ96" s="93">
        <f t="shared" si="163"/>
        <v>0</v>
      </c>
      <c r="AK96" s="95">
        <f t="shared" si="138"/>
        <v>1</v>
      </c>
      <c r="AL96" s="58">
        <f t="shared" si="174"/>
        <v>0</v>
      </c>
      <c r="AM96" s="55">
        <f t="shared" si="164"/>
        <v>0</v>
      </c>
      <c r="AN96" s="93"/>
      <c r="AO96" s="96"/>
      <c r="AP96" s="96">
        <f t="shared" ref="AP96" si="186">$CJ96</f>
        <v>0</v>
      </c>
      <c r="AQ96" s="96"/>
      <c r="AR96" s="96"/>
      <c r="AS96" s="96"/>
      <c r="AT96" s="96"/>
      <c r="AU96" s="96">
        <f t="shared" si="139"/>
        <v>0</v>
      </c>
      <c r="AV96" s="96">
        <f t="shared" si="139"/>
        <v>0</v>
      </c>
      <c r="AW96" s="96">
        <f t="shared" si="140"/>
        <v>0</v>
      </c>
      <c r="AX96" s="96">
        <f t="shared" si="141"/>
        <v>0</v>
      </c>
      <c r="AY96" s="94">
        <f t="shared" si="165"/>
        <v>0</v>
      </c>
      <c r="AZ96" s="94">
        <f t="shared" si="142"/>
        <v>0</v>
      </c>
      <c r="BA96" s="94">
        <f t="shared" si="171"/>
        <v>0</v>
      </c>
      <c r="BB96" s="97">
        <f t="shared" si="172"/>
        <v>0</v>
      </c>
      <c r="BC96" s="93"/>
      <c r="BD96" s="93">
        <f t="shared" si="143"/>
        <v>0</v>
      </c>
      <c r="BE96" s="95">
        <f t="shared" si="144"/>
        <v>1</v>
      </c>
      <c r="BF96" s="58">
        <f t="shared" si="175"/>
        <v>0</v>
      </c>
      <c r="BG96" s="94">
        <f t="shared" si="145"/>
        <v>0</v>
      </c>
      <c r="BH96" s="89"/>
      <c r="BI96" s="92"/>
      <c r="BJ96" s="92">
        <f t="shared" si="184"/>
        <v>0</v>
      </c>
      <c r="BK96" s="89"/>
      <c r="BL96" s="89"/>
      <c r="BM96" s="89"/>
      <c r="BN96" s="92"/>
      <c r="BO96" s="92">
        <f t="shared" si="166"/>
        <v>0</v>
      </c>
      <c r="BP96" s="92">
        <f t="shared" si="166"/>
        <v>0</v>
      </c>
      <c r="BQ96" s="96">
        <f t="shared" si="146"/>
        <v>0</v>
      </c>
      <c r="BR96" s="96">
        <f t="shared" si="147"/>
        <v>0</v>
      </c>
      <c r="BS96" s="96">
        <f t="shared" si="167"/>
        <v>0</v>
      </c>
      <c r="BT96" s="96">
        <f t="shared" si="148"/>
        <v>0</v>
      </c>
      <c r="BU96" s="92">
        <f t="shared" si="122"/>
        <v>0</v>
      </c>
      <c r="BV96" s="98">
        <f t="shared" si="168"/>
        <v>0</v>
      </c>
      <c r="BW96" s="92">
        <f t="shared" si="123"/>
        <v>0</v>
      </c>
      <c r="BX96" s="98">
        <f t="shared" si="149"/>
        <v>0</v>
      </c>
      <c r="BY96" s="61">
        <f t="shared" si="173"/>
        <v>0</v>
      </c>
      <c r="BZ96" s="62">
        <f t="shared" si="150"/>
        <v>0</v>
      </c>
      <c r="CA96" s="98">
        <f t="shared" si="151"/>
        <v>0</v>
      </c>
      <c r="CB96" s="92">
        <f t="shared" si="124"/>
        <v>0</v>
      </c>
      <c r="CC96" s="92">
        <f t="shared" si="124"/>
        <v>0</v>
      </c>
      <c r="CD96" s="92">
        <f t="shared" si="124"/>
        <v>0</v>
      </c>
      <c r="CE96" s="99"/>
      <c r="CF96" s="99"/>
      <c r="CG96" s="51">
        <f t="shared" si="152"/>
        <v>0</v>
      </c>
      <c r="CH96" s="62">
        <f t="shared" si="153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101"/>
        <v>0</v>
      </c>
      <c r="CR96" s="102">
        <f t="shared" si="101"/>
        <v>0</v>
      </c>
      <c r="CS96" s="102">
        <f t="shared" si="101"/>
        <v>0</v>
      </c>
      <c r="CT96" s="92">
        <f t="shared" si="154"/>
        <v>0</v>
      </c>
      <c r="CU96" s="92">
        <f t="shared" si="102"/>
        <v>0</v>
      </c>
      <c r="CV96" s="103">
        <f t="shared" si="102"/>
        <v>0</v>
      </c>
      <c r="CW96" s="104"/>
      <c r="CX96" s="105">
        <v>56</v>
      </c>
      <c r="CY96" s="106">
        <f t="shared" si="155"/>
        <v>744</v>
      </c>
      <c r="CZ96" s="106">
        <f t="shared" si="156"/>
        <v>453.6</v>
      </c>
      <c r="DA96" s="106"/>
      <c r="DB96" s="106"/>
      <c r="DC96" s="105"/>
      <c r="DD96" s="107"/>
      <c r="DE96" s="92">
        <f t="shared" si="125"/>
        <v>0</v>
      </c>
      <c r="DF96" s="108">
        <f t="shared" si="126"/>
        <v>0</v>
      </c>
      <c r="DG96" s="115">
        <f t="shared" si="127"/>
        <v>0</v>
      </c>
      <c r="DH96" s="110">
        <f t="shared" si="128"/>
        <v>0</v>
      </c>
      <c r="DI96" s="108">
        <f t="shared" si="129"/>
        <v>0</v>
      </c>
      <c r="DJ96" s="112">
        <f t="shared" si="130"/>
        <v>0</v>
      </c>
      <c r="DK96" s="110">
        <f t="shared" si="181"/>
        <v>0</v>
      </c>
      <c r="DL96" s="108">
        <f t="shared" si="181"/>
        <v>0</v>
      </c>
      <c r="DM96" s="111">
        <f t="shared" si="181"/>
        <v>0</v>
      </c>
      <c r="DN96" s="76">
        <f t="shared" si="182"/>
        <v>0</v>
      </c>
      <c r="DO96" s="76">
        <f t="shared" si="182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7"/>
        <v>0</v>
      </c>
      <c r="DX96" s="81">
        <f t="shared" si="131"/>
        <v>0</v>
      </c>
      <c r="DY96" s="80">
        <f t="shared" si="158"/>
        <v>0</v>
      </c>
      <c r="DZ96" s="82">
        <f t="shared" si="159"/>
        <v>0</v>
      </c>
      <c r="EA96" s="82">
        <f t="shared" si="160"/>
        <v>0</v>
      </c>
      <c r="EB96" s="82">
        <f t="shared" si="161"/>
        <v>0</v>
      </c>
      <c r="EC96" s="82">
        <f>(BX96-CA96)+((AV96+BP96)/1000)</f>
        <v>0</v>
      </c>
      <c r="EF96" s="83">
        <f t="shared" si="183"/>
        <v>0</v>
      </c>
    </row>
    <row r="97" spans="1:136" ht="15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2"/>
        <v>MESUS304-10x3-H7C14</v>
      </c>
      <c r="H97" s="46" t="str">
        <f t="shared" si="133"/>
        <v>SUS304ME100DH7</v>
      </c>
      <c r="I97" s="46" t="str">
        <f t="shared" si="134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5"/>
        <v>24</v>
      </c>
      <c r="T97" s="51">
        <f>'03.02'!BG97</f>
        <v>0</v>
      </c>
      <c r="U97" s="92"/>
      <c r="V97" s="100">
        <v>54.7</v>
      </c>
      <c r="W97" s="93">
        <f t="shared" si="114"/>
        <v>0</v>
      </c>
      <c r="X97" s="93">
        <f t="shared" si="115"/>
        <v>0</v>
      </c>
      <c r="Y97" s="93">
        <f t="shared" si="116"/>
        <v>0</v>
      </c>
      <c r="Z97" s="93">
        <f t="shared" si="117"/>
        <v>0</v>
      </c>
      <c r="AA97" s="93">
        <f t="shared" si="118"/>
        <v>0</v>
      </c>
      <c r="AB97" s="93">
        <f t="shared" si="119"/>
        <v>0</v>
      </c>
      <c r="AC97" s="93">
        <f t="shared" si="120"/>
        <v>0</v>
      </c>
      <c r="AD97" s="93">
        <f t="shared" si="121"/>
        <v>0</v>
      </c>
      <c r="AE97" s="93">
        <f t="shared" si="136"/>
        <v>0</v>
      </c>
      <c r="AF97" s="54">
        <f>AE97+'03.02'!AF97</f>
        <v>0</v>
      </c>
      <c r="AG97" s="94">
        <f t="shared" si="162"/>
        <v>0</v>
      </c>
      <c r="AH97" s="56">
        <f t="shared" si="137"/>
        <v>0</v>
      </c>
      <c r="AI97" s="93"/>
      <c r="AJ97" s="93">
        <f t="shared" si="163"/>
        <v>0</v>
      </c>
      <c r="AK97" s="95">
        <f t="shared" si="138"/>
        <v>1</v>
      </c>
      <c r="AL97" s="58">
        <f t="shared" si="174"/>
        <v>0</v>
      </c>
      <c r="AM97" s="55">
        <f t="shared" si="164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39"/>
        <v>0</v>
      </c>
      <c r="AV97" s="96">
        <f t="shared" si="139"/>
        <v>0</v>
      </c>
      <c r="AW97" s="96">
        <f t="shared" si="140"/>
        <v>0</v>
      </c>
      <c r="AX97" s="96">
        <f t="shared" si="141"/>
        <v>0</v>
      </c>
      <c r="AY97" s="94">
        <f t="shared" si="165"/>
        <v>0</v>
      </c>
      <c r="AZ97" s="94">
        <f t="shared" si="142"/>
        <v>0</v>
      </c>
      <c r="BA97" s="94">
        <f t="shared" si="171"/>
        <v>0</v>
      </c>
      <c r="BB97" s="97">
        <f t="shared" si="172"/>
        <v>0</v>
      </c>
      <c r="BC97" s="93"/>
      <c r="BD97" s="93">
        <f t="shared" si="143"/>
        <v>0</v>
      </c>
      <c r="BE97" s="95">
        <f t="shared" si="144"/>
        <v>1</v>
      </c>
      <c r="BF97" s="58">
        <f t="shared" si="175"/>
        <v>0</v>
      </c>
      <c r="BG97" s="94">
        <f t="shared" si="145"/>
        <v>0</v>
      </c>
      <c r="BH97" s="89"/>
      <c r="BI97" s="92">
        <f t="shared" si="184"/>
        <v>0</v>
      </c>
      <c r="BJ97" s="89"/>
      <c r="BK97" s="89"/>
      <c r="BL97" s="89"/>
      <c r="BM97" s="89"/>
      <c r="BN97" s="89"/>
      <c r="BO97" s="92">
        <f t="shared" si="166"/>
        <v>0</v>
      </c>
      <c r="BP97" s="92">
        <f t="shared" si="166"/>
        <v>0</v>
      </c>
      <c r="BQ97" s="96">
        <f t="shared" si="146"/>
        <v>0</v>
      </c>
      <c r="BR97" s="96">
        <f t="shared" si="147"/>
        <v>0</v>
      </c>
      <c r="BS97" s="96">
        <f t="shared" si="167"/>
        <v>0</v>
      </c>
      <c r="BT97" s="96">
        <f t="shared" si="148"/>
        <v>0</v>
      </c>
      <c r="BU97" s="92">
        <f t="shared" si="122"/>
        <v>0</v>
      </c>
      <c r="BV97" s="98">
        <f t="shared" si="168"/>
        <v>0</v>
      </c>
      <c r="BW97" s="92">
        <f t="shared" si="123"/>
        <v>0</v>
      </c>
      <c r="BX97" s="98">
        <f t="shared" si="149"/>
        <v>0</v>
      </c>
      <c r="BY97" s="61">
        <f t="shared" si="173"/>
        <v>0</v>
      </c>
      <c r="BZ97" s="62">
        <f t="shared" si="150"/>
        <v>0</v>
      </c>
      <c r="CA97" s="98">
        <f t="shared" si="151"/>
        <v>0</v>
      </c>
      <c r="CB97" s="92">
        <f t="shared" si="124"/>
        <v>0</v>
      </c>
      <c r="CC97" s="92">
        <f t="shared" si="124"/>
        <v>0</v>
      </c>
      <c r="CD97" s="92">
        <f t="shared" si="124"/>
        <v>0</v>
      </c>
      <c r="CE97" s="99"/>
      <c r="CF97" s="99"/>
      <c r="CG97" s="51">
        <f t="shared" si="152"/>
        <v>0</v>
      </c>
      <c r="CH97" s="62">
        <f t="shared" si="153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101"/>
        <v>0</v>
      </c>
      <c r="CR97" s="102">
        <f t="shared" si="101"/>
        <v>0</v>
      </c>
      <c r="CS97" s="102">
        <f t="shared" si="101"/>
        <v>0</v>
      </c>
      <c r="CT97" s="92">
        <f t="shared" si="154"/>
        <v>0</v>
      </c>
      <c r="CU97" s="92">
        <f t="shared" si="102"/>
        <v>0</v>
      </c>
      <c r="CV97" s="103">
        <f t="shared" si="102"/>
        <v>0</v>
      </c>
      <c r="CW97" s="104"/>
      <c r="CX97" s="105">
        <v>120</v>
      </c>
      <c r="CY97" s="106">
        <f t="shared" si="155"/>
        <v>325</v>
      </c>
      <c r="CZ97" s="106">
        <f t="shared" si="156"/>
        <v>972.00000000000011</v>
      </c>
      <c r="DA97" s="106"/>
      <c r="DB97" s="106"/>
      <c r="DC97" s="105"/>
      <c r="DD97" s="107"/>
      <c r="DE97" s="92">
        <f t="shared" si="125"/>
        <v>0</v>
      </c>
      <c r="DF97" s="108">
        <f t="shared" si="126"/>
        <v>0</v>
      </c>
      <c r="DG97" s="115">
        <f t="shared" si="127"/>
        <v>0</v>
      </c>
      <c r="DH97" s="110">
        <f t="shared" si="128"/>
        <v>0</v>
      </c>
      <c r="DI97" s="108">
        <f t="shared" si="129"/>
        <v>0</v>
      </c>
      <c r="DJ97" s="112">
        <f t="shared" si="130"/>
        <v>0</v>
      </c>
      <c r="DK97" s="110">
        <f t="shared" si="181"/>
        <v>0</v>
      </c>
      <c r="DL97" s="108">
        <f t="shared" si="181"/>
        <v>0</v>
      </c>
      <c r="DM97" s="111">
        <f t="shared" si="181"/>
        <v>0</v>
      </c>
      <c r="DN97" s="76">
        <f t="shared" si="182"/>
        <v>0</v>
      </c>
      <c r="DO97" s="76">
        <f t="shared" si="182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7"/>
        <v>0</v>
      </c>
      <c r="DX97" s="81">
        <f t="shared" si="131"/>
        <v>0</v>
      </c>
      <c r="DY97" s="80">
        <f t="shared" si="158"/>
        <v>0</v>
      </c>
      <c r="DZ97" s="82">
        <f t="shared" si="159"/>
        <v>0</v>
      </c>
      <c r="EA97" s="82">
        <f t="shared" si="160"/>
        <v>0</v>
      </c>
      <c r="EB97" s="82">
        <f t="shared" si="161"/>
        <v>0</v>
      </c>
      <c r="EC97" s="82">
        <f t="shared" si="178"/>
        <v>0</v>
      </c>
      <c r="EF97" s="83">
        <f t="shared" si="183"/>
        <v>0</v>
      </c>
    </row>
    <row r="98" spans="1:136" ht="15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2"/>
        <v>ORC17300-3.5x3-H9A14</v>
      </c>
      <c r="H98" s="46" t="str">
        <f t="shared" si="133"/>
        <v>C17300OR3.50DH9</v>
      </c>
      <c r="I98" s="46" t="str">
        <f t="shared" si="134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5"/>
        <v>4</v>
      </c>
      <c r="T98" s="51">
        <f>'03.02'!BG98</f>
        <v>0</v>
      </c>
      <c r="U98" s="92"/>
      <c r="V98" s="100">
        <v>0.06</v>
      </c>
      <c r="W98" s="93">
        <f t="shared" si="114"/>
        <v>0</v>
      </c>
      <c r="X98" s="93">
        <f t="shared" si="115"/>
        <v>0</v>
      </c>
      <c r="Y98" s="93">
        <f t="shared" si="116"/>
        <v>0</v>
      </c>
      <c r="Z98" s="93">
        <f t="shared" si="117"/>
        <v>0</v>
      </c>
      <c r="AA98" s="93">
        <f t="shared" si="118"/>
        <v>0</v>
      </c>
      <c r="AB98" s="93">
        <f t="shared" si="119"/>
        <v>0</v>
      </c>
      <c r="AC98" s="93">
        <f t="shared" si="120"/>
        <v>0</v>
      </c>
      <c r="AD98" s="93">
        <f t="shared" si="121"/>
        <v>0</v>
      </c>
      <c r="AE98" s="93">
        <f t="shared" si="136"/>
        <v>0</v>
      </c>
      <c r="AF98" s="54">
        <f>AE98+'03.02'!AF98</f>
        <v>0</v>
      </c>
      <c r="AG98" s="94">
        <f t="shared" si="162"/>
        <v>0</v>
      </c>
      <c r="AH98" s="56">
        <f t="shared" si="137"/>
        <v>0</v>
      </c>
      <c r="AI98" s="93"/>
      <c r="AJ98" s="93">
        <f t="shared" si="163"/>
        <v>0</v>
      </c>
      <c r="AK98" s="95">
        <f t="shared" si="138"/>
        <v>1</v>
      </c>
      <c r="AL98" s="58">
        <f t="shared" si="174"/>
        <v>0</v>
      </c>
      <c r="AM98" s="55">
        <f t="shared" si="164"/>
        <v>0</v>
      </c>
      <c r="AN98" s="93"/>
      <c r="AO98" s="96"/>
      <c r="AP98" s="96"/>
      <c r="AQ98" s="96"/>
      <c r="AR98" s="96"/>
      <c r="AS98" s="96"/>
      <c r="AT98" s="96">
        <f t="shared" ref="AT98:AT100" si="187">$CJ98</f>
        <v>0</v>
      </c>
      <c r="AU98" s="96">
        <f t="shared" si="139"/>
        <v>0</v>
      </c>
      <c r="AV98" s="96">
        <f t="shared" si="139"/>
        <v>0</v>
      </c>
      <c r="AW98" s="96">
        <f t="shared" si="140"/>
        <v>0</v>
      </c>
      <c r="AX98" s="96">
        <f t="shared" si="141"/>
        <v>0</v>
      </c>
      <c r="AY98" s="94">
        <f t="shared" si="165"/>
        <v>0</v>
      </c>
      <c r="AZ98" s="94">
        <f t="shared" si="142"/>
        <v>0</v>
      </c>
      <c r="BA98" s="94">
        <f t="shared" si="171"/>
        <v>0</v>
      </c>
      <c r="BB98" s="97">
        <f t="shared" si="172"/>
        <v>0</v>
      </c>
      <c r="BC98" s="93"/>
      <c r="BD98" s="93">
        <f t="shared" si="143"/>
        <v>0</v>
      </c>
      <c r="BE98" s="95">
        <f t="shared" si="144"/>
        <v>1</v>
      </c>
      <c r="BF98" s="58">
        <f t="shared" si="175"/>
        <v>0</v>
      </c>
      <c r="BG98" s="94">
        <f t="shared" si="145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6"/>
        <v>0</v>
      </c>
      <c r="BP98" s="92">
        <f t="shared" si="166"/>
        <v>0</v>
      </c>
      <c r="BQ98" s="96">
        <f t="shared" si="146"/>
        <v>0</v>
      </c>
      <c r="BR98" s="96">
        <f t="shared" si="147"/>
        <v>0</v>
      </c>
      <c r="BS98" s="96">
        <f t="shared" si="167"/>
        <v>0</v>
      </c>
      <c r="BT98" s="96">
        <f t="shared" si="148"/>
        <v>0</v>
      </c>
      <c r="BU98" s="92">
        <f t="shared" si="122"/>
        <v>0</v>
      </c>
      <c r="BV98" s="98">
        <f t="shared" si="168"/>
        <v>0</v>
      </c>
      <c r="BW98" s="92">
        <f t="shared" si="123"/>
        <v>0</v>
      </c>
      <c r="BX98" s="98">
        <f t="shared" si="149"/>
        <v>0</v>
      </c>
      <c r="BY98" s="61">
        <f>IFERROR(BF98+AL98,0)</f>
        <v>0</v>
      </c>
      <c r="BZ98" s="62">
        <f t="shared" si="150"/>
        <v>0</v>
      </c>
      <c r="CA98" s="98">
        <f t="shared" si="151"/>
        <v>0</v>
      </c>
      <c r="CB98" s="92">
        <f t="shared" si="124"/>
        <v>0</v>
      </c>
      <c r="CC98" s="92">
        <f t="shared" si="124"/>
        <v>0</v>
      </c>
      <c r="CD98" s="92">
        <f t="shared" si="124"/>
        <v>0</v>
      </c>
      <c r="CE98" s="99"/>
      <c r="CF98" s="99"/>
      <c r="CG98" s="51">
        <f t="shared" si="152"/>
        <v>0</v>
      </c>
      <c r="CH98" s="62">
        <f t="shared" si="153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101"/>
        <v>0</v>
      </c>
      <c r="CR98" s="102">
        <f t="shared" si="101"/>
        <v>0</v>
      </c>
      <c r="CS98" s="102">
        <f t="shared" si="101"/>
        <v>0</v>
      </c>
      <c r="CT98" s="92">
        <f t="shared" si="154"/>
        <v>0</v>
      </c>
      <c r="CU98" s="92">
        <f t="shared" si="102"/>
        <v>0</v>
      </c>
      <c r="CV98" s="103">
        <f t="shared" si="102"/>
        <v>0</v>
      </c>
      <c r="CW98" s="104"/>
      <c r="CX98" s="105">
        <v>60</v>
      </c>
      <c r="CY98" s="106">
        <f t="shared" si="155"/>
        <v>710</v>
      </c>
      <c r="CZ98" s="106">
        <f t="shared" si="156"/>
        <v>486.00000000000006</v>
      </c>
      <c r="DA98" s="106"/>
      <c r="DB98" s="106"/>
      <c r="DC98" s="105"/>
      <c r="DD98" s="107"/>
      <c r="DE98" s="92">
        <f t="shared" si="125"/>
        <v>0</v>
      </c>
      <c r="DF98" s="108">
        <f t="shared" si="126"/>
        <v>0</v>
      </c>
      <c r="DG98" s="115">
        <f t="shared" si="127"/>
        <v>0</v>
      </c>
      <c r="DH98" s="110">
        <f t="shared" si="128"/>
        <v>0</v>
      </c>
      <c r="DI98" s="108">
        <f t="shared" si="129"/>
        <v>0</v>
      </c>
      <c r="DJ98" s="112">
        <f t="shared" si="130"/>
        <v>0</v>
      </c>
      <c r="DK98" s="110">
        <f t="shared" si="181"/>
        <v>0</v>
      </c>
      <c r="DL98" s="108">
        <f t="shared" si="181"/>
        <v>0</v>
      </c>
      <c r="DM98" s="111">
        <f t="shared" si="181"/>
        <v>0</v>
      </c>
      <c r="DN98" s="76">
        <f t="shared" si="182"/>
        <v>0</v>
      </c>
      <c r="DO98" s="76">
        <f t="shared" si="182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31"/>
        <v>0</v>
      </c>
      <c r="DY98" s="80">
        <f t="shared" si="158"/>
        <v>0</v>
      </c>
      <c r="DZ98" s="82">
        <f t="shared" si="159"/>
        <v>0</v>
      </c>
      <c r="EA98" s="82">
        <f t="shared" si="160"/>
        <v>0</v>
      </c>
      <c r="EB98" s="82">
        <f t="shared" si="161"/>
        <v>0</v>
      </c>
      <c r="EC98" s="82">
        <f t="shared" si="178"/>
        <v>0</v>
      </c>
      <c r="EF98" s="83">
        <f t="shared" si="183"/>
        <v>0</v>
      </c>
    </row>
    <row r="99" spans="1:136" ht="14.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2"/>
        <v>TVSUS303-6x2.5-H9A14</v>
      </c>
      <c r="H99" s="46" t="str">
        <f t="shared" si="133"/>
        <v>SUS303TV60DH9</v>
      </c>
      <c r="I99" s="46" t="str">
        <f t="shared" si="134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5"/>
        <v>12</v>
      </c>
      <c r="T99" s="51">
        <f>'03.02'!BG99</f>
        <v>0</v>
      </c>
      <c r="U99" s="92"/>
      <c r="V99" s="100">
        <v>3.0150000000000001</v>
      </c>
      <c r="W99" s="93">
        <f t="shared" si="114"/>
        <v>0</v>
      </c>
      <c r="X99" s="93">
        <f t="shared" si="115"/>
        <v>0</v>
      </c>
      <c r="Y99" s="93">
        <f t="shared" si="116"/>
        <v>0</v>
      </c>
      <c r="Z99" s="93">
        <f t="shared" si="117"/>
        <v>0</v>
      </c>
      <c r="AA99" s="93">
        <f t="shared" si="118"/>
        <v>0</v>
      </c>
      <c r="AB99" s="93">
        <f t="shared" si="119"/>
        <v>0</v>
      </c>
      <c r="AC99" s="93">
        <f t="shared" si="120"/>
        <v>0</v>
      </c>
      <c r="AD99" s="93">
        <f t="shared" si="121"/>
        <v>0</v>
      </c>
      <c r="AE99" s="93">
        <f t="shared" si="136"/>
        <v>0</v>
      </c>
      <c r="AF99" s="54">
        <f>AE99+'03.02'!AF99</f>
        <v>0</v>
      </c>
      <c r="AG99" s="94">
        <f t="shared" si="162"/>
        <v>0</v>
      </c>
      <c r="AH99" s="56">
        <f t="shared" si="137"/>
        <v>0</v>
      </c>
      <c r="AI99" s="93"/>
      <c r="AJ99" s="93">
        <f t="shared" si="163"/>
        <v>0</v>
      </c>
      <c r="AK99" s="95">
        <f t="shared" si="138"/>
        <v>1</v>
      </c>
      <c r="AL99" s="58">
        <f t="shared" si="174"/>
        <v>0</v>
      </c>
      <c r="AM99" s="55">
        <f t="shared" si="164"/>
        <v>0</v>
      </c>
      <c r="AN99" s="93"/>
      <c r="AO99" s="96"/>
      <c r="AP99" s="96"/>
      <c r="AQ99" s="96"/>
      <c r="AR99" s="96"/>
      <c r="AS99" s="96"/>
      <c r="AT99" s="96">
        <f t="shared" si="187"/>
        <v>0</v>
      </c>
      <c r="AU99" s="96">
        <f t="shared" si="139"/>
        <v>0</v>
      </c>
      <c r="AV99" s="96">
        <f t="shared" si="139"/>
        <v>0</v>
      </c>
      <c r="AW99" s="96">
        <f t="shared" si="140"/>
        <v>0</v>
      </c>
      <c r="AX99" s="96">
        <f t="shared" si="141"/>
        <v>0</v>
      </c>
      <c r="AY99" s="94">
        <f t="shared" si="165"/>
        <v>0</v>
      </c>
      <c r="AZ99" s="94">
        <f t="shared" si="142"/>
        <v>0</v>
      </c>
      <c r="BA99" s="94">
        <f t="shared" si="171"/>
        <v>0</v>
      </c>
      <c r="BB99" s="97">
        <f t="shared" si="172"/>
        <v>0</v>
      </c>
      <c r="BC99" s="93"/>
      <c r="BD99" s="93">
        <f t="shared" si="143"/>
        <v>0</v>
      </c>
      <c r="BE99" s="95">
        <f t="shared" si="144"/>
        <v>1</v>
      </c>
      <c r="BF99" s="58">
        <f t="shared" si="175"/>
        <v>0</v>
      </c>
      <c r="BG99" s="94">
        <f t="shared" si="145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6"/>
        <v>0</v>
      </c>
      <c r="BP99" s="92">
        <f t="shared" si="166"/>
        <v>0</v>
      </c>
      <c r="BQ99" s="96">
        <f t="shared" si="146"/>
        <v>0</v>
      </c>
      <c r="BR99" s="96">
        <f t="shared" si="147"/>
        <v>0</v>
      </c>
      <c r="BS99" s="96">
        <f t="shared" si="167"/>
        <v>0</v>
      </c>
      <c r="BT99" s="96">
        <f t="shared" si="148"/>
        <v>0</v>
      </c>
      <c r="BU99" s="92">
        <f t="shared" si="122"/>
        <v>0</v>
      </c>
      <c r="BV99" s="98">
        <f t="shared" si="168"/>
        <v>0</v>
      </c>
      <c r="BW99" s="92">
        <f t="shared" si="123"/>
        <v>0</v>
      </c>
      <c r="BX99" s="98">
        <f t="shared" si="149"/>
        <v>0</v>
      </c>
      <c r="BY99" s="61">
        <f t="shared" si="173"/>
        <v>0</v>
      </c>
      <c r="BZ99" s="62">
        <f t="shared" si="150"/>
        <v>0</v>
      </c>
      <c r="CA99" s="98">
        <f t="shared" si="151"/>
        <v>0</v>
      </c>
      <c r="CB99" s="92">
        <f t="shared" si="124"/>
        <v>0</v>
      </c>
      <c r="CC99" s="92">
        <f t="shared" si="124"/>
        <v>0</v>
      </c>
      <c r="CD99" s="92">
        <f t="shared" si="124"/>
        <v>0</v>
      </c>
      <c r="CE99" s="99"/>
      <c r="CF99" s="99"/>
      <c r="CG99" s="51">
        <f t="shared" si="152"/>
        <v>0</v>
      </c>
      <c r="CH99" s="62">
        <f t="shared" si="153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88">INT(IFERROR( CJ99/$V99,0))</f>
        <v>0</v>
      </c>
      <c r="CR99" s="102">
        <f t="shared" si="188"/>
        <v>0</v>
      </c>
      <c r="CS99" s="102">
        <f t="shared" si="188"/>
        <v>0</v>
      </c>
      <c r="CT99" s="92">
        <f t="shared" si="154"/>
        <v>0</v>
      </c>
      <c r="CU99" s="92">
        <f t="shared" si="102"/>
        <v>0</v>
      </c>
      <c r="CV99" s="103">
        <f t="shared" si="102"/>
        <v>0</v>
      </c>
      <c r="CW99" s="104"/>
      <c r="CX99" s="105">
        <v>123</v>
      </c>
      <c r="CY99" s="106">
        <f t="shared" si="155"/>
        <v>336</v>
      </c>
      <c r="CZ99" s="106">
        <f t="shared" si="156"/>
        <v>996.30000000000007</v>
      </c>
      <c r="DA99" s="106"/>
      <c r="DB99" s="106"/>
      <c r="DC99" s="105"/>
      <c r="DD99" s="107"/>
      <c r="DE99" s="92">
        <f t="shared" si="125"/>
        <v>0</v>
      </c>
      <c r="DF99" s="108">
        <f t="shared" si="126"/>
        <v>0</v>
      </c>
      <c r="DG99" s="115">
        <f t="shared" si="127"/>
        <v>0</v>
      </c>
      <c r="DH99" s="110">
        <f t="shared" si="128"/>
        <v>0</v>
      </c>
      <c r="DI99" s="108">
        <f t="shared" si="129"/>
        <v>0</v>
      </c>
      <c r="DJ99" s="112">
        <f t="shared" si="130"/>
        <v>0</v>
      </c>
      <c r="DK99" s="110">
        <f t="shared" si="181"/>
        <v>0</v>
      </c>
      <c r="DL99" s="108">
        <f t="shared" si="181"/>
        <v>0</v>
      </c>
      <c r="DM99" s="111">
        <f t="shared" si="181"/>
        <v>0</v>
      </c>
      <c r="DN99" s="76">
        <f t="shared" si="182"/>
        <v>0</v>
      </c>
      <c r="DO99" s="76">
        <f t="shared" si="182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7"/>
        <v>0</v>
      </c>
      <c r="DX99" s="81">
        <f t="shared" si="131"/>
        <v>0</v>
      </c>
      <c r="DY99" s="80">
        <f t="shared" si="158"/>
        <v>0</v>
      </c>
      <c r="DZ99" s="82">
        <f t="shared" si="159"/>
        <v>0</v>
      </c>
      <c r="EA99" s="82">
        <f t="shared" si="160"/>
        <v>0</v>
      </c>
      <c r="EB99" s="82">
        <f t="shared" si="161"/>
        <v>0</v>
      </c>
      <c r="EC99" s="82">
        <f t="shared" si="178"/>
        <v>0</v>
      </c>
      <c r="EF99" s="83">
        <f t="shared" si="183"/>
        <v>0</v>
      </c>
    </row>
    <row r="100" spans="1:136" ht="14.1" customHeight="1">
      <c r="A100" s="84">
        <v>93</v>
      </c>
      <c r="B100" s="85" t="s">
        <v>391</v>
      </c>
      <c r="C100" s="86"/>
      <c r="D100" s="116" t="s">
        <v>478</v>
      </c>
      <c r="E100" s="88">
        <v>388</v>
      </c>
      <c r="F100" s="89" t="s">
        <v>128</v>
      </c>
      <c r="G100" s="45" t="str">
        <f t="shared" si="132"/>
        <v>WTA6061-T6-T17x7x3-H9B13</v>
      </c>
      <c r="H100" s="46" t="str">
        <f t="shared" si="133"/>
        <v>A6061-T6WT177TH9</v>
      </c>
      <c r="I100" s="46" t="str">
        <f t="shared" si="134"/>
        <v>A6061-T6WT177TH93B13</v>
      </c>
      <c r="J100" s="90" t="s">
        <v>374</v>
      </c>
      <c r="K100" s="90" t="s">
        <v>393</v>
      </c>
      <c r="L100" s="90">
        <v>17</v>
      </c>
      <c r="M100" s="90">
        <v>7</v>
      </c>
      <c r="N100" s="90" t="s">
        <v>157</v>
      </c>
      <c r="O100" s="90" t="s">
        <v>131</v>
      </c>
      <c r="P100" s="90">
        <v>3</v>
      </c>
      <c r="Q100" s="91">
        <v>1.522</v>
      </c>
      <c r="R100" s="49" t="s">
        <v>228</v>
      </c>
      <c r="S100" s="89">
        <f t="shared" si="135"/>
        <v>4</v>
      </c>
      <c r="T100" s="51">
        <f>'03.02'!BG100</f>
        <v>0</v>
      </c>
      <c r="U100" s="92"/>
      <c r="V100" s="100">
        <v>0.71699999999999997</v>
      </c>
      <c r="W100" s="93">
        <f t="shared" si="114"/>
        <v>0</v>
      </c>
      <c r="X100" s="93">
        <f t="shared" si="115"/>
        <v>0</v>
      </c>
      <c r="Y100" s="93">
        <f t="shared" si="116"/>
        <v>0</v>
      </c>
      <c r="Z100" s="93">
        <f t="shared" si="117"/>
        <v>0</v>
      </c>
      <c r="AA100" s="93">
        <f t="shared" si="118"/>
        <v>0</v>
      </c>
      <c r="AB100" s="93">
        <f t="shared" si="119"/>
        <v>0</v>
      </c>
      <c r="AC100" s="93">
        <f t="shared" si="120"/>
        <v>0</v>
      </c>
      <c r="AD100" s="93">
        <f t="shared" si="121"/>
        <v>0</v>
      </c>
      <c r="AE100" s="93">
        <f t="shared" si="136"/>
        <v>0</v>
      </c>
      <c r="AF100" s="54">
        <f>AE100+'03.02'!AF100</f>
        <v>286</v>
      </c>
      <c r="AG100" s="94">
        <f t="shared" si="162"/>
        <v>0</v>
      </c>
      <c r="AH100" s="56">
        <f t="shared" si="137"/>
        <v>0</v>
      </c>
      <c r="AI100" s="93"/>
      <c r="AJ100" s="93">
        <f t="shared" si="163"/>
        <v>0</v>
      </c>
      <c r="AK100" s="95">
        <f t="shared" si="138"/>
        <v>1</v>
      </c>
      <c r="AL100" s="58">
        <f t="shared" si="174"/>
        <v>0</v>
      </c>
      <c r="AM100" s="55">
        <f t="shared" si="164"/>
        <v>0</v>
      </c>
      <c r="AN100" s="93"/>
      <c r="AO100" s="96"/>
      <c r="AP100" s="96"/>
      <c r="AQ100" s="96"/>
      <c r="AR100" s="96"/>
      <c r="AS100" s="96"/>
      <c r="AT100" s="96">
        <f t="shared" si="187"/>
        <v>0</v>
      </c>
      <c r="AU100" s="96">
        <f t="shared" si="139"/>
        <v>0</v>
      </c>
      <c r="AV100" s="96">
        <f t="shared" si="139"/>
        <v>0</v>
      </c>
      <c r="AW100" s="96">
        <f t="shared" si="140"/>
        <v>0</v>
      </c>
      <c r="AX100" s="96">
        <f t="shared" si="141"/>
        <v>0</v>
      </c>
      <c r="AY100" s="94">
        <f t="shared" si="165"/>
        <v>0</v>
      </c>
      <c r="AZ100" s="94">
        <f t="shared" si="142"/>
        <v>0</v>
      </c>
      <c r="BA100" s="94">
        <f t="shared" si="171"/>
        <v>0</v>
      </c>
      <c r="BB100" s="97">
        <f t="shared" si="172"/>
        <v>0</v>
      </c>
      <c r="BC100" s="93"/>
      <c r="BD100" s="93">
        <f t="shared" si="143"/>
        <v>0</v>
      </c>
      <c r="BE100" s="95">
        <f t="shared" si="144"/>
        <v>1</v>
      </c>
      <c r="BF100" s="58">
        <f t="shared" si="175"/>
        <v>0</v>
      </c>
      <c r="BG100" s="94">
        <f t="shared" si="145"/>
        <v>0</v>
      </c>
      <c r="BH100" s="89"/>
      <c r="BI100" s="89"/>
      <c r="BJ100" s="89"/>
      <c r="BK100" s="89"/>
      <c r="BL100" s="89"/>
      <c r="BM100" s="89"/>
      <c r="BN100" s="92">
        <f>$CN100</f>
        <v>0</v>
      </c>
      <c r="BO100" s="92">
        <f t="shared" si="166"/>
        <v>0</v>
      </c>
      <c r="BP100" s="92">
        <f t="shared" si="166"/>
        <v>0</v>
      </c>
      <c r="BQ100" s="96">
        <f t="shared" si="146"/>
        <v>0</v>
      </c>
      <c r="BR100" s="96">
        <f t="shared" si="147"/>
        <v>0</v>
      </c>
      <c r="BS100" s="96">
        <f t="shared" si="167"/>
        <v>0</v>
      </c>
      <c r="BT100" s="96">
        <f t="shared" si="148"/>
        <v>0</v>
      </c>
      <c r="BU100" s="92">
        <f t="shared" si="122"/>
        <v>0</v>
      </c>
      <c r="BV100" s="98">
        <f t="shared" si="168"/>
        <v>0</v>
      </c>
      <c r="BW100" s="92">
        <f t="shared" si="123"/>
        <v>0</v>
      </c>
      <c r="BX100" s="98">
        <f t="shared" si="149"/>
        <v>0</v>
      </c>
      <c r="BY100" s="61">
        <f>IFERROR(BF100+AL100,0)</f>
        <v>0</v>
      </c>
      <c r="BZ100" s="62">
        <f t="shared" si="150"/>
        <v>0</v>
      </c>
      <c r="CA100" s="98">
        <f t="shared" si="151"/>
        <v>0</v>
      </c>
      <c r="CB100" s="92">
        <f t="shared" si="124"/>
        <v>0</v>
      </c>
      <c r="CC100" s="92">
        <f t="shared" si="124"/>
        <v>0</v>
      </c>
      <c r="CD100" s="92">
        <f t="shared" si="124"/>
        <v>0</v>
      </c>
      <c r="CE100" s="99"/>
      <c r="CF100" s="99"/>
      <c r="CG100" s="51">
        <f t="shared" si="152"/>
        <v>0</v>
      </c>
      <c r="CH100" s="62">
        <f t="shared" si="153"/>
        <v>0</v>
      </c>
      <c r="CI100" s="89"/>
      <c r="CJ100" s="89"/>
      <c r="CK100" s="89"/>
      <c r="CL100" s="96"/>
      <c r="CM100" s="89"/>
      <c r="CN100" s="89"/>
      <c r="CO100" s="92"/>
      <c r="CP100" s="101"/>
      <c r="CQ100" s="102">
        <f t="shared" si="188"/>
        <v>0</v>
      </c>
      <c r="CR100" s="102">
        <f t="shared" si="188"/>
        <v>0</v>
      </c>
      <c r="CS100" s="102">
        <f t="shared" si="188"/>
        <v>0</v>
      </c>
      <c r="CT100" s="92">
        <f t="shared" si="154"/>
        <v>0</v>
      </c>
      <c r="CU100" s="92">
        <f t="shared" si="102"/>
        <v>0</v>
      </c>
      <c r="CV100" s="103">
        <f t="shared" si="102"/>
        <v>0</v>
      </c>
      <c r="CW100" s="104"/>
      <c r="CX100" s="105">
        <v>60</v>
      </c>
      <c r="CY100" s="106">
        <f t="shared" si="155"/>
        <v>710</v>
      </c>
      <c r="CZ100" s="106">
        <f t="shared" si="156"/>
        <v>486.00000000000006</v>
      </c>
      <c r="DA100" s="106"/>
      <c r="DB100" s="106"/>
      <c r="DC100" s="105"/>
      <c r="DD100" s="107"/>
      <c r="DE100" s="92">
        <f t="shared" si="125"/>
        <v>0</v>
      </c>
      <c r="DF100" s="108">
        <f t="shared" si="126"/>
        <v>0</v>
      </c>
      <c r="DG100" s="115">
        <f t="shared" si="127"/>
        <v>0</v>
      </c>
      <c r="DH100" s="110">
        <f t="shared" si="128"/>
        <v>0</v>
      </c>
      <c r="DI100" s="108">
        <f t="shared" si="129"/>
        <v>0</v>
      </c>
      <c r="DJ100" s="112">
        <f t="shared" si="130"/>
        <v>0</v>
      </c>
      <c r="DK100" s="110">
        <f t="shared" si="181"/>
        <v>0</v>
      </c>
      <c r="DL100" s="108">
        <f t="shared" si="181"/>
        <v>0</v>
      </c>
      <c r="DM100" s="111">
        <f t="shared" si="181"/>
        <v>0</v>
      </c>
      <c r="DN100" s="76">
        <f t="shared" si="182"/>
        <v>0</v>
      </c>
      <c r="DO100" s="76">
        <f t="shared" si="182"/>
        <v>0</v>
      </c>
      <c r="DP100" s="112"/>
      <c r="DQ100" s="112"/>
      <c r="DR100" s="113"/>
      <c r="DS100" s="112"/>
      <c r="DT100" s="112"/>
      <c r="DU100" s="111"/>
      <c r="DV100" s="114"/>
      <c r="DW100" s="80">
        <f t="shared" si="157"/>
        <v>0</v>
      </c>
      <c r="DX100" s="81">
        <f t="shared" si="131"/>
        <v>0</v>
      </c>
      <c r="DY100" s="80">
        <f t="shared" si="158"/>
        <v>0</v>
      </c>
      <c r="DZ100" s="82">
        <f t="shared" si="159"/>
        <v>0</v>
      </c>
      <c r="EA100" s="82">
        <f t="shared" si="160"/>
        <v>0</v>
      </c>
      <c r="EB100" s="82">
        <f t="shared" si="161"/>
        <v>0</v>
      </c>
      <c r="EC100" s="82">
        <f t="shared" si="178"/>
        <v>0</v>
      </c>
      <c r="EF100" s="83">
        <f t="shared" si="183"/>
        <v>0</v>
      </c>
    </row>
    <row r="101" spans="1:136" ht="15" customHeight="1">
      <c r="A101" s="84">
        <v>94</v>
      </c>
      <c r="B101" s="85" t="s">
        <v>395</v>
      </c>
      <c r="C101" s="86"/>
      <c r="D101" s="165" t="s">
        <v>488</v>
      </c>
      <c r="E101" s="88">
        <v>101</v>
      </c>
      <c r="F101" s="89" t="s">
        <v>136</v>
      </c>
      <c r="G101" s="45" t="str">
        <f t="shared" si="132"/>
        <v>IBC3604-H7x3-H11C14</v>
      </c>
      <c r="H101" s="46" t="str">
        <f t="shared" si="133"/>
        <v>C3604IB70HH11</v>
      </c>
      <c r="I101" s="46" t="str">
        <f t="shared" si="134"/>
        <v>C3604IB70HH113C14</v>
      </c>
      <c r="J101" s="90" t="s">
        <v>148</v>
      </c>
      <c r="K101" s="90" t="s">
        <v>156</v>
      </c>
      <c r="L101" s="90">
        <v>7</v>
      </c>
      <c r="M101" s="90">
        <v>0</v>
      </c>
      <c r="N101" s="90" t="s">
        <v>160</v>
      </c>
      <c r="O101" s="90" t="s">
        <v>161</v>
      </c>
      <c r="P101" s="90">
        <v>3</v>
      </c>
      <c r="Q101" s="91">
        <v>1.08</v>
      </c>
      <c r="R101" s="90" t="s">
        <v>144</v>
      </c>
      <c r="S101" s="89">
        <f t="shared" si="135"/>
        <v>6</v>
      </c>
      <c r="T101" s="51">
        <v>0</v>
      </c>
      <c r="U101" s="92">
        <v>3</v>
      </c>
      <c r="V101" s="100">
        <v>5.33</v>
      </c>
      <c r="W101" s="93">
        <f t="shared" si="114"/>
        <v>0</v>
      </c>
      <c r="X101" s="93">
        <f t="shared" si="115"/>
        <v>0</v>
      </c>
      <c r="Y101" s="93">
        <f t="shared" si="116"/>
        <v>0</v>
      </c>
      <c r="Z101" s="93">
        <f t="shared" si="117"/>
        <v>0</v>
      </c>
      <c r="AA101" s="93">
        <f t="shared" si="118"/>
        <v>163</v>
      </c>
      <c r="AB101" s="93">
        <f t="shared" si="119"/>
        <v>0</v>
      </c>
      <c r="AC101" s="93">
        <f t="shared" si="120"/>
        <v>0</v>
      </c>
      <c r="AD101" s="93">
        <f t="shared" si="121"/>
        <v>103</v>
      </c>
      <c r="AE101" s="93">
        <f t="shared" si="136"/>
        <v>163</v>
      </c>
      <c r="AF101" s="54">
        <f>AE101+'03.02'!AF101</f>
        <v>163</v>
      </c>
      <c r="AG101" s="94">
        <f t="shared" si="162"/>
        <v>0</v>
      </c>
      <c r="AH101" s="56">
        <f t="shared" si="137"/>
        <v>0</v>
      </c>
      <c r="AI101" s="93">
        <v>3</v>
      </c>
      <c r="AJ101" s="93">
        <f t="shared" si="163"/>
        <v>0</v>
      </c>
      <c r="AK101" s="95">
        <f t="shared" si="138"/>
        <v>1</v>
      </c>
      <c r="AL101" s="58">
        <f t="shared" si="174"/>
        <v>3</v>
      </c>
      <c r="AM101" s="55">
        <f t="shared" si="164"/>
        <v>0</v>
      </c>
      <c r="AN101" s="93"/>
      <c r="AO101" s="96"/>
      <c r="AP101" s="96"/>
      <c r="AQ101" s="96"/>
      <c r="AR101" s="96"/>
      <c r="AS101" s="96">
        <f>$CJ101</f>
        <v>868.79</v>
      </c>
      <c r="AT101" s="96"/>
      <c r="AU101" s="96">
        <f t="shared" si="139"/>
        <v>0</v>
      </c>
      <c r="AV101" s="96">
        <f t="shared" si="139"/>
        <v>550</v>
      </c>
      <c r="AW101" s="96">
        <f t="shared" si="140"/>
        <v>1418.79</v>
      </c>
      <c r="AX101" s="96">
        <f t="shared" si="141"/>
        <v>266</v>
      </c>
      <c r="AY101" s="94">
        <f t="shared" si="165"/>
        <v>-196.20000000000005</v>
      </c>
      <c r="AZ101" s="94">
        <f t="shared" si="142"/>
        <v>-36.810506566604133</v>
      </c>
      <c r="BA101" s="94">
        <f t="shared" si="171"/>
        <v>0</v>
      </c>
      <c r="BB101" s="97">
        <f t="shared" si="172"/>
        <v>0</v>
      </c>
      <c r="BC101" s="93"/>
      <c r="BD101" s="93">
        <f t="shared" si="143"/>
        <v>0</v>
      </c>
      <c r="BE101" s="95">
        <f t="shared" si="144"/>
        <v>1</v>
      </c>
      <c r="BF101" s="58">
        <f t="shared" si="175"/>
        <v>0</v>
      </c>
      <c r="BG101" s="94">
        <f t="shared" si="145"/>
        <v>0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6"/>
        <v>0</v>
      </c>
      <c r="BP101" s="92">
        <f t="shared" si="166"/>
        <v>0</v>
      </c>
      <c r="BQ101" s="96">
        <f t="shared" si="146"/>
        <v>0</v>
      </c>
      <c r="BR101" s="96">
        <f t="shared" si="147"/>
        <v>0</v>
      </c>
      <c r="BS101" s="96">
        <f t="shared" si="167"/>
        <v>0</v>
      </c>
      <c r="BT101" s="96">
        <f t="shared" si="148"/>
        <v>0</v>
      </c>
      <c r="BU101" s="92">
        <f t="shared" si="122"/>
        <v>163</v>
      </c>
      <c r="BV101" s="98">
        <f t="shared" si="168"/>
        <v>3</v>
      </c>
      <c r="BW101" s="92">
        <f t="shared" si="123"/>
        <v>-36.810506566604133</v>
      </c>
      <c r="BX101" s="98">
        <f t="shared" si="149"/>
        <v>3.24</v>
      </c>
      <c r="BY101" s="61">
        <f t="shared" si="173"/>
        <v>3</v>
      </c>
      <c r="BZ101" s="62">
        <f t="shared" si="150"/>
        <v>3</v>
      </c>
      <c r="CA101" s="98">
        <f t="shared" si="151"/>
        <v>1.41879</v>
      </c>
      <c r="CB101" s="92">
        <f t="shared" si="124"/>
        <v>266</v>
      </c>
      <c r="CC101" s="92">
        <f t="shared" si="124"/>
        <v>-196.20000000000005</v>
      </c>
      <c r="CD101" s="92">
        <f t="shared" si="124"/>
        <v>-36.810506566604133</v>
      </c>
      <c r="CE101" s="99"/>
      <c r="CF101" s="99"/>
      <c r="CG101" s="51">
        <f t="shared" si="152"/>
        <v>2.3712100000000005</v>
      </c>
      <c r="CH101" s="62">
        <f t="shared" si="153"/>
        <v>2.3712100000000005</v>
      </c>
      <c r="CI101" s="89"/>
      <c r="CJ101" s="89">
        <f>163*5.33</f>
        <v>868.79</v>
      </c>
      <c r="CK101" s="89"/>
      <c r="CL101" s="96">
        <v>550</v>
      </c>
      <c r="CM101" s="89"/>
      <c r="CN101" s="89"/>
      <c r="CO101" s="92"/>
      <c r="CP101" s="101"/>
      <c r="CQ101" s="102">
        <f t="shared" si="188"/>
        <v>163</v>
      </c>
      <c r="CR101" s="102">
        <f t="shared" si="188"/>
        <v>0</v>
      </c>
      <c r="CS101" s="102">
        <f t="shared" si="188"/>
        <v>103</v>
      </c>
      <c r="CT101" s="92">
        <f t="shared" si="154"/>
        <v>0</v>
      </c>
      <c r="CU101" s="92">
        <f t="shared" si="102"/>
        <v>0</v>
      </c>
      <c r="CV101" s="103">
        <f t="shared" si="102"/>
        <v>0</v>
      </c>
      <c r="CW101" s="104"/>
      <c r="CX101" s="105">
        <v>128</v>
      </c>
      <c r="CY101" s="106">
        <f t="shared" si="155"/>
        <v>328</v>
      </c>
      <c r="CZ101" s="106">
        <f t="shared" si="156"/>
        <v>1036.8000000000002</v>
      </c>
      <c r="DA101" s="106"/>
      <c r="DB101" s="106"/>
      <c r="DC101" s="105"/>
      <c r="DD101" s="107"/>
      <c r="DE101" s="92">
        <f t="shared" si="125"/>
        <v>163</v>
      </c>
      <c r="DF101" s="108">
        <f t="shared" si="126"/>
        <v>3</v>
      </c>
      <c r="DG101" s="115">
        <f t="shared" si="127"/>
        <v>-36.810506566604133</v>
      </c>
      <c r="DH101" s="110">
        <f t="shared" si="128"/>
        <v>0</v>
      </c>
      <c r="DI101" s="108">
        <f t="shared" si="129"/>
        <v>0</v>
      </c>
      <c r="DJ101" s="112">
        <f t="shared" si="130"/>
        <v>0</v>
      </c>
      <c r="DK101" s="110">
        <f t="shared" si="181"/>
        <v>163</v>
      </c>
      <c r="DL101" s="108">
        <f t="shared" si="181"/>
        <v>3</v>
      </c>
      <c r="DM101" s="111">
        <f t="shared" si="181"/>
        <v>-36.810506566604133</v>
      </c>
      <c r="DN101" s="76">
        <f t="shared" si="182"/>
        <v>0</v>
      </c>
      <c r="DO101" s="76">
        <f t="shared" si="182"/>
        <v>3</v>
      </c>
      <c r="DP101" s="112"/>
      <c r="DQ101" s="112"/>
      <c r="DR101" s="113"/>
      <c r="DS101" s="112"/>
      <c r="DT101" s="112"/>
      <c r="DU101" s="111"/>
      <c r="DV101" s="114"/>
      <c r="DW101" s="80">
        <f t="shared" si="157"/>
        <v>166</v>
      </c>
      <c r="DX101" s="81">
        <f t="shared" si="131"/>
        <v>129.18949343339585</v>
      </c>
      <c r="DY101" s="80">
        <f t="shared" si="158"/>
        <v>266</v>
      </c>
      <c r="DZ101" s="82">
        <f t="shared" si="159"/>
        <v>0.54898999999999998</v>
      </c>
      <c r="EA101" s="82">
        <f t="shared" si="160"/>
        <v>0.86878999999999995</v>
      </c>
      <c r="EB101" s="82">
        <f t="shared" si="161"/>
        <v>2.3712100000000005</v>
      </c>
      <c r="EC101" s="82">
        <f t="shared" si="178"/>
        <v>2.9202000000000004</v>
      </c>
      <c r="EF101" s="83">
        <f t="shared" si="183"/>
        <v>-36.810506566604133</v>
      </c>
    </row>
    <row r="102" spans="1:136" ht="15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2"/>
        <v>-xx-</v>
      </c>
      <c r="H102" s="46" t="str">
        <f t="shared" si="133"/>
        <v/>
      </c>
      <c r="I102" s="46" t="str">
        <f t="shared" si="134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5"/>
        <v>#DIV/0!</v>
      </c>
      <c r="T102" s="51">
        <f>'03.02'!BG102</f>
        <v>0</v>
      </c>
      <c r="U102" s="92"/>
      <c r="V102" s="100">
        <v>1</v>
      </c>
      <c r="W102" s="93">
        <f t="shared" si="114"/>
        <v>0</v>
      </c>
      <c r="X102" s="93">
        <f t="shared" si="115"/>
        <v>0</v>
      </c>
      <c r="Y102" s="93">
        <f t="shared" si="116"/>
        <v>0</v>
      </c>
      <c r="Z102" s="93">
        <f t="shared" si="117"/>
        <v>0</v>
      </c>
      <c r="AA102" s="93">
        <f t="shared" si="118"/>
        <v>0</v>
      </c>
      <c r="AB102" s="93">
        <f t="shared" si="119"/>
        <v>0</v>
      </c>
      <c r="AC102" s="93">
        <f t="shared" si="120"/>
        <v>0</v>
      </c>
      <c r="AD102" s="93">
        <f t="shared" si="121"/>
        <v>0</v>
      </c>
      <c r="AE102" s="93">
        <f t="shared" si="136"/>
        <v>0</v>
      </c>
      <c r="AF102" s="54">
        <f>AE102+'03.02'!AF102</f>
        <v>0</v>
      </c>
      <c r="AG102" s="94">
        <f t="shared" si="162"/>
        <v>0</v>
      </c>
      <c r="AH102" s="56">
        <f t="shared" si="137"/>
        <v>0</v>
      </c>
      <c r="AI102" s="93"/>
      <c r="AJ102" s="93">
        <f t="shared" si="163"/>
        <v>0</v>
      </c>
      <c r="AK102" s="95">
        <f>IF(V102="","",IF(AJ102=0,1,AJ102/$V102/$E102))</f>
        <v>1</v>
      </c>
      <c r="AL102" s="58">
        <f t="shared" si="174"/>
        <v>0</v>
      </c>
      <c r="AM102" s="55">
        <f t="shared" si="164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39"/>
        <v>0</v>
      </c>
      <c r="AV102" s="96">
        <f t="shared" si="139"/>
        <v>0</v>
      </c>
      <c r="AW102" s="96">
        <f t="shared" si="140"/>
        <v>0</v>
      </c>
      <c r="AX102" s="96">
        <f t="shared" si="141"/>
        <v>0</v>
      </c>
      <c r="AY102" s="94">
        <f t="shared" si="165"/>
        <v>0</v>
      </c>
      <c r="AZ102" s="94">
        <f t="shared" si="142"/>
        <v>0</v>
      </c>
      <c r="BA102" s="94">
        <f t="shared" si="171"/>
        <v>0</v>
      </c>
      <c r="BB102" s="97">
        <f t="shared" si="172"/>
        <v>0</v>
      </c>
      <c r="BC102" s="93"/>
      <c r="BD102" s="93">
        <f t="shared" si="143"/>
        <v>0</v>
      </c>
      <c r="BE102" s="95">
        <f t="shared" si="144"/>
        <v>1</v>
      </c>
      <c r="BF102" s="58">
        <f t="shared" si="175"/>
        <v>0</v>
      </c>
      <c r="BG102" s="94">
        <f t="shared" si="145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6"/>
        <v>0</v>
      </c>
      <c r="BP102" s="92">
        <f t="shared" si="166"/>
        <v>0</v>
      </c>
      <c r="BQ102" s="96">
        <f t="shared" si="146"/>
        <v>0</v>
      </c>
      <c r="BR102" s="96">
        <f t="shared" si="147"/>
        <v>0</v>
      </c>
      <c r="BS102" s="96">
        <f t="shared" si="167"/>
        <v>0</v>
      </c>
      <c r="BT102" s="96">
        <f t="shared" si="148"/>
        <v>0</v>
      </c>
      <c r="BU102" s="92">
        <f t="shared" si="122"/>
        <v>0</v>
      </c>
      <c r="BV102" s="98">
        <f t="shared" si="168"/>
        <v>0</v>
      </c>
      <c r="BW102" s="92">
        <f t="shared" si="123"/>
        <v>0</v>
      </c>
      <c r="BX102" s="98" t="str">
        <f t="shared" si="149"/>
        <v/>
      </c>
      <c r="BY102" s="61">
        <f t="shared" si="173"/>
        <v>0</v>
      </c>
      <c r="BZ102" s="62">
        <f t="shared" si="150"/>
        <v>0</v>
      </c>
      <c r="CA102" s="98">
        <f t="shared" si="151"/>
        <v>0</v>
      </c>
      <c r="CB102" s="92">
        <f t="shared" si="124"/>
        <v>0</v>
      </c>
      <c r="CC102" s="92">
        <f t="shared" si="124"/>
        <v>0</v>
      </c>
      <c r="CD102" s="92">
        <f t="shared" si="124"/>
        <v>0</v>
      </c>
      <c r="CE102" s="99"/>
      <c r="CF102" s="99"/>
      <c r="CG102" s="51">
        <f t="shared" si="152"/>
        <v>0</v>
      </c>
      <c r="CH102" s="62">
        <f t="shared" si="153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88"/>
        <v>0</v>
      </c>
      <c r="CR102" s="102">
        <f t="shared" si="188"/>
        <v>0</v>
      </c>
      <c r="CS102" s="102">
        <f t="shared" si="188"/>
        <v>0</v>
      </c>
      <c r="CT102" s="92">
        <f t="shared" si="154"/>
        <v>0</v>
      </c>
      <c r="CU102" s="92">
        <f t="shared" si="102"/>
        <v>0</v>
      </c>
      <c r="CV102" s="103">
        <f t="shared" si="102"/>
        <v>0</v>
      </c>
      <c r="CW102" s="104"/>
      <c r="CX102" s="105"/>
      <c r="CY102" s="106" t="e">
        <f t="shared" si="155"/>
        <v>#DIV/0!</v>
      </c>
      <c r="CZ102" s="106">
        <f t="shared" si="156"/>
        <v>0</v>
      </c>
      <c r="DA102" s="106"/>
      <c r="DB102" s="106"/>
      <c r="DC102" s="105"/>
      <c r="DD102" s="107"/>
      <c r="DE102" s="92">
        <f t="shared" si="125"/>
        <v>0</v>
      </c>
      <c r="DF102" s="108">
        <f t="shared" si="126"/>
        <v>0</v>
      </c>
      <c r="DG102" s="115">
        <f t="shared" si="127"/>
        <v>0</v>
      </c>
      <c r="DH102" s="110">
        <f t="shared" si="128"/>
        <v>0</v>
      </c>
      <c r="DI102" s="108">
        <f t="shared" si="129"/>
        <v>0</v>
      </c>
      <c r="DJ102" s="112">
        <f t="shared" si="130"/>
        <v>0</v>
      </c>
      <c r="DK102" s="110">
        <f t="shared" si="181"/>
        <v>0</v>
      </c>
      <c r="DL102" s="108">
        <f t="shared" si="181"/>
        <v>0</v>
      </c>
      <c r="DM102" s="111">
        <f t="shared" si="181"/>
        <v>0</v>
      </c>
      <c r="DN102" s="76">
        <f t="shared" si="182"/>
        <v>0</v>
      </c>
      <c r="DO102" s="76">
        <f t="shared" si="182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7"/>
        <v>0</v>
      </c>
      <c r="DX102" s="81">
        <f t="shared" si="131"/>
        <v>0</v>
      </c>
      <c r="DY102" s="80">
        <f t="shared" si="158"/>
        <v>0</v>
      </c>
      <c r="DZ102" s="82">
        <f t="shared" si="159"/>
        <v>0</v>
      </c>
      <c r="EA102" s="82">
        <f t="shared" si="160"/>
        <v>0</v>
      </c>
      <c r="EB102" s="82" t="e">
        <f t="shared" si="161"/>
        <v>#VALUE!</v>
      </c>
      <c r="EC102" s="82" t="e">
        <f t="shared" si="178"/>
        <v>#VALUE!</v>
      </c>
    </row>
    <row r="103" spans="1:136" ht="15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2"/>
        <v>TVSUS303-5x3-H7B13</v>
      </c>
      <c r="H103" s="46" t="str">
        <f t="shared" si="133"/>
        <v>SUS303TV50DH7</v>
      </c>
      <c r="I103" s="46" t="str">
        <f t="shared" si="134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5"/>
        <v>2</v>
      </c>
      <c r="T103" s="51">
        <f>'03.02'!BG103</f>
        <v>0</v>
      </c>
      <c r="U103" s="92"/>
      <c r="V103" s="100">
        <v>0.1</v>
      </c>
      <c r="W103" s="93">
        <f t="shared" si="114"/>
        <v>0</v>
      </c>
      <c r="X103" s="93">
        <f t="shared" si="115"/>
        <v>0</v>
      </c>
      <c r="Y103" s="93">
        <f t="shared" si="116"/>
        <v>0</v>
      </c>
      <c r="Z103" s="93">
        <f t="shared" si="117"/>
        <v>0</v>
      </c>
      <c r="AA103" s="93">
        <f t="shared" si="118"/>
        <v>0</v>
      </c>
      <c r="AB103" s="93">
        <f t="shared" si="119"/>
        <v>0</v>
      </c>
      <c r="AC103" s="93">
        <f t="shared" si="120"/>
        <v>0</v>
      </c>
      <c r="AD103" s="93">
        <f t="shared" si="121"/>
        <v>0</v>
      </c>
      <c r="AE103" s="93">
        <f t="shared" si="136"/>
        <v>0</v>
      </c>
      <c r="AF103" s="54">
        <f>AE103+'03.02'!AF103</f>
        <v>0</v>
      </c>
      <c r="AG103" s="94">
        <f t="shared" si="162"/>
        <v>0</v>
      </c>
      <c r="AH103" s="56">
        <f t="shared" si="137"/>
        <v>0</v>
      </c>
      <c r="AI103" s="93"/>
      <c r="AJ103" s="93">
        <f t="shared" si="163"/>
        <v>0</v>
      </c>
      <c r="AK103" s="95">
        <f t="shared" ref="AK103:AK106" si="189">IF(V103="","",IF(AJ103=0,1,AJ103/$V103/$E103))</f>
        <v>1</v>
      </c>
      <c r="AL103" s="58">
        <f t="shared" si="174"/>
        <v>0</v>
      </c>
      <c r="AM103" s="55">
        <f t="shared" si="164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39"/>
        <v>0</v>
      </c>
      <c r="AV103" s="96">
        <f t="shared" si="139"/>
        <v>0</v>
      </c>
      <c r="AW103" s="96">
        <f t="shared" si="140"/>
        <v>0</v>
      </c>
      <c r="AX103" s="96">
        <f t="shared" si="141"/>
        <v>0</v>
      </c>
      <c r="AY103" s="94">
        <f t="shared" si="165"/>
        <v>0</v>
      </c>
      <c r="AZ103" s="94">
        <f t="shared" si="142"/>
        <v>0</v>
      </c>
      <c r="BA103" s="94">
        <f t="shared" si="171"/>
        <v>0</v>
      </c>
      <c r="BB103" s="97">
        <f t="shared" si="172"/>
        <v>0</v>
      </c>
      <c r="BC103" s="93"/>
      <c r="BD103" s="93">
        <f t="shared" si="143"/>
        <v>0</v>
      </c>
      <c r="BE103" s="95">
        <f t="shared" si="144"/>
        <v>1</v>
      </c>
      <c r="BF103" s="58">
        <f t="shared" si="175"/>
        <v>0</v>
      </c>
      <c r="BG103" s="94">
        <f t="shared" si="145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6"/>
        <v>0</v>
      </c>
      <c r="BP103" s="92">
        <f t="shared" si="166"/>
        <v>0</v>
      </c>
      <c r="BQ103" s="96">
        <f t="shared" si="146"/>
        <v>0</v>
      </c>
      <c r="BR103" s="96">
        <f t="shared" si="147"/>
        <v>0</v>
      </c>
      <c r="BS103" s="96">
        <f t="shared" si="167"/>
        <v>0</v>
      </c>
      <c r="BT103" s="96">
        <f t="shared" si="148"/>
        <v>0</v>
      </c>
      <c r="BU103" s="92">
        <f t="shared" si="122"/>
        <v>0</v>
      </c>
      <c r="BV103" s="98">
        <f t="shared" si="168"/>
        <v>0</v>
      </c>
      <c r="BW103" s="92">
        <f t="shared" si="123"/>
        <v>0</v>
      </c>
      <c r="BX103" s="98">
        <f t="shared" si="149"/>
        <v>0</v>
      </c>
      <c r="BY103" s="61">
        <f t="shared" si="173"/>
        <v>0</v>
      </c>
      <c r="BZ103" s="62">
        <f t="shared" si="150"/>
        <v>0</v>
      </c>
      <c r="CA103" s="98">
        <f t="shared" si="151"/>
        <v>0</v>
      </c>
      <c r="CB103" s="92">
        <f t="shared" si="124"/>
        <v>0</v>
      </c>
      <c r="CC103" s="92">
        <f t="shared" si="124"/>
        <v>0</v>
      </c>
      <c r="CD103" s="92">
        <f t="shared" si="124"/>
        <v>0</v>
      </c>
      <c r="CE103" s="99"/>
      <c r="CF103" s="99"/>
      <c r="CG103" s="51">
        <f t="shared" si="152"/>
        <v>0</v>
      </c>
      <c r="CH103" s="62">
        <f t="shared" si="153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88"/>
        <v>0</v>
      </c>
      <c r="CR103" s="102">
        <f t="shared" si="188"/>
        <v>0</v>
      </c>
      <c r="CS103" s="102">
        <f t="shared" si="188"/>
        <v>0</v>
      </c>
      <c r="CT103" s="92">
        <f t="shared" si="154"/>
        <v>0</v>
      </c>
      <c r="CU103" s="92">
        <f t="shared" si="102"/>
        <v>0</v>
      </c>
      <c r="CV103" s="103">
        <f t="shared" si="102"/>
        <v>0</v>
      </c>
      <c r="CW103" s="104"/>
      <c r="CX103" s="105">
        <v>90</v>
      </c>
      <c r="CY103" s="106">
        <f t="shared" si="155"/>
        <v>476</v>
      </c>
      <c r="CZ103" s="106">
        <f t="shared" si="156"/>
        <v>729</v>
      </c>
      <c r="DA103" s="106"/>
      <c r="DB103" s="106"/>
      <c r="DC103" s="105"/>
      <c r="DD103" s="107"/>
      <c r="DE103" s="92">
        <f t="shared" si="125"/>
        <v>0</v>
      </c>
      <c r="DF103" s="108">
        <f t="shared" si="126"/>
        <v>0</v>
      </c>
      <c r="DG103" s="115">
        <f t="shared" si="127"/>
        <v>0</v>
      </c>
      <c r="DH103" s="110">
        <f t="shared" si="128"/>
        <v>0</v>
      </c>
      <c r="DI103" s="108">
        <f t="shared" si="129"/>
        <v>0</v>
      </c>
      <c r="DJ103" s="112">
        <f t="shared" si="130"/>
        <v>0</v>
      </c>
      <c r="DK103" s="110">
        <f t="shared" si="181"/>
        <v>0</v>
      </c>
      <c r="DL103" s="108">
        <f t="shared" si="181"/>
        <v>0</v>
      </c>
      <c r="DM103" s="111">
        <f t="shared" si="181"/>
        <v>0</v>
      </c>
      <c r="DN103" s="76">
        <f t="shared" si="182"/>
        <v>0</v>
      </c>
      <c r="DO103" s="76">
        <f t="shared" si="182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7"/>
        <v>0</v>
      </c>
      <c r="DX103" s="81">
        <f t="shared" si="131"/>
        <v>0</v>
      </c>
      <c r="DY103" s="80">
        <f t="shared" si="158"/>
        <v>0</v>
      </c>
      <c r="DZ103" s="82">
        <f t="shared" si="159"/>
        <v>0</v>
      </c>
      <c r="EA103" s="82">
        <f t="shared" si="160"/>
        <v>0</v>
      </c>
      <c r="EB103" s="82">
        <f t="shared" si="161"/>
        <v>0</v>
      </c>
      <c r="EC103" s="82">
        <f t="shared" si="178"/>
        <v>0</v>
      </c>
      <c r="EF103" s="83">
        <f t="shared" ref="EF103:EF106" si="190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2"/>
        <v>TVSUS303-6x2.5-H9A14</v>
      </c>
      <c r="H104" s="46" t="str">
        <f t="shared" si="133"/>
        <v>SUS303TV60DH9</v>
      </c>
      <c r="I104" s="46" t="str">
        <f t="shared" si="134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5"/>
        <v>20</v>
      </c>
      <c r="T104" s="51">
        <f>'03.02'!BG104</f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5"/>
        <v>0</v>
      </c>
      <c r="Y104" s="93">
        <f t="shared" si="116"/>
        <v>0</v>
      </c>
      <c r="Z104" s="93">
        <f t="shared" si="117"/>
        <v>0</v>
      </c>
      <c r="AA104" s="93">
        <f t="shared" si="118"/>
        <v>0</v>
      </c>
      <c r="AB104" s="93">
        <f t="shared" si="119"/>
        <v>0</v>
      </c>
      <c r="AC104" s="93">
        <f t="shared" si="120"/>
        <v>0</v>
      </c>
      <c r="AD104" s="93">
        <f t="shared" si="121"/>
        <v>0</v>
      </c>
      <c r="AE104" s="93">
        <f t="shared" si="136"/>
        <v>0</v>
      </c>
      <c r="AF104" s="54">
        <f>AE104+'03.02'!AF104</f>
        <v>0</v>
      </c>
      <c r="AG104" s="94">
        <f t="shared" si="162"/>
        <v>18</v>
      </c>
      <c r="AH104" s="56">
        <f t="shared" si="137"/>
        <v>0</v>
      </c>
      <c r="AI104" s="93"/>
      <c r="AJ104" s="93">
        <f t="shared" si="163"/>
        <v>0</v>
      </c>
      <c r="AK104" s="95">
        <f t="shared" si="189"/>
        <v>1</v>
      </c>
      <c r="AL104" s="58">
        <f t="shared" si="174"/>
        <v>0</v>
      </c>
      <c r="AM104" s="55">
        <f t="shared" si="164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39"/>
        <v>0</v>
      </c>
      <c r="AV104" s="96">
        <f t="shared" si="139"/>
        <v>0</v>
      </c>
      <c r="AW104" s="96">
        <f t="shared" si="140"/>
        <v>0</v>
      </c>
      <c r="AX104" s="96">
        <f t="shared" si="141"/>
        <v>0</v>
      </c>
      <c r="AY104" s="94">
        <f t="shared" si="165"/>
        <v>0</v>
      </c>
      <c r="AZ104" s="94">
        <f t="shared" si="142"/>
        <v>0</v>
      </c>
      <c r="BA104" s="94">
        <f t="shared" si="171"/>
        <v>18</v>
      </c>
      <c r="BB104" s="97">
        <f t="shared" si="172"/>
        <v>0</v>
      </c>
      <c r="BC104" s="93"/>
      <c r="BD104" s="93">
        <f t="shared" si="143"/>
        <v>0</v>
      </c>
      <c r="BE104" s="95">
        <f t="shared" si="144"/>
        <v>1</v>
      </c>
      <c r="BF104" s="58">
        <f t="shared" si="175"/>
        <v>0</v>
      </c>
      <c r="BG104" s="94">
        <f t="shared" si="145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91">CO104</f>
        <v>0</v>
      </c>
      <c r="BP104" s="92">
        <f t="shared" si="191"/>
        <v>0</v>
      </c>
      <c r="BQ104" s="96">
        <f t="shared" si="146"/>
        <v>0</v>
      </c>
      <c r="BR104" s="96">
        <f t="shared" si="147"/>
        <v>0</v>
      </c>
      <c r="BS104" s="96">
        <f t="shared" si="167"/>
        <v>0</v>
      </c>
      <c r="BT104" s="96">
        <f t="shared" si="148"/>
        <v>0</v>
      </c>
      <c r="BU104" s="92">
        <f t="shared" si="122"/>
        <v>0</v>
      </c>
      <c r="BV104" s="98">
        <f t="shared" si="168"/>
        <v>0</v>
      </c>
      <c r="BW104" s="92">
        <f t="shared" si="123"/>
        <v>0</v>
      </c>
      <c r="BX104" s="98">
        <f t="shared" si="149"/>
        <v>0</v>
      </c>
      <c r="BY104" s="61">
        <f t="shared" si="173"/>
        <v>0</v>
      </c>
      <c r="BZ104" s="62">
        <f t="shared" si="150"/>
        <v>0</v>
      </c>
      <c r="CA104" s="98">
        <f t="shared" si="151"/>
        <v>0</v>
      </c>
      <c r="CB104" s="92">
        <f t="shared" si="124"/>
        <v>0</v>
      </c>
      <c r="CC104" s="92">
        <f t="shared" si="124"/>
        <v>0</v>
      </c>
      <c r="CD104" s="92">
        <f t="shared" si="124"/>
        <v>0</v>
      </c>
      <c r="CE104" s="99"/>
      <c r="CF104" s="99"/>
      <c r="CG104" s="51">
        <f t="shared" si="152"/>
        <v>0</v>
      </c>
      <c r="CH104" s="62">
        <f t="shared" si="153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88"/>
        <v>0</v>
      </c>
      <c r="CR104" s="102">
        <f t="shared" si="188"/>
        <v>0</v>
      </c>
      <c r="CS104" s="102">
        <f t="shared" si="188"/>
        <v>0</v>
      </c>
      <c r="CT104" s="92">
        <f t="shared" si="154"/>
        <v>0</v>
      </c>
      <c r="CU104" s="92">
        <f t="shared" ref="CU104:CV106" si="192">INT(IFERROR( AC104-CR104,0))</f>
        <v>0</v>
      </c>
      <c r="CV104" s="103">
        <f t="shared" si="192"/>
        <v>0</v>
      </c>
      <c r="CW104" s="178"/>
      <c r="CX104" s="179">
        <v>70</v>
      </c>
      <c r="CY104" s="180">
        <f t="shared" si="155"/>
        <v>570</v>
      </c>
      <c r="CZ104" s="180">
        <f t="shared" si="156"/>
        <v>567</v>
      </c>
      <c r="DA104" s="181"/>
      <c r="DB104" s="181"/>
      <c r="DC104" s="179"/>
      <c r="DD104" s="182"/>
      <c r="DE104" s="92">
        <f t="shared" si="125"/>
        <v>0</v>
      </c>
      <c r="DF104" s="108">
        <f t="shared" si="126"/>
        <v>0</v>
      </c>
      <c r="DG104" s="115">
        <f t="shared" si="127"/>
        <v>0</v>
      </c>
      <c r="DH104" s="110">
        <f t="shared" si="128"/>
        <v>0</v>
      </c>
      <c r="DI104" s="108">
        <f t="shared" si="129"/>
        <v>0</v>
      </c>
      <c r="DJ104" s="112">
        <f t="shared" si="130"/>
        <v>0</v>
      </c>
      <c r="DK104" s="110">
        <f t="shared" si="181"/>
        <v>0</v>
      </c>
      <c r="DL104" s="108">
        <f t="shared" si="181"/>
        <v>0</v>
      </c>
      <c r="DM104" s="111">
        <f t="shared" si="181"/>
        <v>0</v>
      </c>
      <c r="DN104" s="76">
        <f t="shared" si="182"/>
        <v>18</v>
      </c>
      <c r="DO104" s="76">
        <f t="shared" si="182"/>
        <v>0</v>
      </c>
      <c r="DP104" s="183"/>
      <c r="DQ104" s="183"/>
      <c r="DR104" s="184" t="s">
        <v>477</v>
      </c>
      <c r="DS104" s="183"/>
      <c r="DT104" s="183"/>
      <c r="DU104" s="185"/>
      <c r="DV104" s="186"/>
      <c r="DW104" s="80">
        <f t="shared" si="157"/>
        <v>0</v>
      </c>
      <c r="DX104" s="81">
        <f t="shared" si="131"/>
        <v>0</v>
      </c>
      <c r="DY104" s="80">
        <f t="shared" si="158"/>
        <v>0</v>
      </c>
      <c r="DZ104" s="82">
        <f t="shared" si="159"/>
        <v>0</v>
      </c>
      <c r="EA104" s="82">
        <f t="shared" si="160"/>
        <v>0</v>
      </c>
      <c r="EB104" s="82">
        <f t="shared" si="161"/>
        <v>0</v>
      </c>
      <c r="EC104" s="82">
        <f t="shared" si="178"/>
        <v>0</v>
      </c>
      <c r="EF104" s="83">
        <f t="shared" si="190"/>
        <v>0</v>
      </c>
    </row>
    <row r="105" spans="1:136" ht="14.1" customHeight="1">
      <c r="A105" s="84">
        <v>98</v>
      </c>
      <c r="B105" s="187" t="s">
        <v>402</v>
      </c>
      <c r="C105" s="86"/>
      <c r="D105" s="244" t="s">
        <v>403</v>
      </c>
      <c r="E105" s="189">
        <v>66</v>
      </c>
      <c r="F105" s="190" t="s">
        <v>147</v>
      </c>
      <c r="G105" s="191" t="str">
        <f t="shared" si="132"/>
        <v>TV12L14-H17x3-H11A14</v>
      </c>
      <c r="H105" s="191" t="str">
        <f t="shared" si="133"/>
        <v>12L14TV170HH11</v>
      </c>
      <c r="I105" s="191" t="str">
        <f t="shared" si="134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5"/>
        <v>16</v>
      </c>
      <c r="T105" s="51">
        <f>'03.02'!BG105</f>
        <v>14</v>
      </c>
      <c r="U105" s="194"/>
      <c r="V105" s="195">
        <v>60.8</v>
      </c>
      <c r="W105" s="196">
        <f>IF(V105="","",INT((AO105+BI105)/$V105))</f>
        <v>0</v>
      </c>
      <c r="X105" s="196">
        <f t="shared" si="115"/>
        <v>0</v>
      </c>
      <c r="Y105" s="196">
        <f t="shared" si="116"/>
        <v>0</v>
      </c>
      <c r="Z105" s="196">
        <f t="shared" si="117"/>
        <v>0</v>
      </c>
      <c r="AA105" s="196">
        <f t="shared" si="118"/>
        <v>0</v>
      </c>
      <c r="AB105" s="196">
        <f t="shared" si="119"/>
        <v>277</v>
      </c>
      <c r="AC105" s="196">
        <f t="shared" si="120"/>
        <v>0</v>
      </c>
      <c r="AD105" s="196">
        <f t="shared" si="121"/>
        <v>7</v>
      </c>
      <c r="AE105" s="196">
        <f t="shared" si="136"/>
        <v>277</v>
      </c>
      <c r="AF105" s="54">
        <f>AE105+'03.02'!AF105</f>
        <v>749</v>
      </c>
      <c r="AG105" s="94">
        <f t="shared" si="162"/>
        <v>14</v>
      </c>
      <c r="AH105" s="56">
        <f t="shared" si="137"/>
        <v>0</v>
      </c>
      <c r="AI105" s="196">
        <v>3</v>
      </c>
      <c r="AJ105" s="93">
        <f t="shared" si="163"/>
        <v>0</v>
      </c>
      <c r="AK105" s="197">
        <f t="shared" si="189"/>
        <v>1</v>
      </c>
      <c r="AL105" s="58">
        <f t="shared" si="174"/>
        <v>3</v>
      </c>
      <c r="AM105" s="55">
        <f t="shared" si="164"/>
        <v>11</v>
      </c>
      <c r="AN105" s="196"/>
      <c r="AO105" s="198"/>
      <c r="AP105" s="198"/>
      <c r="AQ105" s="198"/>
      <c r="AR105" s="198"/>
      <c r="AS105" s="198"/>
      <c r="AT105" s="198">
        <f>$CJ105</f>
        <v>11800</v>
      </c>
      <c r="AU105" s="198">
        <f t="shared" si="139"/>
        <v>0</v>
      </c>
      <c r="AV105" s="198">
        <f t="shared" si="139"/>
        <v>486</v>
      </c>
      <c r="AW105" s="198">
        <f t="shared" si="140"/>
        <v>12286</v>
      </c>
      <c r="AX105" s="198">
        <f t="shared" si="141"/>
        <v>202</v>
      </c>
      <c r="AY105" s="199">
        <f t="shared" si="165"/>
        <v>247.60000000000036</v>
      </c>
      <c r="AZ105" s="199">
        <f t="shared" si="142"/>
        <v>4.0723684210526381</v>
      </c>
      <c r="BA105" s="94">
        <f t="shared" si="171"/>
        <v>11</v>
      </c>
      <c r="BB105" s="200">
        <f t="shared" si="172"/>
        <v>0</v>
      </c>
      <c r="BC105" s="196">
        <v>1</v>
      </c>
      <c r="BD105" s="93">
        <f t="shared" si="143"/>
        <v>0</v>
      </c>
      <c r="BE105" s="197">
        <f t="shared" si="144"/>
        <v>1</v>
      </c>
      <c r="BF105" s="58">
        <f t="shared" si="175"/>
        <v>1</v>
      </c>
      <c r="BG105" s="94">
        <f t="shared" si="145"/>
        <v>10</v>
      </c>
      <c r="BH105" s="190"/>
      <c r="BI105" s="194"/>
      <c r="BJ105" s="194"/>
      <c r="BK105" s="190"/>
      <c r="BL105" s="190"/>
      <c r="BM105" s="190"/>
      <c r="BN105" s="194">
        <f>$CN105</f>
        <v>5046.3999999999996</v>
      </c>
      <c r="BO105" s="194">
        <f t="shared" si="191"/>
        <v>0</v>
      </c>
      <c r="BP105" s="194">
        <f t="shared" si="191"/>
        <v>0</v>
      </c>
      <c r="BQ105" s="198">
        <f t="shared" si="146"/>
        <v>5046.3999999999996</v>
      </c>
      <c r="BR105" s="198">
        <f t="shared" si="147"/>
        <v>83</v>
      </c>
      <c r="BS105" s="198">
        <f t="shared" si="167"/>
        <v>1033.5999999999999</v>
      </c>
      <c r="BT105" s="198">
        <f t="shared" si="148"/>
        <v>17</v>
      </c>
      <c r="BU105" s="194">
        <f t="shared" si="122"/>
        <v>277</v>
      </c>
      <c r="BV105" s="201">
        <f t="shared" si="168"/>
        <v>4</v>
      </c>
      <c r="BW105" s="194">
        <f t="shared" si="123"/>
        <v>21.072368421052637</v>
      </c>
      <c r="BX105" s="201">
        <f t="shared" si="149"/>
        <v>23.2</v>
      </c>
      <c r="BY105" s="51">
        <f t="shared" si="173"/>
        <v>4</v>
      </c>
      <c r="BZ105" s="62">
        <f t="shared" si="150"/>
        <v>4</v>
      </c>
      <c r="CA105" s="201">
        <f t="shared" si="151"/>
        <v>17.3324</v>
      </c>
      <c r="CB105" s="194">
        <f t="shared" si="124"/>
        <v>285</v>
      </c>
      <c r="CC105" s="194">
        <f t="shared" si="124"/>
        <v>1281.2000000000003</v>
      </c>
      <c r="CD105" s="194">
        <f t="shared" si="124"/>
        <v>21.072368421052637</v>
      </c>
      <c r="CE105" s="202"/>
      <c r="CF105" s="202"/>
      <c r="CG105" s="51">
        <f t="shared" si="152"/>
        <v>6.3535999999999992</v>
      </c>
      <c r="CH105" s="62">
        <f t="shared" si="153"/>
        <v>6.3535999999999992</v>
      </c>
      <c r="CI105" s="190"/>
      <c r="CJ105" s="190">
        <v>11800</v>
      </c>
      <c r="CK105" s="190"/>
      <c r="CL105" s="198">
        <v>486</v>
      </c>
      <c r="CM105" s="190"/>
      <c r="CN105" s="190">
        <f>83*60.8</f>
        <v>5046.3999999999996</v>
      </c>
      <c r="CO105" s="190"/>
      <c r="CP105" s="190"/>
      <c r="CQ105" s="203">
        <f t="shared" si="188"/>
        <v>194</v>
      </c>
      <c r="CR105" s="203">
        <f t="shared" si="188"/>
        <v>0</v>
      </c>
      <c r="CS105" s="203">
        <f t="shared" si="188"/>
        <v>7</v>
      </c>
      <c r="CT105" s="194">
        <f t="shared" si="154"/>
        <v>83</v>
      </c>
      <c r="CU105" s="194">
        <f t="shared" si="192"/>
        <v>0</v>
      </c>
      <c r="CV105" s="204">
        <f t="shared" si="192"/>
        <v>0</v>
      </c>
      <c r="CW105" s="205"/>
      <c r="CX105" s="206">
        <v>81</v>
      </c>
      <c r="CY105" s="207">
        <f t="shared" si="155"/>
        <v>500</v>
      </c>
      <c r="CZ105" s="207">
        <f t="shared" si="156"/>
        <v>656.1</v>
      </c>
      <c r="DA105" s="207"/>
      <c r="DB105" s="207"/>
      <c r="DC105" s="206"/>
      <c r="DD105" s="208"/>
      <c r="DE105" s="194">
        <f t="shared" si="125"/>
        <v>194</v>
      </c>
      <c r="DF105" s="209">
        <f t="shared" si="126"/>
        <v>3</v>
      </c>
      <c r="DG105" s="115">
        <f t="shared" si="127"/>
        <v>4.0723684210526381</v>
      </c>
      <c r="DH105" s="210">
        <f t="shared" si="128"/>
        <v>83</v>
      </c>
      <c r="DI105" s="209">
        <f t="shared" si="129"/>
        <v>1</v>
      </c>
      <c r="DJ105" s="76">
        <f t="shared" si="130"/>
        <v>17</v>
      </c>
      <c r="DK105" s="210">
        <f t="shared" si="181"/>
        <v>277</v>
      </c>
      <c r="DL105" s="209">
        <f t="shared" si="181"/>
        <v>4</v>
      </c>
      <c r="DM105" s="211">
        <f t="shared" si="181"/>
        <v>21.072368421052637</v>
      </c>
      <c r="DN105" s="76">
        <f t="shared" si="182"/>
        <v>14</v>
      </c>
      <c r="DO105" s="212">
        <f t="shared" si="182"/>
        <v>0</v>
      </c>
      <c r="DP105" s="212"/>
      <c r="DQ105" s="212"/>
      <c r="DR105" s="213" t="s">
        <v>480</v>
      </c>
      <c r="DS105" s="212"/>
      <c r="DT105" s="212"/>
      <c r="DU105" s="214"/>
      <c r="DV105" s="215"/>
      <c r="DW105" s="80">
        <f t="shared" si="157"/>
        <v>281</v>
      </c>
      <c r="DX105" s="81">
        <f t="shared" si="131"/>
        <v>302.07236842105266</v>
      </c>
      <c r="DY105" s="80">
        <f t="shared" si="158"/>
        <v>284</v>
      </c>
      <c r="DZ105" s="82">
        <f t="shared" si="159"/>
        <v>0.42559999999999998</v>
      </c>
      <c r="EA105" s="82">
        <f t="shared" si="160"/>
        <v>16.8416</v>
      </c>
      <c r="EB105" s="82">
        <f t="shared" si="161"/>
        <v>6.3583999999999996</v>
      </c>
      <c r="EC105" s="82">
        <f t="shared" si="178"/>
        <v>6.7839999999999998</v>
      </c>
      <c r="EF105" s="83">
        <f t="shared" si="190"/>
        <v>21.072368421052637</v>
      </c>
    </row>
    <row r="106" spans="1:136" ht="14.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2"/>
        <v>SSSUS316L-T2.2x0.78x2.5-H9A08</v>
      </c>
      <c r="H106" s="219" t="str">
        <f t="shared" si="133"/>
        <v>SUS316LSS2.20.78TH9</v>
      </c>
      <c r="I106" s="219" t="str">
        <f t="shared" si="134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5"/>
        <v>10</v>
      </c>
      <c r="T106" s="51">
        <v>0</v>
      </c>
      <c r="U106" s="222"/>
      <c r="V106" s="223">
        <v>7.2999999999999995E-2</v>
      </c>
      <c r="W106" s="224">
        <f>IF(V106="","",INT((AO106+BI106)/$V106))</f>
        <v>0</v>
      </c>
      <c r="X106" s="224">
        <f t="shared" si="115"/>
        <v>0</v>
      </c>
      <c r="Y106" s="224">
        <f t="shared" si="116"/>
        <v>0</v>
      </c>
      <c r="Z106" s="224">
        <f t="shared" si="117"/>
        <v>0</v>
      </c>
      <c r="AA106" s="224">
        <f t="shared" si="118"/>
        <v>0</v>
      </c>
      <c r="AB106" s="224">
        <f t="shared" si="119"/>
        <v>0</v>
      </c>
      <c r="AC106" s="224">
        <f t="shared" si="120"/>
        <v>0</v>
      </c>
      <c r="AD106" s="224">
        <f t="shared" si="121"/>
        <v>0</v>
      </c>
      <c r="AE106" s="224">
        <f t="shared" si="136"/>
        <v>0</v>
      </c>
      <c r="AF106" s="54">
        <f>AE106+'03.02'!AF106</f>
        <v>0</v>
      </c>
      <c r="AG106" s="94">
        <f t="shared" si="162"/>
        <v>0</v>
      </c>
      <c r="AH106" s="56">
        <f t="shared" si="137"/>
        <v>0</v>
      </c>
      <c r="AI106" s="224"/>
      <c r="AJ106" s="93">
        <f t="shared" si="163"/>
        <v>0</v>
      </c>
      <c r="AK106" s="225">
        <f t="shared" si="189"/>
        <v>1</v>
      </c>
      <c r="AL106" s="58">
        <f t="shared" si="174"/>
        <v>0</v>
      </c>
      <c r="AM106" s="55">
        <f t="shared" si="164"/>
        <v>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39"/>
        <v>0</v>
      </c>
      <c r="AV106" s="226">
        <f t="shared" si="139"/>
        <v>0</v>
      </c>
      <c r="AW106" s="226">
        <f t="shared" si="140"/>
        <v>0</v>
      </c>
      <c r="AX106" s="226">
        <f t="shared" si="141"/>
        <v>0</v>
      </c>
      <c r="AY106" s="227">
        <f t="shared" si="165"/>
        <v>0</v>
      </c>
      <c r="AZ106" s="227">
        <f t="shared" si="142"/>
        <v>0</v>
      </c>
      <c r="BA106" s="94">
        <f t="shared" si="171"/>
        <v>0</v>
      </c>
      <c r="BB106" s="228">
        <f t="shared" si="172"/>
        <v>0</v>
      </c>
      <c r="BC106" s="224"/>
      <c r="BD106" s="93">
        <f t="shared" si="143"/>
        <v>0</v>
      </c>
      <c r="BE106" s="225">
        <f t="shared" si="144"/>
        <v>1</v>
      </c>
      <c r="BF106" s="58">
        <f t="shared" si="175"/>
        <v>0</v>
      </c>
      <c r="BG106" s="94">
        <f t="shared" si="145"/>
        <v>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91"/>
        <v>0</v>
      </c>
      <c r="BP106" s="222">
        <f t="shared" si="191"/>
        <v>0</v>
      </c>
      <c r="BQ106" s="226">
        <f t="shared" si="146"/>
        <v>0</v>
      </c>
      <c r="BR106" s="226">
        <f t="shared" si="147"/>
        <v>0</v>
      </c>
      <c r="BS106" s="226">
        <f t="shared" si="167"/>
        <v>0</v>
      </c>
      <c r="BT106" s="226">
        <f t="shared" si="148"/>
        <v>0</v>
      </c>
      <c r="BU106" s="222">
        <f t="shared" si="122"/>
        <v>0</v>
      </c>
      <c r="BV106" s="229">
        <f t="shared" si="168"/>
        <v>0</v>
      </c>
      <c r="BW106" s="222">
        <f t="shared" si="123"/>
        <v>0</v>
      </c>
      <c r="BX106" s="229" t="str">
        <f t="shared" si="149"/>
        <v/>
      </c>
      <c r="BY106" s="229">
        <f t="shared" si="173"/>
        <v>0</v>
      </c>
      <c r="BZ106" s="62">
        <f t="shared" si="150"/>
        <v>0</v>
      </c>
      <c r="CA106" s="229">
        <f t="shared" si="151"/>
        <v>0</v>
      </c>
      <c r="CB106" s="222">
        <f t="shared" si="124"/>
        <v>0</v>
      </c>
      <c r="CC106" s="222">
        <f t="shared" si="124"/>
        <v>0</v>
      </c>
      <c r="CD106" s="222">
        <f t="shared" si="124"/>
        <v>0</v>
      </c>
      <c r="CE106" s="230"/>
      <c r="CF106" s="230"/>
      <c r="CG106" s="229">
        <f t="shared" si="152"/>
        <v>0</v>
      </c>
      <c r="CH106" s="62">
        <f t="shared" si="153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88"/>
        <v>0</v>
      </c>
      <c r="CR106" s="222">
        <f t="shared" si="188"/>
        <v>0</v>
      </c>
      <c r="CS106" s="222">
        <f t="shared" si="188"/>
        <v>0</v>
      </c>
      <c r="CT106" s="222">
        <f t="shared" si="154"/>
        <v>0</v>
      </c>
      <c r="CU106" s="222">
        <f t="shared" si="192"/>
        <v>0</v>
      </c>
      <c r="CV106" s="222">
        <f t="shared" si="192"/>
        <v>0</v>
      </c>
      <c r="CW106" s="218"/>
      <c r="CX106" s="218">
        <v>43</v>
      </c>
      <c r="CY106" s="222">
        <f t="shared" si="155"/>
        <v>962</v>
      </c>
      <c r="CZ106" s="222">
        <f t="shared" si="156"/>
        <v>348.3</v>
      </c>
      <c r="DA106" s="222"/>
      <c r="DB106" s="222"/>
      <c r="DC106" s="218"/>
      <c r="DD106" s="218"/>
      <c r="DE106" s="222">
        <f t="shared" si="125"/>
        <v>0</v>
      </c>
      <c r="DF106" s="231">
        <f t="shared" si="126"/>
        <v>0</v>
      </c>
      <c r="DG106" s="115">
        <f t="shared" si="127"/>
        <v>0</v>
      </c>
      <c r="DH106" s="232">
        <f t="shared" si="128"/>
        <v>0</v>
      </c>
      <c r="DI106" s="231">
        <f t="shared" si="129"/>
        <v>0</v>
      </c>
      <c r="DJ106" s="183">
        <f t="shared" si="130"/>
        <v>0</v>
      </c>
      <c r="DK106" s="232">
        <f t="shared" si="181"/>
        <v>0</v>
      </c>
      <c r="DL106" s="231">
        <f t="shared" si="181"/>
        <v>0</v>
      </c>
      <c r="DM106" s="183">
        <f t="shared" si="181"/>
        <v>0</v>
      </c>
      <c r="DN106" s="76">
        <f t="shared" si="182"/>
        <v>0</v>
      </c>
      <c r="DO106" s="76">
        <f t="shared" si="182"/>
        <v>0</v>
      </c>
      <c r="DP106" s="183"/>
      <c r="DQ106" s="183"/>
      <c r="DR106" s="184"/>
      <c r="DS106" s="183"/>
      <c r="DT106" s="183"/>
      <c r="DU106" s="183"/>
      <c r="DV106" s="186"/>
      <c r="DW106" s="80">
        <f t="shared" si="157"/>
        <v>0</v>
      </c>
      <c r="DX106" s="81">
        <f t="shared" si="131"/>
        <v>0</v>
      </c>
      <c r="DY106" s="80">
        <f t="shared" si="158"/>
        <v>0</v>
      </c>
      <c r="DZ106" s="82">
        <f t="shared" si="159"/>
        <v>0</v>
      </c>
      <c r="EA106" s="82">
        <f t="shared" si="160"/>
        <v>0</v>
      </c>
      <c r="EB106" s="82" t="e">
        <f t="shared" si="161"/>
        <v>#VALUE!</v>
      </c>
      <c r="EC106" s="82" t="e">
        <f t="shared" si="178"/>
        <v>#VALUE!</v>
      </c>
      <c r="EF106" s="83">
        <f t="shared" si="190"/>
        <v>0</v>
      </c>
    </row>
    <row r="107" spans="1:136" ht="15" customHeight="1">
      <c r="A107" s="301" t="s">
        <v>407</v>
      </c>
      <c r="B107" s="301"/>
      <c r="C107" s="301"/>
      <c r="D107" s="302"/>
      <c r="AF107" s="54">
        <f>AE107+'03.02'!AF107</f>
        <v>0</v>
      </c>
      <c r="AK107" s="233" t="str">
        <f t="shared" si="138"/>
        <v/>
      </c>
      <c r="AL107" s="58" t="str">
        <f t="shared" si="174"/>
        <v/>
      </c>
      <c r="BZ107" s="62">
        <f t="shared" si="150"/>
        <v>0</v>
      </c>
      <c r="CH107" s="62">
        <f t="shared" si="153"/>
        <v>0</v>
      </c>
    </row>
    <row r="108" spans="1:136" ht="0.75" customHeight="1">
      <c r="X108" s="234"/>
      <c r="AF108" s="54">
        <f>AE108+'03.02'!AF108</f>
        <v>0</v>
      </c>
      <c r="AL108" s="58" t="str">
        <f t="shared" si="174"/>
        <v/>
      </c>
      <c r="BZ108" s="62">
        <f t="shared" si="150"/>
        <v>0</v>
      </c>
      <c r="CH108" s="62">
        <f t="shared" si="153"/>
        <v>0</v>
      </c>
    </row>
    <row r="109" spans="1:136">
      <c r="AF109" s="235"/>
      <c r="BZ109" s="62"/>
      <c r="CH109" s="62"/>
    </row>
    <row r="110" spans="1:136">
      <c r="A110">
        <v>37</v>
      </c>
      <c r="B110" t="s">
        <v>244</v>
      </c>
      <c r="D110" s="143" t="s">
        <v>245</v>
      </c>
      <c r="E110">
        <v>172</v>
      </c>
      <c r="F110" t="s">
        <v>136</v>
      </c>
      <c r="G110" t="s">
        <v>482</v>
      </c>
      <c r="H110" t="s">
        <v>483</v>
      </c>
      <c r="I110" t="s">
        <v>484</v>
      </c>
      <c r="J110" t="s">
        <v>226</v>
      </c>
      <c r="K110" t="s">
        <v>227</v>
      </c>
      <c r="L110">
        <v>4</v>
      </c>
      <c r="M110">
        <v>0</v>
      </c>
      <c r="N110" t="s">
        <v>128</v>
      </c>
      <c r="O110" t="s">
        <v>131</v>
      </c>
      <c r="P110">
        <v>3</v>
      </c>
      <c r="Q110">
        <v>0.29599999999999999</v>
      </c>
      <c r="R110" t="s">
        <v>246</v>
      </c>
      <c r="S110">
        <v>38</v>
      </c>
      <c r="T110">
        <v>24</v>
      </c>
      <c r="V110">
        <v>0.82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s="54">
        <v>4849</v>
      </c>
      <c r="AG110">
        <v>24</v>
      </c>
      <c r="AH110">
        <v>0</v>
      </c>
      <c r="AJ110">
        <v>0</v>
      </c>
      <c r="AK110">
        <v>1</v>
      </c>
      <c r="AL110">
        <v>0</v>
      </c>
      <c r="AM110">
        <v>24</v>
      </c>
      <c r="AP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24</v>
      </c>
      <c r="BB110">
        <v>0</v>
      </c>
      <c r="BD110">
        <v>0</v>
      </c>
      <c r="BE110">
        <v>1</v>
      </c>
      <c r="BF110">
        <v>0</v>
      </c>
      <c r="BG110">
        <v>24</v>
      </c>
      <c r="BJ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H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147</v>
      </c>
      <c r="CX110">
        <v>12</v>
      </c>
      <c r="CY110">
        <v>3285</v>
      </c>
      <c r="CZ110">
        <v>48.6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24</v>
      </c>
      <c r="DO110">
        <v>0</v>
      </c>
      <c r="DR110" t="s">
        <v>441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F110">
        <v>0</v>
      </c>
    </row>
    <row r="111" spans="1:136">
      <c r="AF111" s="54"/>
    </row>
    <row r="112" spans="1:136">
      <c r="F112" s="218"/>
      <c r="G112" s="219"/>
      <c r="H112" s="219"/>
      <c r="I112" s="219"/>
      <c r="J112" s="220"/>
      <c r="K112" s="220"/>
      <c r="L112" s="220"/>
      <c r="M112" s="220"/>
      <c r="N112" s="220"/>
      <c r="O112" s="220"/>
      <c r="P112" s="220"/>
      <c r="Q112" s="221"/>
      <c r="R112" s="220"/>
    </row>
    <row r="113" spans="6:18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1319.41</v>
      </c>
      <c r="DO160" s="83">
        <f>SUM(DO8:DO106)</f>
        <v>909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8"/>
    <filterColumn colId="123"/>
    <filterColumn colId="132"/>
  </autoFilter>
  <mergeCells count="162"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A1:D1"/>
    <mergeCell ref="J1:DT1"/>
    <mergeCell ref="DU1:DV1"/>
    <mergeCell ref="A2:D2"/>
    <mergeCell ref="E2:U2"/>
    <mergeCell ref="CW2:DD2"/>
    <mergeCell ref="DE2:DG2"/>
    <mergeCell ref="DH2:DJ2"/>
    <mergeCell ref="DK2:DM2"/>
  </mergeCells>
  <conditionalFormatting sqref="AL8:AL985">
    <cfRule type="cellIs" dxfId="22" priority="3" operator="greaterThan">
      <formula>0</formula>
    </cfRule>
  </conditionalFormatting>
  <conditionalFormatting sqref="BF8:BF985">
    <cfRule type="cellIs" dxfId="21" priority="2" operator="greaterThan">
      <formula>0</formula>
    </cfRule>
  </conditionalFormatting>
  <conditionalFormatting sqref="CI8:CP985">
    <cfRule type="cellIs" dxfId="20" priority="1" operator="greaterThan">
      <formula>0</formula>
    </cfRule>
  </conditionalFormatting>
  <pageMargins left="0.33" right="0.22" top="0.38" bottom="0.4" header="0.31496062992126" footer="0.31496062992126"/>
  <pageSetup paperSize="9" orientation="portrait" verticalDpi="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EF163"/>
  <sheetViews>
    <sheetView workbookViewId="0">
      <pane xSplit="4" ySplit="7" topLeftCell="K17" activePane="bottomRight" state="frozen"/>
      <selection pane="topRight" activeCell="E1" sqref="E1"/>
      <selection pane="bottomLeft" activeCell="A8" sqref="A8"/>
      <selection pane="bottomRight" activeCell="Z25" sqref="Z25"/>
    </sheetView>
  </sheetViews>
  <sheetFormatPr defaultRowHeight="15"/>
  <cols>
    <col min="1" max="1" width="4.140625" customWidth="1"/>
    <col min="2" max="2" width="6.5703125" customWidth="1"/>
    <col min="3" max="3" width="9.140625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108" width="9.140625" customWidth="1"/>
    <col min="109" max="117" width="9" customWidth="1"/>
    <col min="118" max="118" width="7" customWidth="1"/>
    <col min="119" max="120" width="6.7109375" customWidth="1"/>
    <col min="121" max="121" width="7.42578125" customWidth="1"/>
    <col min="122" max="122" width="12.28515625" customWidth="1"/>
    <col min="123" max="123" width="6.7109375" customWidth="1"/>
    <col min="124" max="124" width="9.140625" customWidth="1"/>
    <col min="125" max="125" width="13.7109375" customWidth="1"/>
    <col min="126" max="126" width="10.7109375" customWidth="1"/>
    <col min="127" max="152" width="9.140625" customWidth="1"/>
  </cols>
  <sheetData>
    <row r="1" spans="1:136" s="3" customFormat="1" ht="27" customHeight="1" thickBot="1">
      <c r="A1" s="402" t="s">
        <v>490</v>
      </c>
      <c r="B1" s="402"/>
      <c r="C1" s="402"/>
      <c r="D1" s="402"/>
      <c r="E1" s="245"/>
      <c r="F1" s="245"/>
      <c r="G1" s="245"/>
      <c r="H1" s="245"/>
      <c r="I1" s="245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47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46" t="s">
        <v>124</v>
      </c>
      <c r="AK6" s="246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46" t="s">
        <v>124</v>
      </c>
      <c r="BE6" s="246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148475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customHeight="1" thickBot="1">
      <c r="A7" s="30"/>
      <c r="D7" s="32"/>
      <c r="Q7" s="33"/>
      <c r="S7" s="31">
        <f>SUMIF(S8:S106,"&gt;0")</f>
        <v>2812</v>
      </c>
      <c r="T7" s="31">
        <f>SUM(T8:T106)</f>
        <v>1421</v>
      </c>
      <c r="U7" s="31">
        <f>SUM(U8:U106)</f>
        <v>962</v>
      </c>
      <c r="W7" s="31">
        <f t="shared" ref="W7:AD7" si="0">SUM(W8:W777)</f>
        <v>2191</v>
      </c>
      <c r="X7" s="31">
        <f t="shared" si="0"/>
        <v>60314</v>
      </c>
      <c r="Y7" s="31">
        <f t="shared" si="0"/>
        <v>6006</v>
      </c>
      <c r="Z7" s="31">
        <f t="shared" si="0"/>
        <v>12255</v>
      </c>
      <c r="AA7" s="31">
        <f t="shared" si="0"/>
        <v>3678</v>
      </c>
      <c r="AB7" s="31">
        <f t="shared" si="0"/>
        <v>64031</v>
      </c>
      <c r="AC7" s="31">
        <f t="shared" si="0"/>
        <v>0</v>
      </c>
      <c r="AD7" s="31">
        <f t="shared" si="0"/>
        <v>2340</v>
      </c>
      <c r="AE7" s="31">
        <f>SUM(AE8:AE777)</f>
        <v>148475</v>
      </c>
      <c r="AF7" s="31">
        <f>SUM(AF8:AF249)</f>
        <v>658084</v>
      </c>
      <c r="AG7" s="31">
        <f t="shared" ref="AG7:CP7" si="1">SUM(AG8:AG285)</f>
        <v>1445</v>
      </c>
      <c r="AH7" s="31">
        <f t="shared" si="1"/>
        <v>1E-14</v>
      </c>
      <c r="AI7" s="31">
        <f t="shared" si="1"/>
        <v>558</v>
      </c>
      <c r="AJ7" s="31">
        <f t="shared" si="1"/>
        <v>1960</v>
      </c>
      <c r="AK7" s="31">
        <f t="shared" si="1"/>
        <v>96.064184962820562</v>
      </c>
      <c r="AL7" s="34">
        <f>SUM(AL8:AL285)</f>
        <v>553.1099999999999</v>
      </c>
      <c r="AM7" s="31">
        <f t="shared" si="1"/>
        <v>1868.89</v>
      </c>
      <c r="AN7" s="31">
        <f t="shared" si="1"/>
        <v>0</v>
      </c>
      <c r="AO7" s="31">
        <f t="shared" si="1"/>
        <v>21081.75</v>
      </c>
      <c r="AP7" s="31">
        <f t="shared" si="1"/>
        <v>132169.56</v>
      </c>
      <c r="AQ7" s="31">
        <f t="shared" si="1"/>
        <v>3622</v>
      </c>
      <c r="AR7" s="31">
        <f t="shared" si="1"/>
        <v>605</v>
      </c>
      <c r="AS7" s="31">
        <f t="shared" si="1"/>
        <v>3283</v>
      </c>
      <c r="AT7" s="31">
        <f t="shared" si="1"/>
        <v>21901.599999999999</v>
      </c>
      <c r="AU7" s="31">
        <f t="shared" si="1"/>
        <v>0</v>
      </c>
      <c r="AV7" s="31">
        <f t="shared" si="1"/>
        <v>3580</v>
      </c>
      <c r="AW7" s="31">
        <f t="shared" si="1"/>
        <v>186242.91</v>
      </c>
      <c r="AX7" s="31">
        <f t="shared" si="1"/>
        <v>71989</v>
      </c>
      <c r="AY7" s="31">
        <f t="shared" si="1"/>
        <v>-4378.8386999999948</v>
      </c>
      <c r="AZ7" s="31">
        <f t="shared" si="1"/>
        <v>-1277.163511113461</v>
      </c>
      <c r="BA7" s="31">
        <f t="shared" si="1"/>
        <v>1868.89</v>
      </c>
      <c r="BB7" s="31">
        <f t="shared" si="1"/>
        <v>4.8900000000000095</v>
      </c>
      <c r="BC7" s="31">
        <f t="shared" si="1"/>
        <v>558</v>
      </c>
      <c r="BD7" s="31">
        <f t="shared" si="1"/>
        <v>715</v>
      </c>
      <c r="BE7" s="31">
        <f t="shared" si="1"/>
        <v>99.727052937928022</v>
      </c>
      <c r="BF7" s="34">
        <f t="shared" si="1"/>
        <v>561.6400000000001</v>
      </c>
      <c r="BG7" s="31">
        <f t="shared" si="1"/>
        <v>1307.25</v>
      </c>
      <c r="BH7" s="31">
        <f t="shared" si="1"/>
        <v>0</v>
      </c>
      <c r="BI7" s="31">
        <f t="shared" si="1"/>
        <v>20606.25</v>
      </c>
      <c r="BJ7" s="31">
        <f t="shared" si="1"/>
        <v>129847.00000000001</v>
      </c>
      <c r="BK7" s="31">
        <f t="shared" si="1"/>
        <v>3766</v>
      </c>
      <c r="BL7" s="31">
        <f t="shared" si="1"/>
        <v>582</v>
      </c>
      <c r="BM7" s="31">
        <f t="shared" si="1"/>
        <v>4874</v>
      </c>
      <c r="BN7" s="31">
        <f t="shared" si="1"/>
        <v>29368</v>
      </c>
      <c r="BO7" s="31">
        <f t="shared" si="1"/>
        <v>0</v>
      </c>
      <c r="BP7" s="31">
        <f t="shared" si="1"/>
        <v>1813</v>
      </c>
      <c r="BQ7" s="31">
        <f t="shared" si="1"/>
        <v>190856.25</v>
      </c>
      <c r="BR7" s="31">
        <f t="shared" si="1"/>
        <v>78819</v>
      </c>
      <c r="BS7" s="31">
        <f t="shared" si="1"/>
        <v>-6931.3982999999953</v>
      </c>
      <c r="BT7" s="31">
        <f t="shared" si="1"/>
        <v>-1496.6151695002438</v>
      </c>
      <c r="BU7" s="31">
        <f t="shared" si="1"/>
        <v>148475</v>
      </c>
      <c r="BV7" s="34">
        <f t="shared" si="1"/>
        <v>1114.75</v>
      </c>
      <c r="BW7" s="31">
        <f t="shared" si="1"/>
        <v>-2773.7786806137042</v>
      </c>
      <c r="BX7" s="31">
        <f t="shared" si="1"/>
        <v>825.94768000000022</v>
      </c>
      <c r="BY7" s="34">
        <f t="shared" si="1"/>
        <v>1114.75</v>
      </c>
      <c r="BZ7" s="35">
        <f t="shared" si="1"/>
        <v>1114.75</v>
      </c>
      <c r="CA7" s="31">
        <f t="shared" si="1"/>
        <v>377.09915999999993</v>
      </c>
      <c r="CB7" s="31">
        <f t="shared" si="1"/>
        <v>150808</v>
      </c>
      <c r="CC7" s="31">
        <f t="shared" si="1"/>
        <v>-11310.23699999999</v>
      </c>
      <c r="CD7" s="31">
        <f t="shared" si="1"/>
        <v>-2773.7786806137042</v>
      </c>
      <c r="CE7" s="36">
        <f t="shared" si="1"/>
        <v>0</v>
      </c>
      <c r="CF7" s="36">
        <f t="shared" si="1"/>
        <v>0</v>
      </c>
      <c r="CG7" s="34">
        <f t="shared" si="1"/>
        <v>477.68952000000007</v>
      </c>
      <c r="CH7" s="35">
        <f t="shared" si="1"/>
        <v>477.68952000000007</v>
      </c>
      <c r="CI7" s="31">
        <f t="shared" si="1"/>
        <v>1960</v>
      </c>
      <c r="CJ7" s="31">
        <f t="shared" si="1"/>
        <v>182662.91</v>
      </c>
      <c r="CK7" s="31">
        <f t="shared" si="1"/>
        <v>0</v>
      </c>
      <c r="CL7" s="31">
        <f t="shared" si="1"/>
        <v>3580</v>
      </c>
      <c r="CM7" s="31">
        <f t="shared" si="1"/>
        <v>715</v>
      </c>
      <c r="CN7" s="31">
        <f t="shared" si="1"/>
        <v>189043.25</v>
      </c>
      <c r="CO7" s="31">
        <f t="shared" si="1"/>
        <v>0</v>
      </c>
      <c r="CP7" s="31">
        <f t="shared" si="1"/>
        <v>1813</v>
      </c>
      <c r="CQ7" s="31">
        <f t="shared" ref="CQ7:CV7" si="2">SUM(CQ8:CQ777)</f>
        <v>70590</v>
      </c>
      <c r="CR7" s="31">
        <f t="shared" si="2"/>
        <v>0</v>
      </c>
      <c r="CS7" s="31">
        <f t="shared" si="2"/>
        <v>1390</v>
      </c>
      <c r="CT7" s="31">
        <f t="shared" si="2"/>
        <v>77885</v>
      </c>
      <c r="CU7" s="31">
        <f t="shared" si="2"/>
        <v>0</v>
      </c>
      <c r="CV7" s="31">
        <f t="shared" si="2"/>
        <v>950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70590</v>
      </c>
      <c r="DF7" s="38">
        <f t="shared" si="4"/>
        <v>553.1099999999999</v>
      </c>
      <c r="DG7" s="37">
        <f t="shared" si="4"/>
        <v>-1277.163511113461</v>
      </c>
      <c r="DH7" s="37">
        <f t="shared" si="4"/>
        <v>77885</v>
      </c>
      <c r="DI7" s="38">
        <f t="shared" si="4"/>
        <v>561.6400000000001</v>
      </c>
      <c r="DJ7" s="37">
        <f t="shared" si="4"/>
        <v>-1496.6151695002438</v>
      </c>
      <c r="DK7" s="37">
        <f t="shared" si="4"/>
        <v>148475</v>
      </c>
      <c r="DL7" s="38">
        <f t="shared" si="4"/>
        <v>1114.75</v>
      </c>
      <c r="DM7" s="37">
        <f t="shared" si="4"/>
        <v>-2773.7786806137042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f>'04.02'!BG8</f>
        <v>15</v>
      </c>
      <c r="U8" s="52"/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0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0</v>
      </c>
      <c r="AE8" s="53">
        <f>IF(V8="","",SUM(W8:AC8))</f>
        <v>0</v>
      </c>
      <c r="AF8" s="54">
        <f>AE8+'04.02'!AF8</f>
        <v>148</v>
      </c>
      <c r="AG8" s="55">
        <f>T8</f>
        <v>15</v>
      </c>
      <c r="AH8" s="56">
        <f t="shared" ref="AH8:AH72" si="13">IFERROR(VALUE("0"&amp;RIGHT(AG8,(LEN(AG8)-LEN(TRUNC(AG8))))),"")</f>
        <v>0</v>
      </c>
      <c r="AI8" s="53"/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0</v>
      </c>
      <c r="AM8" s="55">
        <f>IF(V8="","",AG8+U8-AL8)</f>
        <v>15</v>
      </c>
      <c r="AN8" s="53"/>
      <c r="AO8" s="59"/>
      <c r="AP8" s="59">
        <f t="shared" ref="AP8:AP13" si="14">$CJ8</f>
        <v>0</v>
      </c>
      <c r="AQ8" s="59"/>
      <c r="AR8" s="59"/>
      <c r="AS8" s="59"/>
      <c r="AT8" s="59"/>
      <c r="AU8" s="59">
        <f>CK8</f>
        <v>0</v>
      </c>
      <c r="AV8" s="59">
        <f>CL8</f>
        <v>0</v>
      </c>
      <c r="AW8" s="59">
        <f>SUM(AO8:AV8)</f>
        <v>0</v>
      </c>
      <c r="AX8" s="59">
        <f>IF(V8="","",INT(AW8/$V8))</f>
        <v>0</v>
      </c>
      <c r="AY8" s="55">
        <f>IF(V8="","",AW8-AL8*$E8*$V8)</f>
        <v>0</v>
      </c>
      <c r="AZ8" s="59">
        <f>IF($V8="","",AY8/$V8)</f>
        <v>0</v>
      </c>
      <c r="BA8" s="55">
        <f>AM8</f>
        <v>15</v>
      </c>
      <c r="BB8" s="60">
        <f>VALUE("0"&amp;RIGHT(BA8,(LEN(BA8)-LEN(TRUNC(BA8)))))</f>
        <v>0</v>
      </c>
      <c r="BC8" s="53"/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0</v>
      </c>
      <c r="BG8" s="55">
        <f>IF(AA8="","",BA8-BF8)</f>
        <v>15</v>
      </c>
      <c r="BH8" s="44"/>
      <c r="BI8" s="44"/>
      <c r="BJ8" s="52">
        <f t="shared" ref="BJ8:BJ13" si="15">$CN8</f>
        <v>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0</v>
      </c>
      <c r="BR8" s="59">
        <f>IF(AA8="","",INT(BQ8/$V8))</f>
        <v>0</v>
      </c>
      <c r="BS8" s="59">
        <f>IF(AA8="","",-BF8*$E8*$V8+BQ8)</f>
        <v>0</v>
      </c>
      <c r="BT8" s="59">
        <f>IF($V8="","",BS8/$V8)</f>
        <v>0</v>
      </c>
      <c r="BU8" s="52">
        <f t="shared" ref="BU8:BU71" si="16">IFERROR(AE8,"")</f>
        <v>0</v>
      </c>
      <c r="BV8" s="61">
        <f t="shared" ref="BV8:BV73" si="17">IFERROR(BF8+AL8,"")</f>
        <v>0</v>
      </c>
      <c r="BW8" s="52">
        <f t="shared" ref="BW8:BW71" si="18">IFERROR(BT8+AZ8,"")</f>
        <v>0</v>
      </c>
      <c r="BX8" s="61">
        <f>IF($Q8="","",(BF8+AL8)*$Q8)</f>
        <v>0</v>
      </c>
      <c r="BY8" s="61">
        <f>IFERROR(BF8+AL8,0)</f>
        <v>0</v>
      </c>
      <c r="BZ8" s="62">
        <f>BY8</f>
        <v>0</v>
      </c>
      <c r="CA8" s="51">
        <f>IFERROR((BQ8+AW8)/1000,"")</f>
        <v>0</v>
      </c>
      <c r="CB8" s="63">
        <f t="shared" ref="CB8:CD39" si="19">IFERROR(BR8+AX8,"")</f>
        <v>0</v>
      </c>
      <c r="CC8" s="63">
        <f t="shared" si="19"/>
        <v>0</v>
      </c>
      <c r="CD8" s="63">
        <f t="shared" si="19"/>
        <v>0</v>
      </c>
      <c r="CE8" s="64"/>
      <c r="CF8" s="64"/>
      <c r="CG8" s="51">
        <f>IF(BX8="",0,(BX8-CA8)+((AV8+BP8)/1000))</f>
        <v>0</v>
      </c>
      <c r="CH8" s="62">
        <f>CG8</f>
        <v>0</v>
      </c>
      <c r="CI8" s="44"/>
      <c r="CJ8" s="44"/>
      <c r="CK8" s="44"/>
      <c r="CL8" s="59"/>
      <c r="CM8" s="44"/>
      <c r="CN8" s="44"/>
      <c r="CO8" s="52"/>
      <c r="CP8" s="65"/>
      <c r="CQ8" s="66">
        <f>INT(IFERROR( CJ8/$V8,0))</f>
        <v>0</v>
      </c>
      <c r="CR8" s="66">
        <f t="shared" ref="CR8:CS23" si="20">INT(IFERROR( CK8/$V8,0))</f>
        <v>0</v>
      </c>
      <c r="CS8" s="66">
        <f t="shared" si="20"/>
        <v>0</v>
      </c>
      <c r="CT8" s="63">
        <f>INT(IFERROR( AE8-CQ8-CU8-CR8,0))</f>
        <v>0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0</v>
      </c>
      <c r="DF8" s="72">
        <f t="shared" ref="DF8:DF71" si="22">IFERROR(AL8,"")</f>
        <v>0</v>
      </c>
      <c r="DG8" s="73">
        <f t="shared" ref="DG8:DG71" si="23">IFERROR(AZ8,"")</f>
        <v>0</v>
      </c>
      <c r="DH8" s="74">
        <f t="shared" ref="DH8:DH71" si="24">IFERROR(CT8+CU8,"")</f>
        <v>0</v>
      </c>
      <c r="DI8" s="72">
        <f t="shared" ref="DI8:DI71" si="25">IFERROR(BF8,"")</f>
        <v>0</v>
      </c>
      <c r="DJ8" s="73">
        <f t="shared" ref="DJ8:DJ71" si="26">IFERROR(BT8,"")</f>
        <v>0</v>
      </c>
      <c r="DK8" s="74">
        <f t="shared" ref="DK8:DM23" si="27">IFERROR(DE8+DH8,"")</f>
        <v>0</v>
      </c>
      <c r="DL8" s="72">
        <f t="shared" si="27"/>
        <v>0</v>
      </c>
      <c r="DM8" s="75">
        <f t="shared" si="27"/>
        <v>0</v>
      </c>
      <c r="DN8" s="76">
        <f t="shared" ref="DN8:DO25" si="28">T8</f>
        <v>15</v>
      </c>
      <c r="DO8" s="73">
        <f>U8</f>
        <v>0</v>
      </c>
      <c r="DP8" s="77"/>
      <c r="DQ8" s="77"/>
      <c r="DR8" s="78" t="s">
        <v>417</v>
      </c>
      <c r="DS8" s="77"/>
      <c r="DT8" s="77"/>
      <c r="DU8" s="75"/>
      <c r="DV8" s="79"/>
      <c r="DW8" s="80">
        <f>IFERROR(AL8+BC8,"")</f>
        <v>0</v>
      </c>
      <c r="DX8" s="81">
        <f t="shared" ref="DX8:DX71" si="29">IFERROR(DK8+DL8+DM8,"")</f>
        <v>0</v>
      </c>
      <c r="DY8" s="80">
        <f>CQ8+CR8+CS8+CT8+CU8+CV8</f>
        <v>0</v>
      </c>
      <c r="DZ8">
        <f>IFERROR((AD8*V8/1000),0)</f>
        <v>0</v>
      </c>
      <c r="EA8" s="82">
        <f>IFERROR((AE8*V8/1000),0)</f>
        <v>0</v>
      </c>
      <c r="EB8" s="82">
        <f>BX8-EA8</f>
        <v>0</v>
      </c>
      <c r="EC8" s="82">
        <f t="shared" ref="EC8:EC13" si="30">(BX8-CA8)+((AV8+BP8)/1000)</f>
        <v>0</v>
      </c>
      <c r="EF8" s="83">
        <f>DG8+DJ8</f>
        <v>0</v>
      </c>
    </row>
    <row r="9" spans="1:136" ht="15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1">CONCATENATE(K9,J9,"-",IF(N9="D",L9,IF(N9="H",CONCATENATE(N9,L9),CONCATENATE(N9,L9,"x",M9))),"x",P9,"-",O9,R9)</f>
        <v>TV12L14-10x2.5-H9A14</v>
      </c>
      <c r="H9" s="46" t="str">
        <f t="shared" ref="H9:H72" si="32">CONCATENATE(J9,,K9,L9,M9,N9,O9)</f>
        <v>12L14TV100DH9</v>
      </c>
      <c r="I9" s="46" t="str">
        <f t="shared" ref="I9:I72" si="33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4">ROUND(CY9/E9,0)*2</f>
        <v>70</v>
      </c>
      <c r="T9" s="51">
        <f>'04.02'!BG9</f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5">IF(V9="","",SUM(W9:AC9))</f>
        <v>0</v>
      </c>
      <c r="AF9" s="54">
        <f>AE9+'04.02'!AF9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6">IF(V9="","",IF(AJ9=0,1,AJ9/$V9/$E9))</f>
        <v>1</v>
      </c>
      <c r="AL9" s="58">
        <f t="shared" ref="AL9:AL75" si="37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8">CL9</f>
        <v>0</v>
      </c>
      <c r="AW9" s="96">
        <f t="shared" ref="AW9:AW72" si="39">SUM(AO9:AV9)</f>
        <v>0</v>
      </c>
      <c r="AX9" s="96">
        <f t="shared" ref="AX9:AX72" si="40">IF(V9="","",INT(AW9/$V9))</f>
        <v>0</v>
      </c>
      <c r="AY9" s="94">
        <f>IF(V9="","",AW9-AL9*$E9*$V9)</f>
        <v>0</v>
      </c>
      <c r="AZ9" s="94">
        <f t="shared" ref="AZ9:AZ72" si="41">IF($V9="","",AY9/$V9)</f>
        <v>0</v>
      </c>
      <c r="BA9" s="94">
        <f t="shared" ref="BA9:BA74" si="42">AM9</f>
        <v>0</v>
      </c>
      <c r="BB9" s="97">
        <f t="shared" ref="BB9:BB74" si="43">VALUE("0"&amp;RIGHT(BA9,(LEN(BA9)-LEN(TRUNC(BA9)))))</f>
        <v>0</v>
      </c>
      <c r="BC9" s="93"/>
      <c r="BD9" s="93">
        <f t="shared" ref="BD9:BD72" si="44">$CM9</f>
        <v>0</v>
      </c>
      <c r="BE9" s="95">
        <f t="shared" ref="BE9:BE72" si="45">IF(AA9="","",IF(BD9=0,1,BD9/$V9/$E9))</f>
        <v>1</v>
      </c>
      <c r="BF9" s="58">
        <f t="shared" ref="BF9:BF76" si="46">IF(V9="","",MAX(ROUNDUP((IF(BC9+BD9=0,0,BB9)+BC9+BE9-1),2),0))</f>
        <v>0</v>
      </c>
      <c r="BG9" s="94">
        <f t="shared" ref="BG9:BG72" si="47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8">SUM(BI9:BP9)</f>
        <v>0</v>
      </c>
      <c r="BR9" s="96">
        <f t="shared" ref="BR9:BR72" si="49">IF(AA9="","",INT(BQ9/$V9))</f>
        <v>0</v>
      </c>
      <c r="BS9" s="96">
        <f>IF(AA9="","",-BF9*$E9*$V9+BQ9)</f>
        <v>0</v>
      </c>
      <c r="BT9" s="96">
        <f t="shared" ref="BT9:BT72" si="50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1">IF($Q9="","",(BF9+AL9)*$Q9)</f>
        <v>0</v>
      </c>
      <c r="BY9" s="61">
        <f>IFERROR(BF9+AL9,0)</f>
        <v>0</v>
      </c>
      <c r="BZ9" s="62">
        <f t="shared" ref="BZ9:BZ72" si="52">BY9</f>
        <v>0</v>
      </c>
      <c r="CA9" s="98">
        <f t="shared" ref="CA9:CA72" si="53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4">IF(BX9="",0,(BX9-CA9)+((AV9+BP9)/1000))</f>
        <v>0</v>
      </c>
      <c r="CH9" s="62">
        <f t="shared" ref="CH9:CH72" si="55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6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7">INT(IFERROR( AE9-CQ9-CU9-CR9,0))</f>
        <v>0</v>
      </c>
      <c r="CU9" s="92">
        <f t="shared" ref="CU9:CV24" si="58">INT(IFERROR( AC9-CR9,0))</f>
        <v>0</v>
      </c>
      <c r="CV9" s="103">
        <f t="shared" si="58"/>
        <v>0</v>
      </c>
      <c r="CW9" s="104"/>
      <c r="CX9" s="105">
        <v>67</v>
      </c>
      <c r="CY9" s="106">
        <f t="shared" ref="CY9:CY72" si="59">INT(60/CX9*60*(12-(CEILING((60/CX9*60*12)/E9,1)*IF(CW9="T",0.45,IF(CW9="",5,3))/60)))</f>
        <v>282</v>
      </c>
      <c r="CZ9" s="106">
        <f t="shared" ref="CZ9:CZ72" si="60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si="28"/>
        <v>0</v>
      </c>
      <c r="DO9" s="76">
        <f t="shared" si="28"/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1">IFERROR(BU9+BV9,"")</f>
        <v>0</v>
      </c>
      <c r="DX9" s="81">
        <f t="shared" si="29"/>
        <v>0</v>
      </c>
      <c r="DY9" s="80">
        <f t="shared" ref="DY9:DY72" si="62">CQ9+CR9+CS9+CT9+CU9+CV9</f>
        <v>0</v>
      </c>
      <c r="DZ9">
        <f t="shared" ref="DZ9:DZ72" si="63">IFERROR((AD9*V9/1000),0)</f>
        <v>0</v>
      </c>
      <c r="EA9" s="82">
        <f t="shared" ref="EA9:EA72" si="64">IFERROR((AE9*V9/1000),0)</f>
        <v>0</v>
      </c>
      <c r="EB9" s="82">
        <f t="shared" ref="EB9:EB72" si="65">BX9-EA9</f>
        <v>0</v>
      </c>
      <c r="EC9" s="82">
        <f t="shared" si="30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1"/>
        <v>GWA6063-T5-17x3-H9B15</v>
      </c>
      <c r="H10" s="46" t="str">
        <f t="shared" si="32"/>
        <v>A6063-T5GW170DH9</v>
      </c>
      <c r="I10" s="46" t="str">
        <f t="shared" si="33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4"/>
        <v>22</v>
      </c>
      <c r="T10" s="51">
        <f>'04.02'!BG10</f>
        <v>4</v>
      </c>
      <c r="U10" s="92"/>
      <c r="V10" s="89">
        <v>10.1</v>
      </c>
      <c r="W10" s="93">
        <f t="shared" si="5"/>
        <v>0</v>
      </c>
      <c r="X10" s="93">
        <f t="shared" si="6"/>
        <v>1158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34</v>
      </c>
      <c r="AE10" s="93">
        <f t="shared" si="35"/>
        <v>1158</v>
      </c>
      <c r="AF10" s="54">
        <f>AE10+'04.02'!AF10</f>
        <v>6038</v>
      </c>
      <c r="AG10" s="94">
        <f t="shared" ref="AG10:AG73" si="66">T10</f>
        <v>4</v>
      </c>
      <c r="AH10" s="56">
        <f t="shared" si="13"/>
        <v>0</v>
      </c>
      <c r="AI10" s="89">
        <v>8</v>
      </c>
      <c r="AJ10" s="93">
        <f t="shared" ref="AJ10:AJ73" si="67">$CI10</f>
        <v>0</v>
      </c>
      <c r="AK10" s="95">
        <f t="shared" si="36"/>
        <v>1</v>
      </c>
      <c r="AL10" s="58">
        <f t="shared" si="37"/>
        <v>8</v>
      </c>
      <c r="AM10" s="55">
        <f t="shared" ref="AM10:AM73" si="68">IF(V10="","",AG10+U10-AL10)</f>
        <v>-4</v>
      </c>
      <c r="AN10" s="93"/>
      <c r="AO10" s="96"/>
      <c r="AP10" s="96">
        <f t="shared" si="14"/>
        <v>5400</v>
      </c>
      <c r="AQ10" s="96"/>
      <c r="AR10" s="96"/>
      <c r="AS10" s="96"/>
      <c r="AT10" s="96"/>
      <c r="AU10" s="96">
        <f t="shared" si="38"/>
        <v>0</v>
      </c>
      <c r="AV10" s="96">
        <f t="shared" si="38"/>
        <v>255</v>
      </c>
      <c r="AW10" s="96">
        <f t="shared" si="39"/>
        <v>5655</v>
      </c>
      <c r="AX10" s="96">
        <f t="shared" si="40"/>
        <v>559</v>
      </c>
      <c r="AY10" s="94">
        <f t="shared" ref="AY10:AY73" si="69">IF(V10="","",AW10-AL10*$E10*$V10)</f>
        <v>-1</v>
      </c>
      <c r="AZ10" s="94">
        <f t="shared" si="41"/>
        <v>-9.9009900990099015E-2</v>
      </c>
      <c r="BA10" s="94">
        <f t="shared" si="42"/>
        <v>-4</v>
      </c>
      <c r="BB10" s="97">
        <f t="shared" si="43"/>
        <v>0</v>
      </c>
      <c r="BC10" s="93">
        <v>9</v>
      </c>
      <c r="BD10" s="93">
        <f t="shared" si="44"/>
        <v>0</v>
      </c>
      <c r="BE10" s="95">
        <f t="shared" si="45"/>
        <v>1</v>
      </c>
      <c r="BF10" s="58">
        <f t="shared" si="46"/>
        <v>9</v>
      </c>
      <c r="BG10" s="94">
        <f t="shared" si="47"/>
        <v>-13</v>
      </c>
      <c r="BH10" s="89"/>
      <c r="BI10" s="89"/>
      <c r="BJ10" s="92">
        <f t="shared" si="15"/>
        <v>6300</v>
      </c>
      <c r="BK10" s="89"/>
      <c r="BL10" s="89"/>
      <c r="BM10" s="89"/>
      <c r="BN10" s="89"/>
      <c r="BO10" s="92">
        <f t="shared" ref="BO10:BP73" si="70">CO10</f>
        <v>0</v>
      </c>
      <c r="BP10" s="92">
        <f t="shared" si="70"/>
        <v>95</v>
      </c>
      <c r="BQ10" s="96">
        <f t="shared" si="48"/>
        <v>6395</v>
      </c>
      <c r="BR10" s="96">
        <f t="shared" si="49"/>
        <v>633</v>
      </c>
      <c r="BS10" s="96">
        <f t="shared" ref="BS10:BS73" si="71">IF(AA10="","",-BF10*$E10*$V10+BQ10)</f>
        <v>32</v>
      </c>
      <c r="BT10" s="96">
        <f t="shared" si="50"/>
        <v>3.1683168316831685</v>
      </c>
      <c r="BU10" s="92">
        <f t="shared" si="16"/>
        <v>1158</v>
      </c>
      <c r="BV10" s="98">
        <f t="shared" si="17"/>
        <v>17</v>
      </c>
      <c r="BW10" s="92">
        <f t="shared" si="18"/>
        <v>3.0693069306930694</v>
      </c>
      <c r="BX10" s="61">
        <f t="shared" si="51"/>
        <v>31.144000000000002</v>
      </c>
      <c r="BY10" s="61">
        <f>IFERROR(BF10+AL10,0)</f>
        <v>17</v>
      </c>
      <c r="BZ10" s="62">
        <f t="shared" si="52"/>
        <v>17</v>
      </c>
      <c r="CA10" s="98">
        <f t="shared" si="53"/>
        <v>12.05</v>
      </c>
      <c r="CB10" s="92">
        <f t="shared" si="19"/>
        <v>1192</v>
      </c>
      <c r="CC10" s="92">
        <f t="shared" si="19"/>
        <v>31</v>
      </c>
      <c r="CD10" s="92">
        <f t="shared" si="19"/>
        <v>3.0693069306930694</v>
      </c>
      <c r="CE10" s="99"/>
      <c r="CF10" s="99"/>
      <c r="CG10" s="51">
        <f t="shared" si="54"/>
        <v>19.444000000000003</v>
      </c>
      <c r="CH10" s="62">
        <f t="shared" si="55"/>
        <v>19.444000000000003</v>
      </c>
      <c r="CI10" s="89"/>
      <c r="CJ10" s="89">
        <v>5400</v>
      </c>
      <c r="CK10" s="89"/>
      <c r="CL10" s="96">
        <v>255</v>
      </c>
      <c r="CM10" s="89"/>
      <c r="CN10" s="89">
        <v>6300</v>
      </c>
      <c r="CO10" s="92"/>
      <c r="CP10" s="101">
        <v>95</v>
      </c>
      <c r="CQ10" s="102">
        <f t="shared" si="56"/>
        <v>534</v>
      </c>
      <c r="CR10" s="102">
        <f t="shared" si="20"/>
        <v>0</v>
      </c>
      <c r="CS10" s="102">
        <f t="shared" si="20"/>
        <v>25</v>
      </c>
      <c r="CT10" s="92">
        <f t="shared" si="57"/>
        <v>624</v>
      </c>
      <c r="CU10" s="92">
        <f t="shared" si="58"/>
        <v>0</v>
      </c>
      <c r="CV10" s="103">
        <f t="shared" si="58"/>
        <v>9</v>
      </c>
      <c r="CW10" s="104"/>
      <c r="CX10" s="105">
        <v>51</v>
      </c>
      <c r="CY10" s="106">
        <f t="shared" si="59"/>
        <v>770</v>
      </c>
      <c r="CZ10" s="106">
        <f t="shared" si="60"/>
        <v>413.1</v>
      </c>
      <c r="DA10" s="106"/>
      <c r="DB10" s="106"/>
      <c r="DC10" s="105"/>
      <c r="DD10" s="107"/>
      <c r="DE10" s="92">
        <f t="shared" si="21"/>
        <v>534</v>
      </c>
      <c r="DF10" s="108">
        <f t="shared" si="22"/>
        <v>8</v>
      </c>
      <c r="DG10" s="112">
        <f t="shared" si="23"/>
        <v>-9.9009900990099015E-2</v>
      </c>
      <c r="DH10" s="110">
        <f t="shared" si="24"/>
        <v>624</v>
      </c>
      <c r="DI10" s="108">
        <f t="shared" si="25"/>
        <v>9</v>
      </c>
      <c r="DJ10" s="115">
        <f t="shared" si="26"/>
        <v>3.1683168316831685</v>
      </c>
      <c r="DK10" s="110">
        <f t="shared" si="27"/>
        <v>1158</v>
      </c>
      <c r="DL10" s="108">
        <f t="shared" si="27"/>
        <v>17</v>
      </c>
      <c r="DM10" s="111">
        <f t="shared" si="27"/>
        <v>3.0693069306930694</v>
      </c>
      <c r="DN10" s="76">
        <f t="shared" si="28"/>
        <v>4</v>
      </c>
      <c r="DO10" s="76">
        <f t="shared" si="28"/>
        <v>0</v>
      </c>
      <c r="DP10" s="112"/>
      <c r="DQ10" s="112"/>
      <c r="DR10" s="113" t="s">
        <v>418</v>
      </c>
      <c r="DS10" s="112"/>
      <c r="DT10" s="112"/>
      <c r="DU10" s="111"/>
      <c r="DV10" s="114"/>
      <c r="DW10" s="80">
        <f>IFERROR(AL10+BF10,"")</f>
        <v>17</v>
      </c>
      <c r="DX10" s="81">
        <f t="shared" si="29"/>
        <v>1178.0693069306931</v>
      </c>
      <c r="DY10" s="80">
        <f t="shared" si="62"/>
        <v>1192</v>
      </c>
      <c r="DZ10">
        <f t="shared" si="63"/>
        <v>0.34339999999999998</v>
      </c>
      <c r="EA10" s="82">
        <f t="shared" si="64"/>
        <v>11.695799999999998</v>
      </c>
      <c r="EB10" s="82">
        <f t="shared" si="65"/>
        <v>19.448200000000003</v>
      </c>
      <c r="EC10" s="82">
        <f t="shared" si="30"/>
        <v>19.444000000000003</v>
      </c>
      <c r="EF10" s="83">
        <f t="shared" ref="EF10:EF11" si="72">DG10+DJ10</f>
        <v>3.0693069306930694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1"/>
        <v>TV12L14-11x2.5-H9C14</v>
      </c>
      <c r="H11" s="46" t="str">
        <f t="shared" si="32"/>
        <v>12L14TV110DH9</v>
      </c>
      <c r="I11" s="46" t="str">
        <f t="shared" si="33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4"/>
        <v>12</v>
      </c>
      <c r="T11" s="51">
        <f>'04.02'!BG11</f>
        <v>9</v>
      </c>
      <c r="U11" s="92">
        <v>11</v>
      </c>
      <c r="V11" s="89">
        <v>2</v>
      </c>
      <c r="W11" s="93">
        <f t="shared" si="5"/>
        <v>0</v>
      </c>
      <c r="X11" s="93">
        <f t="shared" si="6"/>
        <v>4242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12</v>
      </c>
      <c r="AE11" s="93">
        <f t="shared" si="35"/>
        <v>4242</v>
      </c>
      <c r="AF11" s="54">
        <f>AE11+'04.02'!AF11</f>
        <v>16745</v>
      </c>
      <c r="AG11" s="94">
        <f t="shared" si="66"/>
        <v>9</v>
      </c>
      <c r="AH11" s="56">
        <f t="shared" si="13"/>
        <v>0</v>
      </c>
      <c r="AI11" s="89">
        <v>8</v>
      </c>
      <c r="AJ11" s="93">
        <f t="shared" si="67"/>
        <v>370</v>
      </c>
      <c r="AK11" s="95">
        <f t="shared" si="36"/>
        <v>0.6537102473498233</v>
      </c>
      <c r="AL11" s="58">
        <f t="shared" si="37"/>
        <v>7.66</v>
      </c>
      <c r="AM11" s="55">
        <f t="shared" si="68"/>
        <v>12.34</v>
      </c>
      <c r="AN11" s="93"/>
      <c r="AO11" s="96"/>
      <c r="AP11" s="96">
        <f t="shared" si="14"/>
        <v>3984</v>
      </c>
      <c r="AQ11" s="96"/>
      <c r="AR11" s="96"/>
      <c r="AS11" s="96"/>
      <c r="AT11" s="96"/>
      <c r="AU11" s="96">
        <f t="shared" si="38"/>
        <v>0</v>
      </c>
      <c r="AV11" s="96">
        <f t="shared" si="38"/>
        <v>24</v>
      </c>
      <c r="AW11" s="96">
        <f t="shared" si="39"/>
        <v>4008</v>
      </c>
      <c r="AX11" s="96">
        <f t="shared" si="40"/>
        <v>2004</v>
      </c>
      <c r="AY11" s="94">
        <f t="shared" si="69"/>
        <v>-327.5600000000004</v>
      </c>
      <c r="AZ11" s="94">
        <f t="shared" si="41"/>
        <v>-163.7800000000002</v>
      </c>
      <c r="BA11" s="94">
        <f t="shared" si="42"/>
        <v>12.34</v>
      </c>
      <c r="BB11" s="97">
        <f t="shared" si="43"/>
        <v>0.34</v>
      </c>
      <c r="BC11" s="93">
        <v>8</v>
      </c>
      <c r="BD11" s="93">
        <f t="shared" si="44"/>
        <v>0</v>
      </c>
      <c r="BE11" s="95">
        <f t="shared" si="45"/>
        <v>1</v>
      </c>
      <c r="BF11" s="58">
        <f t="shared" si="46"/>
        <v>8.34</v>
      </c>
      <c r="BG11" s="94">
        <f t="shared" si="47"/>
        <v>4</v>
      </c>
      <c r="BH11" s="89"/>
      <c r="BI11" s="89"/>
      <c r="BJ11" s="92">
        <f t="shared" si="15"/>
        <v>4500</v>
      </c>
      <c r="BK11" s="89"/>
      <c r="BL11" s="89"/>
      <c r="BM11" s="89"/>
      <c r="BN11" s="89"/>
      <c r="BO11" s="92">
        <f t="shared" si="70"/>
        <v>0</v>
      </c>
      <c r="BP11" s="92">
        <f t="shared" si="70"/>
        <v>0</v>
      </c>
      <c r="BQ11" s="96">
        <f t="shared" si="48"/>
        <v>4500</v>
      </c>
      <c r="BR11" s="96">
        <f t="shared" si="49"/>
        <v>2250</v>
      </c>
      <c r="BS11" s="96">
        <f t="shared" si="71"/>
        <v>-220.4399999999996</v>
      </c>
      <c r="BT11" s="96">
        <f t="shared" si="50"/>
        <v>-110.2199999999998</v>
      </c>
      <c r="BU11" s="92">
        <f t="shared" si="16"/>
        <v>4242</v>
      </c>
      <c r="BV11" s="98">
        <f t="shared" si="17"/>
        <v>16</v>
      </c>
      <c r="BW11" s="92">
        <f t="shared" si="18"/>
        <v>-274</v>
      </c>
      <c r="BX11" s="98" t="str">
        <f t="shared" si="51"/>
        <v/>
      </c>
      <c r="BY11" s="61">
        <f t="shared" ref="BY11:BY73" si="73">IFERROR(BF11+AL11,0)</f>
        <v>16</v>
      </c>
      <c r="BZ11" s="62">
        <f t="shared" si="52"/>
        <v>16</v>
      </c>
      <c r="CA11" s="98">
        <f t="shared" si="53"/>
        <v>8.5079999999999991</v>
      </c>
      <c r="CB11" s="92">
        <f t="shared" si="19"/>
        <v>4254</v>
      </c>
      <c r="CC11" s="92">
        <f t="shared" si="19"/>
        <v>-548</v>
      </c>
      <c r="CD11" s="92">
        <f t="shared" si="19"/>
        <v>-274</v>
      </c>
      <c r="CE11" s="99"/>
      <c r="CF11" s="99"/>
      <c r="CG11" s="51">
        <f t="shared" si="54"/>
        <v>0</v>
      </c>
      <c r="CH11" s="62">
        <f t="shared" si="55"/>
        <v>0</v>
      </c>
      <c r="CI11" s="89">
        <v>370</v>
      </c>
      <c r="CJ11" s="89">
        <v>3984</v>
      </c>
      <c r="CK11" s="89"/>
      <c r="CL11" s="96">
        <v>24</v>
      </c>
      <c r="CM11" s="89"/>
      <c r="CN11" s="89">
        <v>4500</v>
      </c>
      <c r="CO11" s="92"/>
      <c r="CP11" s="101"/>
      <c r="CQ11" s="102">
        <f t="shared" si="56"/>
        <v>1992</v>
      </c>
      <c r="CR11" s="102">
        <f t="shared" si="20"/>
        <v>0</v>
      </c>
      <c r="CS11" s="102">
        <f t="shared" si="20"/>
        <v>12</v>
      </c>
      <c r="CT11" s="92">
        <f t="shared" si="57"/>
        <v>2250</v>
      </c>
      <c r="CU11" s="92">
        <f t="shared" si="58"/>
        <v>0</v>
      </c>
      <c r="CV11" s="103">
        <f t="shared" si="58"/>
        <v>0</v>
      </c>
      <c r="CW11" s="104"/>
      <c r="CX11" s="105">
        <v>25</v>
      </c>
      <c r="CY11" s="106">
        <f t="shared" si="59"/>
        <v>1644</v>
      </c>
      <c r="CZ11" s="106">
        <f t="shared" si="60"/>
        <v>202.5</v>
      </c>
      <c r="DA11" s="106"/>
      <c r="DB11" s="106"/>
      <c r="DC11" s="105"/>
      <c r="DD11" s="107"/>
      <c r="DE11" s="92">
        <f t="shared" si="21"/>
        <v>1992</v>
      </c>
      <c r="DF11" s="108">
        <f t="shared" si="22"/>
        <v>7.66</v>
      </c>
      <c r="DG11" s="112">
        <f t="shared" si="23"/>
        <v>-163.7800000000002</v>
      </c>
      <c r="DH11" s="110">
        <f t="shared" si="24"/>
        <v>2250</v>
      </c>
      <c r="DI11" s="108">
        <f t="shared" si="25"/>
        <v>8.34</v>
      </c>
      <c r="DJ11" s="112">
        <f t="shared" si="26"/>
        <v>-110.2199999999998</v>
      </c>
      <c r="DK11" s="110">
        <f t="shared" si="27"/>
        <v>4242</v>
      </c>
      <c r="DL11" s="108">
        <f t="shared" si="27"/>
        <v>16</v>
      </c>
      <c r="DM11" s="111">
        <f t="shared" si="27"/>
        <v>-274</v>
      </c>
      <c r="DN11" s="76">
        <f t="shared" si="28"/>
        <v>9</v>
      </c>
      <c r="DO11" s="76">
        <f t="shared" si="28"/>
        <v>11</v>
      </c>
      <c r="DP11" s="112"/>
      <c r="DQ11" s="112"/>
      <c r="DR11" s="113" t="s">
        <v>419</v>
      </c>
      <c r="DS11" s="112"/>
      <c r="DT11" s="112"/>
      <c r="DU11" s="111"/>
      <c r="DV11" s="114"/>
      <c r="DW11" s="80">
        <f t="shared" si="61"/>
        <v>4258</v>
      </c>
      <c r="DX11" s="81">
        <f t="shared" si="29"/>
        <v>3984</v>
      </c>
      <c r="DY11" s="80">
        <f t="shared" si="62"/>
        <v>4254</v>
      </c>
      <c r="DZ11" s="82">
        <f t="shared" si="63"/>
        <v>2.4E-2</v>
      </c>
      <c r="EA11" s="82">
        <f t="shared" si="64"/>
        <v>8.484</v>
      </c>
      <c r="EB11" s="82" t="e">
        <f t="shared" si="65"/>
        <v>#VALUE!</v>
      </c>
      <c r="EC11" s="82" t="e">
        <f t="shared" si="30"/>
        <v>#VALUE!</v>
      </c>
      <c r="EF11" s="83">
        <f t="shared" si="72"/>
        <v>-274</v>
      </c>
    </row>
    <row r="12" spans="1:136" ht="15" customHeight="1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1"/>
        <v>DCC3604-10x3-H9B12</v>
      </c>
      <c r="H12" s="46" t="str">
        <f t="shared" si="32"/>
        <v>C3604DC100DH9</v>
      </c>
      <c r="I12" s="46" t="str">
        <f t="shared" si="33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4"/>
        <v>26</v>
      </c>
      <c r="T12" s="51">
        <f>'04.02'!BG12</f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5"/>
        <v>0</v>
      </c>
      <c r="AF12" s="54">
        <f>AE12+'04.02'!AF12</f>
        <v>0</v>
      </c>
      <c r="AG12" s="94">
        <f t="shared" si="66"/>
        <v>0</v>
      </c>
      <c r="AH12" s="56">
        <f t="shared" si="13"/>
        <v>0</v>
      </c>
      <c r="AI12" s="89"/>
      <c r="AJ12" s="93">
        <f t="shared" si="67"/>
        <v>0</v>
      </c>
      <c r="AK12" s="95">
        <f t="shared" si="36"/>
        <v>1</v>
      </c>
      <c r="AL12" s="58">
        <f t="shared" si="37"/>
        <v>0</v>
      </c>
      <c r="AM12" s="55">
        <f t="shared" si="68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8"/>
        <v>0</v>
      </c>
      <c r="AV12" s="96">
        <f t="shared" si="38"/>
        <v>0</v>
      </c>
      <c r="AW12" s="96">
        <f t="shared" si="39"/>
        <v>0</v>
      </c>
      <c r="AX12" s="96">
        <f t="shared" si="40"/>
        <v>0</v>
      </c>
      <c r="AY12" s="94">
        <f t="shared" si="69"/>
        <v>0</v>
      </c>
      <c r="AZ12" s="94">
        <f t="shared" si="41"/>
        <v>0</v>
      </c>
      <c r="BA12" s="94">
        <f t="shared" si="42"/>
        <v>0</v>
      </c>
      <c r="BB12" s="97">
        <f t="shared" si="43"/>
        <v>0</v>
      </c>
      <c r="BC12" s="93"/>
      <c r="BD12" s="93">
        <f t="shared" si="44"/>
        <v>0</v>
      </c>
      <c r="BE12" s="95">
        <f t="shared" si="45"/>
        <v>1</v>
      </c>
      <c r="BF12" s="58">
        <f t="shared" si="46"/>
        <v>0</v>
      </c>
      <c r="BG12" s="94">
        <f t="shared" si="47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0"/>
        <v>0</v>
      </c>
      <c r="BP12" s="92">
        <f t="shared" si="70"/>
        <v>0</v>
      </c>
      <c r="BQ12" s="96">
        <f t="shared" si="48"/>
        <v>0</v>
      </c>
      <c r="BR12" s="96">
        <f t="shared" si="49"/>
        <v>0</v>
      </c>
      <c r="BS12" s="96">
        <f t="shared" si="71"/>
        <v>0</v>
      </c>
      <c r="BT12" s="96">
        <f t="shared" si="50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1"/>
        <v>0</v>
      </c>
      <c r="BY12" s="61">
        <f>IFERROR(BF12+AL12,0)</f>
        <v>0</v>
      </c>
      <c r="BZ12" s="62">
        <f t="shared" si="52"/>
        <v>0</v>
      </c>
      <c r="CA12" s="98">
        <f t="shared" si="53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4"/>
        <v>0</v>
      </c>
      <c r="CH12" s="62">
        <f t="shared" si="55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6"/>
        <v>0</v>
      </c>
      <c r="CR12" s="102">
        <f t="shared" si="20"/>
        <v>0</v>
      </c>
      <c r="CS12" s="102">
        <f t="shared" si="20"/>
        <v>0</v>
      </c>
      <c r="CT12" s="92">
        <f t="shared" si="57"/>
        <v>0</v>
      </c>
      <c r="CU12" s="92">
        <f t="shared" si="58"/>
        <v>0</v>
      </c>
      <c r="CV12" s="103">
        <f t="shared" si="58"/>
        <v>0</v>
      </c>
      <c r="CW12" s="104"/>
      <c r="CX12" s="105">
        <v>24</v>
      </c>
      <c r="CY12" s="106">
        <f t="shared" si="59"/>
        <v>1612</v>
      </c>
      <c r="CZ12" s="106">
        <f t="shared" si="60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28"/>
        <v>0</v>
      </c>
      <c r="DO12" s="76">
        <f t="shared" si="28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1"/>
        <v>0</v>
      </c>
      <c r="DX12" s="81">
        <f t="shared" si="29"/>
        <v>0</v>
      </c>
      <c r="DY12" s="80">
        <f t="shared" si="62"/>
        <v>0</v>
      </c>
      <c r="DZ12" s="82">
        <f t="shared" si="63"/>
        <v>0</v>
      </c>
      <c r="EA12" s="82">
        <f t="shared" si="64"/>
        <v>0</v>
      </c>
      <c r="EB12" s="82">
        <f t="shared" si="65"/>
        <v>0</v>
      </c>
      <c r="EC12" s="82">
        <f t="shared" si="30"/>
        <v>0</v>
      </c>
    </row>
    <row r="13" spans="1:136" ht="15" customHeight="1">
      <c r="A13" s="84">
        <v>6</v>
      </c>
      <c r="B13" s="85" t="s">
        <v>151</v>
      </c>
      <c r="C13" s="86"/>
      <c r="D13" s="117">
        <v>10620</v>
      </c>
      <c r="E13" s="88">
        <v>127</v>
      </c>
      <c r="F13" s="89" t="s">
        <v>128</v>
      </c>
      <c r="G13" s="45" t="str">
        <f t="shared" si="31"/>
        <v>DCC3604-10x3-H9B12</v>
      </c>
      <c r="H13" s="46" t="str">
        <f t="shared" si="32"/>
        <v>C3604DC100DH9</v>
      </c>
      <c r="I13" s="46" t="str">
        <f t="shared" si="33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4"/>
        <v>40</v>
      </c>
      <c r="T13" s="51">
        <f>'04.02'!BG13</f>
        <v>11</v>
      </c>
      <c r="U13" s="92">
        <v>24</v>
      </c>
      <c r="V13" s="89">
        <v>7.64</v>
      </c>
      <c r="W13" s="93">
        <f t="shared" si="5"/>
        <v>0</v>
      </c>
      <c r="X13" s="93">
        <f t="shared" si="6"/>
        <v>2077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188</v>
      </c>
      <c r="AE13" s="93">
        <f t="shared" si="35"/>
        <v>2077</v>
      </c>
      <c r="AF13" s="54">
        <f>AE13+'04.02'!AF13</f>
        <v>9410</v>
      </c>
      <c r="AG13" s="94">
        <f t="shared" si="66"/>
        <v>11</v>
      </c>
      <c r="AH13" s="56">
        <f t="shared" si="13"/>
        <v>0</v>
      </c>
      <c r="AI13" s="89">
        <v>8</v>
      </c>
      <c r="AJ13" s="93">
        <f t="shared" si="67"/>
        <v>550</v>
      </c>
      <c r="AK13" s="95">
        <f t="shared" si="36"/>
        <v>0.56684668343158684</v>
      </c>
      <c r="AL13" s="58">
        <f t="shared" si="37"/>
        <v>7.5699999999999994</v>
      </c>
      <c r="AM13" s="55">
        <f t="shared" si="68"/>
        <v>27.43</v>
      </c>
      <c r="AN13" s="93"/>
      <c r="AO13" s="96"/>
      <c r="AP13" s="96">
        <f t="shared" si="14"/>
        <v>7037</v>
      </c>
      <c r="AQ13" s="96"/>
      <c r="AR13" s="96"/>
      <c r="AS13" s="96"/>
      <c r="AT13" s="96"/>
      <c r="AU13" s="96">
        <f t="shared" si="38"/>
        <v>0</v>
      </c>
      <c r="AV13" s="96">
        <f t="shared" si="38"/>
        <v>488</v>
      </c>
      <c r="AW13" s="96">
        <f t="shared" si="39"/>
        <v>7525</v>
      </c>
      <c r="AX13" s="96">
        <f t="shared" si="40"/>
        <v>984</v>
      </c>
      <c r="AY13" s="94">
        <f t="shared" si="69"/>
        <v>179.98040000000128</v>
      </c>
      <c r="AZ13" s="94">
        <f t="shared" si="41"/>
        <v>23.557643979057762</v>
      </c>
      <c r="BA13" s="94">
        <f t="shared" si="42"/>
        <v>27.43</v>
      </c>
      <c r="BB13" s="97">
        <f t="shared" si="43"/>
        <v>0.43</v>
      </c>
      <c r="BC13" s="93">
        <v>10</v>
      </c>
      <c r="BD13" s="93">
        <f t="shared" si="44"/>
        <v>0</v>
      </c>
      <c r="BE13" s="95">
        <f t="shared" si="45"/>
        <v>1</v>
      </c>
      <c r="BF13" s="58">
        <f t="shared" si="46"/>
        <v>10.43</v>
      </c>
      <c r="BG13" s="94">
        <f t="shared" si="47"/>
        <v>17</v>
      </c>
      <c r="BH13" s="89"/>
      <c r="BI13" s="89"/>
      <c r="BJ13" s="92">
        <f t="shared" si="15"/>
        <v>8832</v>
      </c>
      <c r="BK13" s="89"/>
      <c r="BL13" s="89"/>
      <c r="BM13" s="89"/>
      <c r="BN13" s="89"/>
      <c r="BO13" s="92">
        <f t="shared" si="70"/>
        <v>0</v>
      </c>
      <c r="BP13" s="92">
        <f t="shared" si="70"/>
        <v>954</v>
      </c>
      <c r="BQ13" s="96">
        <f t="shared" si="48"/>
        <v>9786</v>
      </c>
      <c r="BR13" s="96">
        <f t="shared" si="49"/>
        <v>1280</v>
      </c>
      <c r="BS13" s="96">
        <f t="shared" si="71"/>
        <v>-334.02039999999943</v>
      </c>
      <c r="BT13" s="96">
        <f t="shared" si="50"/>
        <v>-43.719947643978983</v>
      </c>
      <c r="BU13" s="92">
        <f t="shared" si="16"/>
        <v>2077</v>
      </c>
      <c r="BV13" s="98">
        <f t="shared" si="17"/>
        <v>18</v>
      </c>
      <c r="BW13" s="92">
        <f t="shared" si="18"/>
        <v>-20.162303664921222</v>
      </c>
      <c r="BX13" s="98">
        <f t="shared" si="51"/>
        <v>36</v>
      </c>
      <c r="BY13" s="61">
        <f t="shared" si="73"/>
        <v>18</v>
      </c>
      <c r="BZ13" s="62">
        <f t="shared" si="52"/>
        <v>18</v>
      </c>
      <c r="CA13" s="98">
        <f t="shared" si="53"/>
        <v>17.311</v>
      </c>
      <c r="CB13" s="92">
        <f t="shared" si="19"/>
        <v>2264</v>
      </c>
      <c r="CC13" s="92">
        <f t="shared" si="19"/>
        <v>-154.03999999999814</v>
      </c>
      <c r="CD13" s="92">
        <f t="shared" si="19"/>
        <v>-20.162303664921222</v>
      </c>
      <c r="CE13" s="99"/>
      <c r="CF13" s="99"/>
      <c r="CG13" s="51">
        <f t="shared" si="54"/>
        <v>20.131</v>
      </c>
      <c r="CH13" s="62">
        <f t="shared" si="55"/>
        <v>20.131</v>
      </c>
      <c r="CI13" s="89">
        <v>550</v>
      </c>
      <c r="CJ13" s="89">
        <v>7037</v>
      </c>
      <c r="CK13" s="89"/>
      <c r="CL13" s="96">
        <v>488</v>
      </c>
      <c r="CM13" s="89"/>
      <c r="CN13" s="89">
        <v>8832</v>
      </c>
      <c r="CO13" s="92"/>
      <c r="CP13" s="101">
        <v>954</v>
      </c>
      <c r="CQ13" s="102">
        <f t="shared" si="56"/>
        <v>921</v>
      </c>
      <c r="CR13" s="102">
        <f t="shared" si="20"/>
        <v>0</v>
      </c>
      <c r="CS13" s="102">
        <f t="shared" si="20"/>
        <v>63</v>
      </c>
      <c r="CT13" s="92">
        <f t="shared" si="57"/>
        <v>1156</v>
      </c>
      <c r="CU13" s="92">
        <f t="shared" si="58"/>
        <v>0</v>
      </c>
      <c r="CV13" s="103">
        <f t="shared" si="58"/>
        <v>125</v>
      </c>
      <c r="CW13" s="104"/>
      <c r="CX13" s="105">
        <v>14</v>
      </c>
      <c r="CY13" s="106">
        <f t="shared" si="59"/>
        <v>2550</v>
      </c>
      <c r="CZ13" s="106">
        <f t="shared" si="60"/>
        <v>113.4</v>
      </c>
      <c r="DA13" s="106"/>
      <c r="DB13" s="106"/>
      <c r="DC13" s="105"/>
      <c r="DD13" s="107"/>
      <c r="DE13" s="92">
        <f t="shared" si="21"/>
        <v>921</v>
      </c>
      <c r="DF13" s="108">
        <f t="shared" si="22"/>
        <v>7.5699999999999994</v>
      </c>
      <c r="DG13" s="112">
        <f t="shared" si="23"/>
        <v>23.557643979057762</v>
      </c>
      <c r="DH13" s="110">
        <f t="shared" si="24"/>
        <v>1156</v>
      </c>
      <c r="DI13" s="108">
        <f t="shared" si="25"/>
        <v>10.43</v>
      </c>
      <c r="DJ13" s="112">
        <f t="shared" si="26"/>
        <v>-43.719947643978983</v>
      </c>
      <c r="DK13" s="110">
        <f t="shared" si="27"/>
        <v>2077</v>
      </c>
      <c r="DL13" s="108">
        <f t="shared" si="27"/>
        <v>18</v>
      </c>
      <c r="DM13" s="111">
        <f t="shared" si="27"/>
        <v>-20.162303664921222</v>
      </c>
      <c r="DN13" s="76">
        <f t="shared" si="28"/>
        <v>11</v>
      </c>
      <c r="DO13" s="76">
        <f t="shared" si="28"/>
        <v>24</v>
      </c>
      <c r="DP13" s="112"/>
      <c r="DQ13" s="112"/>
      <c r="DR13" s="113" t="s">
        <v>420</v>
      </c>
      <c r="DS13" s="112"/>
      <c r="DT13" s="112"/>
      <c r="DU13" s="111"/>
      <c r="DV13" s="114"/>
      <c r="DW13" s="80">
        <f t="shared" si="61"/>
        <v>2095</v>
      </c>
      <c r="DX13" s="81">
        <f t="shared" si="29"/>
        <v>2074.8376963350788</v>
      </c>
      <c r="DY13" s="80">
        <f t="shared" si="62"/>
        <v>2265</v>
      </c>
      <c r="DZ13" s="82">
        <f t="shared" si="63"/>
        <v>1.43632</v>
      </c>
      <c r="EA13" s="82">
        <f t="shared" si="64"/>
        <v>15.868279999999999</v>
      </c>
      <c r="EB13" s="82">
        <f t="shared" si="65"/>
        <v>20.131720000000001</v>
      </c>
      <c r="EC13" s="82">
        <f t="shared" si="30"/>
        <v>20.131</v>
      </c>
    </row>
    <row r="14" spans="1:136" ht="15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1"/>
        <v>IBC3602-7.5x3-H9A14</v>
      </c>
      <c r="H14" s="46" t="str">
        <f t="shared" si="32"/>
        <v>C3602IB7.50DH9</v>
      </c>
      <c r="I14" s="46" t="str">
        <f t="shared" si="33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4"/>
        <v>100</v>
      </c>
      <c r="T14" s="51">
        <f>'04.02'!BG14</f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5"/>
        <v>0</v>
      </c>
      <c r="AF14" s="54">
        <f>AE14+'04.02'!AF14</f>
        <v>0</v>
      </c>
      <c r="AG14" s="94">
        <f t="shared" si="66"/>
        <v>0</v>
      </c>
      <c r="AH14" s="56">
        <f t="shared" si="13"/>
        <v>0</v>
      </c>
      <c r="AI14" s="89"/>
      <c r="AJ14" s="93">
        <f t="shared" si="67"/>
        <v>0</v>
      </c>
      <c r="AK14" s="95">
        <f t="shared" si="36"/>
        <v>1</v>
      </c>
      <c r="AL14" s="58">
        <f t="shared" si="37"/>
        <v>0</v>
      </c>
      <c r="AM14" s="55">
        <f t="shared" si="68"/>
        <v>0</v>
      </c>
      <c r="AN14" s="93"/>
      <c r="AO14" s="96"/>
      <c r="AP14" s="96"/>
      <c r="AQ14" s="96"/>
      <c r="AR14" s="96"/>
      <c r="AS14" s="96"/>
      <c r="AT14" s="96">
        <f t="shared" ref="AT14" si="74">$CJ14</f>
        <v>0</v>
      </c>
      <c r="AU14" s="96">
        <f t="shared" si="38"/>
        <v>0</v>
      </c>
      <c r="AV14" s="96">
        <f t="shared" si="38"/>
        <v>0</v>
      </c>
      <c r="AW14" s="96">
        <f t="shared" si="39"/>
        <v>0</v>
      </c>
      <c r="AX14" s="96">
        <f t="shared" si="40"/>
        <v>0</v>
      </c>
      <c r="AY14" s="94">
        <f t="shared" si="69"/>
        <v>0</v>
      </c>
      <c r="AZ14" s="94">
        <f t="shared" si="41"/>
        <v>0</v>
      </c>
      <c r="BA14" s="94">
        <f t="shared" si="42"/>
        <v>0</v>
      </c>
      <c r="BB14" s="97">
        <f t="shared" si="43"/>
        <v>0</v>
      </c>
      <c r="BC14" s="93"/>
      <c r="BD14" s="93">
        <f t="shared" si="44"/>
        <v>0</v>
      </c>
      <c r="BE14" s="95">
        <f t="shared" si="45"/>
        <v>1</v>
      </c>
      <c r="BF14" s="58">
        <f t="shared" si="46"/>
        <v>0</v>
      </c>
      <c r="BG14" s="94">
        <f t="shared" si="47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0"/>
        <v>0</v>
      </c>
      <c r="BP14" s="92">
        <f t="shared" si="70"/>
        <v>0</v>
      </c>
      <c r="BQ14" s="96">
        <f t="shared" si="48"/>
        <v>0</v>
      </c>
      <c r="BR14" s="96">
        <f t="shared" si="49"/>
        <v>0</v>
      </c>
      <c r="BS14" s="96">
        <f t="shared" si="71"/>
        <v>0</v>
      </c>
      <c r="BT14" s="96">
        <f t="shared" si="50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1"/>
        <v>0</v>
      </c>
      <c r="BY14" s="61">
        <f t="shared" si="73"/>
        <v>0</v>
      </c>
      <c r="BZ14" s="62">
        <f t="shared" si="52"/>
        <v>0</v>
      </c>
      <c r="CA14" s="98">
        <f t="shared" si="53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4"/>
        <v>0</v>
      </c>
      <c r="CH14" s="62">
        <f t="shared" si="55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6"/>
        <v>0</v>
      </c>
      <c r="CR14" s="102">
        <f t="shared" si="20"/>
        <v>0</v>
      </c>
      <c r="CS14" s="102">
        <f t="shared" si="20"/>
        <v>0</v>
      </c>
      <c r="CT14" s="92">
        <f t="shared" si="57"/>
        <v>0</v>
      </c>
      <c r="CU14" s="92">
        <f t="shared" si="58"/>
        <v>0</v>
      </c>
      <c r="CV14" s="103">
        <f t="shared" si="58"/>
        <v>0</v>
      </c>
      <c r="CW14" s="104" t="s">
        <v>157</v>
      </c>
      <c r="CX14" s="105">
        <v>14</v>
      </c>
      <c r="CY14" s="106">
        <f t="shared" si="59"/>
        <v>2985</v>
      </c>
      <c r="CZ14" s="106">
        <f t="shared" si="60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28"/>
        <v>0</v>
      </c>
      <c r="DO14" s="76">
        <f t="shared" si="28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1"/>
        <v>0</v>
      </c>
      <c r="DX14" s="81">
        <f t="shared" si="29"/>
        <v>0</v>
      </c>
      <c r="DY14" s="80">
        <f t="shared" si="62"/>
        <v>0</v>
      </c>
      <c r="DZ14" s="82">
        <f t="shared" si="63"/>
        <v>0</v>
      </c>
      <c r="EA14" s="82">
        <f t="shared" si="64"/>
        <v>0</v>
      </c>
      <c r="EB14" s="82">
        <f t="shared" si="65"/>
        <v>0</v>
      </c>
      <c r="EC14" s="82">
        <f>(BX14-CA14)+((AV14+BP14)/1000)</f>
        <v>0</v>
      </c>
    </row>
    <row r="15" spans="1:136">
      <c r="A15" s="84">
        <v>8</v>
      </c>
      <c r="B15" s="85" t="s">
        <v>158</v>
      </c>
      <c r="C15" s="86"/>
      <c r="D15" s="87" t="s">
        <v>159</v>
      </c>
      <c r="E15" s="88">
        <v>30</v>
      </c>
      <c r="F15" s="89" t="s">
        <v>136</v>
      </c>
      <c r="G15" s="45" t="str">
        <f t="shared" si="31"/>
        <v>TV12L14-H6x2.5-H11A14</v>
      </c>
      <c r="H15" s="46" t="str">
        <f t="shared" si="32"/>
        <v>12L14TV60HH11</v>
      </c>
      <c r="I15" s="46" t="str">
        <f t="shared" si="33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4"/>
        <v>50</v>
      </c>
      <c r="T15" s="51">
        <f>'04.02'!BG15</f>
        <v>69</v>
      </c>
      <c r="U15" s="92"/>
      <c r="V15" s="89">
        <v>16.149999999999999</v>
      </c>
      <c r="W15" s="93">
        <f t="shared" si="5"/>
        <v>1233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33</v>
      </c>
      <c r="AE15" s="93">
        <f t="shared" si="35"/>
        <v>1233</v>
      </c>
      <c r="AF15" s="54">
        <f>AE15+'04.02'!AF15</f>
        <v>1881</v>
      </c>
      <c r="AG15" s="94">
        <f t="shared" si="66"/>
        <v>69</v>
      </c>
      <c r="AH15" s="56">
        <f t="shared" si="13"/>
        <v>0</v>
      </c>
      <c r="AI15" s="89">
        <v>17</v>
      </c>
      <c r="AJ15" s="93">
        <f t="shared" si="67"/>
        <v>0</v>
      </c>
      <c r="AK15" s="95">
        <f t="shared" si="36"/>
        <v>1</v>
      </c>
      <c r="AL15" s="58">
        <f t="shared" si="37"/>
        <v>17</v>
      </c>
      <c r="AM15" s="55">
        <f t="shared" si="68"/>
        <v>52</v>
      </c>
      <c r="AN15" s="93"/>
      <c r="AO15" s="96">
        <f>$CJ15</f>
        <v>7575</v>
      </c>
      <c r="AP15" s="96"/>
      <c r="AQ15" s="96"/>
      <c r="AR15" s="96"/>
      <c r="AS15" s="96"/>
      <c r="AT15" s="96"/>
      <c r="AU15" s="96">
        <f t="shared" si="38"/>
        <v>0</v>
      </c>
      <c r="AV15" s="96">
        <f t="shared" si="38"/>
        <v>543</v>
      </c>
      <c r="AW15" s="96">
        <f t="shared" si="39"/>
        <v>8118</v>
      </c>
      <c r="AX15" s="96">
        <f t="shared" si="40"/>
        <v>502</v>
      </c>
      <c r="AY15" s="94">
        <f t="shared" si="69"/>
        <v>-118.5</v>
      </c>
      <c r="AZ15" s="94">
        <f t="shared" si="41"/>
        <v>-7.3374613003095979</v>
      </c>
      <c r="BA15" s="94">
        <f t="shared" si="42"/>
        <v>52</v>
      </c>
      <c r="BB15" s="97">
        <f t="shared" si="43"/>
        <v>0</v>
      </c>
      <c r="BC15" s="93">
        <v>26</v>
      </c>
      <c r="BD15" s="93">
        <f t="shared" si="44"/>
        <v>0</v>
      </c>
      <c r="BE15" s="95">
        <f t="shared" si="45"/>
        <v>1</v>
      </c>
      <c r="BF15" s="58">
        <f t="shared" si="46"/>
        <v>26</v>
      </c>
      <c r="BG15" s="94">
        <f t="shared" si="47"/>
        <v>26</v>
      </c>
      <c r="BH15" s="89"/>
      <c r="BI15" s="92">
        <f>$CN15</f>
        <v>12351</v>
      </c>
      <c r="BJ15" s="89"/>
      <c r="BK15" s="89"/>
      <c r="BL15" s="89"/>
      <c r="BM15" s="89"/>
      <c r="BN15" s="89"/>
      <c r="BO15" s="92">
        <f t="shared" si="70"/>
        <v>0</v>
      </c>
      <c r="BP15" s="92">
        <f t="shared" si="70"/>
        <v>0</v>
      </c>
      <c r="BQ15" s="96">
        <f t="shared" si="48"/>
        <v>12351</v>
      </c>
      <c r="BR15" s="96">
        <f t="shared" si="49"/>
        <v>764</v>
      </c>
      <c r="BS15" s="96">
        <f t="shared" si="71"/>
        <v>-245.99999999999818</v>
      </c>
      <c r="BT15" s="96">
        <f t="shared" si="50"/>
        <v>-15.232198142414749</v>
      </c>
      <c r="BU15" s="92">
        <f t="shared" si="16"/>
        <v>1233</v>
      </c>
      <c r="BV15" s="98">
        <f t="shared" si="17"/>
        <v>43</v>
      </c>
      <c r="BW15" s="92">
        <f t="shared" si="18"/>
        <v>-22.569659442724348</v>
      </c>
      <c r="BX15" s="98">
        <f t="shared" si="51"/>
        <v>26.058</v>
      </c>
      <c r="BY15" s="61">
        <f t="shared" si="73"/>
        <v>43</v>
      </c>
      <c r="BZ15" s="62">
        <f t="shared" si="52"/>
        <v>43</v>
      </c>
      <c r="CA15" s="98">
        <f t="shared" si="53"/>
        <v>20.469000000000001</v>
      </c>
      <c r="CB15" s="92">
        <f t="shared" si="19"/>
        <v>1266</v>
      </c>
      <c r="CC15" s="92">
        <f t="shared" si="19"/>
        <v>-364.49999999999818</v>
      </c>
      <c r="CD15" s="92">
        <f t="shared" si="19"/>
        <v>-22.569659442724348</v>
      </c>
      <c r="CE15" s="99"/>
      <c r="CF15" s="99"/>
      <c r="CG15" s="51">
        <f t="shared" si="54"/>
        <v>6.1319999999999988</v>
      </c>
      <c r="CH15" s="62">
        <f t="shared" si="55"/>
        <v>6.1319999999999988</v>
      </c>
      <c r="CI15" s="89"/>
      <c r="CJ15" s="89">
        <v>7575</v>
      </c>
      <c r="CK15" s="89"/>
      <c r="CL15" s="96">
        <v>543</v>
      </c>
      <c r="CM15" s="89"/>
      <c r="CN15" s="89">
        <v>12351</v>
      </c>
      <c r="CO15" s="92"/>
      <c r="CP15" s="101"/>
      <c r="CQ15" s="102">
        <f t="shared" si="56"/>
        <v>469</v>
      </c>
      <c r="CR15" s="102">
        <f t="shared" si="20"/>
        <v>0</v>
      </c>
      <c r="CS15" s="102">
        <f t="shared" si="20"/>
        <v>33</v>
      </c>
      <c r="CT15" s="92">
        <f t="shared" si="57"/>
        <v>764</v>
      </c>
      <c r="CU15" s="92">
        <f t="shared" si="58"/>
        <v>0</v>
      </c>
      <c r="CV15" s="103">
        <f t="shared" si="58"/>
        <v>0</v>
      </c>
      <c r="CW15" s="104"/>
      <c r="CX15" s="105">
        <v>45</v>
      </c>
      <c r="CY15" s="106">
        <f t="shared" si="59"/>
        <v>746</v>
      </c>
      <c r="CZ15" s="106">
        <f t="shared" si="60"/>
        <v>364.5</v>
      </c>
      <c r="DA15" s="106"/>
      <c r="DB15" s="106"/>
      <c r="DC15" s="105"/>
      <c r="DD15" s="107"/>
      <c r="DE15" s="92">
        <f t="shared" si="21"/>
        <v>469</v>
      </c>
      <c r="DF15" s="108">
        <f t="shared" si="22"/>
        <v>17</v>
      </c>
      <c r="DG15" s="112">
        <f t="shared" si="23"/>
        <v>-7.3374613003095979</v>
      </c>
      <c r="DH15" s="110">
        <f t="shared" si="24"/>
        <v>764</v>
      </c>
      <c r="DI15" s="108">
        <f t="shared" si="25"/>
        <v>26</v>
      </c>
      <c r="DJ15" s="115">
        <f t="shared" si="26"/>
        <v>-15.232198142414749</v>
      </c>
      <c r="DK15" s="110">
        <f t="shared" si="27"/>
        <v>1233</v>
      </c>
      <c r="DL15" s="108">
        <f t="shared" si="27"/>
        <v>43</v>
      </c>
      <c r="DM15" s="111">
        <f t="shared" si="27"/>
        <v>-22.569659442724348</v>
      </c>
      <c r="DN15" s="76">
        <f t="shared" si="28"/>
        <v>69</v>
      </c>
      <c r="DO15" s="76">
        <f t="shared" si="28"/>
        <v>0</v>
      </c>
      <c r="DP15" s="112"/>
      <c r="DQ15" s="112"/>
      <c r="DR15" s="113" t="s">
        <v>487</v>
      </c>
      <c r="DS15" s="112"/>
      <c r="DT15" s="112"/>
      <c r="DU15" s="111"/>
      <c r="DV15" s="114"/>
      <c r="DW15" s="80">
        <f t="shared" si="61"/>
        <v>1276</v>
      </c>
      <c r="DX15" s="81">
        <f t="shared" si="29"/>
        <v>1253.4303405572757</v>
      </c>
      <c r="DY15" s="80">
        <f t="shared" si="62"/>
        <v>1266</v>
      </c>
      <c r="DZ15" s="82">
        <f t="shared" si="63"/>
        <v>0.53294999999999992</v>
      </c>
      <c r="EA15" s="82">
        <f t="shared" si="64"/>
        <v>19.912949999999999</v>
      </c>
      <c r="EB15" s="82">
        <f t="shared" si="65"/>
        <v>6.1450500000000012</v>
      </c>
      <c r="EC15" s="82">
        <f t="shared" ref="EC15:EC78" si="75">EB15+DZ15</f>
        <v>6.6780000000000008</v>
      </c>
      <c r="EF15" s="83">
        <f t="shared" ref="EF15:EF18" si="76">DG15+DJ15</f>
        <v>-22.569659442724348</v>
      </c>
    </row>
    <row r="16" spans="1:136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1"/>
        <v>GWA6063-T5-T18.15x8.6x3-H9A15</v>
      </c>
      <c r="H16" s="46" t="str">
        <f t="shared" si="32"/>
        <v>A6063-T5GW18.158.6TH9</v>
      </c>
      <c r="I16" s="46" t="str">
        <f t="shared" si="33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4"/>
        <v>14</v>
      </c>
      <c r="T16" s="51">
        <f>'04.02'!BG16</f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5"/>
        <v>0</v>
      </c>
      <c r="AF16" s="54">
        <f>AE16+'04.02'!AF16</f>
        <v>0</v>
      </c>
      <c r="AG16" s="94">
        <f t="shared" si="66"/>
        <v>0</v>
      </c>
      <c r="AH16" s="56">
        <f t="shared" si="13"/>
        <v>0</v>
      </c>
      <c r="AI16" s="89"/>
      <c r="AJ16" s="93">
        <f t="shared" si="67"/>
        <v>0</v>
      </c>
      <c r="AK16" s="95">
        <f t="shared" si="36"/>
        <v>1</v>
      </c>
      <c r="AL16" s="58">
        <f t="shared" si="37"/>
        <v>0</v>
      </c>
      <c r="AM16" s="55">
        <f t="shared" si="68"/>
        <v>0</v>
      </c>
      <c r="AN16" s="93"/>
      <c r="AO16" s="96"/>
      <c r="AP16" s="96">
        <f t="shared" ref="AP16:AP19" si="77">$CJ16</f>
        <v>0</v>
      </c>
      <c r="AQ16" s="96"/>
      <c r="AR16" s="96"/>
      <c r="AS16" s="96"/>
      <c r="AT16" s="96"/>
      <c r="AU16" s="96">
        <f t="shared" si="38"/>
        <v>0</v>
      </c>
      <c r="AV16" s="96">
        <f t="shared" si="38"/>
        <v>0</v>
      </c>
      <c r="AW16" s="96">
        <f t="shared" si="39"/>
        <v>0</v>
      </c>
      <c r="AX16" s="96">
        <f t="shared" si="40"/>
        <v>0</v>
      </c>
      <c r="AY16" s="94">
        <f t="shared" si="69"/>
        <v>0</v>
      </c>
      <c r="AZ16" s="94">
        <f t="shared" si="41"/>
        <v>0</v>
      </c>
      <c r="BA16" s="94">
        <f t="shared" si="42"/>
        <v>0</v>
      </c>
      <c r="BB16" s="97">
        <f t="shared" si="43"/>
        <v>0</v>
      </c>
      <c r="BC16" s="93"/>
      <c r="BD16" s="93">
        <f t="shared" si="44"/>
        <v>0</v>
      </c>
      <c r="BE16" s="95">
        <f t="shared" si="45"/>
        <v>1</v>
      </c>
      <c r="BF16" s="58">
        <f t="shared" si="46"/>
        <v>0</v>
      </c>
      <c r="BG16" s="94">
        <f t="shared" si="47"/>
        <v>0</v>
      </c>
      <c r="BH16" s="89"/>
      <c r="BI16" s="89"/>
      <c r="BJ16" s="92">
        <f t="shared" ref="BJ16:BJ19" si="78">$CN16</f>
        <v>0</v>
      </c>
      <c r="BK16" s="89"/>
      <c r="BL16" s="89"/>
      <c r="BM16" s="89"/>
      <c r="BN16" s="89"/>
      <c r="BO16" s="92">
        <f t="shared" si="70"/>
        <v>0</v>
      </c>
      <c r="BP16" s="92">
        <f t="shared" si="70"/>
        <v>0</v>
      </c>
      <c r="BQ16" s="96">
        <f t="shared" si="48"/>
        <v>0</v>
      </c>
      <c r="BR16" s="96">
        <f t="shared" si="49"/>
        <v>0</v>
      </c>
      <c r="BS16" s="96">
        <f t="shared" si="71"/>
        <v>0</v>
      </c>
      <c r="BT16" s="96">
        <f t="shared" si="50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1"/>
        <v>0</v>
      </c>
      <c r="BY16" s="61">
        <f t="shared" si="73"/>
        <v>0</v>
      </c>
      <c r="BZ16" s="62">
        <f t="shared" si="52"/>
        <v>0</v>
      </c>
      <c r="CA16" s="98">
        <f t="shared" si="53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4"/>
        <v>0</v>
      </c>
      <c r="CH16" s="62">
        <f t="shared" si="55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6"/>
        <v>0</v>
      </c>
      <c r="CR16" s="102">
        <f t="shared" si="20"/>
        <v>0</v>
      </c>
      <c r="CS16" s="102">
        <f t="shared" si="20"/>
        <v>0</v>
      </c>
      <c r="CT16" s="92">
        <f t="shared" si="57"/>
        <v>0</v>
      </c>
      <c r="CU16" s="92">
        <f t="shared" si="58"/>
        <v>0</v>
      </c>
      <c r="CV16" s="103">
        <f t="shared" si="58"/>
        <v>0</v>
      </c>
      <c r="CW16" s="104"/>
      <c r="CX16" s="105">
        <v>83.56</v>
      </c>
      <c r="CY16" s="106">
        <f t="shared" si="59"/>
        <v>488</v>
      </c>
      <c r="CZ16" s="106">
        <f t="shared" si="60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28"/>
        <v>0</v>
      </c>
      <c r="DO16" s="76">
        <f t="shared" si="28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79">IFERROR(AL16+BF16,"")</f>
        <v>0</v>
      </c>
      <c r="DX16" s="81">
        <f t="shared" si="29"/>
        <v>0</v>
      </c>
      <c r="DY16" s="80">
        <f t="shared" si="62"/>
        <v>0</v>
      </c>
      <c r="DZ16" s="82">
        <f t="shared" si="63"/>
        <v>0</v>
      </c>
      <c r="EA16" s="82">
        <f t="shared" si="64"/>
        <v>0</v>
      </c>
      <c r="EB16" s="82">
        <f t="shared" si="65"/>
        <v>0</v>
      </c>
      <c r="EC16" s="82">
        <f t="shared" si="75"/>
        <v>0</v>
      </c>
      <c r="EF16" s="83">
        <f t="shared" si="76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1"/>
        <v>GWA6063-T5-T18.15x8.6x3-H9A15</v>
      </c>
      <c r="H17" s="46" t="str">
        <f t="shared" si="32"/>
        <v>A6063-T5GW18.158.6TH9</v>
      </c>
      <c r="I17" s="46" t="str">
        <f t="shared" si="33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4"/>
        <v>14</v>
      </c>
      <c r="T17" s="51">
        <f>'04.02'!BG17</f>
        <v>18</v>
      </c>
      <c r="U17" s="92"/>
      <c r="V17" s="89">
        <v>7.7</v>
      </c>
      <c r="W17" s="93">
        <f t="shared" si="5"/>
        <v>0</v>
      </c>
      <c r="X17" s="93">
        <f t="shared" si="6"/>
        <v>889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119</v>
      </c>
      <c r="AE17" s="93">
        <f t="shared" si="35"/>
        <v>889</v>
      </c>
      <c r="AF17" s="54">
        <f>AE17+'04.02'!AF17</f>
        <v>4415</v>
      </c>
      <c r="AG17" s="94">
        <f t="shared" si="66"/>
        <v>18</v>
      </c>
      <c r="AH17" s="56">
        <f t="shared" si="13"/>
        <v>0</v>
      </c>
      <c r="AI17" s="89">
        <v>6</v>
      </c>
      <c r="AJ17" s="93">
        <f t="shared" si="67"/>
        <v>308</v>
      </c>
      <c r="AK17" s="95">
        <f t="shared" si="36"/>
        <v>0.43956043956043955</v>
      </c>
      <c r="AL17" s="58">
        <f t="shared" si="37"/>
        <v>5.4399999999999995</v>
      </c>
      <c r="AM17" s="55">
        <f t="shared" si="68"/>
        <v>12.56</v>
      </c>
      <c r="AN17" s="93"/>
      <c r="AO17" s="96"/>
      <c r="AP17" s="96">
        <f t="shared" si="77"/>
        <v>3080</v>
      </c>
      <c r="AQ17" s="96"/>
      <c r="AR17" s="96"/>
      <c r="AS17" s="96"/>
      <c r="AT17" s="96"/>
      <c r="AU17" s="96">
        <f t="shared" si="38"/>
        <v>0</v>
      </c>
      <c r="AV17" s="96">
        <f t="shared" si="38"/>
        <v>764</v>
      </c>
      <c r="AW17" s="96">
        <f t="shared" si="39"/>
        <v>3844</v>
      </c>
      <c r="AX17" s="96">
        <f t="shared" si="40"/>
        <v>499</v>
      </c>
      <c r="AY17" s="94">
        <f t="shared" si="69"/>
        <v>32.192000000000007</v>
      </c>
      <c r="AZ17" s="94">
        <f t="shared" si="41"/>
        <v>4.1807792207792218</v>
      </c>
      <c r="BA17" s="94">
        <f t="shared" si="42"/>
        <v>12.56</v>
      </c>
      <c r="BB17" s="97">
        <f t="shared" si="43"/>
        <v>0.56000000000000005</v>
      </c>
      <c r="BC17" s="93">
        <v>5</v>
      </c>
      <c r="BD17" s="93">
        <f t="shared" si="44"/>
        <v>0</v>
      </c>
      <c r="BE17" s="95">
        <f t="shared" si="45"/>
        <v>1</v>
      </c>
      <c r="BF17" s="58">
        <f t="shared" si="46"/>
        <v>5.56</v>
      </c>
      <c r="BG17" s="94">
        <f t="shared" si="47"/>
        <v>7.0000000000000009</v>
      </c>
      <c r="BH17" s="89"/>
      <c r="BI17" s="89"/>
      <c r="BJ17" s="92">
        <f t="shared" si="78"/>
        <v>3765.3</v>
      </c>
      <c r="BK17" s="89"/>
      <c r="BL17" s="89"/>
      <c r="BM17" s="89"/>
      <c r="BN17" s="89"/>
      <c r="BO17" s="92">
        <f t="shared" si="70"/>
        <v>0</v>
      </c>
      <c r="BP17" s="92">
        <f t="shared" si="70"/>
        <v>158</v>
      </c>
      <c r="BQ17" s="96">
        <f t="shared" si="48"/>
        <v>3923.3</v>
      </c>
      <c r="BR17" s="96">
        <f t="shared" si="49"/>
        <v>509</v>
      </c>
      <c r="BS17" s="96">
        <f t="shared" si="71"/>
        <v>27.408000000000357</v>
      </c>
      <c r="BT17" s="96">
        <f t="shared" si="50"/>
        <v>3.5594805194805659</v>
      </c>
      <c r="BU17" s="92">
        <f t="shared" si="16"/>
        <v>889</v>
      </c>
      <c r="BV17" s="98">
        <f t="shared" si="17"/>
        <v>11</v>
      </c>
      <c r="BW17" s="92">
        <f t="shared" si="18"/>
        <v>7.7402597402597877</v>
      </c>
      <c r="BX17" s="98">
        <f t="shared" si="51"/>
        <v>18.051000000000002</v>
      </c>
      <c r="BY17" s="61">
        <f t="shared" si="73"/>
        <v>11</v>
      </c>
      <c r="BZ17" s="62">
        <f t="shared" si="52"/>
        <v>11</v>
      </c>
      <c r="CA17" s="98">
        <f t="shared" si="53"/>
        <v>7.7673000000000005</v>
      </c>
      <c r="CB17" s="92">
        <f t="shared" si="19"/>
        <v>1008</v>
      </c>
      <c r="CC17" s="92">
        <f t="shared" si="19"/>
        <v>59.600000000000364</v>
      </c>
      <c r="CD17" s="92">
        <f t="shared" si="19"/>
        <v>7.7402597402597877</v>
      </c>
      <c r="CE17" s="99"/>
      <c r="CF17" s="99"/>
      <c r="CG17" s="51">
        <f t="shared" si="54"/>
        <v>11.205700000000002</v>
      </c>
      <c r="CH17" s="62">
        <f t="shared" si="55"/>
        <v>11.205700000000002</v>
      </c>
      <c r="CI17" s="89">
        <f>40*7.7</f>
        <v>308</v>
      </c>
      <c r="CJ17" s="89">
        <f>400*7.7</f>
        <v>3080</v>
      </c>
      <c r="CK17" s="89"/>
      <c r="CL17" s="96">
        <v>764</v>
      </c>
      <c r="CM17" s="89"/>
      <c r="CN17" s="89">
        <f>489*7.7</f>
        <v>3765.3</v>
      </c>
      <c r="CO17" s="92"/>
      <c r="CP17" s="101">
        <v>158</v>
      </c>
      <c r="CQ17" s="102">
        <f t="shared" si="56"/>
        <v>400</v>
      </c>
      <c r="CR17" s="102">
        <f t="shared" si="20"/>
        <v>0</v>
      </c>
      <c r="CS17" s="102">
        <f t="shared" si="20"/>
        <v>99</v>
      </c>
      <c r="CT17" s="92">
        <f t="shared" si="57"/>
        <v>489</v>
      </c>
      <c r="CU17" s="92">
        <f t="shared" si="58"/>
        <v>0</v>
      </c>
      <c r="CV17" s="103">
        <f t="shared" si="58"/>
        <v>20</v>
      </c>
      <c r="CW17" s="104"/>
      <c r="CX17" s="105">
        <v>60</v>
      </c>
      <c r="CY17" s="106">
        <f t="shared" si="59"/>
        <v>680</v>
      </c>
      <c r="CZ17" s="106">
        <f t="shared" si="60"/>
        <v>486.00000000000006</v>
      </c>
      <c r="DA17" s="106"/>
      <c r="DB17" s="106"/>
      <c r="DC17" s="105"/>
      <c r="DD17" s="107"/>
      <c r="DE17" s="92">
        <f t="shared" si="21"/>
        <v>400</v>
      </c>
      <c r="DF17" s="108">
        <f t="shared" si="22"/>
        <v>5.4399999999999995</v>
      </c>
      <c r="DG17" s="112">
        <f t="shared" si="23"/>
        <v>4.1807792207792218</v>
      </c>
      <c r="DH17" s="110">
        <f t="shared" si="24"/>
        <v>489</v>
      </c>
      <c r="DI17" s="108">
        <f t="shared" si="25"/>
        <v>5.56</v>
      </c>
      <c r="DJ17" s="112">
        <f t="shared" si="26"/>
        <v>3.5594805194805659</v>
      </c>
      <c r="DK17" s="110">
        <f t="shared" si="27"/>
        <v>889</v>
      </c>
      <c r="DL17" s="108">
        <f t="shared" si="27"/>
        <v>11</v>
      </c>
      <c r="DM17" s="111">
        <f t="shared" si="27"/>
        <v>7.7402597402597877</v>
      </c>
      <c r="DN17" s="76">
        <f t="shared" si="28"/>
        <v>18</v>
      </c>
      <c r="DO17" s="76">
        <f t="shared" si="28"/>
        <v>0</v>
      </c>
      <c r="DP17" s="112"/>
      <c r="DQ17" s="112"/>
      <c r="DR17" s="113" t="s">
        <v>421</v>
      </c>
      <c r="DS17" s="112"/>
      <c r="DT17" s="112"/>
      <c r="DU17" s="111"/>
      <c r="DV17" s="114"/>
      <c r="DW17" s="80">
        <f t="shared" si="79"/>
        <v>11</v>
      </c>
      <c r="DX17" s="81">
        <f t="shared" si="29"/>
        <v>907.74025974025983</v>
      </c>
      <c r="DY17" s="80">
        <f t="shared" si="62"/>
        <v>1008</v>
      </c>
      <c r="DZ17" s="82">
        <f t="shared" si="63"/>
        <v>0.91630000000000011</v>
      </c>
      <c r="EA17" s="82">
        <f t="shared" si="64"/>
        <v>6.8452999999999999</v>
      </c>
      <c r="EB17" s="82">
        <f t="shared" si="65"/>
        <v>11.205700000000002</v>
      </c>
      <c r="EC17" s="82">
        <f t="shared" si="75"/>
        <v>12.122000000000002</v>
      </c>
      <c r="EF17" s="83">
        <f t="shared" si="76"/>
        <v>7.7402597402597877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1"/>
        <v>GWA6063-T5-T18.15x8.6x3-H9A15</v>
      </c>
      <c r="H18" s="46" t="str">
        <f t="shared" si="32"/>
        <v>A6063-T5GW18.158.6TH9</v>
      </c>
      <c r="I18" s="46" t="str">
        <f t="shared" si="33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4"/>
        <v>16</v>
      </c>
      <c r="T18" s="51">
        <f>'04.02'!BG18</f>
        <v>10</v>
      </c>
      <c r="U18" s="92">
        <v>10</v>
      </c>
      <c r="V18" s="89">
        <v>9.9</v>
      </c>
      <c r="W18" s="93">
        <f t="shared" si="5"/>
        <v>0</v>
      </c>
      <c r="X18" s="93">
        <f t="shared" si="6"/>
        <v>964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0</v>
      </c>
      <c r="AE18" s="93">
        <f t="shared" si="35"/>
        <v>964</v>
      </c>
      <c r="AF18" s="54">
        <f>AE18+'04.02'!AF18</f>
        <v>3961</v>
      </c>
      <c r="AG18" s="94">
        <f t="shared" si="66"/>
        <v>10</v>
      </c>
      <c r="AH18" s="56">
        <f t="shared" si="13"/>
        <v>0</v>
      </c>
      <c r="AI18" s="89">
        <v>7</v>
      </c>
      <c r="AJ18" s="93">
        <f t="shared" si="67"/>
        <v>0</v>
      </c>
      <c r="AK18" s="95">
        <f t="shared" si="36"/>
        <v>1</v>
      </c>
      <c r="AL18" s="58">
        <f t="shared" si="37"/>
        <v>7</v>
      </c>
      <c r="AM18" s="55">
        <f t="shared" si="68"/>
        <v>13</v>
      </c>
      <c r="AN18" s="93"/>
      <c r="AO18" s="96"/>
      <c r="AP18" s="96">
        <f t="shared" si="77"/>
        <v>4752</v>
      </c>
      <c r="AQ18" s="96"/>
      <c r="AR18" s="96"/>
      <c r="AS18" s="96"/>
      <c r="AT18" s="96"/>
      <c r="AU18" s="96">
        <f t="shared" si="38"/>
        <v>0</v>
      </c>
      <c r="AV18" s="96">
        <f t="shared" si="38"/>
        <v>0</v>
      </c>
      <c r="AW18" s="96">
        <f t="shared" si="39"/>
        <v>4752</v>
      </c>
      <c r="AX18" s="96">
        <f t="shared" si="40"/>
        <v>480</v>
      </c>
      <c r="AY18" s="94">
        <f t="shared" si="69"/>
        <v>39.599999999999454</v>
      </c>
      <c r="AZ18" s="94">
        <f t="shared" si="41"/>
        <v>3.9999999999999449</v>
      </c>
      <c r="BA18" s="94">
        <f t="shared" si="42"/>
        <v>13</v>
      </c>
      <c r="BB18" s="97">
        <f t="shared" si="43"/>
        <v>0</v>
      </c>
      <c r="BC18" s="93">
        <v>7</v>
      </c>
      <c r="BD18" s="93">
        <f t="shared" si="44"/>
        <v>0</v>
      </c>
      <c r="BE18" s="95">
        <f t="shared" si="45"/>
        <v>1</v>
      </c>
      <c r="BF18" s="58">
        <f t="shared" si="46"/>
        <v>7</v>
      </c>
      <c r="BG18" s="94">
        <f t="shared" si="47"/>
        <v>6</v>
      </c>
      <c r="BH18" s="89"/>
      <c r="BI18" s="89"/>
      <c r="BJ18" s="92">
        <f t="shared" si="78"/>
        <v>4791.6000000000004</v>
      </c>
      <c r="BK18" s="89"/>
      <c r="BL18" s="89"/>
      <c r="BM18" s="89"/>
      <c r="BN18" s="89"/>
      <c r="BO18" s="92">
        <f t="shared" si="70"/>
        <v>0</v>
      </c>
      <c r="BP18" s="92">
        <f t="shared" si="70"/>
        <v>0</v>
      </c>
      <c r="BQ18" s="96">
        <f t="shared" si="48"/>
        <v>4791.6000000000004</v>
      </c>
      <c r="BR18" s="96">
        <f t="shared" si="49"/>
        <v>484</v>
      </c>
      <c r="BS18" s="96">
        <f t="shared" si="71"/>
        <v>79.199999999999818</v>
      </c>
      <c r="BT18" s="96">
        <f t="shared" si="50"/>
        <v>7.9999999999999813</v>
      </c>
      <c r="BU18" s="92">
        <f t="shared" si="16"/>
        <v>964</v>
      </c>
      <c r="BV18" s="98">
        <f t="shared" si="17"/>
        <v>14</v>
      </c>
      <c r="BW18" s="92">
        <f t="shared" si="18"/>
        <v>11.999999999999925</v>
      </c>
      <c r="BX18" s="98">
        <f t="shared" si="51"/>
        <v>22.974</v>
      </c>
      <c r="BY18" s="61">
        <f t="shared" si="73"/>
        <v>14</v>
      </c>
      <c r="BZ18" s="62">
        <f t="shared" si="52"/>
        <v>14</v>
      </c>
      <c r="CA18" s="98">
        <f t="shared" si="53"/>
        <v>9.5435999999999996</v>
      </c>
      <c r="CB18" s="92">
        <f t="shared" si="19"/>
        <v>964</v>
      </c>
      <c r="CC18" s="92">
        <f t="shared" si="19"/>
        <v>118.79999999999927</v>
      </c>
      <c r="CD18" s="92">
        <f t="shared" si="19"/>
        <v>11.999999999999925</v>
      </c>
      <c r="CE18" s="99"/>
      <c r="CF18" s="99"/>
      <c r="CG18" s="51">
        <f t="shared" si="54"/>
        <v>13.430400000000001</v>
      </c>
      <c r="CH18" s="62">
        <f t="shared" si="55"/>
        <v>13.430400000000001</v>
      </c>
      <c r="CI18" s="89"/>
      <c r="CJ18" s="89">
        <f>480*9.9</f>
        <v>4752</v>
      </c>
      <c r="CK18" s="89"/>
      <c r="CL18" s="96"/>
      <c r="CM18" s="89"/>
      <c r="CN18" s="89">
        <f>484*9.9</f>
        <v>4791.6000000000004</v>
      </c>
      <c r="CO18" s="92"/>
      <c r="CP18" s="101"/>
      <c r="CQ18" s="102">
        <f t="shared" si="56"/>
        <v>480</v>
      </c>
      <c r="CR18" s="102">
        <f t="shared" si="20"/>
        <v>0</v>
      </c>
      <c r="CS18" s="102">
        <f t="shared" si="20"/>
        <v>0</v>
      </c>
      <c r="CT18" s="92">
        <f t="shared" si="57"/>
        <v>484</v>
      </c>
      <c r="CU18" s="92">
        <f t="shared" si="58"/>
        <v>0</v>
      </c>
      <c r="CV18" s="103">
        <f t="shared" si="58"/>
        <v>0</v>
      </c>
      <c r="CW18" s="104"/>
      <c r="CX18" s="105">
        <v>79.33</v>
      </c>
      <c r="CY18" s="106">
        <f t="shared" si="59"/>
        <v>510</v>
      </c>
      <c r="CZ18" s="106">
        <f t="shared" si="60"/>
        <v>642.57299999999998</v>
      </c>
      <c r="DA18" s="106"/>
      <c r="DB18" s="106"/>
      <c r="DC18" s="105"/>
      <c r="DD18" s="107"/>
      <c r="DE18" s="92">
        <f t="shared" si="21"/>
        <v>480</v>
      </c>
      <c r="DF18" s="108">
        <f t="shared" si="22"/>
        <v>7</v>
      </c>
      <c r="DG18" s="112">
        <f t="shared" si="23"/>
        <v>3.9999999999999449</v>
      </c>
      <c r="DH18" s="110">
        <f t="shared" si="24"/>
        <v>484</v>
      </c>
      <c r="DI18" s="108">
        <f t="shared" si="25"/>
        <v>7</v>
      </c>
      <c r="DJ18" s="112">
        <f t="shared" si="26"/>
        <v>7.9999999999999813</v>
      </c>
      <c r="DK18" s="110">
        <f t="shared" si="27"/>
        <v>964</v>
      </c>
      <c r="DL18" s="108">
        <f t="shared" si="27"/>
        <v>14</v>
      </c>
      <c r="DM18" s="111">
        <f t="shared" si="27"/>
        <v>11.999999999999925</v>
      </c>
      <c r="DN18" s="76">
        <f t="shared" si="28"/>
        <v>10</v>
      </c>
      <c r="DO18" s="76">
        <f t="shared" si="28"/>
        <v>10</v>
      </c>
      <c r="DP18" s="112"/>
      <c r="DQ18" s="112"/>
      <c r="DR18" s="113" t="s">
        <v>422</v>
      </c>
      <c r="DS18" s="112"/>
      <c r="DT18" s="112"/>
      <c r="DU18" s="111"/>
      <c r="DV18" s="114"/>
      <c r="DW18" s="80">
        <f t="shared" si="79"/>
        <v>14</v>
      </c>
      <c r="DX18" s="81">
        <f t="shared" si="29"/>
        <v>989.99999999999989</v>
      </c>
      <c r="DY18" s="80">
        <f t="shared" si="62"/>
        <v>964</v>
      </c>
      <c r="DZ18" s="82">
        <f t="shared" si="63"/>
        <v>0</v>
      </c>
      <c r="EA18" s="82">
        <f t="shared" si="64"/>
        <v>9.5435999999999996</v>
      </c>
      <c r="EB18" s="82">
        <f t="shared" si="65"/>
        <v>13.430400000000001</v>
      </c>
      <c r="EC18" s="82">
        <f t="shared" si="75"/>
        <v>13.430400000000001</v>
      </c>
      <c r="EF18" s="83">
        <f t="shared" si="76"/>
        <v>11.999999999999925</v>
      </c>
    </row>
    <row r="19" spans="1:136">
      <c r="A19" s="84">
        <v>12</v>
      </c>
      <c r="B19" s="85" t="s">
        <v>169</v>
      </c>
      <c r="C19" s="86"/>
      <c r="D19" s="116" t="s">
        <v>170</v>
      </c>
      <c r="E19" s="88">
        <v>104</v>
      </c>
      <c r="F19" s="89" t="s">
        <v>136</v>
      </c>
      <c r="G19" s="45" t="str">
        <f t="shared" si="31"/>
        <v>TV12L14-12x3-H9B14</v>
      </c>
      <c r="H19" s="46" t="str">
        <f t="shared" si="32"/>
        <v>12L14TV120DH9</v>
      </c>
      <c r="I19" s="46" t="str">
        <f t="shared" si="33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4"/>
        <v>20</v>
      </c>
      <c r="T19" s="51">
        <v>23</v>
      </c>
      <c r="U19" s="92">
        <v>7</v>
      </c>
      <c r="V19" s="89">
        <v>10.6</v>
      </c>
      <c r="W19" s="93">
        <f t="shared" si="5"/>
        <v>0</v>
      </c>
      <c r="X19" s="93">
        <f t="shared" si="6"/>
        <v>2789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0</v>
      </c>
      <c r="AE19" s="93">
        <f t="shared" si="35"/>
        <v>2789</v>
      </c>
      <c r="AF19" s="54">
        <f>AE19+'04.02'!AF19</f>
        <v>4798</v>
      </c>
      <c r="AG19" s="94">
        <f t="shared" si="66"/>
        <v>23</v>
      </c>
      <c r="AH19" s="56">
        <f t="shared" si="13"/>
        <v>0</v>
      </c>
      <c r="AI19" s="89">
        <v>13</v>
      </c>
      <c r="AJ19" s="93">
        <f t="shared" si="67"/>
        <v>0</v>
      </c>
      <c r="AK19" s="95">
        <f t="shared" si="36"/>
        <v>1</v>
      </c>
      <c r="AL19" s="58">
        <f t="shared" si="37"/>
        <v>13</v>
      </c>
      <c r="AM19" s="55">
        <f t="shared" si="68"/>
        <v>17</v>
      </c>
      <c r="AN19" s="93"/>
      <c r="AO19" s="96"/>
      <c r="AP19" s="96">
        <f t="shared" si="77"/>
        <v>14051</v>
      </c>
      <c r="AQ19" s="96"/>
      <c r="AR19" s="96"/>
      <c r="AS19" s="96"/>
      <c r="AT19" s="96"/>
      <c r="AU19" s="96">
        <f t="shared" si="38"/>
        <v>0</v>
      </c>
      <c r="AV19" s="96">
        <f t="shared" si="38"/>
        <v>0</v>
      </c>
      <c r="AW19" s="96">
        <f>SUM(AO19:AV19)</f>
        <v>14051</v>
      </c>
      <c r="AX19" s="96">
        <f t="shared" si="40"/>
        <v>1325</v>
      </c>
      <c r="AY19" s="94">
        <f t="shared" si="69"/>
        <v>-280.19999999999891</v>
      </c>
      <c r="AZ19" s="94">
        <f t="shared" si="41"/>
        <v>-26.433962264150843</v>
      </c>
      <c r="BA19" s="94">
        <f t="shared" si="42"/>
        <v>17</v>
      </c>
      <c r="BB19" s="97">
        <f t="shared" si="43"/>
        <v>0</v>
      </c>
      <c r="BC19" s="93">
        <v>14</v>
      </c>
      <c r="BD19" s="93">
        <f t="shared" si="44"/>
        <v>0</v>
      </c>
      <c r="BE19" s="95">
        <f t="shared" si="45"/>
        <v>1</v>
      </c>
      <c r="BF19" s="58">
        <f t="shared" si="46"/>
        <v>14</v>
      </c>
      <c r="BG19" s="94">
        <f t="shared" si="47"/>
        <v>3</v>
      </c>
      <c r="BH19" s="89"/>
      <c r="BI19" s="89"/>
      <c r="BJ19" s="92">
        <f t="shared" si="78"/>
        <v>15520</v>
      </c>
      <c r="BK19" s="89"/>
      <c r="BL19" s="89"/>
      <c r="BM19" s="89"/>
      <c r="BN19" s="89"/>
      <c r="BO19" s="92">
        <f t="shared" si="70"/>
        <v>0</v>
      </c>
      <c r="BP19" s="92">
        <f t="shared" si="70"/>
        <v>0</v>
      </c>
      <c r="BQ19" s="96">
        <f t="shared" si="48"/>
        <v>15520</v>
      </c>
      <c r="BR19" s="96">
        <f t="shared" si="49"/>
        <v>1464</v>
      </c>
      <c r="BS19" s="96">
        <f t="shared" si="71"/>
        <v>86.399999999999636</v>
      </c>
      <c r="BT19" s="96">
        <f t="shared" si="50"/>
        <v>8.1509433962263813</v>
      </c>
      <c r="BU19" s="92">
        <f t="shared" si="16"/>
        <v>2789</v>
      </c>
      <c r="BV19" s="98">
        <f t="shared" si="17"/>
        <v>27</v>
      </c>
      <c r="BW19" s="92">
        <f t="shared" si="18"/>
        <v>-18.283018867924461</v>
      </c>
      <c r="BX19" s="98">
        <f t="shared" si="51"/>
        <v>71.603999999999999</v>
      </c>
      <c r="BY19" s="61">
        <f t="shared" si="73"/>
        <v>27</v>
      </c>
      <c r="BZ19" s="62">
        <f t="shared" si="52"/>
        <v>27</v>
      </c>
      <c r="CA19" s="98">
        <f t="shared" si="53"/>
        <v>29.571000000000002</v>
      </c>
      <c r="CB19" s="92">
        <f t="shared" si="19"/>
        <v>2789</v>
      </c>
      <c r="CC19" s="92">
        <f t="shared" si="19"/>
        <v>-193.79999999999927</v>
      </c>
      <c r="CD19" s="92">
        <f t="shared" si="19"/>
        <v>-18.283018867924461</v>
      </c>
      <c r="CE19" s="99"/>
      <c r="CF19" s="99"/>
      <c r="CG19" s="51">
        <f t="shared" si="54"/>
        <v>42.033000000000001</v>
      </c>
      <c r="CH19" s="62">
        <f t="shared" si="55"/>
        <v>42.033000000000001</v>
      </c>
      <c r="CI19" s="89"/>
      <c r="CJ19" s="89">
        <v>14051</v>
      </c>
      <c r="CK19" s="89"/>
      <c r="CL19" s="96"/>
      <c r="CM19" s="89"/>
      <c r="CN19" s="89">
        <v>15520</v>
      </c>
      <c r="CO19" s="92"/>
      <c r="CP19" s="101"/>
      <c r="CQ19" s="102">
        <f t="shared" si="56"/>
        <v>1325</v>
      </c>
      <c r="CR19" s="102">
        <f t="shared" si="20"/>
        <v>0</v>
      </c>
      <c r="CS19" s="102">
        <f t="shared" si="20"/>
        <v>0</v>
      </c>
      <c r="CT19" s="92">
        <f t="shared" si="57"/>
        <v>1464</v>
      </c>
      <c r="CU19" s="92">
        <f t="shared" si="58"/>
        <v>0</v>
      </c>
      <c r="CV19" s="103">
        <f t="shared" si="58"/>
        <v>0</v>
      </c>
      <c r="CW19" s="104"/>
      <c r="CX19" s="105">
        <v>37.89</v>
      </c>
      <c r="CY19" s="106">
        <f t="shared" si="59"/>
        <v>1053</v>
      </c>
      <c r="CZ19" s="106">
        <f t="shared" si="60"/>
        <v>306.90900000000005</v>
      </c>
      <c r="DA19" s="106"/>
      <c r="DB19" s="106"/>
      <c r="DC19" s="105"/>
      <c r="DD19" s="107"/>
      <c r="DE19" s="92">
        <f t="shared" si="21"/>
        <v>1325</v>
      </c>
      <c r="DF19" s="108">
        <f t="shared" si="22"/>
        <v>13</v>
      </c>
      <c r="DG19" s="112">
        <f t="shared" si="23"/>
        <v>-26.433962264150843</v>
      </c>
      <c r="DH19" s="110">
        <f t="shared" si="24"/>
        <v>1464</v>
      </c>
      <c r="DI19" s="108">
        <f t="shared" si="25"/>
        <v>14</v>
      </c>
      <c r="DJ19" s="112">
        <f t="shared" si="26"/>
        <v>8.1509433962263813</v>
      </c>
      <c r="DK19" s="110">
        <f t="shared" si="27"/>
        <v>2789</v>
      </c>
      <c r="DL19" s="108">
        <f t="shared" si="27"/>
        <v>27</v>
      </c>
      <c r="DM19" s="111">
        <f t="shared" si="27"/>
        <v>-18.283018867924461</v>
      </c>
      <c r="DN19" s="76">
        <f t="shared" si="28"/>
        <v>23</v>
      </c>
      <c r="DO19" s="76">
        <f t="shared" si="28"/>
        <v>7</v>
      </c>
      <c r="DP19" s="112"/>
      <c r="DQ19" s="112"/>
      <c r="DR19" s="113" t="s">
        <v>479</v>
      </c>
      <c r="DS19" s="112"/>
      <c r="DT19" s="112"/>
      <c r="DU19" s="111"/>
      <c r="DV19" s="114"/>
      <c r="DW19" s="80">
        <f t="shared" si="79"/>
        <v>27</v>
      </c>
      <c r="DX19" s="81">
        <f t="shared" si="29"/>
        <v>2797.7169811320755</v>
      </c>
      <c r="DY19" s="80">
        <f t="shared" si="62"/>
        <v>2789</v>
      </c>
      <c r="DZ19" s="82">
        <f t="shared" si="63"/>
        <v>0</v>
      </c>
      <c r="EA19" s="82">
        <f t="shared" si="64"/>
        <v>29.563399999999998</v>
      </c>
      <c r="EB19" s="82">
        <f t="shared" si="65"/>
        <v>42.040599999999998</v>
      </c>
      <c r="EC19" s="82">
        <f t="shared" si="75"/>
        <v>42.040599999999998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1"/>
        <v>GWA6063-T5-8.3x3-H9B14</v>
      </c>
      <c r="H20" s="46" t="str">
        <f t="shared" si="32"/>
        <v>A6063-T5GW8.30DH9</v>
      </c>
      <c r="I20" s="46" t="str">
        <f t="shared" si="33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4"/>
        <v>18</v>
      </c>
      <c r="T20" s="51">
        <f>'04.02'!BG20</f>
        <v>41</v>
      </c>
      <c r="U20" s="92"/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35"/>
        <v>0</v>
      </c>
      <c r="AF20" s="54">
        <f>AE20+'04.02'!AF20</f>
        <v>848</v>
      </c>
      <c r="AG20" s="94">
        <f t="shared" si="66"/>
        <v>41</v>
      </c>
      <c r="AH20" s="56">
        <f t="shared" si="13"/>
        <v>0</v>
      </c>
      <c r="AI20" s="100"/>
      <c r="AJ20" s="93">
        <f t="shared" si="67"/>
        <v>0</v>
      </c>
      <c r="AK20" s="95">
        <f t="shared" si="36"/>
        <v>1</v>
      </c>
      <c r="AL20" s="58">
        <f t="shared" si="37"/>
        <v>0</v>
      </c>
      <c r="AM20" s="55">
        <f t="shared" si="68"/>
        <v>41</v>
      </c>
      <c r="AN20" s="93"/>
      <c r="AO20" s="96"/>
      <c r="AP20" s="96"/>
      <c r="AQ20" s="96"/>
      <c r="AR20" s="96"/>
      <c r="AS20" s="96"/>
      <c r="AT20" s="96">
        <f t="shared" ref="AT20" si="80">$CJ20</f>
        <v>0</v>
      </c>
      <c r="AU20" s="96">
        <f t="shared" si="38"/>
        <v>0</v>
      </c>
      <c r="AV20" s="96">
        <f t="shared" si="38"/>
        <v>0</v>
      </c>
      <c r="AW20" s="96">
        <f t="shared" si="39"/>
        <v>0</v>
      </c>
      <c r="AX20" s="96">
        <f t="shared" si="40"/>
        <v>0</v>
      </c>
      <c r="AY20" s="94">
        <f t="shared" si="69"/>
        <v>0</v>
      </c>
      <c r="AZ20" s="94">
        <f t="shared" si="41"/>
        <v>0</v>
      </c>
      <c r="BA20" s="94">
        <f t="shared" si="42"/>
        <v>41</v>
      </c>
      <c r="BB20" s="97">
        <f t="shared" si="43"/>
        <v>0</v>
      </c>
      <c r="BC20" s="93"/>
      <c r="BD20" s="93">
        <f t="shared" si="44"/>
        <v>0</v>
      </c>
      <c r="BE20" s="95">
        <f t="shared" si="45"/>
        <v>1</v>
      </c>
      <c r="BF20" s="58">
        <f t="shared" si="46"/>
        <v>0</v>
      </c>
      <c r="BG20" s="94">
        <f t="shared" si="47"/>
        <v>41</v>
      </c>
      <c r="BH20" s="89"/>
      <c r="BI20" s="89"/>
      <c r="BJ20" s="92"/>
      <c r="BK20" s="89"/>
      <c r="BL20" s="89"/>
      <c r="BM20" s="89"/>
      <c r="BN20" s="92">
        <f t="shared" ref="BN20" si="81">$CN20</f>
        <v>0</v>
      </c>
      <c r="BO20" s="92">
        <f t="shared" si="70"/>
        <v>0</v>
      </c>
      <c r="BP20" s="92">
        <f t="shared" si="70"/>
        <v>0</v>
      </c>
      <c r="BQ20" s="96">
        <f t="shared" si="48"/>
        <v>0</v>
      </c>
      <c r="BR20" s="96">
        <f t="shared" si="49"/>
        <v>0</v>
      </c>
      <c r="BS20" s="96">
        <f t="shared" si="71"/>
        <v>0</v>
      </c>
      <c r="BT20" s="96">
        <f t="shared" si="50"/>
        <v>0</v>
      </c>
      <c r="BU20" s="92">
        <f t="shared" si="16"/>
        <v>0</v>
      </c>
      <c r="BV20" s="98">
        <f t="shared" si="17"/>
        <v>0</v>
      </c>
      <c r="BW20" s="92">
        <f t="shared" si="18"/>
        <v>0</v>
      </c>
      <c r="BX20" s="98">
        <f t="shared" si="51"/>
        <v>0</v>
      </c>
      <c r="BY20" s="61">
        <f t="shared" si="73"/>
        <v>0</v>
      </c>
      <c r="BZ20" s="62">
        <f t="shared" si="52"/>
        <v>0</v>
      </c>
      <c r="CA20" s="98">
        <f t="shared" si="53"/>
        <v>0</v>
      </c>
      <c r="CB20" s="92">
        <f t="shared" si="19"/>
        <v>0</v>
      </c>
      <c r="CC20" s="92">
        <f t="shared" si="19"/>
        <v>0</v>
      </c>
      <c r="CD20" s="92">
        <f t="shared" si="19"/>
        <v>0</v>
      </c>
      <c r="CE20" s="99"/>
      <c r="CF20" s="99"/>
      <c r="CG20" s="51">
        <f t="shared" si="54"/>
        <v>0</v>
      </c>
      <c r="CH20" s="62">
        <f t="shared" si="55"/>
        <v>0</v>
      </c>
      <c r="CI20" s="89"/>
      <c r="CJ20" s="89"/>
      <c r="CK20" s="89"/>
      <c r="CL20" s="96"/>
      <c r="CM20" s="89"/>
      <c r="CN20" s="89"/>
      <c r="CO20" s="92"/>
      <c r="CP20" s="101"/>
      <c r="CQ20" s="102">
        <f t="shared" si="56"/>
        <v>0</v>
      </c>
      <c r="CR20" s="102">
        <f t="shared" si="20"/>
        <v>0</v>
      </c>
      <c r="CS20" s="102">
        <f t="shared" si="20"/>
        <v>0</v>
      </c>
      <c r="CT20" s="92">
        <f t="shared" si="57"/>
        <v>0</v>
      </c>
      <c r="CU20" s="92">
        <f t="shared" si="58"/>
        <v>0</v>
      </c>
      <c r="CV20" s="103">
        <f t="shared" si="58"/>
        <v>0</v>
      </c>
      <c r="CW20" s="104"/>
      <c r="CX20" s="105">
        <v>15</v>
      </c>
      <c r="CY20" s="106">
        <f t="shared" si="59"/>
        <v>2680</v>
      </c>
      <c r="CZ20" s="106">
        <f t="shared" si="60"/>
        <v>121.50000000000001</v>
      </c>
      <c r="DA20" s="106"/>
      <c r="DB20" s="106"/>
      <c r="DC20" s="105"/>
      <c r="DD20" s="107"/>
      <c r="DE20" s="92">
        <f t="shared" si="21"/>
        <v>0</v>
      </c>
      <c r="DF20" s="108">
        <f t="shared" si="22"/>
        <v>0</v>
      </c>
      <c r="DG20" s="112">
        <f t="shared" si="23"/>
        <v>0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0</v>
      </c>
      <c r="DL20" s="108">
        <f t="shared" si="27"/>
        <v>0</v>
      </c>
      <c r="DM20" s="111">
        <f t="shared" si="27"/>
        <v>0</v>
      </c>
      <c r="DN20" s="76">
        <f t="shared" si="28"/>
        <v>41</v>
      </c>
      <c r="DO20" s="76">
        <f t="shared" si="28"/>
        <v>0</v>
      </c>
      <c r="DP20" s="112"/>
      <c r="DQ20" s="112"/>
      <c r="DR20" s="113" t="s">
        <v>424</v>
      </c>
      <c r="DS20" s="112"/>
      <c r="DT20" s="112"/>
      <c r="DU20" s="111"/>
      <c r="DV20" s="114"/>
      <c r="DW20" s="80">
        <f t="shared" si="61"/>
        <v>0</v>
      </c>
      <c r="DX20" s="81">
        <f t="shared" si="29"/>
        <v>0</v>
      </c>
      <c r="DY20" s="80">
        <f t="shared" si="62"/>
        <v>0</v>
      </c>
      <c r="DZ20" s="82">
        <f t="shared" si="63"/>
        <v>0</v>
      </c>
      <c r="EA20" s="82">
        <f t="shared" si="64"/>
        <v>0</v>
      </c>
      <c r="EB20" s="82">
        <f t="shared" si="65"/>
        <v>0</v>
      </c>
      <c r="EC20" s="82">
        <f t="shared" si="75"/>
        <v>0</v>
      </c>
      <c r="EF20" s="83">
        <f t="shared" ref="EF20:EF25" si="82">DG20+DJ20</f>
        <v>0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1"/>
        <v>TV12L14-11x2.5-H9C14</v>
      </c>
      <c r="H21" s="123" t="str">
        <f t="shared" si="32"/>
        <v>12L14TV110DH9</v>
      </c>
      <c r="I21" s="123" t="str">
        <f t="shared" si="33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4"/>
        <v>10</v>
      </c>
      <c r="T21" s="51">
        <f>'04.02'!BG21</f>
        <v>6</v>
      </c>
      <c r="U21" s="124">
        <v>14</v>
      </c>
      <c r="V21" s="100">
        <v>2</v>
      </c>
      <c r="W21" s="125">
        <f t="shared" si="5"/>
        <v>0</v>
      </c>
      <c r="X21" s="125">
        <f t="shared" si="6"/>
        <v>3184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0</v>
      </c>
      <c r="AE21" s="125">
        <f t="shared" si="35"/>
        <v>3184</v>
      </c>
      <c r="AF21" s="54">
        <f>AE21+'04.02'!AF21</f>
        <v>16256</v>
      </c>
      <c r="AG21" s="94">
        <f t="shared" si="66"/>
        <v>6</v>
      </c>
      <c r="AH21" s="56">
        <f t="shared" si="13"/>
        <v>0</v>
      </c>
      <c r="AI21" s="89">
        <v>7</v>
      </c>
      <c r="AJ21" s="93">
        <f t="shared" si="67"/>
        <v>0</v>
      </c>
      <c r="AK21" s="95">
        <f t="shared" si="36"/>
        <v>1</v>
      </c>
      <c r="AL21" s="58">
        <f t="shared" si="37"/>
        <v>7</v>
      </c>
      <c r="AM21" s="55">
        <f t="shared" si="68"/>
        <v>13</v>
      </c>
      <c r="AN21" s="125"/>
      <c r="AO21" s="126"/>
      <c r="AP21" s="126">
        <f t="shared" ref="AP21" si="83">$CJ21</f>
        <v>3568</v>
      </c>
      <c r="AQ21" s="126"/>
      <c r="AR21" s="126"/>
      <c r="AS21" s="126"/>
      <c r="AT21" s="126"/>
      <c r="AU21" s="126">
        <f t="shared" si="38"/>
        <v>0</v>
      </c>
      <c r="AV21" s="126">
        <f t="shared" si="38"/>
        <v>0</v>
      </c>
      <c r="AW21" s="126">
        <f t="shared" si="39"/>
        <v>3568</v>
      </c>
      <c r="AX21" s="126">
        <f t="shared" si="40"/>
        <v>1784</v>
      </c>
      <c r="AY21" s="94">
        <f t="shared" si="69"/>
        <v>-394</v>
      </c>
      <c r="AZ21" s="94">
        <f t="shared" si="41"/>
        <v>-197</v>
      </c>
      <c r="BA21" s="94">
        <f t="shared" si="42"/>
        <v>13</v>
      </c>
      <c r="BB21" s="97">
        <f t="shared" si="43"/>
        <v>0</v>
      </c>
      <c r="BC21" s="125">
        <v>6</v>
      </c>
      <c r="BD21" s="93">
        <f t="shared" si="44"/>
        <v>200</v>
      </c>
      <c r="BE21" s="127">
        <f t="shared" si="45"/>
        <v>0.35335689045936397</v>
      </c>
      <c r="BF21" s="58">
        <f t="shared" si="46"/>
        <v>5.3599999999999994</v>
      </c>
      <c r="BG21" s="94">
        <f t="shared" si="47"/>
        <v>7.6400000000000006</v>
      </c>
      <c r="BH21" s="100"/>
      <c r="BI21" s="100"/>
      <c r="BJ21" s="92">
        <f t="shared" ref="BJ21" si="84">$CN21</f>
        <v>2800</v>
      </c>
      <c r="BK21" s="100"/>
      <c r="BL21" s="100"/>
      <c r="BM21" s="100"/>
      <c r="BN21" s="92"/>
      <c r="BO21" s="124">
        <f t="shared" si="70"/>
        <v>0</v>
      </c>
      <c r="BP21" s="124">
        <f t="shared" si="70"/>
        <v>0</v>
      </c>
      <c r="BQ21" s="126">
        <f t="shared" si="48"/>
        <v>2800</v>
      </c>
      <c r="BR21" s="126">
        <f t="shared" si="49"/>
        <v>1400</v>
      </c>
      <c r="BS21" s="126">
        <f t="shared" si="71"/>
        <v>-233.75999999999976</v>
      </c>
      <c r="BT21" s="126">
        <f t="shared" si="50"/>
        <v>-116.87999999999988</v>
      </c>
      <c r="BU21" s="124">
        <f t="shared" si="16"/>
        <v>3184</v>
      </c>
      <c r="BV21" s="128">
        <f t="shared" si="17"/>
        <v>12.36</v>
      </c>
      <c r="BW21" s="124">
        <f t="shared" si="18"/>
        <v>-313.87999999999988</v>
      </c>
      <c r="BX21" s="128" t="str">
        <f t="shared" si="51"/>
        <v/>
      </c>
      <c r="BY21" s="129">
        <f t="shared" si="73"/>
        <v>12.36</v>
      </c>
      <c r="BZ21" s="62">
        <f t="shared" si="52"/>
        <v>12.36</v>
      </c>
      <c r="CA21" s="128">
        <f t="shared" si="53"/>
        <v>6.3680000000000003</v>
      </c>
      <c r="CB21" s="124">
        <f t="shared" si="19"/>
        <v>3184</v>
      </c>
      <c r="CC21" s="124">
        <f t="shared" si="19"/>
        <v>-627.75999999999976</v>
      </c>
      <c r="CD21" s="124">
        <f t="shared" si="19"/>
        <v>-313.87999999999988</v>
      </c>
      <c r="CE21" s="100"/>
      <c r="CF21" s="100"/>
      <c r="CG21" s="51">
        <f t="shared" si="54"/>
        <v>0</v>
      </c>
      <c r="CH21" s="62">
        <f t="shared" si="55"/>
        <v>0</v>
      </c>
      <c r="CI21" s="100"/>
      <c r="CJ21" s="100">
        <v>3568</v>
      </c>
      <c r="CK21" s="100"/>
      <c r="CL21" s="126"/>
      <c r="CM21" s="100">
        <v>200</v>
      </c>
      <c r="CN21" s="100">
        <v>2800</v>
      </c>
      <c r="CO21" s="124"/>
      <c r="CP21" s="130"/>
      <c r="CQ21" s="102">
        <f t="shared" si="56"/>
        <v>1784</v>
      </c>
      <c r="CR21" s="102">
        <f t="shared" si="20"/>
        <v>0</v>
      </c>
      <c r="CS21" s="102">
        <f t="shared" si="20"/>
        <v>0</v>
      </c>
      <c r="CT21" s="92">
        <f t="shared" si="57"/>
        <v>1400</v>
      </c>
      <c r="CU21" s="92">
        <f t="shared" si="58"/>
        <v>0</v>
      </c>
      <c r="CV21" s="103">
        <f t="shared" si="58"/>
        <v>0</v>
      </c>
      <c r="CW21" s="131"/>
      <c r="CX21" s="132">
        <v>30</v>
      </c>
      <c r="CY21" s="133">
        <f t="shared" si="59"/>
        <v>1380</v>
      </c>
      <c r="CZ21" s="133">
        <f t="shared" si="60"/>
        <v>243.00000000000003</v>
      </c>
      <c r="DA21" s="133"/>
      <c r="DB21" s="133"/>
      <c r="DC21" s="132"/>
      <c r="DD21" s="134"/>
      <c r="DE21" s="124">
        <f t="shared" si="21"/>
        <v>1784</v>
      </c>
      <c r="DF21" s="135">
        <f t="shared" si="22"/>
        <v>7</v>
      </c>
      <c r="DG21" s="112">
        <f t="shared" si="23"/>
        <v>-197</v>
      </c>
      <c r="DH21" s="136">
        <f t="shared" si="24"/>
        <v>1400</v>
      </c>
      <c r="DI21" s="135">
        <f t="shared" si="25"/>
        <v>5.3599999999999994</v>
      </c>
      <c r="DJ21" s="115">
        <f t="shared" si="26"/>
        <v>-116.87999999999988</v>
      </c>
      <c r="DK21" s="136">
        <f t="shared" si="27"/>
        <v>3184</v>
      </c>
      <c r="DL21" s="135">
        <f t="shared" si="27"/>
        <v>12.36</v>
      </c>
      <c r="DM21" s="137">
        <f t="shared" si="27"/>
        <v>-313.87999999999988</v>
      </c>
      <c r="DN21" s="76">
        <f t="shared" si="28"/>
        <v>6</v>
      </c>
      <c r="DO21" s="76">
        <f t="shared" si="28"/>
        <v>14</v>
      </c>
      <c r="DP21" s="115"/>
      <c r="DQ21" s="115"/>
      <c r="DR21" s="138" t="s">
        <v>423</v>
      </c>
      <c r="DS21" s="115"/>
      <c r="DT21" s="115"/>
      <c r="DU21" s="137"/>
      <c r="DV21" s="139"/>
      <c r="DW21" s="140">
        <f t="shared" si="61"/>
        <v>3196.36</v>
      </c>
      <c r="DX21" s="141">
        <f t="shared" si="29"/>
        <v>2882.4800000000005</v>
      </c>
      <c r="DY21" s="140">
        <f t="shared" si="62"/>
        <v>3184</v>
      </c>
      <c r="DZ21" s="142">
        <f t="shared" si="63"/>
        <v>0</v>
      </c>
      <c r="EA21" s="142">
        <f t="shared" si="64"/>
        <v>6.3680000000000003</v>
      </c>
      <c r="EB21" s="142" t="e">
        <f t="shared" si="65"/>
        <v>#VALUE!</v>
      </c>
      <c r="EC21" s="142" t="e">
        <f t="shared" si="75"/>
        <v>#VALUE!</v>
      </c>
      <c r="EF21" s="83">
        <f t="shared" si="82"/>
        <v>-313.87999999999988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1"/>
        <v>TV12L14-5.97x2.5-H9B14</v>
      </c>
      <c r="H22" s="46" t="str">
        <f t="shared" si="32"/>
        <v>12L14TV5.970DH9</v>
      </c>
      <c r="I22" s="46" t="str">
        <f t="shared" si="33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4"/>
        <v>48</v>
      </c>
      <c r="T22" s="51">
        <f>'04.02'!BG22</f>
        <v>77</v>
      </c>
      <c r="U22" s="92">
        <v>23</v>
      </c>
      <c r="V22" s="89">
        <v>4.45</v>
      </c>
      <c r="W22" s="93">
        <f t="shared" si="5"/>
        <v>0</v>
      </c>
      <c r="X22" s="93">
        <f t="shared" si="6"/>
        <v>1431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0</v>
      </c>
      <c r="AE22" s="93">
        <f t="shared" si="35"/>
        <v>1431</v>
      </c>
      <c r="AF22" s="54">
        <f>AE22+'04.02'!AF22</f>
        <v>5409</v>
      </c>
      <c r="AG22" s="94">
        <f t="shared" si="66"/>
        <v>77</v>
      </c>
      <c r="AH22" s="56">
        <f t="shared" si="13"/>
        <v>0</v>
      </c>
      <c r="AI22" s="93">
        <v>36</v>
      </c>
      <c r="AJ22" s="93">
        <f t="shared" si="67"/>
        <v>0</v>
      </c>
      <c r="AK22" s="95">
        <f t="shared" si="36"/>
        <v>1</v>
      </c>
      <c r="AL22" s="58">
        <f t="shared" si="37"/>
        <v>36</v>
      </c>
      <c r="AM22" s="55">
        <f t="shared" si="68"/>
        <v>64</v>
      </c>
      <c r="AN22" s="93"/>
      <c r="AO22" s="96"/>
      <c r="AP22" s="96">
        <f>$CJ22</f>
        <v>6368</v>
      </c>
      <c r="AQ22" s="96"/>
      <c r="AR22" s="96"/>
      <c r="AS22" s="96"/>
      <c r="AT22" s="96"/>
      <c r="AU22" s="96">
        <f t="shared" si="38"/>
        <v>0</v>
      </c>
      <c r="AV22" s="96">
        <f t="shared" si="38"/>
        <v>0</v>
      </c>
      <c r="AW22" s="96">
        <f t="shared" si="39"/>
        <v>6368</v>
      </c>
      <c r="AX22" s="96">
        <f t="shared" si="40"/>
        <v>1431</v>
      </c>
      <c r="AY22" s="94">
        <f t="shared" si="69"/>
        <v>-40</v>
      </c>
      <c r="AZ22" s="94">
        <f t="shared" si="41"/>
        <v>-8.9887640449438191</v>
      </c>
      <c r="BA22" s="94">
        <f t="shared" si="42"/>
        <v>64</v>
      </c>
      <c r="BB22" s="97">
        <f t="shared" si="43"/>
        <v>0</v>
      </c>
      <c r="BC22" s="93"/>
      <c r="BD22" s="93">
        <f t="shared" si="44"/>
        <v>0</v>
      </c>
      <c r="BE22" s="95">
        <f t="shared" si="45"/>
        <v>1</v>
      </c>
      <c r="BF22" s="58">
        <f t="shared" si="46"/>
        <v>0</v>
      </c>
      <c r="BG22" s="94">
        <f t="shared" si="47"/>
        <v>64</v>
      </c>
      <c r="BH22" s="89"/>
      <c r="BI22" s="89"/>
      <c r="BJ22" s="92">
        <f>$CN22</f>
        <v>0</v>
      </c>
      <c r="BK22" s="89"/>
      <c r="BL22" s="89"/>
      <c r="BM22" s="89"/>
      <c r="BN22" s="89"/>
      <c r="BO22" s="92">
        <f t="shared" si="70"/>
        <v>0</v>
      </c>
      <c r="BP22" s="92">
        <f t="shared" si="70"/>
        <v>0</v>
      </c>
      <c r="BQ22" s="96">
        <f t="shared" si="48"/>
        <v>0</v>
      </c>
      <c r="BR22" s="96">
        <f t="shared" si="49"/>
        <v>0</v>
      </c>
      <c r="BS22" s="96">
        <f t="shared" si="71"/>
        <v>0</v>
      </c>
      <c r="BT22" s="96">
        <f t="shared" si="50"/>
        <v>0</v>
      </c>
      <c r="BU22" s="92">
        <f t="shared" si="16"/>
        <v>1431</v>
      </c>
      <c r="BV22" s="98">
        <f t="shared" si="17"/>
        <v>36</v>
      </c>
      <c r="BW22" s="92">
        <f t="shared" si="18"/>
        <v>-8.9887640449438191</v>
      </c>
      <c r="BX22" s="98">
        <f t="shared" si="51"/>
        <v>19.692</v>
      </c>
      <c r="BY22" s="61">
        <f t="shared" si="73"/>
        <v>36</v>
      </c>
      <c r="BZ22" s="62">
        <f t="shared" si="52"/>
        <v>36</v>
      </c>
      <c r="CA22" s="98">
        <f t="shared" si="53"/>
        <v>6.3680000000000003</v>
      </c>
      <c r="CB22" s="92">
        <f t="shared" si="19"/>
        <v>1431</v>
      </c>
      <c r="CC22" s="92">
        <f t="shared" si="19"/>
        <v>-40</v>
      </c>
      <c r="CD22" s="92">
        <f t="shared" si="19"/>
        <v>-8.9887640449438191</v>
      </c>
      <c r="CE22" s="99"/>
      <c r="CF22" s="99"/>
      <c r="CG22" s="51">
        <f t="shared" si="54"/>
        <v>13.324</v>
      </c>
      <c r="CH22" s="62">
        <f t="shared" si="55"/>
        <v>13.324</v>
      </c>
      <c r="CI22" s="89"/>
      <c r="CJ22" s="89">
        <v>6368</v>
      </c>
      <c r="CK22" s="89"/>
      <c r="CL22" s="96"/>
      <c r="CM22" s="89"/>
      <c r="CN22" s="89"/>
      <c r="CO22" s="92"/>
      <c r="CP22" s="101"/>
      <c r="CQ22" s="102">
        <f t="shared" si="56"/>
        <v>1431</v>
      </c>
      <c r="CR22" s="102">
        <f t="shared" si="20"/>
        <v>0</v>
      </c>
      <c r="CS22" s="102">
        <f t="shared" si="20"/>
        <v>0</v>
      </c>
      <c r="CT22" s="92">
        <f t="shared" si="57"/>
        <v>0</v>
      </c>
      <c r="CU22" s="92">
        <f t="shared" si="58"/>
        <v>0</v>
      </c>
      <c r="CV22" s="103">
        <f t="shared" si="58"/>
        <v>0</v>
      </c>
      <c r="CW22" s="104"/>
      <c r="CX22" s="105">
        <v>36.090000000000003</v>
      </c>
      <c r="CY22" s="106">
        <f t="shared" si="59"/>
        <v>947</v>
      </c>
      <c r="CZ22" s="106">
        <f t="shared" si="60"/>
        <v>292.32900000000006</v>
      </c>
      <c r="DA22" s="106"/>
      <c r="DB22" s="106"/>
      <c r="DC22" s="105"/>
      <c r="DD22" s="107"/>
      <c r="DE22" s="92">
        <f t="shared" si="21"/>
        <v>1431</v>
      </c>
      <c r="DF22" s="108">
        <f t="shared" si="22"/>
        <v>36</v>
      </c>
      <c r="DG22" s="112">
        <f t="shared" si="23"/>
        <v>-8.9887640449438191</v>
      </c>
      <c r="DH22" s="110">
        <f t="shared" si="24"/>
        <v>0</v>
      </c>
      <c r="DI22" s="108">
        <f t="shared" si="25"/>
        <v>0</v>
      </c>
      <c r="DJ22" s="112">
        <f t="shared" si="26"/>
        <v>0</v>
      </c>
      <c r="DK22" s="110">
        <f t="shared" si="27"/>
        <v>1431</v>
      </c>
      <c r="DL22" s="108">
        <f t="shared" si="27"/>
        <v>36</v>
      </c>
      <c r="DM22" s="111">
        <f t="shared" si="27"/>
        <v>-8.9887640449438191</v>
      </c>
      <c r="DN22" s="76">
        <f t="shared" si="28"/>
        <v>77</v>
      </c>
      <c r="DO22" s="76">
        <f t="shared" si="28"/>
        <v>23</v>
      </c>
      <c r="DP22" s="112"/>
      <c r="DQ22" s="112"/>
      <c r="DR22" s="113" t="s">
        <v>425</v>
      </c>
      <c r="DS22" s="112"/>
      <c r="DT22" s="112"/>
      <c r="DU22" s="111"/>
      <c r="DV22" s="114"/>
      <c r="DW22" s="80">
        <f t="shared" si="61"/>
        <v>1467</v>
      </c>
      <c r="DX22" s="81">
        <f t="shared" si="29"/>
        <v>1458.0112359550562</v>
      </c>
      <c r="DY22" s="80">
        <f t="shared" si="62"/>
        <v>1431</v>
      </c>
      <c r="DZ22" s="82">
        <f t="shared" si="63"/>
        <v>0</v>
      </c>
      <c r="EA22" s="82">
        <f t="shared" si="64"/>
        <v>6.3679499999999996</v>
      </c>
      <c r="EB22" s="82">
        <f t="shared" si="65"/>
        <v>13.32405</v>
      </c>
      <c r="EC22" s="82">
        <f t="shared" si="75"/>
        <v>13.32405</v>
      </c>
      <c r="EF22" s="83">
        <f t="shared" si="82"/>
        <v>-8.9887640449438191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1"/>
        <v>YHC3604-10.03x3-H9B12</v>
      </c>
      <c r="H23" s="46" t="str">
        <f t="shared" si="32"/>
        <v>C3604YH10.030DH9</v>
      </c>
      <c r="I23" s="46" t="str">
        <f t="shared" si="33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4"/>
        <v>34</v>
      </c>
      <c r="T23" s="51">
        <f>'04.02'!BG23</f>
        <v>12</v>
      </c>
      <c r="U23" s="92">
        <v>28</v>
      </c>
      <c r="V23" s="89">
        <v>4.05</v>
      </c>
      <c r="W23" s="93">
        <f t="shared" si="5"/>
        <v>0</v>
      </c>
      <c r="X23" s="93">
        <f t="shared" si="6"/>
        <v>3894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58</v>
      </c>
      <c r="AE23" s="93">
        <f t="shared" si="35"/>
        <v>3894</v>
      </c>
      <c r="AF23" s="54">
        <f>AE23+'04.02'!AF23</f>
        <v>8055</v>
      </c>
      <c r="AG23" s="94">
        <f t="shared" si="66"/>
        <v>12</v>
      </c>
      <c r="AH23" s="56">
        <f t="shared" si="13"/>
        <v>0</v>
      </c>
      <c r="AI23" s="93">
        <v>13</v>
      </c>
      <c r="AJ23" s="93">
        <f t="shared" si="67"/>
        <v>0</v>
      </c>
      <c r="AK23" s="95">
        <f t="shared" si="36"/>
        <v>1</v>
      </c>
      <c r="AL23" s="58">
        <f t="shared" si="37"/>
        <v>13</v>
      </c>
      <c r="AM23" s="55">
        <f t="shared" si="68"/>
        <v>27</v>
      </c>
      <c r="AN23" s="93"/>
      <c r="AO23" s="96"/>
      <c r="AP23" s="96">
        <f>$CJ23</f>
        <v>6474</v>
      </c>
      <c r="AQ23" s="96"/>
      <c r="AR23" s="96"/>
      <c r="AS23" s="96"/>
      <c r="AT23" s="96"/>
      <c r="AU23" s="96">
        <f t="shared" si="38"/>
        <v>0</v>
      </c>
      <c r="AV23" s="96">
        <f t="shared" si="38"/>
        <v>63</v>
      </c>
      <c r="AW23" s="96">
        <f t="shared" si="39"/>
        <v>6537</v>
      </c>
      <c r="AX23" s="96">
        <f t="shared" si="40"/>
        <v>1614</v>
      </c>
      <c r="AY23" s="94">
        <f t="shared" si="69"/>
        <v>-254.84999999999945</v>
      </c>
      <c r="AZ23" s="94">
        <f t="shared" si="41"/>
        <v>-62.925925925925796</v>
      </c>
      <c r="BA23" s="94">
        <f t="shared" si="42"/>
        <v>27</v>
      </c>
      <c r="BB23" s="97">
        <f t="shared" si="43"/>
        <v>0</v>
      </c>
      <c r="BC23" s="93">
        <v>19</v>
      </c>
      <c r="BD23" s="93">
        <f t="shared" si="44"/>
        <v>500</v>
      </c>
      <c r="BE23" s="95">
        <f>IF(AA23="","",IF(BD23=0,1,BD23/$V23/$E23))</f>
        <v>0.95702938080199074</v>
      </c>
      <c r="BF23" s="58">
        <f t="shared" si="46"/>
        <v>18.96</v>
      </c>
      <c r="BG23" s="94">
        <f t="shared" si="47"/>
        <v>8.0399999999999991</v>
      </c>
      <c r="BH23" s="89"/>
      <c r="BI23" s="89"/>
      <c r="BJ23" s="92">
        <f>$CN23</f>
        <v>9300</v>
      </c>
      <c r="BK23" s="89"/>
      <c r="BL23" s="89"/>
      <c r="BM23" s="89"/>
      <c r="BN23" s="89"/>
      <c r="BO23" s="92">
        <f t="shared" si="70"/>
        <v>0</v>
      </c>
      <c r="BP23" s="92">
        <f t="shared" si="70"/>
        <v>174</v>
      </c>
      <c r="BQ23" s="96">
        <f t="shared" si="48"/>
        <v>9474</v>
      </c>
      <c r="BR23" s="96">
        <f t="shared" si="49"/>
        <v>2339</v>
      </c>
      <c r="BS23" s="96">
        <f t="shared" si="71"/>
        <v>-431.65200000000004</v>
      </c>
      <c r="BT23" s="96">
        <f t="shared" si="50"/>
        <v>-106.58074074074075</v>
      </c>
      <c r="BU23" s="92">
        <f t="shared" si="16"/>
        <v>3894</v>
      </c>
      <c r="BV23" s="98">
        <f t="shared" si="17"/>
        <v>31.96</v>
      </c>
      <c r="BW23" s="92">
        <f t="shared" si="18"/>
        <v>-169.50666666666655</v>
      </c>
      <c r="BX23" s="98">
        <f t="shared" si="51"/>
        <v>63.92</v>
      </c>
      <c r="BY23" s="61">
        <f t="shared" si="73"/>
        <v>31.96</v>
      </c>
      <c r="BZ23" s="62">
        <f t="shared" si="52"/>
        <v>31.96</v>
      </c>
      <c r="CA23" s="98">
        <f t="shared" si="53"/>
        <v>16.010999999999999</v>
      </c>
      <c r="CB23" s="92">
        <f t="shared" si="19"/>
        <v>3953</v>
      </c>
      <c r="CC23" s="92">
        <f t="shared" si="19"/>
        <v>-686.5019999999995</v>
      </c>
      <c r="CD23" s="92">
        <f t="shared" si="19"/>
        <v>-169.50666666666655</v>
      </c>
      <c r="CE23" s="99"/>
      <c r="CF23" s="99"/>
      <c r="CG23" s="51">
        <f t="shared" si="54"/>
        <v>48.146000000000008</v>
      </c>
      <c r="CH23" s="62">
        <f t="shared" si="55"/>
        <v>48.146000000000008</v>
      </c>
      <c r="CI23" s="89"/>
      <c r="CJ23" s="89">
        <v>6474</v>
      </c>
      <c r="CK23" s="89"/>
      <c r="CL23" s="96">
        <v>63</v>
      </c>
      <c r="CM23" s="89">
        <v>500</v>
      </c>
      <c r="CN23" s="89">
        <f>7094+2206</f>
        <v>9300</v>
      </c>
      <c r="CO23" s="92"/>
      <c r="CP23" s="101">
        <v>174</v>
      </c>
      <c r="CQ23" s="102">
        <f t="shared" si="56"/>
        <v>1598</v>
      </c>
      <c r="CR23" s="102">
        <f t="shared" si="20"/>
        <v>0</v>
      </c>
      <c r="CS23" s="102">
        <f t="shared" si="20"/>
        <v>15</v>
      </c>
      <c r="CT23" s="92">
        <f t="shared" si="57"/>
        <v>2296</v>
      </c>
      <c r="CU23" s="92">
        <f t="shared" si="58"/>
        <v>0</v>
      </c>
      <c r="CV23" s="103">
        <f t="shared" si="58"/>
        <v>43</v>
      </c>
      <c r="CW23" s="104"/>
      <c r="CX23" s="105">
        <v>17</v>
      </c>
      <c r="CY23" s="106">
        <f t="shared" si="59"/>
        <v>2188</v>
      </c>
      <c r="CZ23" s="106">
        <f t="shared" si="60"/>
        <v>137.70000000000002</v>
      </c>
      <c r="DA23" s="106"/>
      <c r="DB23" s="106"/>
      <c r="DC23" s="105"/>
      <c r="DD23" s="107"/>
      <c r="DE23" s="92">
        <f t="shared" si="21"/>
        <v>1598</v>
      </c>
      <c r="DF23" s="108">
        <f t="shared" si="22"/>
        <v>13</v>
      </c>
      <c r="DG23" s="112">
        <f t="shared" si="23"/>
        <v>-62.925925925925796</v>
      </c>
      <c r="DH23" s="110">
        <f t="shared" si="24"/>
        <v>2296</v>
      </c>
      <c r="DI23" s="108">
        <f t="shared" si="25"/>
        <v>18.96</v>
      </c>
      <c r="DJ23" s="112">
        <f t="shared" si="26"/>
        <v>-106.58074074074075</v>
      </c>
      <c r="DK23" s="110">
        <f t="shared" si="27"/>
        <v>3894</v>
      </c>
      <c r="DL23" s="108">
        <f t="shared" si="27"/>
        <v>31.96</v>
      </c>
      <c r="DM23" s="111">
        <f t="shared" si="27"/>
        <v>-169.50666666666655</v>
      </c>
      <c r="DN23" s="76">
        <f t="shared" si="28"/>
        <v>12</v>
      </c>
      <c r="DO23" s="76">
        <f t="shared" si="28"/>
        <v>28</v>
      </c>
      <c r="DP23" s="112"/>
      <c r="DQ23" s="112"/>
      <c r="DR23" s="113" t="s">
        <v>426</v>
      </c>
      <c r="DS23" s="112"/>
      <c r="DT23" s="112"/>
      <c r="DU23" s="111"/>
      <c r="DV23" s="114"/>
      <c r="DW23" s="80">
        <f t="shared" ref="DW23:DW25" si="85">IFERROR(AL23+BF23,"")</f>
        <v>31.96</v>
      </c>
      <c r="DX23" s="81">
        <f t="shared" si="29"/>
        <v>3756.4533333333334</v>
      </c>
      <c r="DY23" s="80">
        <f t="shared" si="62"/>
        <v>3952</v>
      </c>
      <c r="DZ23" s="82">
        <f t="shared" si="63"/>
        <v>0.23489999999999997</v>
      </c>
      <c r="EA23" s="82">
        <f t="shared" si="64"/>
        <v>15.7707</v>
      </c>
      <c r="EB23" s="82">
        <f t="shared" si="65"/>
        <v>48.149300000000004</v>
      </c>
      <c r="EC23" s="82">
        <f>(BX23-CA23)+((AV23+BP23)/1000)</f>
        <v>48.146000000000008</v>
      </c>
      <c r="EF23" s="83">
        <f t="shared" si="82"/>
        <v>-169.50666666666655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1"/>
        <v>GWA6063-T5-T18.15x8.6x3-H9A15</v>
      </c>
      <c r="H24" s="46" t="str">
        <f t="shared" si="32"/>
        <v>A6063-T5GW18.158.6TH9</v>
      </c>
      <c r="I24" s="46" t="str">
        <f t="shared" si="33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4"/>
        <v>14</v>
      </c>
      <c r="T24" s="51">
        <f>'04.02'!BG24</f>
        <v>11</v>
      </c>
      <c r="U24" s="92">
        <v>10</v>
      </c>
      <c r="V24" s="89">
        <v>9.9</v>
      </c>
      <c r="W24" s="93">
        <f t="shared" si="5"/>
        <v>0</v>
      </c>
      <c r="X24" s="93">
        <f t="shared" si="6"/>
        <v>371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15</v>
      </c>
      <c r="AE24" s="93">
        <f t="shared" si="35"/>
        <v>371</v>
      </c>
      <c r="AF24" s="54">
        <f>AE24+'04.02'!AF24</f>
        <v>2439</v>
      </c>
      <c r="AG24" s="94">
        <f t="shared" si="66"/>
        <v>11</v>
      </c>
      <c r="AH24" s="56">
        <f t="shared" si="13"/>
        <v>0</v>
      </c>
      <c r="AI24" s="93">
        <v>6</v>
      </c>
      <c r="AJ24" s="93">
        <f t="shared" si="67"/>
        <v>0</v>
      </c>
      <c r="AK24" s="95">
        <f t="shared" si="36"/>
        <v>1</v>
      </c>
      <c r="AL24" s="58">
        <f t="shared" si="37"/>
        <v>6</v>
      </c>
      <c r="AM24" s="55">
        <f t="shared" si="68"/>
        <v>15</v>
      </c>
      <c r="AN24" s="93"/>
      <c r="AO24" s="96"/>
      <c r="AP24" s="96">
        <f>$CJ24</f>
        <v>3672.9</v>
      </c>
      <c r="AQ24" s="96"/>
      <c r="AR24" s="96"/>
      <c r="AS24" s="96"/>
      <c r="AT24" s="96"/>
      <c r="AU24" s="96">
        <f t="shared" si="38"/>
        <v>0</v>
      </c>
      <c r="AV24" s="96">
        <f t="shared" si="38"/>
        <v>150</v>
      </c>
      <c r="AW24" s="96">
        <f t="shared" si="39"/>
        <v>3822.9</v>
      </c>
      <c r="AX24" s="96">
        <f t="shared" si="40"/>
        <v>386</v>
      </c>
      <c r="AY24" s="94">
        <f t="shared" si="69"/>
        <v>-216.30000000000018</v>
      </c>
      <c r="AZ24" s="94">
        <f t="shared" si="41"/>
        <v>-21.848484848484865</v>
      </c>
      <c r="BA24" s="94">
        <f t="shared" si="42"/>
        <v>15</v>
      </c>
      <c r="BB24" s="97">
        <f t="shared" si="43"/>
        <v>0</v>
      </c>
      <c r="BC24" s="93"/>
      <c r="BD24" s="93">
        <f t="shared" si="44"/>
        <v>0</v>
      </c>
      <c r="BE24" s="95">
        <f t="shared" si="45"/>
        <v>1</v>
      </c>
      <c r="BF24" s="58">
        <f t="shared" si="46"/>
        <v>0</v>
      </c>
      <c r="BG24" s="94">
        <f t="shared" si="47"/>
        <v>15</v>
      </c>
      <c r="BH24" s="89"/>
      <c r="BI24" s="89"/>
      <c r="BJ24" s="92">
        <f>$CN24</f>
        <v>0</v>
      </c>
      <c r="BK24" s="89"/>
      <c r="BL24" s="89"/>
      <c r="BM24" s="89"/>
      <c r="BN24" s="89"/>
      <c r="BO24" s="92">
        <f t="shared" si="70"/>
        <v>0</v>
      </c>
      <c r="BP24" s="92">
        <f t="shared" si="70"/>
        <v>0</v>
      </c>
      <c r="BQ24" s="96">
        <f t="shared" si="48"/>
        <v>0</v>
      </c>
      <c r="BR24" s="96">
        <f t="shared" si="49"/>
        <v>0</v>
      </c>
      <c r="BS24" s="96">
        <f t="shared" si="71"/>
        <v>0</v>
      </c>
      <c r="BT24" s="96">
        <f t="shared" si="50"/>
        <v>0</v>
      </c>
      <c r="BU24" s="92">
        <f t="shared" si="16"/>
        <v>371</v>
      </c>
      <c r="BV24" s="98">
        <f t="shared" si="17"/>
        <v>6</v>
      </c>
      <c r="BW24" s="92">
        <f t="shared" si="18"/>
        <v>-21.848484848484865</v>
      </c>
      <c r="BX24" s="98">
        <f t="shared" si="51"/>
        <v>9.8460000000000001</v>
      </c>
      <c r="BY24" s="61">
        <f t="shared" si="73"/>
        <v>6</v>
      </c>
      <c r="BZ24" s="62">
        <f t="shared" si="52"/>
        <v>6</v>
      </c>
      <c r="CA24" s="98">
        <f t="shared" si="53"/>
        <v>3.8229000000000002</v>
      </c>
      <c r="CB24" s="92">
        <f t="shared" si="19"/>
        <v>386</v>
      </c>
      <c r="CC24" s="92">
        <f t="shared" si="19"/>
        <v>-216.30000000000018</v>
      </c>
      <c r="CD24" s="92">
        <f t="shared" si="19"/>
        <v>-21.848484848484865</v>
      </c>
      <c r="CE24" s="99"/>
      <c r="CF24" s="99"/>
      <c r="CG24" s="51">
        <f t="shared" si="54"/>
        <v>6.1730999999999998</v>
      </c>
      <c r="CH24" s="62">
        <f t="shared" si="55"/>
        <v>6.1730999999999998</v>
      </c>
      <c r="CI24" s="89"/>
      <c r="CJ24" s="89">
        <f>371*9.9</f>
        <v>3672.9</v>
      </c>
      <c r="CK24" s="89"/>
      <c r="CL24" s="96">
        <v>150</v>
      </c>
      <c r="CM24" s="89"/>
      <c r="CN24" s="89"/>
      <c r="CO24" s="92"/>
      <c r="CP24" s="101"/>
      <c r="CQ24" s="102">
        <f t="shared" si="56"/>
        <v>371</v>
      </c>
      <c r="CR24" s="102">
        <f t="shared" si="56"/>
        <v>0</v>
      </c>
      <c r="CS24" s="102">
        <f t="shared" si="56"/>
        <v>15</v>
      </c>
      <c r="CT24" s="92">
        <f t="shared" si="57"/>
        <v>0</v>
      </c>
      <c r="CU24" s="92">
        <f t="shared" si="58"/>
        <v>0</v>
      </c>
      <c r="CV24" s="103">
        <f t="shared" si="58"/>
        <v>0</v>
      </c>
      <c r="CW24" s="104"/>
      <c r="CX24" s="105">
        <v>80.33</v>
      </c>
      <c r="CY24" s="106">
        <f t="shared" si="59"/>
        <v>507</v>
      </c>
      <c r="CZ24" s="106">
        <f t="shared" si="60"/>
        <v>650.673</v>
      </c>
      <c r="DA24" s="106"/>
      <c r="DB24" s="106"/>
      <c r="DC24" s="105"/>
      <c r="DD24" s="107"/>
      <c r="DE24" s="92">
        <f t="shared" si="21"/>
        <v>371</v>
      </c>
      <c r="DF24" s="108">
        <f t="shared" si="22"/>
        <v>6</v>
      </c>
      <c r="DG24" s="112">
        <f t="shared" si="23"/>
        <v>-21.848484848484865</v>
      </c>
      <c r="DH24" s="110">
        <f t="shared" si="24"/>
        <v>0</v>
      </c>
      <c r="DI24" s="108">
        <f t="shared" si="25"/>
        <v>0</v>
      </c>
      <c r="DJ24" s="112">
        <f t="shared" si="26"/>
        <v>0</v>
      </c>
      <c r="DK24" s="110">
        <f t="shared" ref="DK24:DM87" si="86">IFERROR(DE24+DH24,"")</f>
        <v>371</v>
      </c>
      <c r="DL24" s="108">
        <f t="shared" si="86"/>
        <v>6</v>
      </c>
      <c r="DM24" s="111">
        <f t="shared" si="86"/>
        <v>-21.848484848484865</v>
      </c>
      <c r="DN24" s="76">
        <f t="shared" si="28"/>
        <v>11</v>
      </c>
      <c r="DO24" s="76">
        <f t="shared" si="28"/>
        <v>10</v>
      </c>
      <c r="DP24" s="112"/>
      <c r="DQ24" s="112"/>
      <c r="DR24" s="113" t="s">
        <v>427</v>
      </c>
      <c r="DS24" s="112"/>
      <c r="DT24" s="112"/>
      <c r="DU24" s="111"/>
      <c r="DV24" s="114"/>
      <c r="DW24" s="80">
        <f t="shared" si="85"/>
        <v>6</v>
      </c>
      <c r="DX24" s="81">
        <f t="shared" si="29"/>
        <v>355.15151515151513</v>
      </c>
      <c r="DY24" s="80">
        <f t="shared" si="62"/>
        <v>386</v>
      </c>
      <c r="DZ24" s="82">
        <f t="shared" si="63"/>
        <v>0.14849999999999999</v>
      </c>
      <c r="EA24" s="82">
        <f t="shared" si="64"/>
        <v>3.6729000000000003</v>
      </c>
      <c r="EB24" s="82">
        <f t="shared" si="65"/>
        <v>6.1730999999999998</v>
      </c>
      <c r="EC24" s="82">
        <f t="shared" si="75"/>
        <v>6.3216000000000001</v>
      </c>
      <c r="EF24" s="83">
        <f t="shared" si="82"/>
        <v>-21.848484848484865</v>
      </c>
    </row>
    <row r="25" spans="1:136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1"/>
        <v>GWA6063-T5-17x3-H9B15</v>
      </c>
      <c r="H25" s="46" t="str">
        <f t="shared" si="32"/>
        <v>A6063-T5GW170DH9</v>
      </c>
      <c r="I25" s="46" t="str">
        <f t="shared" si="33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4"/>
        <v>16</v>
      </c>
      <c r="T25" s="51">
        <f>'04.02'!BG25</f>
        <v>20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5"/>
        <v>0</v>
      </c>
      <c r="AF25" s="54">
        <f>AE25+'04.02'!AF25</f>
        <v>0</v>
      </c>
      <c r="AG25" s="94">
        <f t="shared" si="66"/>
        <v>20</v>
      </c>
      <c r="AH25" s="56">
        <f t="shared" si="13"/>
        <v>0</v>
      </c>
      <c r="AI25" s="93"/>
      <c r="AJ25" s="93">
        <f t="shared" si="67"/>
        <v>0</v>
      </c>
      <c r="AK25" s="95">
        <f t="shared" si="36"/>
        <v>1</v>
      </c>
      <c r="AL25" s="58">
        <f t="shared" si="37"/>
        <v>0</v>
      </c>
      <c r="AM25" s="55">
        <f t="shared" si="68"/>
        <v>20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8"/>
        <v>0</v>
      </c>
      <c r="AV25" s="96">
        <f t="shared" si="38"/>
        <v>0</v>
      </c>
      <c r="AW25" s="96">
        <f t="shared" si="39"/>
        <v>0</v>
      </c>
      <c r="AX25" s="96">
        <f t="shared" si="40"/>
        <v>0</v>
      </c>
      <c r="AY25" s="94">
        <f t="shared" si="69"/>
        <v>0</v>
      </c>
      <c r="AZ25" s="94">
        <f t="shared" si="41"/>
        <v>0</v>
      </c>
      <c r="BA25" s="94">
        <f t="shared" si="42"/>
        <v>20</v>
      </c>
      <c r="BB25" s="97">
        <f t="shared" si="43"/>
        <v>0</v>
      </c>
      <c r="BC25" s="93"/>
      <c r="BD25" s="93">
        <f t="shared" si="44"/>
        <v>0</v>
      </c>
      <c r="BE25" s="95">
        <f t="shared" si="45"/>
        <v>1</v>
      </c>
      <c r="BF25" s="58">
        <f t="shared" si="46"/>
        <v>0</v>
      </c>
      <c r="BG25" s="94">
        <f t="shared" si="47"/>
        <v>20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0"/>
        <v>0</v>
      </c>
      <c r="BP25" s="92">
        <f t="shared" si="70"/>
        <v>0</v>
      </c>
      <c r="BQ25" s="96">
        <f t="shared" si="48"/>
        <v>0</v>
      </c>
      <c r="BR25" s="96">
        <f t="shared" si="49"/>
        <v>0</v>
      </c>
      <c r="BS25" s="96">
        <f t="shared" si="71"/>
        <v>0</v>
      </c>
      <c r="BT25" s="96">
        <f t="shared" si="50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1"/>
        <v>0</v>
      </c>
      <c r="BY25" s="61">
        <f t="shared" si="73"/>
        <v>0</v>
      </c>
      <c r="BZ25" s="62">
        <f t="shared" si="52"/>
        <v>0</v>
      </c>
      <c r="CA25" s="98">
        <f t="shared" si="53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4"/>
        <v>0</v>
      </c>
      <c r="CH25" s="62">
        <f t="shared" si="55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7">INT(IFERROR( CJ25/$V25,0))</f>
        <v>0</v>
      </c>
      <c r="CR25" s="102">
        <f t="shared" si="87"/>
        <v>0</v>
      </c>
      <c r="CS25" s="102">
        <f t="shared" si="87"/>
        <v>0</v>
      </c>
      <c r="CT25" s="92">
        <f t="shared" si="57"/>
        <v>0</v>
      </c>
      <c r="CU25" s="92">
        <f t="shared" ref="CU25:CV40" si="88">INT(IFERROR( AC25-CR25,0))</f>
        <v>0</v>
      </c>
      <c r="CV25" s="103">
        <f t="shared" si="88"/>
        <v>0</v>
      </c>
      <c r="CW25" s="104"/>
      <c r="CX25" s="105">
        <v>69.16</v>
      </c>
      <c r="CY25" s="106">
        <f t="shared" si="59"/>
        <v>585</v>
      </c>
      <c r="CZ25" s="106">
        <f t="shared" si="60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6"/>
        <v>0</v>
      </c>
      <c r="DL25" s="108">
        <f t="shared" si="86"/>
        <v>0</v>
      </c>
      <c r="DM25" s="111">
        <f t="shared" si="86"/>
        <v>0</v>
      </c>
      <c r="DN25" s="76">
        <f t="shared" si="28"/>
        <v>20</v>
      </c>
      <c r="DO25" s="76">
        <f t="shared" si="28"/>
        <v>0</v>
      </c>
      <c r="DP25" s="112"/>
      <c r="DQ25" s="112"/>
      <c r="DR25" s="113" t="s">
        <v>428</v>
      </c>
      <c r="DS25" s="112"/>
      <c r="DT25" s="112"/>
      <c r="DU25" s="111"/>
      <c r="DV25" s="114"/>
      <c r="DW25" s="80">
        <f t="shared" si="85"/>
        <v>0</v>
      </c>
      <c r="DX25" s="81">
        <f t="shared" si="29"/>
        <v>0</v>
      </c>
      <c r="DY25" s="80">
        <f t="shared" si="62"/>
        <v>0</v>
      </c>
      <c r="DZ25" s="82">
        <f t="shared" si="63"/>
        <v>0</v>
      </c>
      <c r="EA25" s="82">
        <f t="shared" si="64"/>
        <v>0</v>
      </c>
      <c r="EB25" s="82">
        <f t="shared" si="65"/>
        <v>0</v>
      </c>
      <c r="EC25" s="82">
        <f>(BX25-CA25)+((AV25+BP25)/1000)</f>
        <v>0</v>
      </c>
      <c r="EF25" s="83">
        <f t="shared" si="82"/>
        <v>0</v>
      </c>
    </row>
    <row r="26" spans="1:136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1"/>
        <v>-xx-</v>
      </c>
      <c r="H26" s="46" t="str">
        <f t="shared" si="32"/>
        <v/>
      </c>
      <c r="I26" s="46" t="str">
        <f t="shared" si="33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4"/>
        <v>#DIV/0!</v>
      </c>
      <c r="T26" s="51">
        <f>'04.02'!BG26</f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5"/>
        <v>0</v>
      </c>
      <c r="AF26" s="54">
        <f>AE26+'04.02'!AF26</f>
        <v>0</v>
      </c>
      <c r="AG26" s="94">
        <f t="shared" si="66"/>
        <v>0</v>
      </c>
      <c r="AH26" s="56">
        <f t="shared" si="13"/>
        <v>0</v>
      </c>
      <c r="AI26" s="93"/>
      <c r="AJ26" s="93">
        <f t="shared" si="67"/>
        <v>0</v>
      </c>
      <c r="AK26" s="95">
        <f t="shared" si="36"/>
        <v>1</v>
      </c>
      <c r="AL26" s="58">
        <f t="shared" si="37"/>
        <v>0</v>
      </c>
      <c r="AM26" s="55">
        <f t="shared" si="68"/>
        <v>0</v>
      </c>
      <c r="AN26" s="93"/>
      <c r="AO26" s="96"/>
      <c r="AP26" s="96"/>
      <c r="AQ26" s="96"/>
      <c r="AR26" s="96"/>
      <c r="AS26" s="96"/>
      <c r="AT26" s="96"/>
      <c r="AU26" s="96">
        <f t="shared" si="38"/>
        <v>0</v>
      </c>
      <c r="AV26" s="96">
        <f t="shared" si="38"/>
        <v>0</v>
      </c>
      <c r="AW26" s="96">
        <f t="shared" si="39"/>
        <v>0</v>
      </c>
      <c r="AX26" s="96">
        <f t="shared" si="40"/>
        <v>0</v>
      </c>
      <c r="AY26" s="94">
        <f t="shared" si="69"/>
        <v>0</v>
      </c>
      <c r="AZ26" s="94">
        <f t="shared" si="41"/>
        <v>0</v>
      </c>
      <c r="BA26" s="94">
        <f t="shared" si="42"/>
        <v>0</v>
      </c>
      <c r="BB26" s="97">
        <f t="shared" si="43"/>
        <v>0</v>
      </c>
      <c r="BC26" s="93"/>
      <c r="BD26" s="93">
        <f t="shared" si="44"/>
        <v>0</v>
      </c>
      <c r="BE26" s="95">
        <f t="shared" si="45"/>
        <v>1</v>
      </c>
      <c r="BF26" s="58">
        <f t="shared" si="46"/>
        <v>0</v>
      </c>
      <c r="BG26" s="94">
        <f t="shared" si="47"/>
        <v>0</v>
      </c>
      <c r="BH26" s="89"/>
      <c r="BI26" s="89"/>
      <c r="BJ26" s="89"/>
      <c r="BK26" s="89"/>
      <c r="BL26" s="89"/>
      <c r="BM26" s="89"/>
      <c r="BN26" s="89"/>
      <c r="BO26" s="92">
        <f t="shared" si="70"/>
        <v>0</v>
      </c>
      <c r="BP26" s="92">
        <f t="shared" si="70"/>
        <v>0</v>
      </c>
      <c r="BQ26" s="96">
        <f t="shared" si="48"/>
        <v>0</v>
      </c>
      <c r="BR26" s="96">
        <f t="shared" si="49"/>
        <v>0</v>
      </c>
      <c r="BS26" s="96">
        <f t="shared" si="71"/>
        <v>0</v>
      </c>
      <c r="BT26" s="96">
        <f t="shared" si="50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1"/>
        <v/>
      </c>
      <c r="BY26" s="61">
        <f t="shared" si="73"/>
        <v>0</v>
      </c>
      <c r="BZ26" s="62">
        <f t="shared" si="52"/>
        <v>0</v>
      </c>
      <c r="CA26" s="98">
        <f t="shared" si="53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4"/>
        <v>0</v>
      </c>
      <c r="CH26" s="62">
        <f t="shared" si="55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7"/>
        <v>0</v>
      </c>
      <c r="CR26" s="102">
        <f t="shared" si="87"/>
        <v>0</v>
      </c>
      <c r="CS26" s="102">
        <f t="shared" si="87"/>
        <v>0</v>
      </c>
      <c r="CT26" s="92">
        <f t="shared" si="57"/>
        <v>0</v>
      </c>
      <c r="CU26" s="92">
        <f t="shared" si="88"/>
        <v>0</v>
      </c>
      <c r="CV26" s="103">
        <f t="shared" si="88"/>
        <v>0</v>
      </c>
      <c r="CW26" s="104"/>
      <c r="CX26" s="105"/>
      <c r="CY26" s="106" t="e">
        <f t="shared" si="59"/>
        <v>#DIV/0!</v>
      </c>
      <c r="CZ26" s="106">
        <f t="shared" si="60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6"/>
        <v>0</v>
      </c>
      <c r="DL26" s="108">
        <f t="shared" si="86"/>
        <v>0</v>
      </c>
      <c r="DM26" s="111">
        <f t="shared" si="86"/>
        <v>0</v>
      </c>
      <c r="DN26" s="76">
        <f t="shared" ref="DN26:DN89" si="89">T26</f>
        <v>0</v>
      </c>
      <c r="DO26" s="76">
        <f t="shared" ref="DO26:DO89" si="90">U26</f>
        <v>0</v>
      </c>
      <c r="DP26" s="112"/>
      <c r="DQ26" s="112"/>
      <c r="DR26" s="113"/>
      <c r="DS26" s="112"/>
      <c r="DT26" s="112"/>
      <c r="DU26" s="111"/>
      <c r="DV26" s="114"/>
      <c r="DW26" s="80">
        <f t="shared" si="61"/>
        <v>0</v>
      </c>
      <c r="DX26" s="81">
        <f t="shared" si="29"/>
        <v>0</v>
      </c>
      <c r="DY26" s="80">
        <f t="shared" si="62"/>
        <v>0</v>
      </c>
      <c r="DZ26" s="82">
        <f t="shared" si="63"/>
        <v>0</v>
      </c>
      <c r="EA26" s="82">
        <f t="shared" si="64"/>
        <v>0</v>
      </c>
      <c r="EB26" s="82" t="e">
        <f t="shared" si="65"/>
        <v>#VALUE!</v>
      </c>
      <c r="EC26" s="82" t="e">
        <f t="shared" si="75"/>
        <v>#VALUE!</v>
      </c>
    </row>
    <row r="27" spans="1:136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1"/>
        <v>TVSUJ2-8.1x3-H9C13</v>
      </c>
      <c r="H27" s="46" t="str">
        <f t="shared" si="32"/>
        <v>SUJ2TV8.10DH9</v>
      </c>
      <c r="I27" s="46" t="str">
        <f t="shared" si="33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4"/>
        <v>52</v>
      </c>
      <c r="T27" s="51">
        <f>'04.02'!BG27</f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5"/>
        <v>0</v>
      </c>
      <c r="AF27" s="54">
        <f>AE27+'04.02'!AF27</f>
        <v>0</v>
      </c>
      <c r="AG27" s="94">
        <f t="shared" si="66"/>
        <v>0</v>
      </c>
      <c r="AH27" s="56">
        <f t="shared" si="13"/>
        <v>0</v>
      </c>
      <c r="AI27" s="93"/>
      <c r="AJ27" s="93">
        <f t="shared" si="67"/>
        <v>0</v>
      </c>
      <c r="AK27" s="95">
        <f t="shared" si="36"/>
        <v>1</v>
      </c>
      <c r="AL27" s="58">
        <f t="shared" si="37"/>
        <v>0</v>
      </c>
      <c r="AM27" s="55">
        <f t="shared" si="68"/>
        <v>0</v>
      </c>
      <c r="AN27" s="93"/>
      <c r="AO27" s="96"/>
      <c r="AP27" s="96">
        <f t="shared" ref="AP27:AP33" si="91">$CJ27</f>
        <v>0</v>
      </c>
      <c r="AQ27" s="96"/>
      <c r="AR27" s="96"/>
      <c r="AS27" s="96"/>
      <c r="AT27" s="96"/>
      <c r="AU27" s="96">
        <f t="shared" si="38"/>
        <v>0</v>
      </c>
      <c r="AV27" s="96">
        <f t="shared" si="38"/>
        <v>0</v>
      </c>
      <c r="AW27" s="96">
        <f t="shared" si="39"/>
        <v>0</v>
      </c>
      <c r="AX27" s="96">
        <f t="shared" si="40"/>
        <v>0</v>
      </c>
      <c r="AY27" s="94">
        <f t="shared" si="69"/>
        <v>0</v>
      </c>
      <c r="AZ27" s="94">
        <f t="shared" si="41"/>
        <v>0</v>
      </c>
      <c r="BA27" s="94">
        <f t="shared" si="42"/>
        <v>0</v>
      </c>
      <c r="BB27" s="97">
        <f t="shared" si="43"/>
        <v>0</v>
      </c>
      <c r="BC27" s="93"/>
      <c r="BD27" s="93">
        <f t="shared" si="44"/>
        <v>0</v>
      </c>
      <c r="BE27" s="95">
        <f t="shared" si="45"/>
        <v>1</v>
      </c>
      <c r="BF27" s="58">
        <f t="shared" si="46"/>
        <v>0</v>
      </c>
      <c r="BG27" s="94">
        <f t="shared" si="47"/>
        <v>0</v>
      </c>
      <c r="BH27" s="89"/>
      <c r="BI27" s="89"/>
      <c r="BJ27" s="92">
        <f t="shared" ref="BJ27:BJ33" si="92">$CN27</f>
        <v>0</v>
      </c>
      <c r="BK27" s="89"/>
      <c r="BL27" s="89"/>
      <c r="BM27" s="89"/>
      <c r="BN27" s="89"/>
      <c r="BO27" s="92">
        <f t="shared" si="70"/>
        <v>0</v>
      </c>
      <c r="BP27" s="92">
        <f t="shared" si="70"/>
        <v>0</v>
      </c>
      <c r="BQ27" s="96">
        <f t="shared" si="48"/>
        <v>0</v>
      </c>
      <c r="BR27" s="96">
        <f t="shared" si="49"/>
        <v>0</v>
      </c>
      <c r="BS27" s="96">
        <f t="shared" si="71"/>
        <v>0</v>
      </c>
      <c r="BT27" s="96">
        <f t="shared" si="50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1"/>
        <v>0</v>
      </c>
      <c r="BY27" s="61">
        <f t="shared" si="73"/>
        <v>0</v>
      </c>
      <c r="BZ27" s="62">
        <f t="shared" si="52"/>
        <v>0</v>
      </c>
      <c r="CA27" s="98">
        <f t="shared" si="53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4"/>
        <v>0</v>
      </c>
      <c r="CH27" s="62">
        <f t="shared" si="55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7"/>
        <v>0</v>
      </c>
      <c r="CR27" s="102">
        <f t="shared" si="87"/>
        <v>0</v>
      </c>
      <c r="CS27" s="102">
        <f t="shared" si="87"/>
        <v>0</v>
      </c>
      <c r="CT27" s="92">
        <f t="shared" si="57"/>
        <v>0</v>
      </c>
      <c r="CU27" s="92">
        <f t="shared" si="88"/>
        <v>0</v>
      </c>
      <c r="CV27" s="103">
        <f t="shared" si="88"/>
        <v>0</v>
      </c>
      <c r="CW27" s="104"/>
      <c r="CX27" s="105">
        <v>17</v>
      </c>
      <c r="CY27" s="106">
        <f t="shared" si="59"/>
        <v>1941</v>
      </c>
      <c r="CZ27" s="106">
        <f t="shared" si="60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6"/>
        <v>0</v>
      </c>
      <c r="DL27" s="108">
        <f t="shared" si="86"/>
        <v>0</v>
      </c>
      <c r="DM27" s="111">
        <f t="shared" si="86"/>
        <v>0</v>
      </c>
      <c r="DN27" s="76">
        <f t="shared" si="89"/>
        <v>0</v>
      </c>
      <c r="DO27" s="76">
        <f t="shared" si="90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1"/>
        <v>0</v>
      </c>
      <c r="DX27" s="81">
        <f t="shared" si="29"/>
        <v>0</v>
      </c>
      <c r="DY27" s="80">
        <f t="shared" si="62"/>
        <v>0</v>
      </c>
      <c r="DZ27" s="82">
        <f t="shared" si="63"/>
        <v>0</v>
      </c>
      <c r="EA27" s="82">
        <f t="shared" si="64"/>
        <v>0</v>
      </c>
      <c r="EB27" s="82">
        <f t="shared" si="65"/>
        <v>0</v>
      </c>
      <c r="EC27" s="82">
        <f t="shared" si="75"/>
        <v>0</v>
      </c>
      <c r="EF27" s="83">
        <f t="shared" ref="EF27:EF58" si="93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1"/>
        <v>GWA6063-T5-T18.15x8.6x3-H9A15</v>
      </c>
      <c r="H28" s="46" t="str">
        <f t="shared" si="32"/>
        <v>A6063-T5GW18.158.6TH9</v>
      </c>
      <c r="I28" s="46" t="str">
        <f t="shared" si="33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4"/>
        <v>18</v>
      </c>
      <c r="T28" s="51">
        <f>'04.02'!BG28</f>
        <v>15</v>
      </c>
      <c r="U28" s="92">
        <v>10</v>
      </c>
      <c r="V28" s="89">
        <v>7.7</v>
      </c>
      <c r="W28" s="93">
        <f t="shared" si="5"/>
        <v>0</v>
      </c>
      <c r="X28" s="93">
        <f t="shared" si="6"/>
        <v>1050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44</v>
      </c>
      <c r="AE28" s="93">
        <f t="shared" si="35"/>
        <v>1050</v>
      </c>
      <c r="AF28" s="54">
        <f>AE28+'04.02'!AF28</f>
        <v>5043</v>
      </c>
      <c r="AG28" s="94">
        <f t="shared" si="66"/>
        <v>15</v>
      </c>
      <c r="AH28" s="56">
        <f t="shared" si="13"/>
        <v>0</v>
      </c>
      <c r="AI28" s="93">
        <v>6</v>
      </c>
      <c r="AJ28" s="93">
        <f t="shared" si="67"/>
        <v>0</v>
      </c>
      <c r="AK28" s="95">
        <f t="shared" si="36"/>
        <v>1</v>
      </c>
      <c r="AL28" s="58">
        <f t="shared" si="37"/>
        <v>6</v>
      </c>
      <c r="AM28" s="55">
        <f t="shared" si="68"/>
        <v>19</v>
      </c>
      <c r="AN28" s="93"/>
      <c r="AO28" s="96"/>
      <c r="AP28" s="96">
        <f t="shared" si="91"/>
        <v>3896.2000000000003</v>
      </c>
      <c r="AQ28" s="96"/>
      <c r="AR28" s="96"/>
      <c r="AS28" s="96"/>
      <c r="AT28" s="96"/>
      <c r="AU28" s="96">
        <f t="shared" si="38"/>
        <v>0</v>
      </c>
      <c r="AV28" s="96">
        <f t="shared" si="38"/>
        <v>340</v>
      </c>
      <c r="AW28" s="96">
        <f t="shared" si="39"/>
        <v>4236.2000000000007</v>
      </c>
      <c r="AX28" s="96">
        <f t="shared" si="40"/>
        <v>550</v>
      </c>
      <c r="AY28" s="94">
        <f t="shared" si="69"/>
        <v>32.000000000000909</v>
      </c>
      <c r="AZ28" s="94">
        <f t="shared" si="41"/>
        <v>4.1558441558442736</v>
      </c>
      <c r="BA28" s="94">
        <f t="shared" si="42"/>
        <v>19</v>
      </c>
      <c r="BB28" s="97">
        <f t="shared" si="43"/>
        <v>0</v>
      </c>
      <c r="BC28" s="93">
        <v>6</v>
      </c>
      <c r="BD28" s="93">
        <f t="shared" si="44"/>
        <v>0</v>
      </c>
      <c r="BE28" s="95">
        <f t="shared" si="45"/>
        <v>1</v>
      </c>
      <c r="BF28" s="58">
        <f t="shared" si="46"/>
        <v>6</v>
      </c>
      <c r="BG28" s="94">
        <f t="shared" si="47"/>
        <v>13</v>
      </c>
      <c r="BH28" s="89"/>
      <c r="BI28" s="89"/>
      <c r="BJ28" s="92">
        <f t="shared" si="92"/>
        <v>4188.8</v>
      </c>
      <c r="BK28" s="89"/>
      <c r="BL28" s="89"/>
      <c r="BM28" s="89"/>
      <c r="BN28" s="89"/>
      <c r="BO28" s="92">
        <f t="shared" si="70"/>
        <v>0</v>
      </c>
      <c r="BP28" s="92">
        <f t="shared" si="70"/>
        <v>0</v>
      </c>
      <c r="BQ28" s="96">
        <f t="shared" si="48"/>
        <v>4188.8</v>
      </c>
      <c r="BR28" s="96">
        <f t="shared" si="49"/>
        <v>544</v>
      </c>
      <c r="BS28" s="96">
        <f t="shared" si="71"/>
        <v>-15.399999999999636</v>
      </c>
      <c r="BT28" s="96">
        <f t="shared" si="50"/>
        <v>-1.9999999999999527</v>
      </c>
      <c r="BU28" s="92">
        <f t="shared" si="16"/>
        <v>1050</v>
      </c>
      <c r="BV28" s="98">
        <f t="shared" si="17"/>
        <v>12</v>
      </c>
      <c r="BW28" s="92">
        <f t="shared" si="18"/>
        <v>2.1558441558443207</v>
      </c>
      <c r="BX28" s="98">
        <f t="shared" si="51"/>
        <v>19.692</v>
      </c>
      <c r="BY28" s="61">
        <f t="shared" si="73"/>
        <v>12</v>
      </c>
      <c r="BZ28" s="62">
        <f t="shared" si="52"/>
        <v>12</v>
      </c>
      <c r="CA28" s="98">
        <f t="shared" si="53"/>
        <v>8.4250000000000007</v>
      </c>
      <c r="CB28" s="92">
        <f t="shared" si="19"/>
        <v>1094</v>
      </c>
      <c r="CC28" s="92">
        <f t="shared" si="19"/>
        <v>16.600000000001273</v>
      </c>
      <c r="CD28" s="92">
        <f t="shared" si="19"/>
        <v>2.1558441558443207</v>
      </c>
      <c r="CE28" s="99"/>
      <c r="CF28" s="99"/>
      <c r="CG28" s="51">
        <f t="shared" si="54"/>
        <v>11.606999999999999</v>
      </c>
      <c r="CH28" s="62">
        <f t="shared" si="55"/>
        <v>11.606999999999999</v>
      </c>
      <c r="CI28" s="89"/>
      <c r="CJ28" s="89">
        <f>506*7.7</f>
        <v>3896.2000000000003</v>
      </c>
      <c r="CK28" s="89"/>
      <c r="CL28" s="96">
        <v>340</v>
      </c>
      <c r="CM28" s="89"/>
      <c r="CN28" s="89">
        <f>544*7.7</f>
        <v>4188.8</v>
      </c>
      <c r="CO28" s="92"/>
      <c r="CP28" s="101"/>
      <c r="CQ28" s="102">
        <f t="shared" si="87"/>
        <v>506</v>
      </c>
      <c r="CR28" s="102">
        <f t="shared" si="87"/>
        <v>0</v>
      </c>
      <c r="CS28" s="102">
        <f t="shared" si="87"/>
        <v>44</v>
      </c>
      <c r="CT28" s="92">
        <f t="shared" si="57"/>
        <v>544</v>
      </c>
      <c r="CU28" s="92">
        <f t="shared" si="88"/>
        <v>0</v>
      </c>
      <c r="CV28" s="103">
        <f t="shared" si="88"/>
        <v>0</v>
      </c>
      <c r="CW28" s="104"/>
      <c r="CX28" s="105">
        <v>49.97</v>
      </c>
      <c r="CY28" s="106">
        <f t="shared" si="59"/>
        <v>804</v>
      </c>
      <c r="CZ28" s="106">
        <f t="shared" si="60"/>
        <v>404.75700000000001</v>
      </c>
      <c r="DA28" s="106"/>
      <c r="DB28" s="106"/>
      <c r="DC28" s="105"/>
      <c r="DD28" s="107"/>
      <c r="DE28" s="92">
        <f t="shared" si="21"/>
        <v>506</v>
      </c>
      <c r="DF28" s="108">
        <f t="shared" si="22"/>
        <v>6</v>
      </c>
      <c r="DG28" s="112">
        <f t="shared" si="23"/>
        <v>4.1558441558442736</v>
      </c>
      <c r="DH28" s="110">
        <f t="shared" si="24"/>
        <v>544</v>
      </c>
      <c r="DI28" s="108">
        <f t="shared" si="25"/>
        <v>6</v>
      </c>
      <c r="DJ28" s="112">
        <f t="shared" si="26"/>
        <v>-1.9999999999999527</v>
      </c>
      <c r="DK28" s="110">
        <f t="shared" si="86"/>
        <v>1050</v>
      </c>
      <c r="DL28" s="108">
        <f t="shared" si="86"/>
        <v>12</v>
      </c>
      <c r="DM28" s="111">
        <f t="shared" si="86"/>
        <v>2.1558441558443207</v>
      </c>
      <c r="DN28" s="76">
        <f t="shared" si="89"/>
        <v>15</v>
      </c>
      <c r="DO28" s="76">
        <f t="shared" si="90"/>
        <v>10</v>
      </c>
      <c r="DP28" s="112"/>
      <c r="DQ28" s="112"/>
      <c r="DR28" s="113" t="s">
        <v>429</v>
      </c>
      <c r="DS28" s="112"/>
      <c r="DT28" s="112"/>
      <c r="DU28" s="111"/>
      <c r="DV28" s="114"/>
      <c r="DW28" s="80">
        <f t="shared" si="61"/>
        <v>1062</v>
      </c>
      <c r="DX28" s="81">
        <f t="shared" si="29"/>
        <v>1064.1558441558443</v>
      </c>
      <c r="DY28" s="80">
        <f t="shared" si="62"/>
        <v>1094</v>
      </c>
      <c r="DZ28" s="82">
        <f t="shared" si="63"/>
        <v>0.33879999999999999</v>
      </c>
      <c r="EA28" s="82">
        <f t="shared" si="64"/>
        <v>8.0850000000000009</v>
      </c>
      <c r="EB28" s="82">
        <f t="shared" si="65"/>
        <v>11.606999999999999</v>
      </c>
      <c r="EC28" s="82">
        <f t="shared" si="75"/>
        <v>11.945799999999998</v>
      </c>
      <c r="EF28" s="83">
        <f t="shared" si="93"/>
        <v>2.1558441558443207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1"/>
        <v>TV12L14-11x2.5-H9C14</v>
      </c>
      <c r="H29" s="46" t="str">
        <f t="shared" si="32"/>
        <v>12L14TV110DH9</v>
      </c>
      <c r="I29" s="46" t="str">
        <f t="shared" si="33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4"/>
        <v>6</v>
      </c>
      <c r="T29" s="51">
        <f>'04.02'!BG29</f>
        <v>5.0000000000000053</v>
      </c>
      <c r="U29" s="92">
        <v>11</v>
      </c>
      <c r="V29" s="89">
        <v>2</v>
      </c>
      <c r="W29" s="93">
        <f t="shared" si="5"/>
        <v>0</v>
      </c>
      <c r="X29" s="93">
        <f t="shared" si="6"/>
        <v>4173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0</v>
      </c>
      <c r="AE29" s="93">
        <f t="shared" si="35"/>
        <v>4173</v>
      </c>
      <c r="AF29" s="54">
        <f>AE29+'04.02'!AF29</f>
        <v>19091</v>
      </c>
      <c r="AG29" s="94">
        <f t="shared" si="66"/>
        <v>5.0000000000000053</v>
      </c>
      <c r="AH29" s="56">
        <f t="shared" si="13"/>
        <v>1E-14</v>
      </c>
      <c r="AI29" s="93">
        <v>7</v>
      </c>
      <c r="AJ29" s="93">
        <f t="shared" si="67"/>
        <v>250</v>
      </c>
      <c r="AK29" s="95">
        <f t="shared" si="36"/>
        <v>0.44169611307420492</v>
      </c>
      <c r="AL29" s="58">
        <f t="shared" si="37"/>
        <v>6.45</v>
      </c>
      <c r="AM29" s="55">
        <f t="shared" si="68"/>
        <v>9.5500000000000078</v>
      </c>
      <c r="AN29" s="93"/>
      <c r="AO29" s="96"/>
      <c r="AP29" s="96">
        <f t="shared" si="91"/>
        <v>3555</v>
      </c>
      <c r="AQ29" s="96"/>
      <c r="AR29" s="96"/>
      <c r="AS29" s="96"/>
      <c r="AT29" s="96"/>
      <c r="AU29" s="96">
        <f t="shared" si="38"/>
        <v>0</v>
      </c>
      <c r="AV29" s="96">
        <f t="shared" si="38"/>
        <v>0</v>
      </c>
      <c r="AW29" s="96">
        <f t="shared" si="39"/>
        <v>3555</v>
      </c>
      <c r="AX29" s="96">
        <f t="shared" si="40"/>
        <v>1777</v>
      </c>
      <c r="AY29" s="94">
        <f t="shared" si="69"/>
        <v>-95.700000000000273</v>
      </c>
      <c r="AZ29" s="94">
        <f t="shared" si="41"/>
        <v>-47.850000000000136</v>
      </c>
      <c r="BA29" s="94">
        <f t="shared" si="42"/>
        <v>9.5500000000000078</v>
      </c>
      <c r="BB29" s="97">
        <f t="shared" si="43"/>
        <v>0.55000000000001004</v>
      </c>
      <c r="BC29" s="93">
        <v>8</v>
      </c>
      <c r="BD29" s="93">
        <f t="shared" si="44"/>
        <v>0</v>
      </c>
      <c r="BE29" s="95">
        <f t="shared" si="45"/>
        <v>1</v>
      </c>
      <c r="BF29" s="58">
        <f t="shared" si="46"/>
        <v>8.56</v>
      </c>
      <c r="BG29" s="94">
        <f t="shared" si="47"/>
        <v>0.99000000000000732</v>
      </c>
      <c r="BH29" s="89"/>
      <c r="BI29" s="89"/>
      <c r="BJ29" s="92">
        <f t="shared" si="92"/>
        <v>4791</v>
      </c>
      <c r="BK29" s="89"/>
      <c r="BL29" s="89"/>
      <c r="BM29" s="89"/>
      <c r="BN29" s="92"/>
      <c r="BO29" s="92">
        <f t="shared" si="70"/>
        <v>0</v>
      </c>
      <c r="BP29" s="92">
        <f t="shared" si="70"/>
        <v>0</v>
      </c>
      <c r="BQ29" s="96">
        <f t="shared" si="48"/>
        <v>4791</v>
      </c>
      <c r="BR29" s="96">
        <f t="shared" si="49"/>
        <v>2395</v>
      </c>
      <c r="BS29" s="96">
        <f t="shared" si="71"/>
        <v>-53.960000000000036</v>
      </c>
      <c r="BT29" s="96">
        <f t="shared" si="50"/>
        <v>-26.980000000000018</v>
      </c>
      <c r="BU29" s="92">
        <f t="shared" si="16"/>
        <v>4173</v>
      </c>
      <c r="BV29" s="98">
        <f t="shared" si="17"/>
        <v>15.010000000000002</v>
      </c>
      <c r="BW29" s="92">
        <f t="shared" si="18"/>
        <v>-74.830000000000155</v>
      </c>
      <c r="BX29" s="98" t="str">
        <f t="shared" si="51"/>
        <v/>
      </c>
      <c r="BY29" s="61">
        <f>IFERROR(BF29+AL29,0)</f>
        <v>15.010000000000002</v>
      </c>
      <c r="BZ29" s="62">
        <f t="shared" si="52"/>
        <v>15.010000000000002</v>
      </c>
      <c r="CA29" s="98">
        <f t="shared" si="53"/>
        <v>8.3460000000000001</v>
      </c>
      <c r="CB29" s="92">
        <f t="shared" si="19"/>
        <v>4172</v>
      </c>
      <c r="CC29" s="92">
        <f t="shared" si="19"/>
        <v>-149.66000000000031</v>
      </c>
      <c r="CD29" s="92">
        <f t="shared" si="19"/>
        <v>-74.830000000000155</v>
      </c>
      <c r="CE29" s="99"/>
      <c r="CF29" s="99"/>
      <c r="CG29" s="51">
        <f t="shared" si="54"/>
        <v>0</v>
      </c>
      <c r="CH29" s="62">
        <f t="shared" si="55"/>
        <v>0</v>
      </c>
      <c r="CI29" s="89">
        <v>250</v>
      </c>
      <c r="CJ29" s="89">
        <v>3555</v>
      </c>
      <c r="CK29" s="89"/>
      <c r="CL29" s="96"/>
      <c r="CM29" s="89"/>
      <c r="CN29" s="89">
        <v>4791</v>
      </c>
      <c r="CO29" s="92"/>
      <c r="CP29" s="101"/>
      <c r="CQ29" s="102">
        <f t="shared" si="87"/>
        <v>1777</v>
      </c>
      <c r="CR29" s="102">
        <f t="shared" si="87"/>
        <v>0</v>
      </c>
      <c r="CS29" s="102">
        <f t="shared" si="87"/>
        <v>0</v>
      </c>
      <c r="CT29" s="92">
        <f t="shared" si="57"/>
        <v>2396</v>
      </c>
      <c r="CU29" s="92">
        <f t="shared" si="88"/>
        <v>0</v>
      </c>
      <c r="CV29" s="103">
        <f t="shared" si="88"/>
        <v>0</v>
      </c>
      <c r="CW29" s="104"/>
      <c r="CX29" s="105">
        <v>48</v>
      </c>
      <c r="CY29" s="106">
        <f t="shared" si="59"/>
        <v>875</v>
      </c>
      <c r="CZ29" s="106">
        <f t="shared" si="60"/>
        <v>388.8</v>
      </c>
      <c r="DA29" s="106"/>
      <c r="DB29" s="106"/>
      <c r="DC29" s="105"/>
      <c r="DD29" s="107"/>
      <c r="DE29" s="92">
        <f t="shared" si="21"/>
        <v>1777</v>
      </c>
      <c r="DF29" s="108">
        <f t="shared" si="22"/>
        <v>6.45</v>
      </c>
      <c r="DG29" s="112">
        <f t="shared" si="23"/>
        <v>-47.850000000000136</v>
      </c>
      <c r="DH29" s="110">
        <f t="shared" si="24"/>
        <v>2396</v>
      </c>
      <c r="DI29" s="108">
        <f t="shared" si="25"/>
        <v>8.56</v>
      </c>
      <c r="DJ29" s="112">
        <f t="shared" si="26"/>
        <v>-26.980000000000018</v>
      </c>
      <c r="DK29" s="110">
        <f t="shared" si="86"/>
        <v>4173</v>
      </c>
      <c r="DL29" s="108">
        <f t="shared" si="86"/>
        <v>15.010000000000002</v>
      </c>
      <c r="DM29" s="111">
        <f t="shared" si="86"/>
        <v>-74.830000000000155</v>
      </c>
      <c r="DN29" s="76">
        <f t="shared" si="89"/>
        <v>5.0000000000000053</v>
      </c>
      <c r="DO29" s="76">
        <f t="shared" si="90"/>
        <v>11</v>
      </c>
      <c r="DP29" s="112"/>
      <c r="DQ29" s="112"/>
      <c r="DR29" s="113" t="s">
        <v>430</v>
      </c>
      <c r="DS29" s="112"/>
      <c r="DT29" s="112"/>
      <c r="DU29" s="111"/>
      <c r="DV29" s="114"/>
      <c r="DW29" s="80">
        <f>IFERROR(AL29+BF29,"")</f>
        <v>15.010000000000002</v>
      </c>
      <c r="DX29" s="81">
        <f t="shared" si="29"/>
        <v>4113.18</v>
      </c>
      <c r="DY29" s="80">
        <f t="shared" si="62"/>
        <v>4173</v>
      </c>
      <c r="DZ29" s="82">
        <f t="shared" si="63"/>
        <v>0</v>
      </c>
      <c r="EA29" s="82">
        <f t="shared" si="64"/>
        <v>8.3460000000000001</v>
      </c>
      <c r="EB29" s="82" t="e">
        <f t="shared" si="65"/>
        <v>#VALUE!</v>
      </c>
      <c r="EC29" s="82" t="e">
        <f>(BX29-CA29)+((AV29+BP29)/1000)</f>
        <v>#VALUE!</v>
      </c>
      <c r="EF29" s="83">
        <f t="shared" si="93"/>
        <v>-74.830000000000155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1"/>
        <v>GWA6063-T5-T15x8.6x3-H9E14</v>
      </c>
      <c r="H30" s="46" t="str">
        <f t="shared" si="32"/>
        <v>A6063-T5GW158.6TH9</v>
      </c>
      <c r="I30" s="46" t="str">
        <f t="shared" si="33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4"/>
        <v>26</v>
      </c>
      <c r="T30" s="51">
        <f>'04.02'!BG30</f>
        <v>13</v>
      </c>
      <c r="U30" s="92">
        <v>20</v>
      </c>
      <c r="V30" s="108">
        <v>3</v>
      </c>
      <c r="W30" s="93">
        <f t="shared" si="5"/>
        <v>0</v>
      </c>
      <c r="X30" s="93">
        <f t="shared" si="6"/>
        <v>3566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0</v>
      </c>
      <c r="AE30" s="93">
        <f t="shared" si="35"/>
        <v>3566</v>
      </c>
      <c r="AF30" s="54">
        <f>AE30+'04.02'!AF30</f>
        <v>14432</v>
      </c>
      <c r="AG30" s="94">
        <f t="shared" si="66"/>
        <v>13</v>
      </c>
      <c r="AH30" s="56">
        <f t="shared" si="13"/>
        <v>0</v>
      </c>
      <c r="AI30" s="93">
        <v>11</v>
      </c>
      <c r="AJ30" s="93">
        <f t="shared" si="67"/>
        <v>0</v>
      </c>
      <c r="AK30" s="95">
        <f t="shared" si="36"/>
        <v>1</v>
      </c>
      <c r="AL30" s="58">
        <f t="shared" si="37"/>
        <v>11</v>
      </c>
      <c r="AM30" s="55">
        <f t="shared" si="68"/>
        <v>22</v>
      </c>
      <c r="AN30" s="93"/>
      <c r="AO30" s="96"/>
      <c r="AP30" s="96">
        <f t="shared" si="91"/>
        <v>5200</v>
      </c>
      <c r="AQ30" s="96"/>
      <c r="AR30" s="96"/>
      <c r="AS30" s="96"/>
      <c r="AT30" s="96"/>
      <c r="AU30" s="96">
        <f t="shared" si="38"/>
        <v>0</v>
      </c>
      <c r="AV30" s="96">
        <f t="shared" si="38"/>
        <v>0</v>
      </c>
      <c r="AW30" s="96">
        <f t="shared" si="39"/>
        <v>5200</v>
      </c>
      <c r="AX30" s="96">
        <f t="shared" si="40"/>
        <v>1733</v>
      </c>
      <c r="AY30" s="94">
        <f t="shared" si="69"/>
        <v>-344</v>
      </c>
      <c r="AZ30" s="94">
        <f t="shared" si="41"/>
        <v>-114.66666666666667</v>
      </c>
      <c r="BA30" s="94">
        <f t="shared" si="42"/>
        <v>22</v>
      </c>
      <c r="BB30" s="97">
        <f t="shared" si="43"/>
        <v>0</v>
      </c>
      <c r="BC30" s="93">
        <v>11</v>
      </c>
      <c r="BD30" s="93">
        <f t="shared" si="44"/>
        <v>0</v>
      </c>
      <c r="BE30" s="95">
        <f t="shared" si="45"/>
        <v>1</v>
      </c>
      <c r="BF30" s="58">
        <f t="shared" si="46"/>
        <v>11</v>
      </c>
      <c r="BG30" s="94">
        <f t="shared" si="47"/>
        <v>11</v>
      </c>
      <c r="BH30" s="89"/>
      <c r="BI30" s="89"/>
      <c r="BJ30" s="92">
        <f t="shared" si="92"/>
        <v>5500</v>
      </c>
      <c r="BK30" s="89"/>
      <c r="BL30" s="89"/>
      <c r="BM30" s="89"/>
      <c r="BN30" s="89"/>
      <c r="BO30" s="92">
        <f t="shared" si="70"/>
        <v>0</v>
      </c>
      <c r="BP30" s="92">
        <f t="shared" si="70"/>
        <v>0</v>
      </c>
      <c r="BQ30" s="96">
        <f t="shared" si="48"/>
        <v>5500</v>
      </c>
      <c r="BR30" s="96">
        <f t="shared" si="49"/>
        <v>1833</v>
      </c>
      <c r="BS30" s="96">
        <f t="shared" si="71"/>
        <v>-44</v>
      </c>
      <c r="BT30" s="96">
        <f t="shared" si="50"/>
        <v>-14.666666666666666</v>
      </c>
      <c r="BU30" s="92">
        <f t="shared" si="16"/>
        <v>3566</v>
      </c>
      <c r="BV30" s="98">
        <f t="shared" si="17"/>
        <v>22</v>
      </c>
      <c r="BW30" s="92">
        <f t="shared" si="18"/>
        <v>-129.33333333333334</v>
      </c>
      <c r="BX30" s="98">
        <f t="shared" si="51"/>
        <v>16.61</v>
      </c>
      <c r="BY30" s="61">
        <f>IFERROR(BF30+AL30,0)</f>
        <v>22</v>
      </c>
      <c r="BZ30" s="62">
        <f t="shared" si="52"/>
        <v>22</v>
      </c>
      <c r="CA30" s="98">
        <f t="shared" si="53"/>
        <v>10.7</v>
      </c>
      <c r="CB30" s="92">
        <f t="shared" si="19"/>
        <v>3566</v>
      </c>
      <c r="CC30" s="92">
        <f t="shared" si="19"/>
        <v>-388</v>
      </c>
      <c r="CD30" s="92">
        <f t="shared" si="19"/>
        <v>-129.33333333333334</v>
      </c>
      <c r="CE30" s="99"/>
      <c r="CF30" s="99"/>
      <c r="CG30" s="51">
        <f t="shared" si="54"/>
        <v>5.91</v>
      </c>
      <c r="CH30" s="62">
        <f t="shared" si="55"/>
        <v>5.91</v>
      </c>
      <c r="CI30" s="89"/>
      <c r="CJ30" s="89">
        <v>5200</v>
      </c>
      <c r="CK30" s="89"/>
      <c r="CL30" s="96"/>
      <c r="CM30" s="89"/>
      <c r="CN30" s="89">
        <v>5500</v>
      </c>
      <c r="CO30" s="92"/>
      <c r="CP30" s="101"/>
      <c r="CQ30" s="102">
        <f t="shared" si="87"/>
        <v>1733</v>
      </c>
      <c r="CR30" s="102">
        <f t="shared" si="87"/>
        <v>0</v>
      </c>
      <c r="CS30" s="102">
        <f t="shared" si="87"/>
        <v>0</v>
      </c>
      <c r="CT30" s="92">
        <f t="shared" si="57"/>
        <v>1833</v>
      </c>
      <c r="CU30" s="92">
        <f t="shared" si="88"/>
        <v>0</v>
      </c>
      <c r="CV30" s="103">
        <f t="shared" si="88"/>
        <v>0</v>
      </c>
      <c r="CW30" s="104"/>
      <c r="CX30" s="105">
        <v>18</v>
      </c>
      <c r="CY30" s="106">
        <f t="shared" si="59"/>
        <v>2150</v>
      </c>
      <c r="CZ30" s="106">
        <f t="shared" si="60"/>
        <v>145.80000000000001</v>
      </c>
      <c r="DA30" s="106"/>
      <c r="DB30" s="106"/>
      <c r="DC30" s="105"/>
      <c r="DD30" s="107"/>
      <c r="DE30" s="92">
        <f t="shared" si="21"/>
        <v>1733</v>
      </c>
      <c r="DF30" s="108">
        <f t="shared" si="22"/>
        <v>11</v>
      </c>
      <c r="DG30" s="112">
        <f>IFERROR(AZ30,"")</f>
        <v>-114.66666666666667</v>
      </c>
      <c r="DH30" s="110">
        <f t="shared" si="24"/>
        <v>1833</v>
      </c>
      <c r="DI30" s="108">
        <f t="shared" si="25"/>
        <v>11</v>
      </c>
      <c r="DJ30" s="112">
        <f t="shared" si="26"/>
        <v>-14.666666666666666</v>
      </c>
      <c r="DK30" s="110">
        <f t="shared" si="86"/>
        <v>3566</v>
      </c>
      <c r="DL30" s="108">
        <f t="shared" si="86"/>
        <v>22</v>
      </c>
      <c r="DM30" s="111">
        <f t="shared" si="86"/>
        <v>-129.33333333333334</v>
      </c>
      <c r="DN30" s="76">
        <f t="shared" si="89"/>
        <v>13</v>
      </c>
      <c r="DO30" s="76">
        <f t="shared" si="90"/>
        <v>20</v>
      </c>
      <c r="DP30" s="112"/>
      <c r="DQ30" s="112"/>
      <c r="DR30" s="113" t="s">
        <v>431</v>
      </c>
      <c r="DS30" s="112"/>
      <c r="DT30" s="112"/>
      <c r="DU30" s="111"/>
      <c r="DV30" s="114"/>
      <c r="DW30" s="80">
        <f t="shared" si="61"/>
        <v>3588</v>
      </c>
      <c r="DX30" s="81">
        <f t="shared" si="29"/>
        <v>3458.6666666666665</v>
      </c>
      <c r="DY30" s="80">
        <f t="shared" si="62"/>
        <v>3566</v>
      </c>
      <c r="DZ30" s="82">
        <f t="shared" si="63"/>
        <v>0</v>
      </c>
      <c r="EA30" s="82">
        <f t="shared" si="64"/>
        <v>10.698</v>
      </c>
      <c r="EB30" s="82">
        <f t="shared" si="65"/>
        <v>5.911999999999999</v>
      </c>
      <c r="EC30" s="82">
        <f t="shared" si="75"/>
        <v>5.911999999999999</v>
      </c>
      <c r="EF30" s="83">
        <f t="shared" si="93"/>
        <v>-129.33333333333334</v>
      </c>
    </row>
    <row r="31" spans="1:136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1"/>
        <v>YHC3604-4x3-H9A14</v>
      </c>
      <c r="H31" s="46" t="str">
        <f t="shared" si="32"/>
        <v>C3604YH40DH9</v>
      </c>
      <c r="I31" s="46" t="str">
        <f t="shared" si="33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4"/>
        <v>36</v>
      </c>
      <c r="T31" s="51">
        <f>'04.02'!BG31</f>
        <v>0</v>
      </c>
      <c r="U31" s="92"/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0</v>
      </c>
      <c r="AC31" s="93">
        <f t="shared" si="11"/>
        <v>0</v>
      </c>
      <c r="AD31" s="93">
        <f t="shared" si="12"/>
        <v>0</v>
      </c>
      <c r="AE31" s="93">
        <f t="shared" si="35"/>
        <v>0</v>
      </c>
      <c r="AF31" s="54">
        <f>AE31+'04.02'!AF31</f>
        <v>6974</v>
      </c>
      <c r="AG31" s="94">
        <f t="shared" si="66"/>
        <v>0</v>
      </c>
      <c r="AH31" s="56">
        <f t="shared" si="13"/>
        <v>0</v>
      </c>
      <c r="AI31" s="93"/>
      <c r="AJ31" s="93">
        <f t="shared" si="67"/>
        <v>0</v>
      </c>
      <c r="AK31" s="95">
        <f t="shared" si="36"/>
        <v>1</v>
      </c>
      <c r="AL31" s="58">
        <f t="shared" si="37"/>
        <v>0</v>
      </c>
      <c r="AM31" s="55">
        <f t="shared" si="68"/>
        <v>0</v>
      </c>
      <c r="AN31" s="93"/>
      <c r="AO31" s="96"/>
      <c r="AP31" s="96"/>
      <c r="AQ31" s="96"/>
      <c r="AR31" s="96"/>
      <c r="AS31" s="96"/>
      <c r="AT31" s="96">
        <f t="shared" ref="AT31" si="94">$CJ31</f>
        <v>0</v>
      </c>
      <c r="AU31" s="96">
        <f t="shared" si="38"/>
        <v>0</v>
      </c>
      <c r="AV31" s="96">
        <f t="shared" si="38"/>
        <v>0</v>
      </c>
      <c r="AW31" s="96">
        <f t="shared" si="39"/>
        <v>0</v>
      </c>
      <c r="AX31" s="96">
        <f t="shared" si="40"/>
        <v>0</v>
      </c>
      <c r="AY31" s="94">
        <f t="shared" si="69"/>
        <v>0</v>
      </c>
      <c r="AZ31" s="94">
        <f t="shared" si="41"/>
        <v>0</v>
      </c>
      <c r="BA31" s="94">
        <f t="shared" si="42"/>
        <v>0</v>
      </c>
      <c r="BB31" s="97">
        <f t="shared" si="43"/>
        <v>0</v>
      </c>
      <c r="BC31" s="93"/>
      <c r="BD31" s="93">
        <f t="shared" si="44"/>
        <v>0</v>
      </c>
      <c r="BE31" s="95">
        <f t="shared" si="45"/>
        <v>1</v>
      </c>
      <c r="BF31" s="58">
        <f t="shared" si="46"/>
        <v>0</v>
      </c>
      <c r="BG31" s="94">
        <f t="shared" si="47"/>
        <v>0</v>
      </c>
      <c r="BH31" s="89"/>
      <c r="BI31" s="89"/>
      <c r="BJ31" s="92"/>
      <c r="BK31" s="89"/>
      <c r="BL31" s="89"/>
      <c r="BM31" s="92"/>
      <c r="BN31" s="92">
        <f t="shared" ref="BN31" si="95">$CN31</f>
        <v>0</v>
      </c>
      <c r="BO31" s="92">
        <f t="shared" si="70"/>
        <v>0</v>
      </c>
      <c r="BP31" s="92">
        <f t="shared" si="70"/>
        <v>0</v>
      </c>
      <c r="BQ31" s="96">
        <f t="shared" si="48"/>
        <v>0</v>
      </c>
      <c r="BR31" s="96">
        <f t="shared" si="49"/>
        <v>0</v>
      </c>
      <c r="BS31" s="96">
        <f t="shared" si="71"/>
        <v>0</v>
      </c>
      <c r="BT31" s="96">
        <f t="shared" si="50"/>
        <v>0</v>
      </c>
      <c r="BU31" s="92">
        <f t="shared" si="16"/>
        <v>0</v>
      </c>
      <c r="BV31" s="98">
        <f t="shared" si="17"/>
        <v>0</v>
      </c>
      <c r="BW31" s="92">
        <f t="shared" si="18"/>
        <v>0</v>
      </c>
      <c r="BX31" s="98">
        <f t="shared" si="51"/>
        <v>0</v>
      </c>
      <c r="BY31" s="61">
        <f t="shared" si="73"/>
        <v>0</v>
      </c>
      <c r="BZ31" s="62">
        <f t="shared" si="52"/>
        <v>0</v>
      </c>
      <c r="CA31" s="98">
        <f t="shared" si="53"/>
        <v>0</v>
      </c>
      <c r="CB31" s="92">
        <f t="shared" si="19"/>
        <v>0</v>
      </c>
      <c r="CC31" s="92">
        <f t="shared" si="19"/>
        <v>0</v>
      </c>
      <c r="CD31" s="92">
        <f t="shared" si="19"/>
        <v>0</v>
      </c>
      <c r="CE31" s="99"/>
      <c r="CF31" s="99"/>
      <c r="CG31" s="51">
        <f t="shared" si="54"/>
        <v>0</v>
      </c>
      <c r="CH31" s="62">
        <f t="shared" si="55"/>
        <v>0</v>
      </c>
      <c r="CI31" s="89"/>
      <c r="CJ31" s="89"/>
      <c r="CK31" s="89"/>
      <c r="CL31" s="96"/>
      <c r="CM31" s="89"/>
      <c r="CN31" s="89"/>
      <c r="CO31" s="92"/>
      <c r="CP31" s="101"/>
      <c r="CQ31" s="102">
        <f t="shared" si="87"/>
        <v>0</v>
      </c>
      <c r="CR31" s="102">
        <f t="shared" si="87"/>
        <v>0</v>
      </c>
      <c r="CS31" s="102">
        <f t="shared" si="87"/>
        <v>0</v>
      </c>
      <c r="CT31" s="92">
        <f t="shared" si="57"/>
        <v>0</v>
      </c>
      <c r="CU31" s="92">
        <f t="shared" si="88"/>
        <v>0</v>
      </c>
      <c r="CV31" s="103">
        <f t="shared" si="88"/>
        <v>0</v>
      </c>
      <c r="CW31" s="104" t="s">
        <v>157</v>
      </c>
      <c r="CX31" s="105">
        <v>14</v>
      </c>
      <c r="CY31" s="106">
        <f t="shared" si="59"/>
        <v>3051</v>
      </c>
      <c r="CZ31" s="106">
        <f t="shared" si="60"/>
        <v>56.7</v>
      </c>
      <c r="DA31" s="106"/>
      <c r="DB31" s="106"/>
      <c r="DC31" s="105"/>
      <c r="DD31" s="107"/>
      <c r="DE31" s="92">
        <f t="shared" si="21"/>
        <v>0</v>
      </c>
      <c r="DF31" s="108">
        <f t="shared" si="22"/>
        <v>0</v>
      </c>
      <c r="DG31" s="112">
        <f t="shared" si="23"/>
        <v>0</v>
      </c>
      <c r="DH31" s="110">
        <f t="shared" si="24"/>
        <v>0</v>
      </c>
      <c r="DI31" s="108">
        <f t="shared" si="25"/>
        <v>0</v>
      </c>
      <c r="DJ31" s="112">
        <f t="shared" si="26"/>
        <v>0</v>
      </c>
      <c r="DK31" s="110">
        <f t="shared" si="86"/>
        <v>0</v>
      </c>
      <c r="DL31" s="108">
        <f t="shared" si="86"/>
        <v>0</v>
      </c>
      <c r="DM31" s="111">
        <f t="shared" si="86"/>
        <v>0</v>
      </c>
      <c r="DN31" s="76">
        <f t="shared" si="89"/>
        <v>0</v>
      </c>
      <c r="DO31" s="76">
        <v>0</v>
      </c>
      <c r="DP31" s="112"/>
      <c r="DQ31" s="112"/>
      <c r="DR31" s="113"/>
      <c r="DS31" s="112"/>
      <c r="DT31" s="112"/>
      <c r="DU31" s="111"/>
      <c r="DV31" s="114"/>
      <c r="DW31" s="80">
        <f t="shared" si="61"/>
        <v>0</v>
      </c>
      <c r="DX31" s="81">
        <f t="shared" si="29"/>
        <v>0</v>
      </c>
      <c r="DY31" s="80">
        <f t="shared" si="62"/>
        <v>0</v>
      </c>
      <c r="DZ31" s="82">
        <f t="shared" si="63"/>
        <v>0</v>
      </c>
      <c r="EA31" s="82">
        <f t="shared" si="64"/>
        <v>0</v>
      </c>
      <c r="EB31" s="82">
        <f t="shared" si="65"/>
        <v>0</v>
      </c>
      <c r="EC31" s="82">
        <f t="shared" si="75"/>
        <v>0</v>
      </c>
      <c r="EF31" s="83">
        <f t="shared" si="93"/>
        <v>0</v>
      </c>
    </row>
    <row r="32" spans="1:136" ht="14.1" customHeight="1">
      <c r="A32" s="84">
        <v>25</v>
      </c>
      <c r="B32" s="85" t="s">
        <v>205</v>
      </c>
      <c r="C32" s="86"/>
      <c r="D32" s="119" t="s">
        <v>485</v>
      </c>
      <c r="E32" s="88">
        <v>97</v>
      </c>
      <c r="F32" s="89" t="s">
        <v>136</v>
      </c>
      <c r="G32" s="45" t="str">
        <f t="shared" si="31"/>
        <v>IBC3604-H7x3-H11C14</v>
      </c>
      <c r="H32" s="46" t="str">
        <f t="shared" si="32"/>
        <v>C3604IB70HH11</v>
      </c>
      <c r="I32" s="46" t="str">
        <f t="shared" si="33"/>
        <v>C3604IB70HH113C14</v>
      </c>
      <c r="J32" s="90" t="s">
        <v>148</v>
      </c>
      <c r="K32" s="90" t="s">
        <v>156</v>
      </c>
      <c r="L32" s="90">
        <v>7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1.08</v>
      </c>
      <c r="R32" s="90" t="s">
        <v>144</v>
      </c>
      <c r="S32" s="89">
        <f t="shared" si="34"/>
        <v>32</v>
      </c>
      <c r="T32" s="51">
        <f>'04.02'!BG32</f>
        <v>0</v>
      </c>
      <c r="U32" s="92"/>
      <c r="V32" s="89">
        <v>5.7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5"/>
        <v>0</v>
      </c>
      <c r="AF32" s="54">
        <f>AE32+'04.02'!AF32</f>
        <v>68</v>
      </c>
      <c r="AG32" s="94">
        <f t="shared" si="66"/>
        <v>0</v>
      </c>
      <c r="AH32" s="56">
        <f t="shared" si="13"/>
        <v>0</v>
      </c>
      <c r="AI32" s="93"/>
      <c r="AJ32" s="93">
        <f t="shared" si="67"/>
        <v>0</v>
      </c>
      <c r="AK32" s="95">
        <f t="shared" si="36"/>
        <v>1</v>
      </c>
      <c r="AL32" s="58">
        <f t="shared" si="37"/>
        <v>0</v>
      </c>
      <c r="AM32" s="55">
        <f t="shared" si="68"/>
        <v>0</v>
      </c>
      <c r="AN32" s="93"/>
      <c r="AO32" s="96"/>
      <c r="AP32" s="96"/>
      <c r="AQ32" s="96"/>
      <c r="AR32" s="96"/>
      <c r="AS32" s="96">
        <f t="shared" ref="AS32" si="96">$CJ32</f>
        <v>0</v>
      </c>
      <c r="AT32" s="96"/>
      <c r="AU32" s="96">
        <f t="shared" si="38"/>
        <v>0</v>
      </c>
      <c r="AV32" s="96">
        <f t="shared" si="38"/>
        <v>0</v>
      </c>
      <c r="AW32" s="96">
        <f t="shared" si="39"/>
        <v>0</v>
      </c>
      <c r="AX32" s="96">
        <f t="shared" si="40"/>
        <v>0</v>
      </c>
      <c r="AY32" s="94">
        <f t="shared" si="69"/>
        <v>0</v>
      </c>
      <c r="AZ32" s="94">
        <f t="shared" si="41"/>
        <v>0</v>
      </c>
      <c r="BA32" s="94">
        <f t="shared" si="42"/>
        <v>0</v>
      </c>
      <c r="BB32" s="97">
        <f t="shared" si="43"/>
        <v>0</v>
      </c>
      <c r="BC32" s="93"/>
      <c r="BD32" s="93">
        <f t="shared" si="44"/>
        <v>0</v>
      </c>
      <c r="BE32" s="95">
        <f t="shared" si="45"/>
        <v>1</v>
      </c>
      <c r="BF32" s="58">
        <f t="shared" si="46"/>
        <v>0</v>
      </c>
      <c r="BG32" s="94">
        <f t="shared" si="47"/>
        <v>0</v>
      </c>
      <c r="BH32" s="89"/>
      <c r="BI32" s="89"/>
      <c r="BJ32" s="92"/>
      <c r="BK32" s="89"/>
      <c r="BL32" s="89"/>
      <c r="BM32" s="92">
        <f t="shared" ref="BM32" si="97">$CN32</f>
        <v>0</v>
      </c>
      <c r="BN32" s="89"/>
      <c r="BO32" s="92">
        <f t="shared" si="70"/>
        <v>0</v>
      </c>
      <c r="BP32" s="92">
        <f t="shared" si="70"/>
        <v>0</v>
      </c>
      <c r="BQ32" s="96">
        <f t="shared" si="48"/>
        <v>0</v>
      </c>
      <c r="BR32" s="96">
        <f t="shared" si="49"/>
        <v>0</v>
      </c>
      <c r="BS32" s="96">
        <f t="shared" si="71"/>
        <v>0</v>
      </c>
      <c r="BT32" s="96">
        <f t="shared" si="50"/>
        <v>0</v>
      </c>
      <c r="BU32" s="92">
        <f t="shared" si="16"/>
        <v>0</v>
      </c>
      <c r="BV32" s="98">
        <f t="shared" si="17"/>
        <v>0</v>
      </c>
      <c r="BW32" s="92">
        <f t="shared" si="18"/>
        <v>0</v>
      </c>
      <c r="BX32" s="98">
        <f t="shared" si="51"/>
        <v>0</v>
      </c>
      <c r="BY32" s="61">
        <f t="shared" si="73"/>
        <v>0</v>
      </c>
      <c r="BZ32" s="62">
        <f t="shared" si="52"/>
        <v>0</v>
      </c>
      <c r="CA32" s="98">
        <f t="shared" si="53"/>
        <v>0</v>
      </c>
      <c r="CB32" s="92">
        <f t="shared" si="19"/>
        <v>0</v>
      </c>
      <c r="CC32" s="92">
        <f t="shared" si="19"/>
        <v>0</v>
      </c>
      <c r="CD32" s="92">
        <f t="shared" si="19"/>
        <v>0</v>
      </c>
      <c r="CE32" s="99"/>
      <c r="CF32" s="99"/>
      <c r="CG32" s="51">
        <f t="shared" si="54"/>
        <v>0</v>
      </c>
      <c r="CH32" s="62">
        <f t="shared" si="55"/>
        <v>0</v>
      </c>
      <c r="CI32" s="89"/>
      <c r="CJ32" s="89"/>
      <c r="CK32" s="89"/>
      <c r="CL32" s="96"/>
      <c r="CM32" s="89"/>
      <c r="CN32" s="89"/>
      <c r="CO32" s="92"/>
      <c r="CP32" s="101"/>
      <c r="CQ32" s="102">
        <f t="shared" si="87"/>
        <v>0</v>
      </c>
      <c r="CR32" s="102">
        <f t="shared" si="87"/>
        <v>0</v>
      </c>
      <c r="CS32" s="102">
        <f t="shared" si="87"/>
        <v>0</v>
      </c>
      <c r="CT32" s="92">
        <f t="shared" si="57"/>
        <v>0</v>
      </c>
      <c r="CU32" s="92">
        <f t="shared" si="88"/>
        <v>0</v>
      </c>
      <c r="CV32" s="103">
        <f t="shared" si="88"/>
        <v>0</v>
      </c>
      <c r="CW32" s="104"/>
      <c r="CX32" s="105">
        <v>24</v>
      </c>
      <c r="CY32" s="106">
        <f t="shared" si="59"/>
        <v>1562</v>
      </c>
      <c r="CZ32" s="106">
        <f t="shared" si="60"/>
        <v>194.4</v>
      </c>
      <c r="DA32" s="106"/>
      <c r="DB32" s="106"/>
      <c r="DC32" s="105"/>
      <c r="DD32" s="107"/>
      <c r="DE32" s="92">
        <f t="shared" si="21"/>
        <v>0</v>
      </c>
      <c r="DF32" s="108">
        <f t="shared" si="22"/>
        <v>0</v>
      </c>
      <c r="DG32" s="112">
        <f t="shared" si="23"/>
        <v>0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6"/>
        <v>0</v>
      </c>
      <c r="DL32" s="108">
        <f t="shared" si="86"/>
        <v>0</v>
      </c>
      <c r="DM32" s="111">
        <f t="shared" si="86"/>
        <v>0</v>
      </c>
      <c r="DN32" s="76">
        <f t="shared" si="89"/>
        <v>0</v>
      </c>
      <c r="DO32" s="76">
        <f t="shared" si="90"/>
        <v>0</v>
      </c>
      <c r="DP32" s="112"/>
      <c r="DQ32" s="112"/>
      <c r="DR32" s="113"/>
      <c r="DS32" s="112"/>
      <c r="DT32" s="112"/>
      <c r="DU32" s="111"/>
      <c r="DV32" s="114"/>
      <c r="DW32" s="80">
        <f t="shared" si="61"/>
        <v>0</v>
      </c>
      <c r="DX32" s="81">
        <f t="shared" si="29"/>
        <v>0</v>
      </c>
      <c r="DY32" s="80">
        <f t="shared" si="62"/>
        <v>0</v>
      </c>
      <c r="DZ32" s="82">
        <f t="shared" si="63"/>
        <v>0</v>
      </c>
      <c r="EA32" s="82">
        <f t="shared" si="64"/>
        <v>0</v>
      </c>
      <c r="EB32" s="82">
        <f t="shared" si="65"/>
        <v>0</v>
      </c>
      <c r="EC32" s="82">
        <f t="shared" si="75"/>
        <v>0</v>
      </c>
      <c r="EF32" s="83">
        <f t="shared" si="93"/>
        <v>0</v>
      </c>
    </row>
    <row r="33" spans="1:136" ht="15" customHeight="1">
      <c r="A33" s="84">
        <v>26</v>
      </c>
      <c r="B33" s="85" t="s">
        <v>210</v>
      </c>
      <c r="C33" s="86"/>
      <c r="D33" s="236" t="s">
        <v>491</v>
      </c>
      <c r="E33" s="88">
        <v>23</v>
      </c>
      <c r="F33" s="89" t="s">
        <v>147</v>
      </c>
      <c r="G33" s="45" t="str">
        <f t="shared" si="31"/>
        <v>YHC3604-4x3-H9A14</v>
      </c>
      <c r="H33" s="46" t="str">
        <f t="shared" si="32"/>
        <v>C3604YH40DH9</v>
      </c>
      <c r="I33" s="46" t="str">
        <f t="shared" si="33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4"/>
        <v>282</v>
      </c>
      <c r="T33" s="51">
        <v>100</v>
      </c>
      <c r="U33" s="92">
        <v>200</v>
      </c>
      <c r="V33" s="89">
        <v>12.15</v>
      </c>
      <c r="W33" s="93">
        <f t="shared" si="5"/>
        <v>0</v>
      </c>
      <c r="X33" s="93">
        <f t="shared" si="6"/>
        <v>5828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6</v>
      </c>
      <c r="AE33" s="93">
        <f t="shared" si="35"/>
        <v>5828</v>
      </c>
      <c r="AF33" s="54">
        <f>AE33+'04.02'!AF33</f>
        <v>5828</v>
      </c>
      <c r="AG33" s="94">
        <f t="shared" si="66"/>
        <v>100</v>
      </c>
      <c r="AH33" s="56">
        <f t="shared" si="13"/>
        <v>0</v>
      </c>
      <c r="AI33" s="93">
        <v>135</v>
      </c>
      <c r="AJ33" s="93">
        <f t="shared" si="67"/>
        <v>0</v>
      </c>
      <c r="AK33" s="95">
        <f t="shared" si="36"/>
        <v>1</v>
      </c>
      <c r="AL33" s="58">
        <f t="shared" si="37"/>
        <v>135</v>
      </c>
      <c r="AM33" s="55">
        <f t="shared" si="68"/>
        <v>165</v>
      </c>
      <c r="AN33" s="93"/>
      <c r="AO33" s="96"/>
      <c r="AP33" s="96">
        <f t="shared" si="91"/>
        <v>37980.9</v>
      </c>
      <c r="AQ33" s="96"/>
      <c r="AR33" s="96"/>
      <c r="AS33" s="96"/>
      <c r="AT33" s="96"/>
      <c r="AU33" s="96">
        <f t="shared" si="38"/>
        <v>0</v>
      </c>
      <c r="AV33" s="96">
        <f t="shared" si="38"/>
        <v>74</v>
      </c>
      <c r="AW33" s="96">
        <f t="shared" si="39"/>
        <v>38054.9</v>
      </c>
      <c r="AX33" s="96">
        <f t="shared" si="40"/>
        <v>3132</v>
      </c>
      <c r="AY33" s="94">
        <f t="shared" si="69"/>
        <v>329.15000000000146</v>
      </c>
      <c r="AZ33" s="94">
        <f t="shared" si="41"/>
        <v>27.090534979423989</v>
      </c>
      <c r="BA33" s="94">
        <f t="shared" si="42"/>
        <v>165</v>
      </c>
      <c r="BB33" s="97">
        <f t="shared" si="43"/>
        <v>0</v>
      </c>
      <c r="BC33" s="93">
        <v>120</v>
      </c>
      <c r="BD33" s="93">
        <f t="shared" si="44"/>
        <v>0</v>
      </c>
      <c r="BE33" s="95">
        <f t="shared" si="45"/>
        <v>1</v>
      </c>
      <c r="BF33" s="58">
        <f t="shared" si="46"/>
        <v>120</v>
      </c>
      <c r="BG33" s="94">
        <f t="shared" si="47"/>
        <v>45</v>
      </c>
      <c r="BH33" s="89"/>
      <c r="BI33" s="89"/>
      <c r="BJ33" s="92">
        <f t="shared" si="92"/>
        <v>32829.300000000003</v>
      </c>
      <c r="BK33" s="89"/>
      <c r="BL33" s="89"/>
      <c r="BM33" s="89"/>
      <c r="BN33" s="89"/>
      <c r="BO33" s="92">
        <f t="shared" si="70"/>
        <v>0</v>
      </c>
      <c r="BP33" s="92">
        <f t="shared" si="70"/>
        <v>0</v>
      </c>
      <c r="BQ33" s="96">
        <f t="shared" si="48"/>
        <v>32829.300000000003</v>
      </c>
      <c r="BR33" s="96">
        <f t="shared" si="49"/>
        <v>2702</v>
      </c>
      <c r="BS33" s="96">
        <f t="shared" si="71"/>
        <v>-704.69999999999709</v>
      </c>
      <c r="BT33" s="96">
        <f t="shared" si="50"/>
        <v>-57.999999999999758</v>
      </c>
      <c r="BU33" s="92">
        <f t="shared" si="16"/>
        <v>5828</v>
      </c>
      <c r="BV33" s="98">
        <f t="shared" si="17"/>
        <v>255</v>
      </c>
      <c r="BW33" s="92">
        <f t="shared" si="18"/>
        <v>-30.90946502057577</v>
      </c>
      <c r="BX33" s="98">
        <f t="shared" si="51"/>
        <v>81.09</v>
      </c>
      <c r="BY33" s="61">
        <f t="shared" si="73"/>
        <v>255</v>
      </c>
      <c r="BZ33" s="62">
        <f t="shared" si="52"/>
        <v>255</v>
      </c>
      <c r="CA33" s="98">
        <f t="shared" si="53"/>
        <v>70.884200000000007</v>
      </c>
      <c r="CB33" s="92">
        <f t="shared" si="19"/>
        <v>5834</v>
      </c>
      <c r="CC33" s="92">
        <f t="shared" si="19"/>
        <v>-375.54999999999563</v>
      </c>
      <c r="CD33" s="92">
        <f t="shared" si="19"/>
        <v>-30.90946502057577</v>
      </c>
      <c r="CE33" s="99"/>
      <c r="CF33" s="99"/>
      <c r="CG33" s="51">
        <f t="shared" si="54"/>
        <v>10.279799999999996</v>
      </c>
      <c r="CH33" s="62">
        <f t="shared" si="55"/>
        <v>10.279799999999996</v>
      </c>
      <c r="CI33" s="89"/>
      <c r="CJ33" s="89">
        <f>3126*12.15</f>
        <v>37980.9</v>
      </c>
      <c r="CK33" s="89"/>
      <c r="CL33" s="96">
        <v>74</v>
      </c>
      <c r="CM33" s="89"/>
      <c r="CN33" s="89">
        <f>2702*12.15</f>
        <v>32829.300000000003</v>
      </c>
      <c r="CO33" s="92"/>
      <c r="CP33" s="101"/>
      <c r="CQ33" s="102">
        <f t="shared" si="87"/>
        <v>3126</v>
      </c>
      <c r="CR33" s="102">
        <f t="shared" si="87"/>
        <v>0</v>
      </c>
      <c r="CS33" s="102">
        <f t="shared" si="87"/>
        <v>6</v>
      </c>
      <c r="CT33" s="92">
        <f t="shared" si="57"/>
        <v>2702</v>
      </c>
      <c r="CU33" s="92">
        <f t="shared" si="88"/>
        <v>0</v>
      </c>
      <c r="CV33" s="103">
        <f t="shared" si="88"/>
        <v>0</v>
      </c>
      <c r="CW33" s="104" t="s">
        <v>157</v>
      </c>
      <c r="CX33" s="105">
        <v>12</v>
      </c>
      <c r="CY33" s="106">
        <f t="shared" si="59"/>
        <v>3246</v>
      </c>
      <c r="CZ33" s="106">
        <f t="shared" si="60"/>
        <v>48.6</v>
      </c>
      <c r="DA33" s="106"/>
      <c r="DB33" s="106"/>
      <c r="DC33" s="105"/>
      <c r="DD33" s="107"/>
      <c r="DE33" s="92">
        <f t="shared" si="21"/>
        <v>3126</v>
      </c>
      <c r="DF33" s="108">
        <f t="shared" si="22"/>
        <v>135</v>
      </c>
      <c r="DG33" s="112">
        <f t="shared" si="23"/>
        <v>27.090534979423989</v>
      </c>
      <c r="DH33" s="110">
        <f t="shared" si="24"/>
        <v>2702</v>
      </c>
      <c r="DI33" s="108">
        <f t="shared" si="25"/>
        <v>120</v>
      </c>
      <c r="DJ33" s="112">
        <f t="shared" si="26"/>
        <v>-57.999999999999758</v>
      </c>
      <c r="DK33" s="110">
        <f t="shared" si="86"/>
        <v>5828</v>
      </c>
      <c r="DL33" s="108">
        <f t="shared" si="86"/>
        <v>255</v>
      </c>
      <c r="DM33" s="111">
        <f t="shared" si="86"/>
        <v>-30.90946502057577</v>
      </c>
      <c r="DN33" s="76">
        <f t="shared" si="89"/>
        <v>100</v>
      </c>
      <c r="DO33" s="76">
        <f t="shared" si="90"/>
        <v>200</v>
      </c>
      <c r="DP33" s="112"/>
      <c r="DQ33" s="112"/>
      <c r="DR33" s="113" t="s">
        <v>489</v>
      </c>
      <c r="DS33" s="112"/>
      <c r="DT33" s="112"/>
      <c r="DU33" s="111"/>
      <c r="DV33" s="114"/>
      <c r="DW33" s="80">
        <f t="shared" si="61"/>
        <v>6083</v>
      </c>
      <c r="DX33" s="81">
        <f t="shared" si="29"/>
        <v>6052.0905349794239</v>
      </c>
      <c r="DY33" s="80">
        <f t="shared" si="62"/>
        <v>5834</v>
      </c>
      <c r="DZ33" s="82">
        <f t="shared" si="63"/>
        <v>7.2900000000000006E-2</v>
      </c>
      <c r="EA33" s="82">
        <f t="shared" si="64"/>
        <v>70.810199999999995</v>
      </c>
      <c r="EB33" s="82">
        <f t="shared" si="65"/>
        <v>10.279800000000009</v>
      </c>
      <c r="EC33" s="82">
        <f t="shared" si="75"/>
        <v>10.352700000000009</v>
      </c>
      <c r="EF33" s="83">
        <f t="shared" si="93"/>
        <v>-30.90946502057577</v>
      </c>
    </row>
    <row r="34" spans="1:136" ht="14.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1"/>
        <v>SSSUS304K-4x3-H9A08</v>
      </c>
      <c r="H34" s="46" t="str">
        <f t="shared" si="32"/>
        <v>SUS304KSS40DH9</v>
      </c>
      <c r="I34" s="46" t="str">
        <f t="shared" si="33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4"/>
        <v>46</v>
      </c>
      <c r="T34" s="51">
        <f>'04.02'!BG34</f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5"/>
        <v>0</v>
      </c>
      <c r="AF34" s="54">
        <f>AE34+'04.02'!AF34</f>
        <v>0</v>
      </c>
      <c r="AG34" s="94">
        <f t="shared" si="66"/>
        <v>0</v>
      </c>
      <c r="AH34" s="56">
        <f t="shared" si="13"/>
        <v>0</v>
      </c>
      <c r="AI34" s="93"/>
      <c r="AJ34" s="93">
        <f t="shared" si="67"/>
        <v>0</v>
      </c>
      <c r="AK34" s="95">
        <f t="shared" si="36"/>
        <v>1</v>
      </c>
      <c r="AL34" s="58">
        <f t="shared" si="37"/>
        <v>0</v>
      </c>
      <c r="AM34" s="55">
        <f t="shared" si="68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8"/>
        <v>0</v>
      </c>
      <c r="AV34" s="96">
        <f t="shared" si="38"/>
        <v>0</v>
      </c>
      <c r="AW34" s="96">
        <f t="shared" si="39"/>
        <v>0</v>
      </c>
      <c r="AX34" s="96">
        <f t="shared" si="40"/>
        <v>0</v>
      </c>
      <c r="AY34" s="94">
        <f t="shared" si="69"/>
        <v>0</v>
      </c>
      <c r="AZ34" s="94">
        <f t="shared" si="41"/>
        <v>0</v>
      </c>
      <c r="BA34" s="94">
        <f t="shared" si="42"/>
        <v>0</v>
      </c>
      <c r="BB34" s="97">
        <f t="shared" si="43"/>
        <v>0</v>
      </c>
      <c r="BC34" s="93"/>
      <c r="BD34" s="93">
        <f t="shared" si="44"/>
        <v>0</v>
      </c>
      <c r="BE34" s="95">
        <f t="shared" si="45"/>
        <v>1</v>
      </c>
      <c r="BF34" s="58">
        <f t="shared" si="46"/>
        <v>0</v>
      </c>
      <c r="BG34" s="94">
        <f t="shared" si="47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0"/>
        <v>0</v>
      </c>
      <c r="BP34" s="92">
        <f t="shared" si="70"/>
        <v>0</v>
      </c>
      <c r="BQ34" s="96">
        <f t="shared" si="48"/>
        <v>0</v>
      </c>
      <c r="BR34" s="96">
        <f t="shared" si="49"/>
        <v>0</v>
      </c>
      <c r="BS34" s="96">
        <f t="shared" si="71"/>
        <v>0</v>
      </c>
      <c r="BT34" s="96">
        <f t="shared" si="50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1"/>
        <v>0</v>
      </c>
      <c r="BY34" s="61">
        <f>IFERROR(BF34+AL34,0)</f>
        <v>0</v>
      </c>
      <c r="BZ34" s="62">
        <f t="shared" si="52"/>
        <v>0</v>
      </c>
      <c r="CA34" s="98">
        <f t="shared" si="53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4"/>
        <v>0</v>
      </c>
      <c r="CH34" s="62">
        <f t="shared" si="55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7"/>
        <v>0</v>
      </c>
      <c r="CR34" s="102">
        <f t="shared" si="87"/>
        <v>0</v>
      </c>
      <c r="CS34" s="102">
        <f t="shared" si="87"/>
        <v>0</v>
      </c>
      <c r="CT34" s="92">
        <f t="shared" si="57"/>
        <v>0</v>
      </c>
      <c r="CU34" s="92">
        <f t="shared" si="88"/>
        <v>0</v>
      </c>
      <c r="CV34" s="103">
        <f t="shared" si="88"/>
        <v>0</v>
      </c>
      <c r="CW34" s="104"/>
      <c r="CX34" s="105">
        <v>8</v>
      </c>
      <c r="CY34" s="106">
        <f t="shared" si="59"/>
        <v>4312</v>
      </c>
      <c r="CZ34" s="106">
        <f t="shared" si="60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6"/>
        <v>0</v>
      </c>
      <c r="DL34" s="108">
        <f t="shared" si="86"/>
        <v>0</v>
      </c>
      <c r="DM34" s="111">
        <f t="shared" si="86"/>
        <v>0</v>
      </c>
      <c r="DN34" s="76">
        <f t="shared" si="89"/>
        <v>0</v>
      </c>
      <c r="DO34" s="76">
        <f t="shared" si="90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1"/>
        <v>0</v>
      </c>
      <c r="DX34" s="81">
        <f t="shared" si="29"/>
        <v>0</v>
      </c>
      <c r="DY34" s="80">
        <f t="shared" si="62"/>
        <v>0</v>
      </c>
      <c r="DZ34" s="82">
        <f t="shared" si="63"/>
        <v>0</v>
      </c>
      <c r="EA34" s="82">
        <f t="shared" si="64"/>
        <v>0</v>
      </c>
      <c r="EB34" s="82">
        <f t="shared" si="65"/>
        <v>0</v>
      </c>
      <c r="EC34" s="82">
        <f t="shared" ref="EC34:EC35" si="98">(BX34-CA34)+((AV34+BP34)/1000)</f>
        <v>0</v>
      </c>
      <c r="EF34" s="83">
        <f t="shared" si="93"/>
        <v>0</v>
      </c>
    </row>
    <row r="35" spans="1:136" ht="14.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1"/>
        <v>IBC3604-6.5x3-H9A14</v>
      </c>
      <c r="H35" s="46" t="str">
        <f t="shared" si="32"/>
        <v>C3604IB6.50DH9</v>
      </c>
      <c r="I35" s="46" t="str">
        <f t="shared" si="33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4"/>
        <v>34</v>
      </c>
      <c r="T35" s="51">
        <f>'04.02'!BG35</f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5"/>
        <v>0</v>
      </c>
      <c r="AF35" s="54">
        <f>AE35+'04.02'!AF35</f>
        <v>0</v>
      </c>
      <c r="AG35" s="94">
        <f t="shared" si="66"/>
        <v>0</v>
      </c>
      <c r="AH35" s="56">
        <f t="shared" si="13"/>
        <v>0</v>
      </c>
      <c r="AI35" s="93"/>
      <c r="AJ35" s="93">
        <f t="shared" si="67"/>
        <v>0</v>
      </c>
      <c r="AK35" s="95">
        <f t="shared" si="36"/>
        <v>1</v>
      </c>
      <c r="AL35" s="58">
        <f t="shared" si="37"/>
        <v>0</v>
      </c>
      <c r="AM35" s="55">
        <f t="shared" si="68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8"/>
        <v>0</v>
      </c>
      <c r="AV35" s="96">
        <f t="shared" si="38"/>
        <v>0</v>
      </c>
      <c r="AW35" s="96">
        <f t="shared" si="39"/>
        <v>0</v>
      </c>
      <c r="AX35" s="96">
        <f t="shared" si="40"/>
        <v>0</v>
      </c>
      <c r="AY35" s="94">
        <f t="shared" si="69"/>
        <v>0</v>
      </c>
      <c r="AZ35" s="94">
        <f t="shared" si="41"/>
        <v>0</v>
      </c>
      <c r="BA35" s="94">
        <f t="shared" si="42"/>
        <v>0</v>
      </c>
      <c r="BB35" s="97">
        <f t="shared" si="43"/>
        <v>0</v>
      </c>
      <c r="BC35" s="93"/>
      <c r="BD35" s="93">
        <f t="shared" si="44"/>
        <v>0</v>
      </c>
      <c r="BE35" s="95">
        <f t="shared" si="45"/>
        <v>1</v>
      </c>
      <c r="BF35" s="58">
        <f t="shared" si="46"/>
        <v>0</v>
      </c>
      <c r="BG35" s="94">
        <f t="shared" si="47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0"/>
        <v>0</v>
      </c>
      <c r="BP35" s="92">
        <f t="shared" si="70"/>
        <v>0</v>
      </c>
      <c r="BQ35" s="96">
        <f t="shared" si="48"/>
        <v>0</v>
      </c>
      <c r="BR35" s="96">
        <f t="shared" si="49"/>
        <v>0</v>
      </c>
      <c r="BS35" s="96">
        <f t="shared" si="71"/>
        <v>0</v>
      </c>
      <c r="BT35" s="96">
        <f t="shared" si="50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1"/>
        <v>0</v>
      </c>
      <c r="BY35" s="61">
        <f t="shared" si="73"/>
        <v>0</v>
      </c>
      <c r="BZ35" s="62">
        <f t="shared" si="52"/>
        <v>0</v>
      </c>
      <c r="CA35" s="98">
        <f t="shared" si="53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4"/>
        <v>0</v>
      </c>
      <c r="CH35" s="62">
        <f t="shared" si="55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7"/>
        <v>0</v>
      </c>
      <c r="CR35" s="102">
        <f t="shared" si="87"/>
        <v>0</v>
      </c>
      <c r="CS35" s="102">
        <f t="shared" si="87"/>
        <v>0</v>
      </c>
      <c r="CT35" s="92">
        <f t="shared" si="57"/>
        <v>0</v>
      </c>
      <c r="CU35" s="92">
        <f t="shared" si="88"/>
        <v>0</v>
      </c>
      <c r="CV35" s="103">
        <f t="shared" si="88"/>
        <v>0</v>
      </c>
      <c r="CW35" s="104" t="s">
        <v>147</v>
      </c>
      <c r="CX35" s="105">
        <v>13</v>
      </c>
      <c r="CY35" s="106">
        <f t="shared" si="59"/>
        <v>3073</v>
      </c>
      <c r="CZ35" s="106">
        <f t="shared" si="60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6"/>
        <v>0</v>
      </c>
      <c r="DL35" s="108">
        <f t="shared" si="86"/>
        <v>0</v>
      </c>
      <c r="DM35" s="111">
        <f t="shared" si="86"/>
        <v>0</v>
      </c>
      <c r="DN35" s="76">
        <f t="shared" si="89"/>
        <v>0</v>
      </c>
      <c r="DO35" s="76">
        <f t="shared" si="90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1"/>
        <v>0</v>
      </c>
      <c r="DX35" s="81">
        <f t="shared" si="29"/>
        <v>0</v>
      </c>
      <c r="DY35" s="80">
        <f t="shared" si="62"/>
        <v>0</v>
      </c>
      <c r="DZ35" s="82">
        <f t="shared" si="63"/>
        <v>0</v>
      </c>
      <c r="EA35" s="82">
        <f t="shared" si="64"/>
        <v>0</v>
      </c>
      <c r="EB35" s="82">
        <f t="shared" si="65"/>
        <v>0</v>
      </c>
      <c r="EC35" s="82">
        <f t="shared" si="98"/>
        <v>0</v>
      </c>
      <c r="EF35" s="83">
        <f t="shared" si="93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1"/>
        <v>TV12L14-5.97x2.5-H9B14</v>
      </c>
      <c r="H36" s="46" t="str">
        <f t="shared" si="32"/>
        <v>12L14TV5.970DH9</v>
      </c>
      <c r="I36" s="46" t="str">
        <f t="shared" si="33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4"/>
        <v>76</v>
      </c>
      <c r="T36" s="51">
        <f>'04.02'!BG36</f>
        <v>63</v>
      </c>
      <c r="U36" s="146">
        <v>37</v>
      </c>
      <c r="V36" s="135">
        <v>4.45</v>
      </c>
      <c r="W36" s="151">
        <f t="shared" si="5"/>
        <v>0</v>
      </c>
      <c r="X36" s="151">
        <f t="shared" si="6"/>
        <v>3074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15</v>
      </c>
      <c r="AE36" s="151">
        <f t="shared" si="35"/>
        <v>3074</v>
      </c>
      <c r="AF36" s="54">
        <f>AE36+'04.02'!AF36</f>
        <v>13311</v>
      </c>
      <c r="AG36" s="94">
        <f t="shared" si="66"/>
        <v>63</v>
      </c>
      <c r="AH36" s="56">
        <f t="shared" si="13"/>
        <v>0</v>
      </c>
      <c r="AI36" s="151">
        <v>38</v>
      </c>
      <c r="AJ36" s="93">
        <f t="shared" si="67"/>
        <v>0</v>
      </c>
      <c r="AK36" s="95">
        <f t="shared" si="36"/>
        <v>1</v>
      </c>
      <c r="AL36" s="58">
        <f t="shared" si="37"/>
        <v>38</v>
      </c>
      <c r="AM36" s="55">
        <f t="shared" si="68"/>
        <v>62</v>
      </c>
      <c r="AN36" s="151"/>
      <c r="AO36" s="145"/>
      <c r="AP36" s="145">
        <f>$CJ36</f>
        <v>6437</v>
      </c>
      <c r="AQ36" s="145"/>
      <c r="AR36" s="145"/>
      <c r="AS36" s="145"/>
      <c r="AT36" s="145"/>
      <c r="AU36" s="145">
        <f t="shared" si="38"/>
        <v>0</v>
      </c>
      <c r="AV36" s="145">
        <f t="shared" si="38"/>
        <v>70</v>
      </c>
      <c r="AW36" s="145">
        <f t="shared" si="39"/>
        <v>6507</v>
      </c>
      <c r="AX36" s="145">
        <f t="shared" si="40"/>
        <v>1462</v>
      </c>
      <c r="AY36" s="94">
        <f t="shared" si="69"/>
        <v>-257</v>
      </c>
      <c r="AZ36" s="94">
        <f t="shared" si="41"/>
        <v>-57.752808988764045</v>
      </c>
      <c r="BA36" s="94">
        <f t="shared" si="42"/>
        <v>62</v>
      </c>
      <c r="BB36" s="97">
        <f t="shared" si="43"/>
        <v>0</v>
      </c>
      <c r="BC36" s="151">
        <v>41</v>
      </c>
      <c r="BD36" s="93">
        <f t="shared" si="44"/>
        <v>0</v>
      </c>
      <c r="BE36" s="152">
        <f t="shared" si="45"/>
        <v>1</v>
      </c>
      <c r="BF36" s="58">
        <f t="shared" si="46"/>
        <v>41</v>
      </c>
      <c r="BG36" s="94">
        <f t="shared" si="47"/>
        <v>21</v>
      </c>
      <c r="BH36" s="150"/>
      <c r="BI36" s="150"/>
      <c r="BJ36" s="146">
        <f>$CN36</f>
        <v>7246</v>
      </c>
      <c r="BK36" s="150"/>
      <c r="BL36" s="150"/>
      <c r="BM36" s="150"/>
      <c r="BN36" s="146"/>
      <c r="BO36" s="146">
        <f t="shared" si="70"/>
        <v>0</v>
      </c>
      <c r="BP36" s="146">
        <f t="shared" si="70"/>
        <v>0</v>
      </c>
      <c r="BQ36" s="145">
        <f t="shared" si="48"/>
        <v>7246</v>
      </c>
      <c r="BR36" s="145">
        <f t="shared" si="49"/>
        <v>1628</v>
      </c>
      <c r="BS36" s="96">
        <f t="shared" si="71"/>
        <v>-52</v>
      </c>
      <c r="BT36" s="145">
        <f t="shared" si="50"/>
        <v>-11.685393258426966</v>
      </c>
      <c r="BU36" s="146">
        <f t="shared" si="16"/>
        <v>3074</v>
      </c>
      <c r="BV36" s="98">
        <f t="shared" si="17"/>
        <v>79</v>
      </c>
      <c r="BW36" s="146">
        <f t="shared" si="18"/>
        <v>-69.438202247191015</v>
      </c>
      <c r="BX36" s="153">
        <f t="shared" si="51"/>
        <v>43.213000000000001</v>
      </c>
      <c r="BY36" s="61">
        <f t="shared" si="73"/>
        <v>79</v>
      </c>
      <c r="BZ36" s="62">
        <f t="shared" si="52"/>
        <v>79</v>
      </c>
      <c r="CA36" s="98">
        <f t="shared" si="53"/>
        <v>13.753</v>
      </c>
      <c r="CB36" s="146">
        <f t="shared" si="19"/>
        <v>3090</v>
      </c>
      <c r="CC36" s="146">
        <f t="shared" si="19"/>
        <v>-309</v>
      </c>
      <c r="CD36" s="146">
        <f t="shared" si="19"/>
        <v>-69.438202247191015</v>
      </c>
      <c r="CE36" s="99"/>
      <c r="CF36" s="99"/>
      <c r="CG36" s="51">
        <f t="shared" si="54"/>
        <v>29.53</v>
      </c>
      <c r="CH36" s="62">
        <f t="shared" si="55"/>
        <v>29.53</v>
      </c>
      <c r="CI36" s="150"/>
      <c r="CJ36" s="150">
        <v>6437</v>
      </c>
      <c r="CK36" s="150"/>
      <c r="CL36" s="145">
        <v>70</v>
      </c>
      <c r="CM36" s="150"/>
      <c r="CN36" s="150">
        <v>7246</v>
      </c>
      <c r="CO36" s="146"/>
      <c r="CP36" s="154"/>
      <c r="CQ36" s="102">
        <f t="shared" si="87"/>
        <v>1446</v>
      </c>
      <c r="CR36" s="102">
        <f t="shared" si="87"/>
        <v>0</v>
      </c>
      <c r="CS36" s="102">
        <f t="shared" si="87"/>
        <v>15</v>
      </c>
      <c r="CT36" s="92">
        <f t="shared" si="57"/>
        <v>1628</v>
      </c>
      <c r="CU36" s="92">
        <f t="shared" si="88"/>
        <v>0</v>
      </c>
      <c r="CV36" s="103">
        <f t="shared" si="88"/>
        <v>0</v>
      </c>
      <c r="CW36" s="155" t="s">
        <v>147</v>
      </c>
      <c r="CX36" s="156">
        <v>23</v>
      </c>
      <c r="CY36" s="157">
        <f t="shared" si="59"/>
        <v>1510</v>
      </c>
      <c r="CZ36" s="157">
        <f t="shared" si="60"/>
        <v>93.15</v>
      </c>
      <c r="DA36" s="157"/>
      <c r="DB36" s="157"/>
      <c r="DC36" s="156"/>
      <c r="DD36" s="158"/>
      <c r="DE36" s="92">
        <f t="shared" si="21"/>
        <v>1446</v>
      </c>
      <c r="DF36" s="108">
        <f t="shared" si="22"/>
        <v>38</v>
      </c>
      <c r="DG36" s="112">
        <f t="shared" si="23"/>
        <v>-57.752808988764045</v>
      </c>
      <c r="DH36" s="110">
        <f t="shared" si="24"/>
        <v>1628</v>
      </c>
      <c r="DI36" s="108">
        <f t="shared" si="25"/>
        <v>41</v>
      </c>
      <c r="DJ36" s="112">
        <f t="shared" si="26"/>
        <v>-11.685393258426966</v>
      </c>
      <c r="DK36" s="110">
        <f t="shared" si="86"/>
        <v>3074</v>
      </c>
      <c r="DL36" s="108">
        <f t="shared" si="86"/>
        <v>79</v>
      </c>
      <c r="DM36" s="111">
        <f t="shared" si="86"/>
        <v>-69.438202247191015</v>
      </c>
      <c r="DN36" s="76">
        <f t="shared" si="89"/>
        <v>63</v>
      </c>
      <c r="DO36" s="76">
        <f t="shared" si="90"/>
        <v>37</v>
      </c>
      <c r="DP36" s="112"/>
      <c r="DQ36" s="112"/>
      <c r="DR36" s="113" t="s">
        <v>434</v>
      </c>
      <c r="DS36" s="112"/>
      <c r="DT36" s="112"/>
      <c r="DU36" s="111"/>
      <c r="DV36" s="114"/>
      <c r="DW36" s="80">
        <f>IFERROR(AL36+BF36,"")</f>
        <v>79</v>
      </c>
      <c r="DX36" s="159">
        <f t="shared" si="29"/>
        <v>3083.5617977528091</v>
      </c>
      <c r="DY36" s="80">
        <f t="shared" si="62"/>
        <v>3089</v>
      </c>
      <c r="DZ36" s="82">
        <f t="shared" si="63"/>
        <v>6.6750000000000004E-2</v>
      </c>
      <c r="EA36" s="82">
        <f t="shared" si="64"/>
        <v>13.679300000000001</v>
      </c>
      <c r="EB36" s="82">
        <f t="shared" si="65"/>
        <v>29.5337</v>
      </c>
      <c r="EC36" s="82">
        <f t="shared" si="75"/>
        <v>29.600449999999999</v>
      </c>
      <c r="EF36" s="83">
        <f t="shared" si="93"/>
        <v>-69.438202247191015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1"/>
        <v>GAA5052-5.7x3-H9A14</v>
      </c>
      <c r="H37" s="46" t="str">
        <f t="shared" si="32"/>
        <v>A5052GA5.70DH9</v>
      </c>
      <c r="I37" s="46" t="str">
        <f t="shared" si="33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4"/>
        <v>18</v>
      </c>
      <c r="T37" s="51">
        <f>'04.02'!BG37</f>
        <v>20</v>
      </c>
      <c r="U37" s="92"/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35"/>
        <v>0</v>
      </c>
      <c r="AF37" s="54">
        <f>AE37+'04.02'!AF37</f>
        <v>2000</v>
      </c>
      <c r="AG37" s="94">
        <f t="shared" si="66"/>
        <v>20</v>
      </c>
      <c r="AH37" s="56">
        <f t="shared" si="13"/>
        <v>0</v>
      </c>
      <c r="AI37" s="93"/>
      <c r="AJ37" s="93">
        <f t="shared" si="67"/>
        <v>0</v>
      </c>
      <c r="AK37" s="95">
        <f t="shared" si="36"/>
        <v>1</v>
      </c>
      <c r="AL37" s="58">
        <f t="shared" si="37"/>
        <v>0</v>
      </c>
      <c r="AM37" s="55">
        <f t="shared" si="68"/>
        <v>20</v>
      </c>
      <c r="AN37" s="93"/>
      <c r="AO37" s="96"/>
      <c r="AP37" s="96"/>
      <c r="AQ37" s="96"/>
      <c r="AR37" s="96"/>
      <c r="AS37" s="96"/>
      <c r="AT37" s="96">
        <f>$CJ37</f>
        <v>0</v>
      </c>
      <c r="AU37" s="96">
        <f t="shared" si="38"/>
        <v>0</v>
      </c>
      <c r="AV37" s="96">
        <f t="shared" si="38"/>
        <v>0</v>
      </c>
      <c r="AW37" s="96">
        <f t="shared" si="39"/>
        <v>0</v>
      </c>
      <c r="AX37" s="96">
        <f t="shared" si="40"/>
        <v>0</v>
      </c>
      <c r="AY37" s="94">
        <f t="shared" si="69"/>
        <v>0</v>
      </c>
      <c r="AZ37" s="94">
        <f t="shared" si="41"/>
        <v>0</v>
      </c>
      <c r="BA37" s="94">
        <f t="shared" si="42"/>
        <v>20</v>
      </c>
      <c r="BB37" s="97">
        <f t="shared" si="43"/>
        <v>0</v>
      </c>
      <c r="BC37" s="93"/>
      <c r="BD37" s="93">
        <f t="shared" si="44"/>
        <v>0</v>
      </c>
      <c r="BE37" s="95">
        <f t="shared" si="45"/>
        <v>1</v>
      </c>
      <c r="BF37" s="58">
        <f t="shared" si="46"/>
        <v>0</v>
      </c>
      <c r="BG37" s="94">
        <f t="shared" si="47"/>
        <v>20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0"/>
        <v>0</v>
      </c>
      <c r="BP37" s="92">
        <f t="shared" si="70"/>
        <v>0</v>
      </c>
      <c r="BQ37" s="96">
        <f t="shared" si="48"/>
        <v>0</v>
      </c>
      <c r="BR37" s="96">
        <f t="shared" si="49"/>
        <v>0</v>
      </c>
      <c r="BS37" s="96">
        <f t="shared" si="71"/>
        <v>0</v>
      </c>
      <c r="BT37" s="96">
        <f t="shared" si="50"/>
        <v>0</v>
      </c>
      <c r="BU37" s="92">
        <f t="shared" si="16"/>
        <v>0</v>
      </c>
      <c r="BV37" s="98">
        <f t="shared" si="17"/>
        <v>0</v>
      </c>
      <c r="BW37" s="92">
        <f t="shared" si="18"/>
        <v>0</v>
      </c>
      <c r="BX37" s="98">
        <f t="shared" si="51"/>
        <v>0</v>
      </c>
      <c r="BY37" s="61">
        <f t="shared" si="73"/>
        <v>0</v>
      </c>
      <c r="BZ37" s="62">
        <f t="shared" si="52"/>
        <v>0</v>
      </c>
      <c r="CA37" s="98">
        <f t="shared" si="53"/>
        <v>0</v>
      </c>
      <c r="CB37" s="92">
        <f t="shared" si="19"/>
        <v>0</v>
      </c>
      <c r="CC37" s="92">
        <f t="shared" si="19"/>
        <v>0</v>
      </c>
      <c r="CD37" s="92">
        <f t="shared" si="19"/>
        <v>0</v>
      </c>
      <c r="CE37" s="99"/>
      <c r="CF37" s="99"/>
      <c r="CG37" s="51">
        <f t="shared" si="54"/>
        <v>0</v>
      </c>
      <c r="CH37" s="62">
        <f t="shared" si="55"/>
        <v>0</v>
      </c>
      <c r="CI37" s="89"/>
      <c r="CJ37" s="89"/>
      <c r="CK37" s="89"/>
      <c r="CL37" s="96"/>
      <c r="CM37" s="89"/>
      <c r="CN37" s="89"/>
      <c r="CO37" s="92"/>
      <c r="CP37" s="101"/>
      <c r="CQ37" s="102">
        <f t="shared" si="87"/>
        <v>0</v>
      </c>
      <c r="CR37" s="102">
        <f t="shared" si="87"/>
        <v>0</v>
      </c>
      <c r="CS37" s="102">
        <f t="shared" si="87"/>
        <v>0</v>
      </c>
      <c r="CT37" s="92">
        <f t="shared" si="57"/>
        <v>0</v>
      </c>
      <c r="CU37" s="92">
        <f t="shared" si="88"/>
        <v>0</v>
      </c>
      <c r="CV37" s="103">
        <f t="shared" si="88"/>
        <v>0</v>
      </c>
      <c r="CW37" s="104" t="s">
        <v>147</v>
      </c>
      <c r="CX37" s="105">
        <v>18</v>
      </c>
      <c r="CY37" s="106">
        <f t="shared" si="59"/>
        <v>2300</v>
      </c>
      <c r="CZ37" s="106">
        <f t="shared" si="60"/>
        <v>72.900000000000006</v>
      </c>
      <c r="DA37" s="106"/>
      <c r="DB37" s="106"/>
      <c r="DC37" s="105"/>
      <c r="DD37" s="107"/>
      <c r="DE37" s="92">
        <f t="shared" si="21"/>
        <v>0</v>
      </c>
      <c r="DF37" s="108">
        <f t="shared" si="22"/>
        <v>0</v>
      </c>
      <c r="DG37" s="112">
        <f t="shared" si="23"/>
        <v>0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6"/>
        <v>0</v>
      </c>
      <c r="DL37" s="108">
        <f t="shared" si="86"/>
        <v>0</v>
      </c>
      <c r="DM37" s="111">
        <f t="shared" si="86"/>
        <v>0</v>
      </c>
      <c r="DN37" s="76">
        <f t="shared" si="89"/>
        <v>20</v>
      </c>
      <c r="DO37" s="76">
        <f t="shared" si="90"/>
        <v>0</v>
      </c>
      <c r="DP37" s="112"/>
      <c r="DQ37" s="112"/>
      <c r="DR37" s="113" t="s">
        <v>435</v>
      </c>
      <c r="DS37" s="112"/>
      <c r="DT37" s="112"/>
      <c r="DU37" s="111"/>
      <c r="DV37" s="114"/>
      <c r="DW37" s="80">
        <f t="shared" si="61"/>
        <v>0</v>
      </c>
      <c r="DX37" s="81">
        <f t="shared" si="29"/>
        <v>0</v>
      </c>
      <c r="DY37" s="80">
        <f t="shared" si="62"/>
        <v>0</v>
      </c>
      <c r="DZ37" s="82">
        <f t="shared" si="63"/>
        <v>0</v>
      </c>
      <c r="EA37" s="82">
        <f t="shared" si="64"/>
        <v>0</v>
      </c>
      <c r="EB37" s="82">
        <f t="shared" si="65"/>
        <v>0</v>
      </c>
      <c r="EC37" s="82">
        <f t="shared" si="75"/>
        <v>0</v>
      </c>
      <c r="EF37" s="83">
        <f t="shared" si="93"/>
        <v>0</v>
      </c>
    </row>
    <row r="38" spans="1:136" s="143" customFormat="1" ht="14.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1"/>
        <v>MESUS303-5x3-H7B13</v>
      </c>
      <c r="H38" s="123" t="str">
        <f t="shared" si="32"/>
        <v>SUS303ME50DH7</v>
      </c>
      <c r="I38" s="123" t="str">
        <f t="shared" si="33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4"/>
        <v>4</v>
      </c>
      <c r="T38" s="51">
        <v>0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5"/>
        <v>0</v>
      </c>
      <c r="AF38" s="54">
        <f>AE38+'04.02'!AF38</f>
        <v>0</v>
      </c>
      <c r="AG38" s="94">
        <f t="shared" si="66"/>
        <v>0</v>
      </c>
      <c r="AH38" s="56">
        <f t="shared" si="13"/>
        <v>0</v>
      </c>
      <c r="AI38" s="125"/>
      <c r="AJ38" s="93">
        <f t="shared" si="67"/>
        <v>0</v>
      </c>
      <c r="AK38" s="95">
        <f t="shared" si="36"/>
        <v>1</v>
      </c>
      <c r="AL38" s="58">
        <f t="shared" si="37"/>
        <v>0</v>
      </c>
      <c r="AM38" s="55">
        <f t="shared" si="68"/>
        <v>0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8"/>
        <v>0</v>
      </c>
      <c r="AV38" s="126">
        <f t="shared" si="38"/>
        <v>0</v>
      </c>
      <c r="AW38" s="126">
        <f t="shared" si="39"/>
        <v>0</v>
      </c>
      <c r="AX38" s="126">
        <f t="shared" si="40"/>
        <v>0</v>
      </c>
      <c r="AY38" s="162">
        <f t="shared" si="69"/>
        <v>0</v>
      </c>
      <c r="AZ38" s="94">
        <f t="shared" si="41"/>
        <v>0</v>
      </c>
      <c r="BA38" s="94">
        <f t="shared" si="42"/>
        <v>0</v>
      </c>
      <c r="BB38" s="97">
        <f t="shared" si="43"/>
        <v>0</v>
      </c>
      <c r="BC38" s="125"/>
      <c r="BD38" s="93">
        <f t="shared" si="44"/>
        <v>0</v>
      </c>
      <c r="BE38" s="127">
        <f t="shared" si="45"/>
        <v>1</v>
      </c>
      <c r="BF38" s="58">
        <f t="shared" si="46"/>
        <v>0</v>
      </c>
      <c r="BG38" s="94">
        <f t="shared" si="47"/>
        <v>0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0"/>
        <v>0</v>
      </c>
      <c r="BP38" s="124">
        <f t="shared" si="70"/>
        <v>0</v>
      </c>
      <c r="BQ38" s="126">
        <f t="shared" si="48"/>
        <v>0</v>
      </c>
      <c r="BR38" s="126">
        <f t="shared" si="49"/>
        <v>0</v>
      </c>
      <c r="BS38" s="126">
        <f t="shared" si="71"/>
        <v>0</v>
      </c>
      <c r="BT38" s="126">
        <f t="shared" si="50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1"/>
        <v>0</v>
      </c>
      <c r="BY38" s="129">
        <f t="shared" si="73"/>
        <v>0</v>
      </c>
      <c r="BZ38" s="62">
        <f t="shared" si="52"/>
        <v>0</v>
      </c>
      <c r="CA38" s="128">
        <f t="shared" si="53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4"/>
        <v>0</v>
      </c>
      <c r="CH38" s="62">
        <f t="shared" si="55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7"/>
        <v>0</v>
      </c>
      <c r="CR38" s="102">
        <f t="shared" si="87"/>
        <v>0</v>
      </c>
      <c r="CS38" s="102">
        <f t="shared" si="87"/>
        <v>0</v>
      </c>
      <c r="CT38" s="92">
        <f t="shared" si="57"/>
        <v>0</v>
      </c>
      <c r="CU38" s="92">
        <f t="shared" si="88"/>
        <v>0</v>
      </c>
      <c r="CV38" s="103">
        <f t="shared" si="88"/>
        <v>0</v>
      </c>
      <c r="CW38" s="131" t="s">
        <v>147</v>
      </c>
      <c r="CX38" s="132">
        <v>60</v>
      </c>
      <c r="CY38" s="133">
        <f t="shared" si="59"/>
        <v>714</v>
      </c>
      <c r="CZ38" s="133">
        <f t="shared" si="60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6"/>
        <v>0</v>
      </c>
      <c r="DL38" s="135">
        <f t="shared" si="86"/>
        <v>0</v>
      </c>
      <c r="DM38" s="137">
        <f t="shared" si="86"/>
        <v>0</v>
      </c>
      <c r="DN38" s="76">
        <f t="shared" si="89"/>
        <v>0</v>
      </c>
      <c r="DO38" s="76">
        <f t="shared" si="90"/>
        <v>0</v>
      </c>
      <c r="DP38" s="115"/>
      <c r="DQ38" s="115"/>
      <c r="DR38" s="138" t="s">
        <v>436</v>
      </c>
      <c r="DS38" s="115"/>
      <c r="DT38" s="115"/>
      <c r="DU38" s="137"/>
      <c r="DV38" s="139"/>
      <c r="DW38" s="140">
        <f t="shared" si="61"/>
        <v>0</v>
      </c>
      <c r="DX38" s="141">
        <f t="shared" si="29"/>
        <v>0</v>
      </c>
      <c r="DY38" s="140">
        <f t="shared" si="62"/>
        <v>0</v>
      </c>
      <c r="DZ38" s="142">
        <f t="shared" si="63"/>
        <v>0</v>
      </c>
      <c r="EA38" s="142">
        <f t="shared" si="64"/>
        <v>0</v>
      </c>
      <c r="EB38" s="142">
        <f t="shared" si="65"/>
        <v>0</v>
      </c>
      <c r="EC38" s="142">
        <f t="shared" si="75"/>
        <v>0</v>
      </c>
      <c r="EF38" s="83">
        <f t="shared" si="93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1"/>
        <v>GAA5052-5.7x3-H9A14</v>
      </c>
      <c r="H39" s="46" t="str">
        <f t="shared" si="32"/>
        <v>A5052GA5.70DH9</v>
      </c>
      <c r="I39" s="46" t="str">
        <f t="shared" si="33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4"/>
        <v>10</v>
      </c>
      <c r="T39" s="51">
        <f>'04.02'!BG39</f>
        <v>16</v>
      </c>
      <c r="U39" s="92"/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5"/>
        <v>0</v>
      </c>
      <c r="AF39" s="54">
        <f>AE39+'04.02'!AF39</f>
        <v>0</v>
      </c>
      <c r="AG39" s="94">
        <f t="shared" si="66"/>
        <v>16</v>
      </c>
      <c r="AH39" s="56">
        <f t="shared" si="13"/>
        <v>0</v>
      </c>
      <c r="AI39" s="93"/>
      <c r="AJ39" s="93">
        <f t="shared" si="67"/>
        <v>0</v>
      </c>
      <c r="AK39" s="95">
        <f t="shared" si="36"/>
        <v>1</v>
      </c>
      <c r="AL39" s="58">
        <f t="shared" si="37"/>
        <v>0</v>
      </c>
      <c r="AM39" s="55">
        <f t="shared" si="68"/>
        <v>16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8"/>
        <v>0</v>
      </c>
      <c r="AV39" s="96">
        <f t="shared" si="38"/>
        <v>0</v>
      </c>
      <c r="AW39" s="96">
        <f t="shared" si="39"/>
        <v>0</v>
      </c>
      <c r="AX39" s="96">
        <f t="shared" si="40"/>
        <v>0</v>
      </c>
      <c r="AY39" s="94">
        <f t="shared" si="69"/>
        <v>0</v>
      </c>
      <c r="AZ39" s="94">
        <f t="shared" si="41"/>
        <v>0</v>
      </c>
      <c r="BA39" s="94">
        <f t="shared" si="42"/>
        <v>16</v>
      </c>
      <c r="BB39" s="97">
        <f t="shared" si="43"/>
        <v>0</v>
      </c>
      <c r="BC39" s="93"/>
      <c r="BD39" s="93">
        <f t="shared" si="44"/>
        <v>0</v>
      </c>
      <c r="BE39" s="95">
        <f t="shared" si="45"/>
        <v>1</v>
      </c>
      <c r="BF39" s="58">
        <f t="shared" si="46"/>
        <v>0</v>
      </c>
      <c r="BG39" s="94">
        <f t="shared" si="47"/>
        <v>16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0"/>
        <v>0</v>
      </c>
      <c r="BP39" s="92">
        <f t="shared" si="70"/>
        <v>0</v>
      </c>
      <c r="BQ39" s="96">
        <f t="shared" si="48"/>
        <v>0</v>
      </c>
      <c r="BR39" s="96">
        <f t="shared" si="49"/>
        <v>0</v>
      </c>
      <c r="BS39" s="96">
        <f t="shared" si="71"/>
        <v>0</v>
      </c>
      <c r="BT39" s="96">
        <f t="shared" si="50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1"/>
        <v>0</v>
      </c>
      <c r="BY39" s="61">
        <f t="shared" si="73"/>
        <v>0</v>
      </c>
      <c r="BZ39" s="62">
        <f t="shared" si="52"/>
        <v>0</v>
      </c>
      <c r="CA39" s="98">
        <f t="shared" si="53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4"/>
        <v>0</v>
      </c>
      <c r="CH39" s="62">
        <f t="shared" si="55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7"/>
        <v>0</v>
      </c>
      <c r="CR39" s="102">
        <f t="shared" si="87"/>
        <v>0</v>
      </c>
      <c r="CS39" s="102">
        <f t="shared" si="87"/>
        <v>0</v>
      </c>
      <c r="CT39" s="92">
        <f t="shared" si="57"/>
        <v>0</v>
      </c>
      <c r="CU39" s="92">
        <f t="shared" si="88"/>
        <v>0</v>
      </c>
      <c r="CV39" s="103">
        <f t="shared" si="88"/>
        <v>0</v>
      </c>
      <c r="CW39" s="104" t="s">
        <v>147</v>
      </c>
      <c r="CX39" s="105">
        <v>35</v>
      </c>
      <c r="CY39" s="106">
        <f t="shared" si="59"/>
        <v>1203</v>
      </c>
      <c r="CZ39" s="106">
        <f t="shared" si="60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6"/>
        <v>0</v>
      </c>
      <c r="DL39" s="108">
        <f t="shared" si="86"/>
        <v>0</v>
      </c>
      <c r="DM39" s="111">
        <f t="shared" si="86"/>
        <v>0</v>
      </c>
      <c r="DN39" s="76">
        <f t="shared" si="89"/>
        <v>16</v>
      </c>
      <c r="DO39" s="76">
        <f t="shared" si="90"/>
        <v>0</v>
      </c>
      <c r="DP39" s="112"/>
      <c r="DQ39" s="112"/>
      <c r="DR39" s="113" t="s">
        <v>437</v>
      </c>
      <c r="DS39" s="112"/>
      <c r="DT39" s="112"/>
      <c r="DU39" s="111"/>
      <c r="DV39" s="114"/>
      <c r="DW39" s="80">
        <f t="shared" si="61"/>
        <v>0</v>
      </c>
      <c r="DX39" s="81">
        <f t="shared" si="29"/>
        <v>0</v>
      </c>
      <c r="DY39" s="80">
        <f t="shared" si="62"/>
        <v>0</v>
      </c>
      <c r="DZ39" s="82">
        <f t="shared" si="63"/>
        <v>0</v>
      </c>
      <c r="EA39" s="82">
        <f t="shared" si="64"/>
        <v>0</v>
      </c>
      <c r="EB39" s="82">
        <f t="shared" si="65"/>
        <v>0</v>
      </c>
      <c r="EC39" s="82">
        <f t="shared" si="75"/>
        <v>0</v>
      </c>
      <c r="EF39" s="83">
        <f t="shared" si="93"/>
        <v>0</v>
      </c>
    </row>
    <row r="40" spans="1:136" ht="14.1" customHeight="1">
      <c r="A40" s="84">
        <v>33</v>
      </c>
      <c r="B40" s="85" t="s">
        <v>232</v>
      </c>
      <c r="C40" s="86"/>
      <c r="D40" s="87" t="s">
        <v>233</v>
      </c>
      <c r="E40" s="88">
        <v>1166</v>
      </c>
      <c r="F40" s="89" t="s">
        <v>147</v>
      </c>
      <c r="G40" s="45" t="str">
        <f t="shared" si="31"/>
        <v>MIC3602-3x2.5-H9A14</v>
      </c>
      <c r="H40" s="46" t="str">
        <f t="shared" si="32"/>
        <v>C3602MI30DH9</v>
      </c>
      <c r="I40" s="46" t="str">
        <f t="shared" si="33"/>
        <v>C3602MI30DH92.5A14</v>
      </c>
      <c r="J40" s="90" t="s">
        <v>155</v>
      </c>
      <c r="K40" s="90" t="s">
        <v>234</v>
      </c>
      <c r="L40" s="90">
        <v>3</v>
      </c>
      <c r="M40" s="90">
        <v>0</v>
      </c>
      <c r="N40" s="90" t="s">
        <v>128</v>
      </c>
      <c r="O40" s="90" t="s">
        <v>131</v>
      </c>
      <c r="P40" s="90">
        <v>2.5</v>
      </c>
      <c r="Q40" s="164">
        <v>0.14799999999999999</v>
      </c>
      <c r="R40" s="90" t="s">
        <v>139</v>
      </c>
      <c r="S40" s="89">
        <f t="shared" si="34"/>
        <v>6</v>
      </c>
      <c r="T40" s="51">
        <f>'04.02'!BG40</f>
        <v>10</v>
      </c>
      <c r="U40" s="92"/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8160</v>
      </c>
      <c r="AC40" s="93">
        <f t="shared" si="11"/>
        <v>0</v>
      </c>
      <c r="AD40" s="93">
        <f t="shared" si="12"/>
        <v>0</v>
      </c>
      <c r="AE40" s="93">
        <f t="shared" si="35"/>
        <v>8160</v>
      </c>
      <c r="AF40" s="54">
        <f>AE40+'04.02'!AF40</f>
        <v>28648</v>
      </c>
      <c r="AG40" s="94">
        <f t="shared" si="66"/>
        <v>10</v>
      </c>
      <c r="AH40" s="56">
        <f t="shared" si="13"/>
        <v>0</v>
      </c>
      <c r="AI40" s="93">
        <v>4</v>
      </c>
      <c r="AJ40" s="93">
        <f t="shared" si="67"/>
        <v>100</v>
      </c>
      <c r="AK40" s="95">
        <f t="shared" si="36"/>
        <v>0.68610634648370494</v>
      </c>
      <c r="AL40" s="58">
        <f t="shared" si="37"/>
        <v>3.69</v>
      </c>
      <c r="AM40" s="55">
        <f t="shared" si="68"/>
        <v>6.3100000000000005</v>
      </c>
      <c r="AN40" s="93"/>
      <c r="AO40" s="96"/>
      <c r="AP40" s="96"/>
      <c r="AQ40" s="96"/>
      <c r="AR40" s="96"/>
      <c r="AS40" s="96"/>
      <c r="AT40" s="96">
        <f>$CJ40</f>
        <v>540</v>
      </c>
      <c r="AU40" s="96">
        <f t="shared" si="38"/>
        <v>0</v>
      </c>
      <c r="AV40" s="96">
        <f t="shared" si="38"/>
        <v>0</v>
      </c>
      <c r="AW40" s="96">
        <f>SUM(AO40:AV40)</f>
        <v>540</v>
      </c>
      <c r="AX40" s="96">
        <f>IF(V40="","",INT(AW40/$V40))</f>
        <v>4320</v>
      </c>
      <c r="AY40" s="94">
        <f t="shared" si="69"/>
        <v>2.1825000000000045</v>
      </c>
      <c r="AZ40" s="94">
        <f t="shared" si="41"/>
        <v>17.460000000000036</v>
      </c>
      <c r="BA40" s="94">
        <f t="shared" si="42"/>
        <v>6.3100000000000005</v>
      </c>
      <c r="BB40" s="97">
        <f t="shared" si="43"/>
        <v>0.31</v>
      </c>
      <c r="BC40" s="93">
        <v>3</v>
      </c>
      <c r="BD40" s="93">
        <f t="shared" si="44"/>
        <v>0</v>
      </c>
      <c r="BE40" s="95">
        <f t="shared" si="45"/>
        <v>1</v>
      </c>
      <c r="BF40" s="58">
        <f t="shared" si="46"/>
        <v>3.31</v>
      </c>
      <c r="BG40" s="94">
        <f t="shared" si="47"/>
        <v>3.0000000000000004</v>
      </c>
      <c r="BH40" s="89"/>
      <c r="BI40" s="89"/>
      <c r="BJ40" s="89"/>
      <c r="BK40" s="89"/>
      <c r="BL40" s="92"/>
      <c r="BM40" s="92"/>
      <c r="BN40" s="92">
        <f>$CN40</f>
        <v>480</v>
      </c>
      <c r="BO40" s="92">
        <f t="shared" si="70"/>
        <v>0</v>
      </c>
      <c r="BP40" s="92">
        <f t="shared" si="70"/>
        <v>0</v>
      </c>
      <c r="BQ40" s="96">
        <f t="shared" si="48"/>
        <v>480</v>
      </c>
      <c r="BR40" s="96">
        <f t="shared" si="49"/>
        <v>3840</v>
      </c>
      <c r="BS40" s="96">
        <f t="shared" si="71"/>
        <v>-2.4325000000000045</v>
      </c>
      <c r="BT40" s="96">
        <f t="shared" si="50"/>
        <v>-19.460000000000036</v>
      </c>
      <c r="BU40" s="92">
        <f t="shared" si="16"/>
        <v>8160</v>
      </c>
      <c r="BV40" s="98">
        <f t="shared" si="17"/>
        <v>7</v>
      </c>
      <c r="BW40" s="92">
        <f t="shared" si="18"/>
        <v>-2</v>
      </c>
      <c r="BX40" s="98">
        <f t="shared" si="51"/>
        <v>1.036</v>
      </c>
      <c r="BY40" s="61">
        <f t="shared" si="73"/>
        <v>7</v>
      </c>
      <c r="BZ40" s="62">
        <f t="shared" si="52"/>
        <v>7</v>
      </c>
      <c r="CA40" s="98">
        <f t="shared" si="53"/>
        <v>1.02</v>
      </c>
      <c r="CB40" s="92">
        <f t="shared" ref="CB40:CD71" si="99">IFERROR(BR40+AX40,"")</f>
        <v>8160</v>
      </c>
      <c r="CC40" s="92">
        <f t="shared" si="99"/>
        <v>-0.25</v>
      </c>
      <c r="CD40" s="92">
        <f t="shared" si="99"/>
        <v>-2</v>
      </c>
      <c r="CE40" s="99"/>
      <c r="CF40" s="99"/>
      <c r="CG40" s="51">
        <f t="shared" si="54"/>
        <v>1.6000000000000014E-2</v>
      </c>
      <c r="CH40" s="62">
        <f t="shared" si="55"/>
        <v>1.6000000000000014E-2</v>
      </c>
      <c r="CI40" s="89">
        <v>100</v>
      </c>
      <c r="CJ40" s="89">
        <v>540</v>
      </c>
      <c r="CK40" s="89"/>
      <c r="CL40" s="96"/>
      <c r="CM40" s="89"/>
      <c r="CN40" s="89">
        <v>480</v>
      </c>
      <c r="CO40" s="92"/>
      <c r="CP40" s="101"/>
      <c r="CQ40" s="102">
        <f t="shared" si="87"/>
        <v>4320</v>
      </c>
      <c r="CR40" s="102">
        <f t="shared" si="87"/>
        <v>0</v>
      </c>
      <c r="CS40" s="102">
        <f t="shared" si="87"/>
        <v>0</v>
      </c>
      <c r="CT40" s="92">
        <f t="shared" si="57"/>
        <v>3840</v>
      </c>
      <c r="CU40" s="92">
        <f t="shared" si="88"/>
        <v>0</v>
      </c>
      <c r="CV40" s="103">
        <f t="shared" si="88"/>
        <v>0</v>
      </c>
      <c r="CW40" s="104" t="s">
        <v>147</v>
      </c>
      <c r="CX40" s="105">
        <v>11</v>
      </c>
      <c r="CY40" s="106">
        <f t="shared" si="59"/>
        <v>3861</v>
      </c>
      <c r="CZ40" s="106">
        <f t="shared" si="60"/>
        <v>44.550000000000004</v>
      </c>
      <c r="DA40" s="106"/>
      <c r="DB40" s="106"/>
      <c r="DC40" s="105"/>
      <c r="DD40" s="107"/>
      <c r="DE40" s="92">
        <f t="shared" si="21"/>
        <v>4320</v>
      </c>
      <c r="DF40" s="108">
        <f t="shared" si="22"/>
        <v>3.69</v>
      </c>
      <c r="DG40" s="112">
        <f t="shared" si="23"/>
        <v>17.460000000000036</v>
      </c>
      <c r="DH40" s="110">
        <f t="shared" si="24"/>
        <v>3840</v>
      </c>
      <c r="DI40" s="108">
        <f t="shared" si="25"/>
        <v>3.31</v>
      </c>
      <c r="DJ40" s="112">
        <f t="shared" si="26"/>
        <v>-19.460000000000036</v>
      </c>
      <c r="DK40" s="110">
        <f t="shared" si="86"/>
        <v>8160</v>
      </c>
      <c r="DL40" s="108">
        <f t="shared" si="86"/>
        <v>7</v>
      </c>
      <c r="DM40" s="111">
        <f t="shared" si="86"/>
        <v>-2</v>
      </c>
      <c r="DN40" s="76">
        <f t="shared" si="89"/>
        <v>10</v>
      </c>
      <c r="DO40" s="76">
        <f t="shared" si="90"/>
        <v>0</v>
      </c>
      <c r="DP40" s="112"/>
      <c r="DQ40" s="112"/>
      <c r="DR40" s="113" t="s">
        <v>438</v>
      </c>
      <c r="DS40" s="112"/>
      <c r="DT40" s="112"/>
      <c r="DU40" s="111"/>
      <c r="DV40" s="114"/>
      <c r="DW40" s="80">
        <f t="shared" ref="DW40:DW42" si="100">IFERROR(AL40+BF40,"")</f>
        <v>7</v>
      </c>
      <c r="DX40" s="81">
        <f t="shared" si="29"/>
        <v>8165</v>
      </c>
      <c r="DY40" s="80">
        <f t="shared" si="62"/>
        <v>8160</v>
      </c>
      <c r="DZ40" s="82">
        <f t="shared" si="63"/>
        <v>0</v>
      </c>
      <c r="EA40" s="82">
        <f t="shared" si="64"/>
        <v>1.02</v>
      </c>
      <c r="EB40" s="82">
        <f t="shared" si="65"/>
        <v>1.6000000000000014E-2</v>
      </c>
      <c r="EC40" s="82">
        <f t="shared" ref="EC40:EC42" si="101">(BX40-CA40)+((AV40+BP40)/1000)</f>
        <v>1.6000000000000014E-2</v>
      </c>
      <c r="EF40" s="83">
        <f t="shared" si="93"/>
        <v>-2</v>
      </c>
    </row>
    <row r="41" spans="1:136" ht="13.5" customHeight="1">
      <c r="A41" s="84">
        <v>34</v>
      </c>
      <c r="B41" s="85" t="s">
        <v>236</v>
      </c>
      <c r="C41" s="86"/>
      <c r="D41" s="119" t="s">
        <v>237</v>
      </c>
      <c r="E41" s="88">
        <v>394</v>
      </c>
      <c r="F41" s="89" t="s">
        <v>147</v>
      </c>
      <c r="G41" s="45" t="str">
        <f t="shared" si="31"/>
        <v>MESUS303Cu-3x3-H9A14</v>
      </c>
      <c r="H41" s="46" t="str">
        <f t="shared" si="32"/>
        <v>SUS303CuME30DH9</v>
      </c>
      <c r="I41" s="46" t="str">
        <f t="shared" si="33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4"/>
        <v>18</v>
      </c>
      <c r="T41" s="51">
        <f>'04.02'!BG41</f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5"/>
        <v>0</v>
      </c>
      <c r="AF41" s="54">
        <f>AE41+'04.02'!AF41</f>
        <v>0</v>
      </c>
      <c r="AG41" s="94">
        <f t="shared" si="66"/>
        <v>10</v>
      </c>
      <c r="AH41" s="56">
        <f t="shared" si="13"/>
        <v>0</v>
      </c>
      <c r="AI41" s="93"/>
      <c r="AJ41" s="93">
        <f t="shared" si="67"/>
        <v>0</v>
      </c>
      <c r="AK41" s="95">
        <f t="shared" si="36"/>
        <v>1</v>
      </c>
      <c r="AL41" s="58">
        <f t="shared" si="37"/>
        <v>0</v>
      </c>
      <c r="AM41" s="55">
        <f t="shared" si="68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8"/>
        <v>0</v>
      </c>
      <c r="AV41" s="96">
        <f t="shared" si="38"/>
        <v>0</v>
      </c>
      <c r="AW41" s="96">
        <f>SUM(AO41:AV41)</f>
        <v>0</v>
      </c>
      <c r="AX41" s="96">
        <f>IF(V41="","",INT(AW41/$V41))</f>
        <v>0</v>
      </c>
      <c r="AY41" s="94">
        <f t="shared" si="69"/>
        <v>0</v>
      </c>
      <c r="AZ41" s="94">
        <f t="shared" si="41"/>
        <v>0</v>
      </c>
      <c r="BA41" s="94">
        <f t="shared" si="42"/>
        <v>10</v>
      </c>
      <c r="BB41" s="97">
        <f t="shared" si="43"/>
        <v>0</v>
      </c>
      <c r="BC41" s="93"/>
      <c r="BD41" s="93">
        <f t="shared" si="44"/>
        <v>0</v>
      </c>
      <c r="BE41" s="95">
        <f t="shared" si="45"/>
        <v>1</v>
      </c>
      <c r="BF41" s="58">
        <f t="shared" si="46"/>
        <v>0</v>
      </c>
      <c r="BG41" s="94">
        <f t="shared" si="47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0"/>
        <v>0</v>
      </c>
      <c r="BP41" s="92">
        <f t="shared" si="70"/>
        <v>0</v>
      </c>
      <c r="BQ41" s="96">
        <f t="shared" si="48"/>
        <v>0</v>
      </c>
      <c r="BR41" s="96">
        <f>IF(AA41="","",INT(BQ41/$V41))</f>
        <v>0</v>
      </c>
      <c r="BS41" s="96">
        <f t="shared" si="71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1"/>
        <v>0</v>
      </c>
      <c r="BY41" s="61">
        <f t="shared" si="73"/>
        <v>0</v>
      </c>
      <c r="BZ41" s="62">
        <f t="shared" si="52"/>
        <v>0</v>
      </c>
      <c r="CA41" s="98">
        <f t="shared" si="53"/>
        <v>0</v>
      </c>
      <c r="CB41" s="92">
        <f t="shared" si="99"/>
        <v>0</v>
      </c>
      <c r="CC41" s="92">
        <f t="shared" si="99"/>
        <v>0</v>
      </c>
      <c r="CD41" s="92">
        <f t="shared" si="99"/>
        <v>0</v>
      </c>
      <c r="CE41" s="99"/>
      <c r="CF41" s="99"/>
      <c r="CG41" s="51">
        <f t="shared" si="54"/>
        <v>0</v>
      </c>
      <c r="CH41" s="62">
        <f t="shared" si="55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102">INT(IFERROR( CJ41/$V41,0))</f>
        <v>0</v>
      </c>
      <c r="CR41" s="102">
        <f t="shared" si="102"/>
        <v>0</v>
      </c>
      <c r="CS41" s="102">
        <f t="shared" si="102"/>
        <v>0</v>
      </c>
      <c r="CT41" s="92">
        <f t="shared" si="57"/>
        <v>0</v>
      </c>
      <c r="CU41" s="92">
        <f t="shared" ref="CU41:CV103" si="103">INT(IFERROR( AC41-CR41,0))</f>
        <v>0</v>
      </c>
      <c r="CV41" s="103">
        <f t="shared" si="103"/>
        <v>0</v>
      </c>
      <c r="CW41" s="104" t="s">
        <v>147</v>
      </c>
      <c r="CX41" s="105">
        <v>12</v>
      </c>
      <c r="CY41" s="106">
        <f t="shared" si="59"/>
        <v>3450</v>
      </c>
      <c r="CZ41" s="106">
        <f t="shared" si="60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6"/>
        <v>0</v>
      </c>
      <c r="DL41" s="108">
        <f t="shared" si="86"/>
        <v>0</v>
      </c>
      <c r="DM41" s="111">
        <f t="shared" si="86"/>
        <v>0</v>
      </c>
      <c r="DN41" s="76">
        <f t="shared" si="89"/>
        <v>10</v>
      </c>
      <c r="DO41" s="76">
        <f t="shared" si="90"/>
        <v>0</v>
      </c>
      <c r="DP41" s="112"/>
      <c r="DQ41" s="112"/>
      <c r="DR41" s="113" t="s">
        <v>439</v>
      </c>
      <c r="DS41" s="112"/>
      <c r="DT41" s="112"/>
      <c r="DU41" s="111"/>
      <c r="DV41" s="114"/>
      <c r="DW41" s="80">
        <f t="shared" si="100"/>
        <v>0</v>
      </c>
      <c r="DX41" s="81">
        <f t="shared" si="29"/>
        <v>0</v>
      </c>
      <c r="DY41" s="80">
        <f t="shared" si="62"/>
        <v>0</v>
      </c>
      <c r="DZ41" s="82">
        <f t="shared" si="63"/>
        <v>0</v>
      </c>
      <c r="EA41" s="82">
        <f t="shared" si="64"/>
        <v>0</v>
      </c>
      <c r="EB41" s="82">
        <f t="shared" si="65"/>
        <v>0</v>
      </c>
      <c r="EC41" s="82">
        <f t="shared" si="101"/>
        <v>0</v>
      </c>
      <c r="EF41" s="83">
        <f t="shared" si="93"/>
        <v>0</v>
      </c>
    </row>
    <row r="42" spans="1:136" ht="15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1"/>
        <v>IBC3604-6x3-H9C13</v>
      </c>
      <c r="H42" s="46" t="str">
        <f t="shared" si="32"/>
        <v>C3604IB60DH9</v>
      </c>
      <c r="I42" s="46" t="str">
        <f t="shared" si="33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4"/>
        <v>42</v>
      </c>
      <c r="T42" s="51">
        <f>'04.02'!BG42</f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5"/>
        <v>0</v>
      </c>
      <c r="AF42" s="54">
        <f>AE42+'04.02'!AF42</f>
        <v>0</v>
      </c>
      <c r="AG42" s="94">
        <f t="shared" si="66"/>
        <v>0</v>
      </c>
      <c r="AH42" s="56">
        <f t="shared" si="13"/>
        <v>0</v>
      </c>
      <c r="AI42" s="93"/>
      <c r="AJ42" s="93">
        <f t="shared" si="67"/>
        <v>0</v>
      </c>
      <c r="AK42" s="95">
        <f t="shared" si="36"/>
        <v>1</v>
      </c>
      <c r="AL42" s="58">
        <f t="shared" si="37"/>
        <v>0</v>
      </c>
      <c r="AM42" s="55">
        <f t="shared" si="68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8"/>
        <v>0</v>
      </c>
      <c r="AV42" s="96">
        <f t="shared" si="38"/>
        <v>0</v>
      </c>
      <c r="AW42" s="96">
        <f t="shared" si="39"/>
        <v>0</v>
      </c>
      <c r="AX42" s="96">
        <f t="shared" si="40"/>
        <v>0</v>
      </c>
      <c r="AY42" s="94">
        <f t="shared" si="69"/>
        <v>0</v>
      </c>
      <c r="AZ42" s="94">
        <f t="shared" si="41"/>
        <v>0</v>
      </c>
      <c r="BA42" s="94">
        <f t="shared" si="42"/>
        <v>0</v>
      </c>
      <c r="BB42" s="97">
        <f t="shared" si="43"/>
        <v>0</v>
      </c>
      <c r="BC42" s="93"/>
      <c r="BD42" s="93">
        <f t="shared" si="44"/>
        <v>0</v>
      </c>
      <c r="BE42" s="95">
        <f t="shared" si="45"/>
        <v>1</v>
      </c>
      <c r="BF42" s="58">
        <f t="shared" si="46"/>
        <v>0</v>
      </c>
      <c r="BG42" s="94">
        <f t="shared" si="47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0"/>
        <v>0</v>
      </c>
      <c r="BP42" s="92">
        <f t="shared" si="70"/>
        <v>0</v>
      </c>
      <c r="BQ42" s="96">
        <f t="shared" si="48"/>
        <v>0</v>
      </c>
      <c r="BR42" s="96">
        <f t="shared" si="49"/>
        <v>0</v>
      </c>
      <c r="BS42" s="96">
        <f t="shared" si="71"/>
        <v>0</v>
      </c>
      <c r="BT42" s="96">
        <f t="shared" si="50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1"/>
        <v>0</v>
      </c>
      <c r="BY42" s="61">
        <f t="shared" si="73"/>
        <v>0</v>
      </c>
      <c r="BZ42" s="62">
        <f t="shared" si="52"/>
        <v>0</v>
      </c>
      <c r="CA42" s="98">
        <f t="shared" si="53"/>
        <v>0</v>
      </c>
      <c r="CB42" s="92">
        <f t="shared" si="99"/>
        <v>0</v>
      </c>
      <c r="CC42" s="92">
        <f t="shared" si="99"/>
        <v>0</v>
      </c>
      <c r="CD42" s="92">
        <f t="shared" si="99"/>
        <v>0</v>
      </c>
      <c r="CE42" s="99"/>
      <c r="CF42" s="99"/>
      <c r="CG42" s="51">
        <f t="shared" si="54"/>
        <v>0</v>
      </c>
      <c r="CH42" s="62">
        <f t="shared" si="55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102"/>
        <v>0</v>
      </c>
      <c r="CR42" s="102">
        <f t="shared" si="102"/>
        <v>0</v>
      </c>
      <c r="CS42" s="102">
        <f t="shared" si="102"/>
        <v>0</v>
      </c>
      <c r="CT42" s="92">
        <f t="shared" si="57"/>
        <v>0</v>
      </c>
      <c r="CU42" s="92">
        <f t="shared" si="103"/>
        <v>0</v>
      </c>
      <c r="CV42" s="103">
        <f t="shared" si="103"/>
        <v>0</v>
      </c>
      <c r="CW42" s="104" t="s">
        <v>147</v>
      </c>
      <c r="CX42" s="105">
        <v>24</v>
      </c>
      <c r="CY42" s="106">
        <f t="shared" si="59"/>
        <v>1620</v>
      </c>
      <c r="CZ42" s="106">
        <f t="shared" si="60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6"/>
        <v>0</v>
      </c>
      <c r="DL42" s="108">
        <f t="shared" si="86"/>
        <v>0</v>
      </c>
      <c r="DM42" s="111">
        <f t="shared" si="86"/>
        <v>0</v>
      </c>
      <c r="DN42" s="76">
        <f t="shared" si="89"/>
        <v>0</v>
      </c>
      <c r="DO42" s="76">
        <f t="shared" si="90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100"/>
        <v>0</v>
      </c>
      <c r="DX42" s="81">
        <f t="shared" si="29"/>
        <v>0</v>
      </c>
      <c r="DY42" s="80">
        <f t="shared" si="62"/>
        <v>0</v>
      </c>
      <c r="DZ42" s="82">
        <f t="shared" si="63"/>
        <v>0</v>
      </c>
      <c r="EA42" s="82">
        <f t="shared" si="64"/>
        <v>0</v>
      </c>
      <c r="EB42" s="82">
        <f t="shared" si="65"/>
        <v>0</v>
      </c>
      <c r="EC42" s="82">
        <f t="shared" si="101"/>
        <v>0</v>
      </c>
      <c r="EF42" s="83">
        <f t="shared" si="93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1"/>
        <v>IBC3604-5.5x3-H9A14</v>
      </c>
      <c r="H43" s="46" t="str">
        <f t="shared" si="32"/>
        <v>C3604IB5.50DH9</v>
      </c>
      <c r="I43" s="46" t="str">
        <f t="shared" si="33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4"/>
        <v>16</v>
      </c>
      <c r="T43" s="51">
        <f>'04.02'!BG43</f>
        <v>30</v>
      </c>
      <c r="U43" s="92">
        <v>40</v>
      </c>
      <c r="V43" s="100">
        <v>1.1000000000000001</v>
      </c>
      <c r="W43" s="93">
        <f t="shared" si="5"/>
        <v>0</v>
      </c>
      <c r="X43" s="93">
        <f t="shared" si="6"/>
        <v>7082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0</v>
      </c>
      <c r="AE43" s="93">
        <f t="shared" si="35"/>
        <v>7082</v>
      </c>
      <c r="AF43" s="54">
        <f>AE43+'04.02'!AF43</f>
        <v>31319</v>
      </c>
      <c r="AG43" s="94">
        <f t="shared" si="66"/>
        <v>30</v>
      </c>
      <c r="AH43" s="56">
        <f t="shared" si="13"/>
        <v>0</v>
      </c>
      <c r="AI43" s="93">
        <v>19</v>
      </c>
      <c r="AJ43" s="93">
        <f t="shared" si="67"/>
        <v>0</v>
      </c>
      <c r="AK43" s="95">
        <f t="shared" si="36"/>
        <v>1</v>
      </c>
      <c r="AL43" s="58">
        <f t="shared" si="37"/>
        <v>19</v>
      </c>
      <c r="AM43" s="55">
        <f t="shared" si="68"/>
        <v>51</v>
      </c>
      <c r="AN43" s="93"/>
      <c r="AO43" s="96"/>
      <c r="AP43" s="96">
        <f>$CJ43</f>
        <v>3312</v>
      </c>
      <c r="AQ43" s="96"/>
      <c r="AR43" s="96"/>
      <c r="AS43" s="96"/>
      <c r="AT43" s="96"/>
      <c r="AU43" s="96">
        <f>CK43</f>
        <v>0</v>
      </c>
      <c r="AV43" s="96">
        <f>CL43</f>
        <v>0</v>
      </c>
      <c r="AW43" s="96">
        <f>SUM(AO43:AV43)</f>
        <v>3312</v>
      </c>
      <c r="AX43" s="96">
        <f>IF(V43="","",INT(AW43/$V43))</f>
        <v>3010</v>
      </c>
      <c r="AY43" s="94">
        <f t="shared" si="69"/>
        <v>-94.700000000000273</v>
      </c>
      <c r="AZ43" s="94">
        <f t="shared" si="41"/>
        <v>-86.090909090909335</v>
      </c>
      <c r="BA43" s="94">
        <f t="shared" si="42"/>
        <v>51</v>
      </c>
      <c r="BB43" s="97">
        <f t="shared" si="43"/>
        <v>0</v>
      </c>
      <c r="BC43" s="93">
        <v>25</v>
      </c>
      <c r="BD43" s="93">
        <f t="shared" si="44"/>
        <v>0</v>
      </c>
      <c r="BE43" s="95">
        <f t="shared" si="45"/>
        <v>1</v>
      </c>
      <c r="BF43" s="58">
        <f t="shared" si="46"/>
        <v>25</v>
      </c>
      <c r="BG43" s="94">
        <f t="shared" si="47"/>
        <v>26</v>
      </c>
      <c r="BH43" s="89"/>
      <c r="BI43" s="89"/>
      <c r="BJ43" s="92">
        <f>$CN43</f>
        <v>4479</v>
      </c>
      <c r="BK43" s="89"/>
      <c r="BL43" s="89"/>
      <c r="BM43" s="92"/>
      <c r="BN43" s="89"/>
      <c r="BO43" s="92">
        <f t="shared" si="70"/>
        <v>0</v>
      </c>
      <c r="BP43" s="92">
        <f t="shared" si="70"/>
        <v>0</v>
      </c>
      <c r="BQ43" s="96">
        <f t="shared" si="48"/>
        <v>4479</v>
      </c>
      <c r="BR43" s="96">
        <f>IF(AA43="","",INT(BQ43/$V43))</f>
        <v>4071</v>
      </c>
      <c r="BS43" s="96">
        <f t="shared" si="71"/>
        <v>-3.5</v>
      </c>
      <c r="BT43" s="96">
        <f t="shared" si="50"/>
        <v>-3.1818181818181817</v>
      </c>
      <c r="BU43" s="92">
        <f t="shared" si="16"/>
        <v>7082</v>
      </c>
      <c r="BV43" s="98">
        <f t="shared" si="17"/>
        <v>44</v>
      </c>
      <c r="BW43" s="92">
        <f t="shared" si="18"/>
        <v>-89.272727272727522</v>
      </c>
      <c r="BX43" s="98">
        <f t="shared" si="51"/>
        <v>26.576000000000001</v>
      </c>
      <c r="BY43" s="61">
        <f t="shared" si="73"/>
        <v>44</v>
      </c>
      <c r="BZ43" s="62">
        <f t="shared" si="52"/>
        <v>44</v>
      </c>
      <c r="CA43" s="98">
        <f t="shared" si="53"/>
        <v>7.7910000000000004</v>
      </c>
      <c r="CB43" s="92">
        <f t="shared" si="99"/>
        <v>7081</v>
      </c>
      <c r="CC43" s="92">
        <f t="shared" si="99"/>
        <v>-98.200000000000273</v>
      </c>
      <c r="CD43" s="92">
        <f t="shared" si="99"/>
        <v>-89.272727272727522</v>
      </c>
      <c r="CE43" s="99"/>
      <c r="CF43" s="99"/>
      <c r="CG43" s="51">
        <f t="shared" si="54"/>
        <v>18.785</v>
      </c>
      <c r="CH43" s="62">
        <f t="shared" si="55"/>
        <v>18.785</v>
      </c>
      <c r="CI43" s="89"/>
      <c r="CJ43" s="89">
        <v>3312</v>
      </c>
      <c r="CK43" s="89"/>
      <c r="CL43" s="96"/>
      <c r="CM43" s="89"/>
      <c r="CN43" s="89">
        <v>4479</v>
      </c>
      <c r="CO43" s="92"/>
      <c r="CP43" s="101"/>
      <c r="CQ43" s="102">
        <f t="shared" si="102"/>
        <v>3010</v>
      </c>
      <c r="CR43" s="102">
        <f t="shared" si="102"/>
        <v>0</v>
      </c>
      <c r="CS43" s="102">
        <f t="shared" si="102"/>
        <v>0</v>
      </c>
      <c r="CT43" s="92">
        <f t="shared" si="57"/>
        <v>4072</v>
      </c>
      <c r="CU43" s="92">
        <f t="shared" si="103"/>
        <v>0</v>
      </c>
      <c r="CV43" s="103">
        <f t="shared" si="103"/>
        <v>0</v>
      </c>
      <c r="CW43" s="104" t="s">
        <v>147</v>
      </c>
      <c r="CX43" s="105">
        <v>32</v>
      </c>
      <c r="CY43" s="106">
        <f t="shared" si="59"/>
        <v>1299</v>
      </c>
      <c r="CZ43" s="106">
        <f t="shared" si="60"/>
        <v>129.60000000000002</v>
      </c>
      <c r="DA43" s="106"/>
      <c r="DB43" s="106"/>
      <c r="DC43" s="105"/>
      <c r="DD43" s="107"/>
      <c r="DE43" s="92">
        <f t="shared" si="21"/>
        <v>3010</v>
      </c>
      <c r="DF43" s="108">
        <f t="shared" si="22"/>
        <v>19</v>
      </c>
      <c r="DG43" s="115">
        <f t="shared" si="23"/>
        <v>-86.090909090909335</v>
      </c>
      <c r="DH43" s="110">
        <f t="shared" si="24"/>
        <v>4072</v>
      </c>
      <c r="DI43" s="108">
        <f t="shared" si="25"/>
        <v>25</v>
      </c>
      <c r="DJ43" s="112">
        <f t="shared" si="26"/>
        <v>-3.1818181818181817</v>
      </c>
      <c r="DK43" s="110">
        <f t="shared" si="86"/>
        <v>7082</v>
      </c>
      <c r="DL43" s="108">
        <f t="shared" si="86"/>
        <v>44</v>
      </c>
      <c r="DM43" s="111">
        <f t="shared" si="86"/>
        <v>-89.272727272727522</v>
      </c>
      <c r="DN43" s="76">
        <f t="shared" si="89"/>
        <v>30</v>
      </c>
      <c r="DO43" s="76">
        <f t="shared" si="90"/>
        <v>40</v>
      </c>
      <c r="DP43" s="112"/>
      <c r="DQ43" s="112"/>
      <c r="DR43" s="113" t="s">
        <v>440</v>
      </c>
      <c r="DS43" s="112"/>
      <c r="DT43" s="112"/>
      <c r="DU43" s="111"/>
      <c r="DV43" s="114"/>
      <c r="DW43" s="80">
        <f t="shared" si="61"/>
        <v>7126</v>
      </c>
      <c r="DX43" s="81">
        <f t="shared" si="29"/>
        <v>7036.7272727272721</v>
      </c>
      <c r="DY43" s="80">
        <f t="shared" si="62"/>
        <v>7082</v>
      </c>
      <c r="DZ43" s="82">
        <f t="shared" si="63"/>
        <v>0</v>
      </c>
      <c r="EA43" s="82">
        <f t="shared" si="64"/>
        <v>7.7902000000000005</v>
      </c>
      <c r="EB43" s="82">
        <f t="shared" si="65"/>
        <v>18.785800000000002</v>
      </c>
      <c r="EC43" s="82">
        <f t="shared" si="75"/>
        <v>18.785800000000002</v>
      </c>
      <c r="EF43" s="83">
        <f t="shared" si="93"/>
        <v>-89.272727272727522</v>
      </c>
    </row>
    <row r="44" spans="1:136" ht="14.1" customHeight="1">
      <c r="A44" s="84">
        <v>37</v>
      </c>
      <c r="B44" s="147" t="s">
        <v>244</v>
      </c>
      <c r="C44" s="148"/>
      <c r="D44" s="236" t="s">
        <v>495</v>
      </c>
      <c r="E44" s="149">
        <v>189</v>
      </c>
      <c r="F44" s="89" t="s">
        <v>136</v>
      </c>
      <c r="G44" s="45" t="str">
        <f t="shared" si="31"/>
        <v>MESUS303-4x3-H9A10</v>
      </c>
      <c r="H44" s="46" t="str">
        <f t="shared" si="32"/>
        <v>SUS303ME40DH9</v>
      </c>
      <c r="I44" s="46" t="str">
        <f t="shared" si="33"/>
        <v>SUS303ME40DH93A10</v>
      </c>
      <c r="J44" s="90" t="s">
        <v>226</v>
      </c>
      <c r="K44" s="90" t="s">
        <v>227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246</v>
      </c>
      <c r="S44" s="89">
        <f t="shared" si="34"/>
        <v>34</v>
      </c>
      <c r="T44" s="51">
        <v>0</v>
      </c>
      <c r="U44" s="146">
        <v>15</v>
      </c>
      <c r="V44" s="100">
        <v>0.41</v>
      </c>
      <c r="W44" s="151">
        <f t="shared" si="5"/>
        <v>0</v>
      </c>
      <c r="X44" s="151">
        <f t="shared" si="6"/>
        <v>2668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143</v>
      </c>
      <c r="AE44" s="151">
        <f>IF(V44="","",SUM(W44:AC44))</f>
        <v>2668</v>
      </c>
      <c r="AF44" s="54">
        <f>AE44</f>
        <v>2668</v>
      </c>
      <c r="AG44" s="94">
        <f t="shared" si="66"/>
        <v>0</v>
      </c>
      <c r="AH44" s="56">
        <f t="shared" si="13"/>
        <v>0</v>
      </c>
      <c r="AI44" s="151">
        <v>5</v>
      </c>
      <c r="AJ44" s="93">
        <f t="shared" si="67"/>
        <v>0</v>
      </c>
      <c r="AK44" s="95">
        <f t="shared" si="36"/>
        <v>1</v>
      </c>
      <c r="AL44" s="58">
        <f t="shared" si="37"/>
        <v>5</v>
      </c>
      <c r="AM44" s="55">
        <f t="shared" si="68"/>
        <v>10</v>
      </c>
      <c r="AN44" s="151"/>
      <c r="AO44" s="145"/>
      <c r="AP44" s="145">
        <f>$CJ44</f>
        <v>414</v>
      </c>
      <c r="AQ44" s="145"/>
      <c r="AR44" s="145"/>
      <c r="AS44" s="145"/>
      <c r="AT44" s="145"/>
      <c r="AU44" s="145">
        <f t="shared" si="38"/>
        <v>0</v>
      </c>
      <c r="AV44" s="145">
        <f t="shared" si="38"/>
        <v>0</v>
      </c>
      <c r="AW44" s="145">
        <f t="shared" si="39"/>
        <v>414</v>
      </c>
      <c r="AX44" s="145">
        <f t="shared" si="40"/>
        <v>1009</v>
      </c>
      <c r="AY44" s="94">
        <f t="shared" si="69"/>
        <v>26.550000000000011</v>
      </c>
      <c r="AZ44" s="94">
        <f t="shared" si="41"/>
        <v>64.756097560975647</v>
      </c>
      <c r="BA44" s="94">
        <f t="shared" si="42"/>
        <v>10</v>
      </c>
      <c r="BB44" s="97">
        <f t="shared" si="43"/>
        <v>0</v>
      </c>
      <c r="BC44" s="151">
        <v>10</v>
      </c>
      <c r="BD44" s="93">
        <f t="shared" si="44"/>
        <v>0</v>
      </c>
      <c r="BE44" s="152">
        <f t="shared" si="45"/>
        <v>1</v>
      </c>
      <c r="BF44" s="58">
        <f t="shared" si="46"/>
        <v>10</v>
      </c>
      <c r="BG44" s="94">
        <f t="shared" si="47"/>
        <v>0</v>
      </c>
      <c r="BH44" s="150"/>
      <c r="BI44" s="150"/>
      <c r="BJ44" s="146">
        <f>$CN44</f>
        <v>680</v>
      </c>
      <c r="BK44" s="150"/>
      <c r="BL44" s="150"/>
      <c r="BM44" s="146"/>
      <c r="BN44" s="146"/>
      <c r="BO44" s="146">
        <f t="shared" si="70"/>
        <v>0</v>
      </c>
      <c r="BP44" s="146">
        <f t="shared" si="70"/>
        <v>59</v>
      </c>
      <c r="BQ44" s="145">
        <f>SUM(BI44:BP44)</f>
        <v>739</v>
      </c>
      <c r="BR44" s="145">
        <f>IF(AA44="","",INT(BQ44/$V44))</f>
        <v>1802</v>
      </c>
      <c r="BS44" s="96">
        <f t="shared" si="71"/>
        <v>-35.899999999999977</v>
      </c>
      <c r="BT44" s="145">
        <f t="shared" si="50"/>
        <v>-87.560975609756042</v>
      </c>
      <c r="BU44" s="146">
        <f t="shared" si="16"/>
        <v>2668</v>
      </c>
      <c r="BV44" s="98">
        <f t="shared" si="17"/>
        <v>15</v>
      </c>
      <c r="BW44" s="146">
        <f t="shared" si="18"/>
        <v>-22.804878048780395</v>
      </c>
      <c r="BX44" s="153">
        <f t="shared" si="51"/>
        <v>4.4399999999999995</v>
      </c>
      <c r="BY44" s="61">
        <f>IFERROR(BF44+AL44,0)</f>
        <v>15</v>
      </c>
      <c r="BZ44" s="62">
        <f t="shared" si="52"/>
        <v>15</v>
      </c>
      <c r="CA44" s="98">
        <f t="shared" si="53"/>
        <v>1.153</v>
      </c>
      <c r="CB44" s="146">
        <f t="shared" si="99"/>
        <v>2811</v>
      </c>
      <c r="CC44" s="146">
        <f t="shared" si="99"/>
        <v>-9.3499999999999659</v>
      </c>
      <c r="CD44" s="146">
        <f t="shared" si="99"/>
        <v>-22.804878048780395</v>
      </c>
      <c r="CE44" s="99"/>
      <c r="CF44" s="99"/>
      <c r="CG44" s="51">
        <f t="shared" si="54"/>
        <v>3.3459999999999996</v>
      </c>
      <c r="CH44" s="62">
        <f t="shared" si="55"/>
        <v>3.3459999999999996</v>
      </c>
      <c r="CI44" s="150"/>
      <c r="CJ44" s="150">
        <v>414</v>
      </c>
      <c r="CK44" s="150"/>
      <c r="CL44" s="145"/>
      <c r="CM44" s="150"/>
      <c r="CN44" s="150">
        <v>680</v>
      </c>
      <c r="CO44" s="146"/>
      <c r="CP44" s="154">
        <v>59</v>
      </c>
      <c r="CQ44" s="102">
        <f t="shared" si="102"/>
        <v>1009</v>
      </c>
      <c r="CR44" s="102">
        <f t="shared" si="102"/>
        <v>0</v>
      </c>
      <c r="CS44" s="102">
        <f t="shared" si="102"/>
        <v>0</v>
      </c>
      <c r="CT44" s="92">
        <f t="shared" si="57"/>
        <v>1659</v>
      </c>
      <c r="CU44" s="92">
        <f t="shared" si="103"/>
        <v>0</v>
      </c>
      <c r="CV44" s="103">
        <f t="shared" si="103"/>
        <v>143</v>
      </c>
      <c r="CW44" s="155" t="s">
        <v>147</v>
      </c>
      <c r="CX44" s="156">
        <v>12</v>
      </c>
      <c r="CY44" s="157">
        <f t="shared" si="59"/>
        <v>3300</v>
      </c>
      <c r="CZ44" s="157">
        <f t="shared" si="60"/>
        <v>48.6</v>
      </c>
      <c r="DA44" s="157"/>
      <c r="DB44" s="157"/>
      <c r="DC44" s="156"/>
      <c r="DD44" s="158"/>
      <c r="DE44" s="92">
        <f t="shared" si="21"/>
        <v>1009</v>
      </c>
      <c r="DF44" s="108">
        <f t="shared" si="22"/>
        <v>5</v>
      </c>
      <c r="DG44" s="112">
        <f t="shared" si="23"/>
        <v>64.756097560975647</v>
      </c>
      <c r="DH44" s="110">
        <f t="shared" si="24"/>
        <v>1659</v>
      </c>
      <c r="DI44" s="108">
        <f t="shared" si="25"/>
        <v>10</v>
      </c>
      <c r="DJ44" s="112">
        <f t="shared" si="26"/>
        <v>-87.560975609756042</v>
      </c>
      <c r="DK44" s="110">
        <f t="shared" si="86"/>
        <v>2668</v>
      </c>
      <c r="DL44" s="108">
        <f t="shared" si="86"/>
        <v>15</v>
      </c>
      <c r="DM44" s="111">
        <f t="shared" si="86"/>
        <v>-22.804878048780395</v>
      </c>
      <c r="DN44" s="76">
        <f t="shared" si="89"/>
        <v>0</v>
      </c>
      <c r="DO44" s="76">
        <f t="shared" si="90"/>
        <v>15</v>
      </c>
      <c r="DP44" s="112"/>
      <c r="DQ44" s="112"/>
      <c r="DR44" s="113" t="s">
        <v>441</v>
      </c>
      <c r="DS44" s="112"/>
      <c r="DT44" s="112"/>
      <c r="DU44" s="111"/>
      <c r="DV44" s="114"/>
      <c r="DW44" s="80">
        <f>IFERROR(AL44+BF44,"")</f>
        <v>15</v>
      </c>
      <c r="DX44" s="159">
        <f t="shared" si="29"/>
        <v>2660.1951219512198</v>
      </c>
      <c r="DY44" s="80">
        <f t="shared" si="62"/>
        <v>2811</v>
      </c>
      <c r="DZ44" s="82">
        <f t="shared" si="63"/>
        <v>5.8629999999999995E-2</v>
      </c>
      <c r="EA44" s="82">
        <f t="shared" si="64"/>
        <v>1.09388</v>
      </c>
      <c r="EB44" s="82">
        <f t="shared" si="65"/>
        <v>3.3461199999999995</v>
      </c>
      <c r="EC44" s="82">
        <f t="shared" si="75"/>
        <v>3.4047499999999995</v>
      </c>
      <c r="EF44" s="83">
        <f t="shared" si="93"/>
        <v>-22.804878048780395</v>
      </c>
    </row>
    <row r="45" spans="1:136" ht="14.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1"/>
        <v>IBC3604-6.2x3-H9A14</v>
      </c>
      <c r="H45" s="46" t="str">
        <f t="shared" si="32"/>
        <v>C3604IB6.20DH9</v>
      </c>
      <c r="I45" s="46" t="str">
        <f t="shared" si="33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4"/>
        <v>54</v>
      </c>
      <c r="T45" s="51">
        <f>'04.02'!BG45</f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5"/>
        <v>0</v>
      </c>
      <c r="AF45" s="54">
        <f>AE45+'04.02'!AF45</f>
        <v>0</v>
      </c>
      <c r="AG45" s="94">
        <f t="shared" si="66"/>
        <v>0</v>
      </c>
      <c r="AH45" s="56">
        <f t="shared" si="13"/>
        <v>0</v>
      </c>
      <c r="AI45" s="93"/>
      <c r="AJ45" s="93">
        <f t="shared" si="67"/>
        <v>0</v>
      </c>
      <c r="AK45" s="95">
        <f t="shared" si="36"/>
        <v>1</v>
      </c>
      <c r="AL45" s="58">
        <f t="shared" si="37"/>
        <v>0</v>
      </c>
      <c r="AM45" s="55">
        <f t="shared" si="68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8"/>
        <v>0</v>
      </c>
      <c r="AV45" s="96">
        <f t="shared" si="38"/>
        <v>0</v>
      </c>
      <c r="AW45" s="96">
        <f t="shared" si="39"/>
        <v>0</v>
      </c>
      <c r="AX45" s="96">
        <f t="shared" si="40"/>
        <v>0</v>
      </c>
      <c r="AY45" s="94">
        <f t="shared" si="69"/>
        <v>0</v>
      </c>
      <c r="AZ45" s="94">
        <f t="shared" si="41"/>
        <v>0</v>
      </c>
      <c r="BA45" s="94">
        <f t="shared" si="42"/>
        <v>0</v>
      </c>
      <c r="BB45" s="97">
        <f t="shared" si="43"/>
        <v>0</v>
      </c>
      <c r="BC45" s="93"/>
      <c r="BD45" s="93">
        <f t="shared" si="44"/>
        <v>0</v>
      </c>
      <c r="BE45" s="95">
        <f t="shared" si="45"/>
        <v>1</v>
      </c>
      <c r="BF45" s="58">
        <f t="shared" si="46"/>
        <v>0</v>
      </c>
      <c r="BG45" s="94">
        <f t="shared" si="47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0"/>
        <v>0</v>
      </c>
      <c r="BP45" s="92">
        <f t="shared" si="70"/>
        <v>0</v>
      </c>
      <c r="BQ45" s="96">
        <f t="shared" si="48"/>
        <v>0</v>
      </c>
      <c r="BR45" s="96">
        <f t="shared" si="49"/>
        <v>0</v>
      </c>
      <c r="BS45" s="96">
        <f t="shared" si="71"/>
        <v>0</v>
      </c>
      <c r="BT45" s="96">
        <f t="shared" si="50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1"/>
        <v>0</v>
      </c>
      <c r="BY45" s="61">
        <f t="shared" si="73"/>
        <v>0</v>
      </c>
      <c r="BZ45" s="62">
        <f t="shared" si="52"/>
        <v>0</v>
      </c>
      <c r="CA45" s="98">
        <f t="shared" si="53"/>
        <v>0</v>
      </c>
      <c r="CB45" s="92">
        <f t="shared" si="99"/>
        <v>0</v>
      </c>
      <c r="CC45" s="92">
        <f t="shared" si="99"/>
        <v>0</v>
      </c>
      <c r="CD45" s="92">
        <f t="shared" si="99"/>
        <v>0</v>
      </c>
      <c r="CE45" s="99"/>
      <c r="CF45" s="99"/>
      <c r="CG45" s="51">
        <f t="shared" si="54"/>
        <v>0</v>
      </c>
      <c r="CH45" s="62">
        <f t="shared" si="55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102"/>
        <v>0</v>
      </c>
      <c r="CR45" s="102">
        <f t="shared" si="102"/>
        <v>0</v>
      </c>
      <c r="CS45" s="102">
        <f t="shared" si="102"/>
        <v>0</v>
      </c>
      <c r="CT45" s="92">
        <f t="shared" si="57"/>
        <v>0</v>
      </c>
      <c r="CU45" s="92">
        <f t="shared" si="103"/>
        <v>0</v>
      </c>
      <c r="CV45" s="103">
        <f t="shared" si="103"/>
        <v>0</v>
      </c>
      <c r="CW45" s="104" t="s">
        <v>147</v>
      </c>
      <c r="CX45" s="105">
        <v>15</v>
      </c>
      <c r="CY45" s="106">
        <f t="shared" si="59"/>
        <v>2496</v>
      </c>
      <c r="CZ45" s="106">
        <f t="shared" si="60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6"/>
        <v>0</v>
      </c>
      <c r="DL45" s="108">
        <f t="shared" si="86"/>
        <v>0</v>
      </c>
      <c r="DM45" s="111">
        <f t="shared" si="86"/>
        <v>0</v>
      </c>
      <c r="DN45" s="76">
        <f t="shared" si="89"/>
        <v>0</v>
      </c>
      <c r="DO45" s="76">
        <f t="shared" si="90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1"/>
        <v>0</v>
      </c>
      <c r="DX45" s="81">
        <f t="shared" si="29"/>
        <v>0</v>
      </c>
      <c r="DY45" s="80">
        <f t="shared" si="62"/>
        <v>0</v>
      </c>
      <c r="DZ45" s="82">
        <f t="shared" si="63"/>
        <v>0</v>
      </c>
      <c r="EA45" s="82">
        <f t="shared" si="64"/>
        <v>0</v>
      </c>
      <c r="EB45" s="82">
        <f t="shared" si="65"/>
        <v>0</v>
      </c>
      <c r="EC45" s="82">
        <f t="shared" si="75"/>
        <v>0</v>
      </c>
      <c r="EF45" s="83">
        <f t="shared" si="93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1"/>
        <v>TV12L14-4.76x2.5-H9B14</v>
      </c>
      <c r="H46" s="46" t="str">
        <f t="shared" si="32"/>
        <v>12L14TV4.760DH9</v>
      </c>
      <c r="I46" s="46" t="str">
        <f t="shared" si="33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4"/>
        <v>44</v>
      </c>
      <c r="T46" s="51">
        <f>'04.02'!BG46</f>
        <v>22</v>
      </c>
      <c r="U46" s="92">
        <v>48</v>
      </c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3070</v>
      </c>
      <c r="AB46" s="93">
        <f t="shared" si="10"/>
        <v>0</v>
      </c>
      <c r="AC46" s="93">
        <f t="shared" si="11"/>
        <v>0</v>
      </c>
      <c r="AD46" s="93">
        <f t="shared" si="12"/>
        <v>114</v>
      </c>
      <c r="AE46" s="93">
        <f t="shared" si="35"/>
        <v>3070</v>
      </c>
      <c r="AF46" s="54">
        <f>AE46+'04.02'!AF46</f>
        <v>15213</v>
      </c>
      <c r="AG46" s="94">
        <f t="shared" si="66"/>
        <v>22</v>
      </c>
      <c r="AH46" s="56">
        <f t="shared" si="13"/>
        <v>0</v>
      </c>
      <c r="AI46" s="93">
        <v>17</v>
      </c>
      <c r="AJ46" s="93">
        <f t="shared" si="67"/>
        <v>0</v>
      </c>
      <c r="AK46" s="95">
        <f t="shared" si="36"/>
        <v>1</v>
      </c>
      <c r="AL46" s="58">
        <f t="shared" si="37"/>
        <v>17</v>
      </c>
      <c r="AM46" s="55">
        <f t="shared" si="68"/>
        <v>53</v>
      </c>
      <c r="AN46" s="93"/>
      <c r="AO46" s="96"/>
      <c r="AP46" s="96"/>
      <c r="AQ46" s="96"/>
      <c r="AR46" s="96"/>
      <c r="AS46" s="96">
        <f>$CJ46</f>
        <v>3113</v>
      </c>
      <c r="AT46" s="96"/>
      <c r="AU46" s="96">
        <f t="shared" si="38"/>
        <v>0</v>
      </c>
      <c r="AV46" s="96">
        <f t="shared" si="38"/>
        <v>146</v>
      </c>
      <c r="AW46" s="96">
        <f t="shared" si="39"/>
        <v>3259</v>
      </c>
      <c r="AX46" s="96">
        <f t="shared" si="40"/>
        <v>1448</v>
      </c>
      <c r="AY46" s="94">
        <f t="shared" si="69"/>
        <v>-107</v>
      </c>
      <c r="AZ46" s="94">
        <f t="shared" si="41"/>
        <v>-47.555555555555557</v>
      </c>
      <c r="BA46" s="94">
        <f t="shared" si="42"/>
        <v>53</v>
      </c>
      <c r="BB46" s="97">
        <f t="shared" si="43"/>
        <v>0</v>
      </c>
      <c r="BC46" s="93">
        <v>20</v>
      </c>
      <c r="BD46" s="93">
        <f t="shared" si="44"/>
        <v>0</v>
      </c>
      <c r="BE46" s="95">
        <f t="shared" si="45"/>
        <v>1</v>
      </c>
      <c r="BF46" s="58">
        <f t="shared" si="46"/>
        <v>20</v>
      </c>
      <c r="BG46" s="94">
        <f t="shared" si="47"/>
        <v>33</v>
      </c>
      <c r="BH46" s="89"/>
      <c r="BI46" s="89"/>
      <c r="BJ46" s="89"/>
      <c r="BK46" s="89"/>
      <c r="BL46" s="89"/>
      <c r="BM46" s="92">
        <f>$CN46</f>
        <v>3796</v>
      </c>
      <c r="BN46" s="89"/>
      <c r="BO46" s="92">
        <f t="shared" si="70"/>
        <v>0</v>
      </c>
      <c r="BP46" s="92">
        <f t="shared" si="70"/>
        <v>112</v>
      </c>
      <c r="BQ46" s="96">
        <f t="shared" si="48"/>
        <v>3908</v>
      </c>
      <c r="BR46" s="96">
        <f t="shared" si="49"/>
        <v>1736</v>
      </c>
      <c r="BS46" s="96">
        <f t="shared" si="71"/>
        <v>-52</v>
      </c>
      <c r="BT46" s="96">
        <f t="shared" si="50"/>
        <v>-23.111111111111111</v>
      </c>
      <c r="BU46" s="92">
        <f t="shared" si="16"/>
        <v>3070</v>
      </c>
      <c r="BV46" s="98">
        <f t="shared" si="17"/>
        <v>37</v>
      </c>
      <c r="BW46" s="92">
        <f t="shared" si="18"/>
        <v>-70.666666666666671</v>
      </c>
      <c r="BX46" s="98">
        <f t="shared" si="51"/>
        <v>12.838999999999999</v>
      </c>
      <c r="BY46" s="61">
        <f t="shared" si="73"/>
        <v>37</v>
      </c>
      <c r="BZ46" s="62">
        <f t="shared" si="52"/>
        <v>37</v>
      </c>
      <c r="CA46" s="98">
        <f t="shared" si="53"/>
        <v>7.1669999999999998</v>
      </c>
      <c r="CB46" s="92">
        <f t="shared" si="99"/>
        <v>3184</v>
      </c>
      <c r="CC46" s="92">
        <f t="shared" si="99"/>
        <v>-159</v>
      </c>
      <c r="CD46" s="92">
        <f t="shared" si="99"/>
        <v>-70.666666666666671</v>
      </c>
      <c r="CE46" s="99"/>
      <c r="CF46" s="99"/>
      <c r="CG46" s="51">
        <f t="shared" si="54"/>
        <v>5.9299999999999988</v>
      </c>
      <c r="CH46" s="62">
        <f t="shared" si="55"/>
        <v>5.9299999999999988</v>
      </c>
      <c r="CI46" s="89"/>
      <c r="CJ46" s="89">
        <v>3113</v>
      </c>
      <c r="CK46" s="89"/>
      <c r="CL46" s="96">
        <v>146</v>
      </c>
      <c r="CM46" s="89"/>
      <c r="CN46" s="89">
        <v>3796</v>
      </c>
      <c r="CO46" s="92"/>
      <c r="CP46" s="101">
        <v>112</v>
      </c>
      <c r="CQ46" s="102">
        <f t="shared" si="102"/>
        <v>1383</v>
      </c>
      <c r="CR46" s="102">
        <f t="shared" si="102"/>
        <v>0</v>
      </c>
      <c r="CS46" s="102">
        <f t="shared" si="102"/>
        <v>64</v>
      </c>
      <c r="CT46" s="92">
        <f t="shared" si="57"/>
        <v>1687</v>
      </c>
      <c r="CU46" s="92">
        <f t="shared" si="103"/>
        <v>0</v>
      </c>
      <c r="CV46" s="103">
        <f t="shared" si="103"/>
        <v>50</v>
      </c>
      <c r="CW46" s="104" t="s">
        <v>147</v>
      </c>
      <c r="CX46" s="105">
        <v>20</v>
      </c>
      <c r="CY46" s="106">
        <f t="shared" si="59"/>
        <v>1935</v>
      </c>
      <c r="CZ46" s="106">
        <f t="shared" si="60"/>
        <v>81</v>
      </c>
      <c r="DA46" s="106"/>
      <c r="DB46" s="106"/>
      <c r="DC46" s="105"/>
      <c r="DD46" s="107"/>
      <c r="DE46" s="92">
        <f t="shared" si="21"/>
        <v>1383</v>
      </c>
      <c r="DF46" s="108">
        <f t="shared" si="22"/>
        <v>17</v>
      </c>
      <c r="DG46" s="112">
        <f t="shared" si="23"/>
        <v>-47.555555555555557</v>
      </c>
      <c r="DH46" s="110">
        <f t="shared" si="24"/>
        <v>1687</v>
      </c>
      <c r="DI46" s="108">
        <f t="shared" si="25"/>
        <v>20</v>
      </c>
      <c r="DJ46" s="112">
        <f t="shared" si="26"/>
        <v>-23.111111111111111</v>
      </c>
      <c r="DK46" s="110">
        <f t="shared" si="86"/>
        <v>3070</v>
      </c>
      <c r="DL46" s="108">
        <f t="shared" si="86"/>
        <v>37</v>
      </c>
      <c r="DM46" s="111">
        <f t="shared" si="86"/>
        <v>-70.666666666666671</v>
      </c>
      <c r="DN46" s="76">
        <f t="shared" si="89"/>
        <v>22</v>
      </c>
      <c r="DO46" s="76">
        <f t="shared" si="90"/>
        <v>48</v>
      </c>
      <c r="DP46" s="112"/>
      <c r="DQ46" s="112"/>
      <c r="DR46" s="113" t="s">
        <v>442</v>
      </c>
      <c r="DS46" s="112"/>
      <c r="DT46" s="112"/>
      <c r="DU46" s="111"/>
      <c r="DV46" s="114"/>
      <c r="DW46" s="80">
        <f>IFERROR(AL46+BF46,"")</f>
        <v>37</v>
      </c>
      <c r="DX46" s="81">
        <f t="shared" si="29"/>
        <v>3036.3333333333335</v>
      </c>
      <c r="DY46" s="80">
        <f t="shared" si="62"/>
        <v>3184</v>
      </c>
      <c r="DZ46" s="82">
        <f t="shared" si="63"/>
        <v>0.25650000000000001</v>
      </c>
      <c r="EA46" s="82">
        <f t="shared" si="64"/>
        <v>6.9074999999999998</v>
      </c>
      <c r="EB46" s="82">
        <f t="shared" si="65"/>
        <v>5.9314999999999989</v>
      </c>
      <c r="EC46" s="82">
        <f t="shared" si="75"/>
        <v>6.1879999999999988</v>
      </c>
      <c r="EF46" s="83">
        <f t="shared" si="93"/>
        <v>-70.666666666666671</v>
      </c>
    </row>
    <row r="47" spans="1:136" ht="14.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1"/>
        <v>MESUS303-2.5x3-H9B14</v>
      </c>
      <c r="H47" s="46" t="str">
        <f t="shared" si="32"/>
        <v>SUS303ME2.50DH9</v>
      </c>
      <c r="I47" s="46" t="str">
        <f t="shared" si="33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4"/>
        <v>62</v>
      </c>
      <c r="T47" s="51">
        <f>'04.02'!BG47</f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5"/>
        <v>0</v>
      </c>
      <c r="AF47" s="54">
        <f>AE47+'04.02'!AF47</f>
        <v>0</v>
      </c>
      <c r="AG47" s="94">
        <f t="shared" si="66"/>
        <v>0</v>
      </c>
      <c r="AH47" s="56">
        <f t="shared" si="13"/>
        <v>0</v>
      </c>
      <c r="AI47" s="93"/>
      <c r="AJ47" s="93">
        <f t="shared" si="67"/>
        <v>0</v>
      </c>
      <c r="AK47" s="95">
        <f t="shared" si="36"/>
        <v>1</v>
      </c>
      <c r="AL47" s="58">
        <f t="shared" si="37"/>
        <v>0</v>
      </c>
      <c r="AM47" s="55">
        <f t="shared" si="68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8"/>
        <v>0</v>
      </c>
      <c r="AV47" s="96">
        <f t="shared" si="38"/>
        <v>0</v>
      </c>
      <c r="AW47" s="96">
        <f t="shared" si="39"/>
        <v>0</v>
      </c>
      <c r="AX47" s="96">
        <f t="shared" si="40"/>
        <v>0</v>
      </c>
      <c r="AY47" s="94">
        <f t="shared" si="69"/>
        <v>0</v>
      </c>
      <c r="AZ47" s="94">
        <f t="shared" si="41"/>
        <v>0</v>
      </c>
      <c r="BA47" s="94">
        <f t="shared" si="42"/>
        <v>0</v>
      </c>
      <c r="BB47" s="97">
        <f t="shared" si="43"/>
        <v>0</v>
      </c>
      <c r="BC47" s="93"/>
      <c r="BD47" s="93">
        <f t="shared" si="44"/>
        <v>0</v>
      </c>
      <c r="BE47" s="95">
        <f t="shared" si="45"/>
        <v>1</v>
      </c>
      <c r="BF47" s="58">
        <f t="shared" si="46"/>
        <v>0</v>
      </c>
      <c r="BG47" s="94">
        <f t="shared" si="47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0"/>
        <v>0</v>
      </c>
      <c r="BP47" s="92">
        <f t="shared" si="70"/>
        <v>0</v>
      </c>
      <c r="BQ47" s="96">
        <f t="shared" si="48"/>
        <v>0</v>
      </c>
      <c r="BR47" s="96">
        <f t="shared" si="49"/>
        <v>0</v>
      </c>
      <c r="BS47" s="96">
        <f t="shared" si="71"/>
        <v>0</v>
      </c>
      <c r="BT47" s="96">
        <f t="shared" si="50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1"/>
        <v>0</v>
      </c>
      <c r="BY47" s="61">
        <f t="shared" si="73"/>
        <v>0</v>
      </c>
      <c r="BZ47" s="62">
        <f t="shared" si="52"/>
        <v>0</v>
      </c>
      <c r="CA47" s="98">
        <f t="shared" si="53"/>
        <v>0</v>
      </c>
      <c r="CB47" s="92">
        <f t="shared" si="99"/>
        <v>0</v>
      </c>
      <c r="CC47" s="92">
        <f t="shared" si="99"/>
        <v>0</v>
      </c>
      <c r="CD47" s="92">
        <f t="shared" si="99"/>
        <v>0</v>
      </c>
      <c r="CE47" s="99"/>
      <c r="CF47" s="99"/>
      <c r="CG47" s="51">
        <f t="shared" si="54"/>
        <v>0</v>
      </c>
      <c r="CH47" s="62">
        <f t="shared" si="55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102"/>
        <v>0</v>
      </c>
      <c r="CR47" s="102">
        <f t="shared" si="102"/>
        <v>0</v>
      </c>
      <c r="CS47" s="102">
        <f t="shared" si="102"/>
        <v>0</v>
      </c>
      <c r="CT47" s="92">
        <f t="shared" si="57"/>
        <v>0</v>
      </c>
      <c r="CU47" s="92">
        <f t="shared" si="103"/>
        <v>0</v>
      </c>
      <c r="CV47" s="103">
        <f t="shared" si="103"/>
        <v>0</v>
      </c>
      <c r="CW47" s="104" t="s">
        <v>147</v>
      </c>
      <c r="CX47" s="105">
        <v>17</v>
      </c>
      <c r="CY47" s="106">
        <f t="shared" si="59"/>
        <v>2149</v>
      </c>
      <c r="CZ47" s="106">
        <f t="shared" si="60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6"/>
        <v>0</v>
      </c>
      <c r="DL47" s="108">
        <f t="shared" si="86"/>
        <v>0</v>
      </c>
      <c r="DM47" s="111">
        <f t="shared" si="86"/>
        <v>0</v>
      </c>
      <c r="DN47" s="76">
        <f t="shared" si="89"/>
        <v>0</v>
      </c>
      <c r="DO47" s="76">
        <f t="shared" si="90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1"/>
        <v>0</v>
      </c>
      <c r="DX47" s="81">
        <f t="shared" si="29"/>
        <v>0</v>
      </c>
      <c r="DY47" s="80">
        <f t="shared" si="62"/>
        <v>0</v>
      </c>
      <c r="DZ47" s="82">
        <f t="shared" si="63"/>
        <v>0</v>
      </c>
      <c r="EA47" s="82">
        <f t="shared" si="64"/>
        <v>0</v>
      </c>
      <c r="EB47" s="82">
        <f t="shared" si="65"/>
        <v>0</v>
      </c>
      <c r="EC47" s="82">
        <f t="shared" si="75"/>
        <v>0</v>
      </c>
      <c r="EF47" s="83">
        <f t="shared" si="93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1"/>
        <v>TV12L14-3.975x2.5-H7A12</v>
      </c>
      <c r="H48" s="46" t="str">
        <f t="shared" si="32"/>
        <v>12L14TV3.9750DH7</v>
      </c>
      <c r="I48" s="46" t="str">
        <f t="shared" si="33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4"/>
        <v>16</v>
      </c>
      <c r="T48" s="51">
        <f>'04.02'!BG48</f>
        <v>24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5"/>
        <v>0</v>
      </c>
      <c r="AF48" s="54">
        <f>AE48+'04.02'!AF48</f>
        <v>0</v>
      </c>
      <c r="AG48" s="94">
        <f t="shared" si="66"/>
        <v>24</v>
      </c>
      <c r="AH48" s="56">
        <f t="shared" si="13"/>
        <v>0</v>
      </c>
      <c r="AI48" s="93"/>
      <c r="AJ48" s="93">
        <f t="shared" si="67"/>
        <v>0</v>
      </c>
      <c r="AK48" s="95">
        <f t="shared" si="36"/>
        <v>1</v>
      </c>
      <c r="AL48" s="58">
        <f t="shared" si="37"/>
        <v>0</v>
      </c>
      <c r="AM48" s="55">
        <f t="shared" si="68"/>
        <v>24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8"/>
        <v>0</v>
      </c>
      <c r="AV48" s="96">
        <f t="shared" si="38"/>
        <v>0</v>
      </c>
      <c r="AW48" s="96">
        <f t="shared" si="39"/>
        <v>0</v>
      </c>
      <c r="AX48" s="96">
        <f t="shared" si="40"/>
        <v>0</v>
      </c>
      <c r="AY48" s="94">
        <f t="shared" si="69"/>
        <v>0</v>
      </c>
      <c r="AZ48" s="94">
        <f t="shared" si="41"/>
        <v>0</v>
      </c>
      <c r="BA48" s="94">
        <f t="shared" si="42"/>
        <v>24</v>
      </c>
      <c r="BB48" s="97">
        <f t="shared" si="43"/>
        <v>0</v>
      </c>
      <c r="BC48" s="93"/>
      <c r="BD48" s="93">
        <f t="shared" si="44"/>
        <v>0</v>
      </c>
      <c r="BE48" s="95">
        <f t="shared" si="45"/>
        <v>1</v>
      </c>
      <c r="BF48" s="58">
        <f t="shared" si="46"/>
        <v>0</v>
      </c>
      <c r="BG48" s="94">
        <f t="shared" si="47"/>
        <v>24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0"/>
        <v>0</v>
      </c>
      <c r="BP48" s="92">
        <f t="shared" si="70"/>
        <v>0</v>
      </c>
      <c r="BQ48" s="96">
        <f t="shared" si="48"/>
        <v>0</v>
      </c>
      <c r="BR48" s="96">
        <f t="shared" si="49"/>
        <v>0</v>
      </c>
      <c r="BS48" s="96">
        <f t="shared" si="71"/>
        <v>0</v>
      </c>
      <c r="BT48" s="96">
        <f t="shared" si="50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1"/>
        <v>0</v>
      </c>
      <c r="BY48" s="61">
        <f t="shared" si="73"/>
        <v>0</v>
      </c>
      <c r="BZ48" s="62">
        <f t="shared" si="52"/>
        <v>0</v>
      </c>
      <c r="CA48" s="98">
        <f t="shared" si="53"/>
        <v>0</v>
      </c>
      <c r="CB48" s="92">
        <f t="shared" si="99"/>
        <v>0</v>
      </c>
      <c r="CC48" s="92">
        <f t="shared" si="99"/>
        <v>0</v>
      </c>
      <c r="CD48" s="92">
        <f t="shared" si="99"/>
        <v>0</v>
      </c>
      <c r="CE48" s="99"/>
      <c r="CF48" s="99"/>
      <c r="CG48" s="51">
        <f t="shared" si="54"/>
        <v>0</v>
      </c>
      <c r="CH48" s="62">
        <f t="shared" si="55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102"/>
        <v>0</v>
      </c>
      <c r="CR48" s="102">
        <f t="shared" si="102"/>
        <v>0</v>
      </c>
      <c r="CS48" s="102">
        <f t="shared" si="102"/>
        <v>0</v>
      </c>
      <c r="CT48" s="92">
        <f t="shared" si="57"/>
        <v>0</v>
      </c>
      <c r="CU48" s="92">
        <f t="shared" si="103"/>
        <v>0</v>
      </c>
      <c r="CV48" s="103">
        <f t="shared" si="103"/>
        <v>0</v>
      </c>
      <c r="CW48" s="104" t="s">
        <v>147</v>
      </c>
      <c r="CX48" s="105">
        <v>21</v>
      </c>
      <c r="CY48" s="106">
        <f t="shared" si="59"/>
        <v>1988</v>
      </c>
      <c r="CZ48" s="106">
        <f t="shared" si="60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6"/>
        <v>0</v>
      </c>
      <c r="DL48" s="108">
        <f t="shared" si="86"/>
        <v>0</v>
      </c>
      <c r="DM48" s="111">
        <f t="shared" si="86"/>
        <v>0</v>
      </c>
      <c r="DN48" s="76">
        <f t="shared" si="89"/>
        <v>24</v>
      </c>
      <c r="DO48" s="76">
        <f t="shared" si="90"/>
        <v>0</v>
      </c>
      <c r="DP48" s="112"/>
      <c r="DQ48" s="112"/>
      <c r="DR48" s="113" t="s">
        <v>443</v>
      </c>
      <c r="DS48" s="112"/>
      <c r="DT48" s="112"/>
      <c r="DU48" s="111"/>
      <c r="DV48" s="114"/>
      <c r="DW48" s="80">
        <f t="shared" si="61"/>
        <v>0</v>
      </c>
      <c r="DX48" s="81">
        <f t="shared" si="29"/>
        <v>0</v>
      </c>
      <c r="DY48" s="80">
        <f t="shared" si="62"/>
        <v>0</v>
      </c>
      <c r="DZ48" s="82">
        <f t="shared" si="63"/>
        <v>0</v>
      </c>
      <c r="EA48" s="82">
        <f t="shared" si="64"/>
        <v>0</v>
      </c>
      <c r="EB48" s="82">
        <f t="shared" si="65"/>
        <v>0</v>
      </c>
      <c r="EC48" s="82">
        <f t="shared" si="75"/>
        <v>0</v>
      </c>
      <c r="EF48" s="83">
        <f t="shared" si="93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1"/>
        <v>GAA5052-5.7x3-H9A14</v>
      </c>
      <c r="H49" s="46" t="str">
        <f t="shared" si="32"/>
        <v>A5052GA5.70DH9</v>
      </c>
      <c r="I49" s="46" t="str">
        <f t="shared" si="33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4"/>
        <v>14</v>
      </c>
      <c r="T49" s="51">
        <v>13</v>
      </c>
      <c r="U49" s="92">
        <v>12</v>
      </c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2806</v>
      </c>
      <c r="AC49" s="93">
        <f t="shared" si="11"/>
        <v>0</v>
      </c>
      <c r="AD49" s="93">
        <f t="shared" si="12"/>
        <v>146</v>
      </c>
      <c r="AE49" s="93">
        <f t="shared" si="35"/>
        <v>2806</v>
      </c>
      <c r="AF49" s="54">
        <f>AE49+'04.02'!AF49</f>
        <v>10998</v>
      </c>
      <c r="AG49" s="94">
        <f t="shared" si="66"/>
        <v>13</v>
      </c>
      <c r="AH49" s="56">
        <f t="shared" si="13"/>
        <v>0</v>
      </c>
      <c r="AI49" s="93">
        <v>6</v>
      </c>
      <c r="AJ49" s="93">
        <f t="shared" si="67"/>
        <v>0</v>
      </c>
      <c r="AK49" s="95">
        <f t="shared" si="36"/>
        <v>1</v>
      </c>
      <c r="AL49" s="58">
        <f t="shared" si="37"/>
        <v>6</v>
      </c>
      <c r="AM49" s="55">
        <f t="shared" si="68"/>
        <v>19</v>
      </c>
      <c r="AN49" s="93"/>
      <c r="AO49" s="96"/>
      <c r="AP49" s="96"/>
      <c r="AQ49" s="96"/>
      <c r="AR49" s="96"/>
      <c r="AS49" s="96"/>
      <c r="AT49" s="96">
        <f>$CJ49</f>
        <v>214</v>
      </c>
      <c r="AU49" s="96">
        <f t="shared" si="38"/>
        <v>0</v>
      </c>
      <c r="AV49" s="96">
        <f t="shared" si="38"/>
        <v>5</v>
      </c>
      <c r="AW49" s="96">
        <f t="shared" si="39"/>
        <v>219</v>
      </c>
      <c r="AX49" s="96">
        <f t="shared" si="40"/>
        <v>1460</v>
      </c>
      <c r="AY49" s="94">
        <f t="shared" si="69"/>
        <v>3</v>
      </c>
      <c r="AZ49" s="94">
        <f t="shared" si="41"/>
        <v>20</v>
      </c>
      <c r="BA49" s="94">
        <f t="shared" si="42"/>
        <v>19</v>
      </c>
      <c r="BB49" s="97">
        <f t="shared" si="43"/>
        <v>0</v>
      </c>
      <c r="BC49" s="93">
        <v>7</v>
      </c>
      <c r="BD49" s="93">
        <f t="shared" si="44"/>
        <v>15</v>
      </c>
      <c r="BE49" s="95">
        <f t="shared" si="45"/>
        <v>0.41666666666666669</v>
      </c>
      <c r="BF49" s="58">
        <f t="shared" si="46"/>
        <v>6.42</v>
      </c>
      <c r="BG49" s="94">
        <f t="shared" si="47"/>
        <v>12.58</v>
      </c>
      <c r="BH49" s="89"/>
      <c r="BI49" s="89"/>
      <c r="BJ49" s="89"/>
      <c r="BK49" s="89"/>
      <c r="BL49" s="89"/>
      <c r="BM49" s="89"/>
      <c r="BN49" s="146">
        <f>$CN49</f>
        <v>207</v>
      </c>
      <c r="BO49" s="92">
        <f t="shared" si="70"/>
        <v>0</v>
      </c>
      <c r="BP49" s="92">
        <f t="shared" si="70"/>
        <v>17</v>
      </c>
      <c r="BQ49" s="96">
        <f t="shared" si="48"/>
        <v>224</v>
      </c>
      <c r="BR49" s="96">
        <f t="shared" si="49"/>
        <v>1493</v>
      </c>
      <c r="BS49" s="96">
        <f t="shared" si="71"/>
        <v>-7.1199999999999761</v>
      </c>
      <c r="BT49" s="96">
        <f t="shared" si="50"/>
        <v>-47.466666666666512</v>
      </c>
      <c r="BU49" s="92">
        <f t="shared" si="16"/>
        <v>2806</v>
      </c>
      <c r="BV49" s="98">
        <f t="shared" si="17"/>
        <v>12.42</v>
      </c>
      <c r="BW49" s="92">
        <f t="shared" si="18"/>
        <v>-27.466666666666512</v>
      </c>
      <c r="BX49" s="98">
        <f t="shared" si="51"/>
        <v>2.5336799999999999</v>
      </c>
      <c r="BY49" s="61">
        <f t="shared" si="73"/>
        <v>12.42</v>
      </c>
      <c r="BZ49" s="62">
        <f t="shared" si="52"/>
        <v>12.42</v>
      </c>
      <c r="CA49" s="98">
        <f t="shared" si="53"/>
        <v>0.443</v>
      </c>
      <c r="CB49" s="92">
        <f t="shared" si="99"/>
        <v>2953</v>
      </c>
      <c r="CC49" s="92">
        <f t="shared" si="99"/>
        <v>-4.1199999999999761</v>
      </c>
      <c r="CD49" s="92">
        <f t="shared" si="99"/>
        <v>-27.466666666666512</v>
      </c>
      <c r="CE49" s="99"/>
      <c r="CF49" s="99"/>
      <c r="CG49" s="51">
        <f t="shared" si="54"/>
        <v>2.1126799999999997</v>
      </c>
      <c r="CH49" s="62">
        <f t="shared" si="55"/>
        <v>2.1126799999999997</v>
      </c>
      <c r="CI49" s="89"/>
      <c r="CJ49" s="89">
        <v>214</v>
      </c>
      <c r="CK49" s="89"/>
      <c r="CL49" s="96">
        <v>5</v>
      </c>
      <c r="CM49" s="89">
        <v>15</v>
      </c>
      <c r="CN49" s="89">
        <v>207</v>
      </c>
      <c r="CO49" s="92"/>
      <c r="CP49" s="101">
        <v>17</v>
      </c>
      <c r="CQ49" s="102">
        <f t="shared" si="102"/>
        <v>1426</v>
      </c>
      <c r="CR49" s="102">
        <f t="shared" si="102"/>
        <v>0</v>
      </c>
      <c r="CS49" s="102">
        <f t="shared" si="102"/>
        <v>33</v>
      </c>
      <c r="CT49" s="92">
        <f t="shared" si="57"/>
        <v>1380</v>
      </c>
      <c r="CU49" s="92">
        <f t="shared" si="103"/>
        <v>0</v>
      </c>
      <c r="CV49" s="103">
        <f t="shared" si="103"/>
        <v>113</v>
      </c>
      <c r="CW49" s="104" t="s">
        <v>147</v>
      </c>
      <c r="CX49" s="105">
        <v>26</v>
      </c>
      <c r="CY49" s="106">
        <f t="shared" si="59"/>
        <v>1613</v>
      </c>
      <c r="CZ49" s="106">
        <f t="shared" si="60"/>
        <v>105.30000000000001</v>
      </c>
      <c r="DA49" s="106"/>
      <c r="DB49" s="106"/>
      <c r="DC49" s="105"/>
      <c r="DD49" s="107"/>
      <c r="DE49" s="92">
        <f t="shared" si="21"/>
        <v>1426</v>
      </c>
      <c r="DF49" s="108">
        <f t="shared" si="22"/>
        <v>6</v>
      </c>
      <c r="DG49" s="112">
        <f t="shared" si="23"/>
        <v>20</v>
      </c>
      <c r="DH49" s="110">
        <f t="shared" si="24"/>
        <v>1380</v>
      </c>
      <c r="DI49" s="108">
        <f t="shared" si="25"/>
        <v>6.42</v>
      </c>
      <c r="DJ49" s="112">
        <f t="shared" si="26"/>
        <v>-47.466666666666512</v>
      </c>
      <c r="DK49" s="110">
        <f t="shared" si="86"/>
        <v>2806</v>
      </c>
      <c r="DL49" s="108">
        <f t="shared" si="86"/>
        <v>12.42</v>
      </c>
      <c r="DM49" s="111">
        <f t="shared" si="86"/>
        <v>-27.466666666666512</v>
      </c>
      <c r="DN49" s="76">
        <f t="shared" si="89"/>
        <v>13</v>
      </c>
      <c r="DO49" s="76">
        <f t="shared" si="90"/>
        <v>12</v>
      </c>
      <c r="DP49" s="112"/>
      <c r="DQ49" s="112"/>
      <c r="DR49" s="113" t="s">
        <v>444</v>
      </c>
      <c r="DS49" s="112"/>
      <c r="DT49" s="112"/>
      <c r="DU49" s="111"/>
      <c r="DV49" s="114"/>
      <c r="DW49" s="80">
        <f t="shared" si="61"/>
        <v>2818.42</v>
      </c>
      <c r="DX49" s="81">
        <f t="shared" si="29"/>
        <v>2790.9533333333334</v>
      </c>
      <c r="DY49" s="80">
        <f t="shared" si="62"/>
        <v>2952</v>
      </c>
      <c r="DZ49" s="82">
        <f t="shared" si="63"/>
        <v>2.1899999999999999E-2</v>
      </c>
      <c r="EA49" s="82">
        <f t="shared" si="64"/>
        <v>0.4209</v>
      </c>
      <c r="EB49" s="82">
        <f t="shared" si="65"/>
        <v>2.1127799999999999</v>
      </c>
      <c r="EC49" s="82">
        <f t="shared" si="75"/>
        <v>2.1346799999999999</v>
      </c>
      <c r="EF49" s="83">
        <f t="shared" si="93"/>
        <v>-27.466666666666512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1"/>
        <v>MESUS303CU-3.5x3-H9B14</v>
      </c>
      <c r="H50" s="46" t="str">
        <f t="shared" si="32"/>
        <v>SUS303CUME3.50DH9</v>
      </c>
      <c r="I50" s="46" t="str">
        <f t="shared" si="33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4"/>
        <v>8</v>
      </c>
      <c r="T50" s="51">
        <v>15</v>
      </c>
      <c r="U50" s="92">
        <v>5</v>
      </c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4601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5"/>
        <v>4601</v>
      </c>
      <c r="AF50" s="54">
        <f>AE50+'04.02'!AF50</f>
        <v>15723</v>
      </c>
      <c r="AG50" s="94">
        <f t="shared" si="66"/>
        <v>15</v>
      </c>
      <c r="AH50" s="56">
        <f t="shared" si="13"/>
        <v>0</v>
      </c>
      <c r="AI50" s="93">
        <v>5</v>
      </c>
      <c r="AJ50" s="93">
        <f t="shared" si="67"/>
        <v>30</v>
      </c>
      <c r="AK50" s="95">
        <f t="shared" si="36"/>
        <v>0.36809815950920244</v>
      </c>
      <c r="AL50" s="58">
        <f t="shared" si="37"/>
        <v>4.37</v>
      </c>
      <c r="AM50" s="55">
        <f t="shared" si="68"/>
        <v>15.629999999999999</v>
      </c>
      <c r="AN50" s="93"/>
      <c r="AO50" s="96"/>
      <c r="AP50" s="96"/>
      <c r="AQ50" s="96"/>
      <c r="AR50" s="96">
        <f>$CJ50</f>
        <v>370</v>
      </c>
      <c r="AS50" s="96"/>
      <c r="AT50" s="96"/>
      <c r="AU50" s="96">
        <f t="shared" si="38"/>
        <v>0</v>
      </c>
      <c r="AV50" s="96">
        <f t="shared" si="38"/>
        <v>0</v>
      </c>
      <c r="AW50" s="96">
        <f t="shared" si="39"/>
        <v>370</v>
      </c>
      <c r="AX50" s="96">
        <f t="shared" si="40"/>
        <v>2269</v>
      </c>
      <c r="AY50" s="94">
        <f t="shared" si="69"/>
        <v>13.84499999999997</v>
      </c>
      <c r="AZ50" s="94">
        <f t="shared" si="41"/>
        <v>84.938650306748286</v>
      </c>
      <c r="BA50" s="94">
        <f t="shared" si="42"/>
        <v>15.629999999999999</v>
      </c>
      <c r="BB50" s="97">
        <f t="shared" si="43"/>
        <v>0.63</v>
      </c>
      <c r="BC50" s="93">
        <v>4</v>
      </c>
      <c r="BD50" s="93">
        <f t="shared" si="44"/>
        <v>0</v>
      </c>
      <c r="BE50" s="95">
        <f t="shared" si="45"/>
        <v>1</v>
      </c>
      <c r="BF50" s="58">
        <f t="shared" si="46"/>
        <v>4.63</v>
      </c>
      <c r="BG50" s="94">
        <f t="shared" si="47"/>
        <v>11</v>
      </c>
      <c r="BH50" s="89"/>
      <c r="BI50" s="89"/>
      <c r="BJ50" s="89"/>
      <c r="BK50" s="89"/>
      <c r="BL50" s="92">
        <f>$CN50</f>
        <v>380</v>
      </c>
      <c r="BM50" s="92"/>
      <c r="BN50" s="89"/>
      <c r="BO50" s="92">
        <f t="shared" si="70"/>
        <v>0</v>
      </c>
      <c r="BP50" s="92">
        <f t="shared" si="70"/>
        <v>0</v>
      </c>
      <c r="BQ50" s="96">
        <f t="shared" si="48"/>
        <v>380</v>
      </c>
      <c r="BR50" s="96">
        <f t="shared" si="49"/>
        <v>2331</v>
      </c>
      <c r="BS50" s="96">
        <f t="shared" si="71"/>
        <v>2.6549999999999727</v>
      </c>
      <c r="BT50" s="96">
        <f t="shared" si="50"/>
        <v>16.28834355828204</v>
      </c>
      <c r="BU50" s="92">
        <f t="shared" si="16"/>
        <v>4601</v>
      </c>
      <c r="BV50" s="98">
        <f t="shared" si="17"/>
        <v>9</v>
      </c>
      <c r="BW50" s="92">
        <f t="shared" si="18"/>
        <v>101.22699386503032</v>
      </c>
      <c r="BX50" s="98">
        <f t="shared" si="51"/>
        <v>2.0700000000000003</v>
      </c>
      <c r="BY50" s="61">
        <f t="shared" si="73"/>
        <v>9</v>
      </c>
      <c r="BZ50" s="62">
        <f t="shared" si="52"/>
        <v>9</v>
      </c>
      <c r="CA50" s="98">
        <f t="shared" si="53"/>
        <v>0.75</v>
      </c>
      <c r="CB50" s="92">
        <f t="shared" si="99"/>
        <v>4600</v>
      </c>
      <c r="CC50" s="92">
        <f t="shared" si="99"/>
        <v>16.499999999999943</v>
      </c>
      <c r="CD50" s="92">
        <f t="shared" si="99"/>
        <v>101.22699386503032</v>
      </c>
      <c r="CE50" s="99"/>
      <c r="CF50" s="99"/>
      <c r="CG50" s="51">
        <f t="shared" si="54"/>
        <v>1.3200000000000003</v>
      </c>
      <c r="CH50" s="62">
        <f t="shared" si="55"/>
        <v>1.3200000000000003</v>
      </c>
      <c r="CI50" s="89">
        <v>30</v>
      </c>
      <c r="CJ50" s="89">
        <v>370</v>
      </c>
      <c r="CK50" s="89"/>
      <c r="CL50" s="96"/>
      <c r="CM50" s="89"/>
      <c r="CN50" s="89">
        <v>380</v>
      </c>
      <c r="CO50" s="92"/>
      <c r="CP50" s="101"/>
      <c r="CQ50" s="102">
        <f t="shared" si="102"/>
        <v>2269</v>
      </c>
      <c r="CR50" s="102">
        <f t="shared" si="102"/>
        <v>0</v>
      </c>
      <c r="CS50" s="102">
        <f t="shared" si="102"/>
        <v>0</v>
      </c>
      <c r="CT50" s="92">
        <f t="shared" si="57"/>
        <v>2332</v>
      </c>
      <c r="CU50" s="92">
        <f t="shared" si="103"/>
        <v>0</v>
      </c>
      <c r="CV50" s="103">
        <f t="shared" si="103"/>
        <v>0</v>
      </c>
      <c r="CW50" s="104" t="s">
        <v>147</v>
      </c>
      <c r="CX50" s="105">
        <v>23</v>
      </c>
      <c r="CY50" s="106">
        <f t="shared" si="59"/>
        <v>1846</v>
      </c>
      <c r="CZ50" s="106">
        <f t="shared" si="60"/>
        <v>93.15</v>
      </c>
      <c r="DA50" s="106"/>
      <c r="DB50" s="106"/>
      <c r="DC50" s="105"/>
      <c r="DD50" s="107"/>
      <c r="DE50" s="92">
        <f t="shared" si="21"/>
        <v>2269</v>
      </c>
      <c r="DF50" s="108">
        <f t="shared" si="22"/>
        <v>4.37</v>
      </c>
      <c r="DG50" s="112">
        <f t="shared" si="23"/>
        <v>84.938650306748286</v>
      </c>
      <c r="DH50" s="110">
        <f t="shared" si="24"/>
        <v>2332</v>
      </c>
      <c r="DI50" s="108">
        <f t="shared" si="25"/>
        <v>4.63</v>
      </c>
      <c r="DJ50" s="112">
        <f t="shared" si="26"/>
        <v>16.28834355828204</v>
      </c>
      <c r="DK50" s="110">
        <f t="shared" si="86"/>
        <v>4601</v>
      </c>
      <c r="DL50" s="108">
        <f t="shared" si="86"/>
        <v>9</v>
      </c>
      <c r="DM50" s="111">
        <f t="shared" si="86"/>
        <v>101.22699386503032</v>
      </c>
      <c r="DN50" s="76">
        <f t="shared" si="89"/>
        <v>15</v>
      </c>
      <c r="DO50" s="76">
        <f t="shared" si="90"/>
        <v>5</v>
      </c>
      <c r="DP50" s="112"/>
      <c r="DQ50" s="112"/>
      <c r="DR50" s="113" t="s">
        <v>445</v>
      </c>
      <c r="DS50" s="112"/>
      <c r="DT50" s="112"/>
      <c r="DU50" s="111"/>
      <c r="DV50" s="114"/>
      <c r="DW50" s="80">
        <f t="shared" ref="DW50:DW52" si="104">IFERROR(AL50+BF50,"")</f>
        <v>9</v>
      </c>
      <c r="DX50" s="81">
        <f t="shared" si="29"/>
        <v>4711.2269938650306</v>
      </c>
      <c r="DY50" s="80">
        <f t="shared" si="62"/>
        <v>4601</v>
      </c>
      <c r="DZ50" s="82">
        <f t="shared" si="63"/>
        <v>0</v>
      </c>
      <c r="EA50" s="82">
        <f t="shared" si="64"/>
        <v>0.74996300000000005</v>
      </c>
      <c r="EB50" s="82">
        <f t="shared" si="65"/>
        <v>1.3200370000000001</v>
      </c>
      <c r="EC50" s="82">
        <f t="shared" si="75"/>
        <v>1.3200370000000001</v>
      </c>
      <c r="EF50" s="83">
        <f t="shared" si="93"/>
        <v>101.22699386503032</v>
      </c>
    </row>
    <row r="51" spans="1:136" ht="14.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1"/>
        <v>MESUS303-2.5x3-H9B14</v>
      </c>
      <c r="H51" s="46" t="str">
        <f t="shared" si="32"/>
        <v>SUS303ME2.50DH9</v>
      </c>
      <c r="I51" s="46" t="str">
        <f t="shared" si="33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4"/>
        <v>38</v>
      </c>
      <c r="T51" s="51">
        <f>'04.02'!BG51</f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5"/>
        <v>0</v>
      </c>
      <c r="AF51" s="54">
        <f>AE51+'04.02'!AF51</f>
        <v>0</v>
      </c>
      <c r="AG51" s="94">
        <f t="shared" si="66"/>
        <v>0</v>
      </c>
      <c r="AH51" s="56">
        <f t="shared" si="13"/>
        <v>0</v>
      </c>
      <c r="AI51" s="93"/>
      <c r="AJ51" s="93">
        <f t="shared" si="67"/>
        <v>0</v>
      </c>
      <c r="AK51" s="95">
        <f t="shared" si="36"/>
        <v>1</v>
      </c>
      <c r="AL51" s="58">
        <f t="shared" si="37"/>
        <v>0</v>
      </c>
      <c r="AM51" s="55">
        <f t="shared" si="68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8"/>
        <v>0</v>
      </c>
      <c r="AV51" s="96">
        <f t="shared" si="38"/>
        <v>0</v>
      </c>
      <c r="AW51" s="96">
        <f t="shared" si="39"/>
        <v>0</v>
      </c>
      <c r="AX51" s="96">
        <f t="shared" si="40"/>
        <v>0</v>
      </c>
      <c r="AY51" s="94">
        <f t="shared" si="69"/>
        <v>0</v>
      </c>
      <c r="AZ51" s="94">
        <f t="shared" si="41"/>
        <v>0</v>
      </c>
      <c r="BA51" s="94">
        <f t="shared" si="42"/>
        <v>0</v>
      </c>
      <c r="BB51" s="97">
        <f t="shared" si="43"/>
        <v>0</v>
      </c>
      <c r="BC51" s="93"/>
      <c r="BD51" s="93">
        <f t="shared" si="44"/>
        <v>0</v>
      </c>
      <c r="BE51" s="95">
        <f t="shared" si="45"/>
        <v>1</v>
      </c>
      <c r="BF51" s="58">
        <f t="shared" si="46"/>
        <v>0</v>
      </c>
      <c r="BG51" s="94">
        <f t="shared" si="47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0"/>
        <v>0</v>
      </c>
      <c r="BP51" s="92">
        <f t="shared" si="70"/>
        <v>0</v>
      </c>
      <c r="BQ51" s="96">
        <f t="shared" si="48"/>
        <v>0</v>
      </c>
      <c r="BR51" s="96">
        <f t="shared" si="49"/>
        <v>0</v>
      </c>
      <c r="BS51" s="96">
        <f t="shared" si="71"/>
        <v>0</v>
      </c>
      <c r="BT51" s="96">
        <f t="shared" si="50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1"/>
        <v>0</v>
      </c>
      <c r="BY51" s="61">
        <f t="shared" si="73"/>
        <v>0</v>
      </c>
      <c r="BZ51" s="62">
        <f t="shared" si="52"/>
        <v>0</v>
      </c>
      <c r="CA51" s="98">
        <f t="shared" si="53"/>
        <v>0</v>
      </c>
      <c r="CB51" s="92">
        <f t="shared" si="99"/>
        <v>0</v>
      </c>
      <c r="CC51" s="92">
        <f t="shared" si="99"/>
        <v>0</v>
      </c>
      <c r="CD51" s="92">
        <f t="shared" si="99"/>
        <v>0</v>
      </c>
      <c r="CE51" s="99"/>
      <c r="CF51" s="99"/>
      <c r="CG51" s="51">
        <f t="shared" si="54"/>
        <v>0</v>
      </c>
      <c r="CH51" s="62">
        <f t="shared" si="55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102"/>
        <v>0</v>
      </c>
      <c r="CR51" s="102">
        <f t="shared" si="102"/>
        <v>0</v>
      </c>
      <c r="CS51" s="102">
        <f t="shared" si="102"/>
        <v>0</v>
      </c>
      <c r="CT51" s="92">
        <f t="shared" si="57"/>
        <v>0</v>
      </c>
      <c r="CU51" s="92">
        <f t="shared" si="103"/>
        <v>0</v>
      </c>
      <c r="CV51" s="103">
        <f t="shared" si="103"/>
        <v>0</v>
      </c>
      <c r="CW51" s="104" t="s">
        <v>147</v>
      </c>
      <c r="CX51" s="105">
        <v>20</v>
      </c>
      <c r="CY51" s="106">
        <f t="shared" si="59"/>
        <v>1971</v>
      </c>
      <c r="CZ51" s="106">
        <f t="shared" si="60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6"/>
        <v>0</v>
      </c>
      <c r="DL51" s="108">
        <f t="shared" si="86"/>
        <v>0</v>
      </c>
      <c r="DM51" s="111">
        <f t="shared" si="86"/>
        <v>0</v>
      </c>
      <c r="DN51" s="76">
        <f t="shared" si="89"/>
        <v>0</v>
      </c>
      <c r="DO51" s="76">
        <f t="shared" si="90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4"/>
        <v>0</v>
      </c>
      <c r="DX51" s="81">
        <f t="shared" si="29"/>
        <v>0</v>
      </c>
      <c r="DY51" s="80">
        <f t="shared" si="62"/>
        <v>0</v>
      </c>
      <c r="DZ51" s="82">
        <f t="shared" si="63"/>
        <v>0</v>
      </c>
      <c r="EA51" s="82">
        <f t="shared" si="64"/>
        <v>0</v>
      </c>
      <c r="EB51" s="82">
        <f t="shared" si="65"/>
        <v>0</v>
      </c>
      <c r="EC51" s="82">
        <f t="shared" si="75"/>
        <v>0</v>
      </c>
      <c r="EF51" s="83">
        <f t="shared" si="93"/>
        <v>0</v>
      </c>
    </row>
    <row r="52" spans="1:136" ht="14.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1"/>
        <v>MESUS303CU-3.5x3-H9B14</v>
      </c>
      <c r="H52" s="46" t="str">
        <f t="shared" si="32"/>
        <v>SUS303CUME3.50DH9</v>
      </c>
      <c r="I52" s="46" t="str">
        <f t="shared" si="33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4"/>
        <v>14</v>
      </c>
      <c r="T52" s="51">
        <f>'04.02'!BG52</f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5"/>
        <v>0</v>
      </c>
      <c r="AF52" s="54">
        <f>AE52+'04.02'!AF52</f>
        <v>0</v>
      </c>
      <c r="AG52" s="94">
        <f t="shared" si="66"/>
        <v>0</v>
      </c>
      <c r="AH52" s="56">
        <f t="shared" si="13"/>
        <v>0</v>
      </c>
      <c r="AI52" s="93"/>
      <c r="AJ52" s="93">
        <f t="shared" si="67"/>
        <v>0</v>
      </c>
      <c r="AK52" s="95">
        <f t="shared" si="36"/>
        <v>1</v>
      </c>
      <c r="AL52" s="58">
        <f t="shared" si="37"/>
        <v>0</v>
      </c>
      <c r="AM52" s="55">
        <f t="shared" si="68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8"/>
        <v>0</v>
      </c>
      <c r="AV52" s="96">
        <f t="shared" si="38"/>
        <v>0</v>
      </c>
      <c r="AW52" s="96">
        <f t="shared" si="39"/>
        <v>0</v>
      </c>
      <c r="AX52" s="96">
        <f t="shared" si="40"/>
        <v>0</v>
      </c>
      <c r="AY52" s="94">
        <f t="shared" si="69"/>
        <v>0</v>
      </c>
      <c r="AZ52" s="94">
        <f t="shared" si="41"/>
        <v>0</v>
      </c>
      <c r="BA52" s="94">
        <f t="shared" si="42"/>
        <v>0</v>
      </c>
      <c r="BB52" s="97">
        <f t="shared" si="43"/>
        <v>0</v>
      </c>
      <c r="BC52" s="93"/>
      <c r="BD52" s="93">
        <f t="shared" si="44"/>
        <v>0</v>
      </c>
      <c r="BE52" s="95">
        <f t="shared" si="45"/>
        <v>1</v>
      </c>
      <c r="BF52" s="58">
        <f t="shared" si="46"/>
        <v>0</v>
      </c>
      <c r="BG52" s="94">
        <f t="shared" si="47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0"/>
        <v>0</v>
      </c>
      <c r="BP52" s="92">
        <f t="shared" si="70"/>
        <v>0</v>
      </c>
      <c r="BQ52" s="96">
        <f t="shared" si="48"/>
        <v>0</v>
      </c>
      <c r="BR52" s="96">
        <f t="shared" si="49"/>
        <v>0</v>
      </c>
      <c r="BS52" s="96">
        <f t="shared" si="71"/>
        <v>0</v>
      </c>
      <c r="BT52" s="96">
        <f t="shared" si="50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1"/>
        <v>0</v>
      </c>
      <c r="BY52" s="61">
        <f t="shared" si="73"/>
        <v>0</v>
      </c>
      <c r="BZ52" s="62">
        <f t="shared" si="52"/>
        <v>0</v>
      </c>
      <c r="CA52" s="98">
        <f t="shared" si="53"/>
        <v>0</v>
      </c>
      <c r="CB52" s="92">
        <f t="shared" si="99"/>
        <v>0</v>
      </c>
      <c r="CC52" s="92">
        <f t="shared" si="99"/>
        <v>0</v>
      </c>
      <c r="CD52" s="92">
        <f t="shared" si="99"/>
        <v>0</v>
      </c>
      <c r="CE52" s="99"/>
      <c r="CF52" s="99"/>
      <c r="CG52" s="51">
        <f t="shared" si="54"/>
        <v>0</v>
      </c>
      <c r="CH52" s="62">
        <f t="shared" si="55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102"/>
        <v>0</v>
      </c>
      <c r="CR52" s="102">
        <f t="shared" si="102"/>
        <v>0</v>
      </c>
      <c r="CS52" s="102">
        <f t="shared" si="102"/>
        <v>0</v>
      </c>
      <c r="CT52" s="92">
        <f t="shared" si="57"/>
        <v>0</v>
      </c>
      <c r="CU52" s="92">
        <f t="shared" si="103"/>
        <v>0</v>
      </c>
      <c r="CV52" s="103">
        <f t="shared" si="103"/>
        <v>0</v>
      </c>
      <c r="CW52" s="104" t="s">
        <v>147</v>
      </c>
      <c r="CX52" s="105">
        <v>12</v>
      </c>
      <c r="CY52" s="106">
        <f t="shared" si="59"/>
        <v>3480</v>
      </c>
      <c r="CZ52" s="106">
        <f t="shared" si="60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6"/>
        <v>0</v>
      </c>
      <c r="DL52" s="108">
        <f t="shared" si="86"/>
        <v>0</v>
      </c>
      <c r="DM52" s="111">
        <f t="shared" si="86"/>
        <v>0</v>
      </c>
      <c r="DN52" s="76">
        <f t="shared" si="89"/>
        <v>0</v>
      </c>
      <c r="DO52" s="76">
        <f t="shared" si="90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4"/>
        <v>0</v>
      </c>
      <c r="DX52" s="81">
        <f t="shared" si="29"/>
        <v>0</v>
      </c>
      <c r="DY52" s="80">
        <f t="shared" si="62"/>
        <v>0</v>
      </c>
      <c r="DZ52" s="82">
        <f t="shared" si="63"/>
        <v>0</v>
      </c>
      <c r="EA52" s="82">
        <f t="shared" si="64"/>
        <v>0</v>
      </c>
      <c r="EB52" s="82">
        <f t="shared" si="65"/>
        <v>0</v>
      </c>
      <c r="EC52" s="82">
        <f t="shared" si="75"/>
        <v>0</v>
      </c>
      <c r="EF52" s="83">
        <f t="shared" si="93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1"/>
        <v>MESUS420J2-2x2.5-H9A14</v>
      </c>
      <c r="H53" s="46" t="str">
        <f t="shared" si="32"/>
        <v>SUS420J2ME20DH9</v>
      </c>
      <c r="I53" s="46" t="str">
        <f t="shared" si="33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4"/>
        <v>42</v>
      </c>
      <c r="T53" s="51">
        <f>'04.02'!BG53</f>
        <v>20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5"/>
        <v>0</v>
      </c>
      <c r="AF53" s="54">
        <f>AE53+'04.02'!AF53</f>
        <v>0</v>
      </c>
      <c r="AG53" s="94">
        <f t="shared" si="66"/>
        <v>20</v>
      </c>
      <c r="AH53" s="56">
        <f t="shared" si="13"/>
        <v>0</v>
      </c>
      <c r="AI53" s="93"/>
      <c r="AJ53" s="93">
        <f t="shared" si="67"/>
        <v>0</v>
      </c>
      <c r="AK53" s="95">
        <f t="shared" si="36"/>
        <v>1</v>
      </c>
      <c r="AL53" s="58">
        <f t="shared" si="37"/>
        <v>0</v>
      </c>
      <c r="AM53" s="55">
        <f t="shared" si="68"/>
        <v>20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8"/>
        <v>0</v>
      </c>
      <c r="AV53" s="96">
        <f t="shared" si="38"/>
        <v>0</v>
      </c>
      <c r="AW53" s="96">
        <f t="shared" si="39"/>
        <v>0</v>
      </c>
      <c r="AX53" s="96">
        <f t="shared" si="40"/>
        <v>0</v>
      </c>
      <c r="AY53" s="94">
        <f t="shared" si="69"/>
        <v>0</v>
      </c>
      <c r="AZ53" s="94">
        <f t="shared" si="41"/>
        <v>0</v>
      </c>
      <c r="BA53" s="94">
        <f t="shared" si="42"/>
        <v>20</v>
      </c>
      <c r="BB53" s="97">
        <f t="shared" si="43"/>
        <v>0</v>
      </c>
      <c r="BC53" s="93"/>
      <c r="BD53" s="93">
        <f t="shared" si="44"/>
        <v>0</v>
      </c>
      <c r="BE53" s="95">
        <f t="shared" si="45"/>
        <v>1</v>
      </c>
      <c r="BF53" s="58">
        <f t="shared" si="46"/>
        <v>0</v>
      </c>
      <c r="BG53" s="94">
        <f t="shared" si="47"/>
        <v>20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0"/>
        <v>0</v>
      </c>
      <c r="BP53" s="92">
        <f t="shared" si="70"/>
        <v>0</v>
      </c>
      <c r="BQ53" s="96">
        <f t="shared" si="48"/>
        <v>0</v>
      </c>
      <c r="BR53" s="96">
        <f t="shared" si="49"/>
        <v>0</v>
      </c>
      <c r="BS53" s="96">
        <f t="shared" si="71"/>
        <v>0</v>
      </c>
      <c r="BT53" s="96">
        <f t="shared" si="50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1"/>
        <v>0</v>
      </c>
      <c r="BY53" s="61">
        <f t="shared" si="73"/>
        <v>0</v>
      </c>
      <c r="BZ53" s="62">
        <f t="shared" si="52"/>
        <v>0</v>
      </c>
      <c r="CA53" s="98">
        <f t="shared" si="53"/>
        <v>0</v>
      </c>
      <c r="CB53" s="92">
        <f t="shared" si="99"/>
        <v>0</v>
      </c>
      <c r="CC53" s="92">
        <f t="shared" si="99"/>
        <v>0</v>
      </c>
      <c r="CD53" s="92">
        <f t="shared" si="99"/>
        <v>0</v>
      </c>
      <c r="CE53" s="99"/>
      <c r="CF53" s="99"/>
      <c r="CG53" s="51">
        <f t="shared" si="54"/>
        <v>0</v>
      </c>
      <c r="CH53" s="62">
        <f t="shared" si="55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102"/>
        <v>0</v>
      </c>
      <c r="CR53" s="102">
        <f t="shared" si="102"/>
        <v>0</v>
      </c>
      <c r="CS53" s="102">
        <f t="shared" si="102"/>
        <v>0</v>
      </c>
      <c r="CT53" s="92">
        <f t="shared" si="57"/>
        <v>0</v>
      </c>
      <c r="CU53" s="92">
        <f t="shared" si="103"/>
        <v>0</v>
      </c>
      <c r="CV53" s="103">
        <f t="shared" si="103"/>
        <v>0</v>
      </c>
      <c r="CW53" s="104" t="s">
        <v>147</v>
      </c>
      <c r="CX53" s="105">
        <v>8.0500000000000007</v>
      </c>
      <c r="CY53" s="106">
        <f t="shared" si="59"/>
        <v>4829</v>
      </c>
      <c r="CZ53" s="106">
        <f t="shared" si="60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6"/>
        <v>0</v>
      </c>
      <c r="DL53" s="108">
        <f t="shared" si="86"/>
        <v>0</v>
      </c>
      <c r="DM53" s="111">
        <f t="shared" si="86"/>
        <v>0</v>
      </c>
      <c r="DN53" s="76">
        <f t="shared" si="89"/>
        <v>20</v>
      </c>
      <c r="DO53" s="76">
        <f t="shared" si="90"/>
        <v>0</v>
      </c>
      <c r="DP53" s="112"/>
      <c r="DQ53" s="112"/>
      <c r="DR53" s="113" t="s">
        <v>446</v>
      </c>
      <c r="DS53" s="112"/>
      <c r="DT53" s="112"/>
      <c r="DU53" s="111"/>
      <c r="DV53" s="114"/>
      <c r="DW53" s="80">
        <f t="shared" si="61"/>
        <v>0</v>
      </c>
      <c r="DX53" s="81">
        <f t="shared" si="29"/>
        <v>0</v>
      </c>
      <c r="DY53" s="80">
        <f t="shared" si="62"/>
        <v>0</v>
      </c>
      <c r="DZ53" s="82">
        <f t="shared" si="63"/>
        <v>0</v>
      </c>
      <c r="EA53" s="82">
        <f t="shared" si="64"/>
        <v>0</v>
      </c>
      <c r="EB53" s="82">
        <f t="shared" si="65"/>
        <v>0</v>
      </c>
      <c r="EC53" s="82">
        <f t="shared" si="75"/>
        <v>0</v>
      </c>
      <c r="EF53" s="83">
        <f t="shared" si="93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1"/>
        <v>MESUS303CU-3.5x3-H9B14</v>
      </c>
      <c r="H54" s="46" t="str">
        <f t="shared" si="32"/>
        <v>SUS303CUME3.50DH9</v>
      </c>
      <c r="I54" s="46" t="str">
        <f t="shared" si="33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4"/>
        <v>12</v>
      </c>
      <c r="T54" s="51">
        <f>'04.02'!BG54</f>
        <v>19</v>
      </c>
      <c r="U54" s="92"/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5"/>
        <v>0</v>
      </c>
      <c r="AF54" s="54">
        <f>AE54+'04.02'!AF54</f>
        <v>0</v>
      </c>
      <c r="AG54" s="94">
        <f t="shared" si="66"/>
        <v>19</v>
      </c>
      <c r="AH54" s="56">
        <f t="shared" si="13"/>
        <v>0</v>
      </c>
      <c r="AI54" s="93"/>
      <c r="AJ54" s="93">
        <f t="shared" si="67"/>
        <v>0</v>
      </c>
      <c r="AK54" s="95">
        <f t="shared" si="36"/>
        <v>1</v>
      </c>
      <c r="AL54" s="58">
        <f t="shared" si="37"/>
        <v>0</v>
      </c>
      <c r="AM54" s="55">
        <f t="shared" si="68"/>
        <v>19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8"/>
        <v>0</v>
      </c>
      <c r="AV54" s="96">
        <f t="shared" si="38"/>
        <v>0</v>
      </c>
      <c r="AW54" s="96">
        <f t="shared" si="39"/>
        <v>0</v>
      </c>
      <c r="AX54" s="96">
        <f t="shared" si="40"/>
        <v>0</v>
      </c>
      <c r="AY54" s="94">
        <f t="shared" si="69"/>
        <v>0</v>
      </c>
      <c r="AZ54" s="94">
        <f t="shared" si="41"/>
        <v>0</v>
      </c>
      <c r="BA54" s="94">
        <f t="shared" si="42"/>
        <v>19</v>
      </c>
      <c r="BB54" s="97">
        <f t="shared" si="43"/>
        <v>0</v>
      </c>
      <c r="BC54" s="93"/>
      <c r="BD54" s="93">
        <f t="shared" si="44"/>
        <v>0</v>
      </c>
      <c r="BE54" s="95">
        <f t="shared" si="45"/>
        <v>1</v>
      </c>
      <c r="BF54" s="58">
        <f t="shared" si="46"/>
        <v>0</v>
      </c>
      <c r="BG54" s="94">
        <f t="shared" si="47"/>
        <v>19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0"/>
        <v>0</v>
      </c>
      <c r="BP54" s="92">
        <f t="shared" si="70"/>
        <v>0</v>
      </c>
      <c r="BQ54" s="96">
        <f t="shared" si="48"/>
        <v>0</v>
      </c>
      <c r="BR54" s="96">
        <f t="shared" si="49"/>
        <v>0</v>
      </c>
      <c r="BS54" s="96">
        <f t="shared" si="71"/>
        <v>0</v>
      </c>
      <c r="BT54" s="96">
        <f t="shared" si="50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1"/>
        <v>0</v>
      </c>
      <c r="BY54" s="61">
        <f t="shared" si="73"/>
        <v>0</v>
      </c>
      <c r="BZ54" s="62">
        <f t="shared" si="52"/>
        <v>0</v>
      </c>
      <c r="CA54" s="98">
        <f t="shared" si="53"/>
        <v>0</v>
      </c>
      <c r="CB54" s="92">
        <f t="shared" si="99"/>
        <v>0</v>
      </c>
      <c r="CC54" s="92">
        <f t="shared" si="99"/>
        <v>0</v>
      </c>
      <c r="CD54" s="92">
        <f t="shared" si="99"/>
        <v>0</v>
      </c>
      <c r="CE54" s="99"/>
      <c r="CF54" s="99"/>
      <c r="CG54" s="51">
        <f t="shared" si="54"/>
        <v>0</v>
      </c>
      <c r="CH54" s="62">
        <f t="shared" si="55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102"/>
        <v>0</v>
      </c>
      <c r="CR54" s="102">
        <f t="shared" si="102"/>
        <v>0</v>
      </c>
      <c r="CS54" s="102">
        <f t="shared" si="102"/>
        <v>0</v>
      </c>
      <c r="CT54" s="92">
        <f t="shared" si="57"/>
        <v>0</v>
      </c>
      <c r="CU54" s="92">
        <f t="shared" si="103"/>
        <v>0</v>
      </c>
      <c r="CV54" s="103">
        <f t="shared" si="103"/>
        <v>0</v>
      </c>
      <c r="CW54" s="104" t="s">
        <v>147</v>
      </c>
      <c r="CX54" s="105">
        <v>15</v>
      </c>
      <c r="CY54" s="106">
        <f t="shared" si="59"/>
        <v>2808</v>
      </c>
      <c r="CZ54" s="106">
        <f t="shared" si="60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6"/>
        <v>0</v>
      </c>
      <c r="DL54" s="108">
        <f t="shared" si="86"/>
        <v>0</v>
      </c>
      <c r="DM54" s="111">
        <f t="shared" si="86"/>
        <v>0</v>
      </c>
      <c r="DN54" s="76">
        <f t="shared" si="89"/>
        <v>19</v>
      </c>
      <c r="DO54" s="76">
        <f t="shared" si="90"/>
        <v>0</v>
      </c>
      <c r="DP54" s="112"/>
      <c r="DQ54" s="112"/>
      <c r="DR54" s="113" t="s">
        <v>447</v>
      </c>
      <c r="DS54" s="112"/>
      <c r="DT54" s="112"/>
      <c r="DU54" s="111"/>
      <c r="DV54" s="114"/>
      <c r="DW54" s="80">
        <f t="shared" ref="DW54:DW58" si="105">IFERROR(AL54+BF54,"")</f>
        <v>0</v>
      </c>
      <c r="DX54" s="81">
        <f t="shared" si="29"/>
        <v>0</v>
      </c>
      <c r="DY54" s="80">
        <f t="shared" si="62"/>
        <v>0</v>
      </c>
      <c r="DZ54" s="82">
        <f t="shared" si="63"/>
        <v>0</v>
      </c>
      <c r="EA54" s="82">
        <f t="shared" si="64"/>
        <v>0</v>
      </c>
      <c r="EB54" s="82">
        <f t="shared" si="65"/>
        <v>0</v>
      </c>
      <c r="EC54" s="82">
        <f t="shared" si="75"/>
        <v>0</v>
      </c>
      <c r="EF54" s="83">
        <f t="shared" si="93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1"/>
        <v>YHC3604-4.03x3-H9A14</v>
      </c>
      <c r="H55" s="46" t="str">
        <f t="shared" si="32"/>
        <v>C3604YH4.030DH9</v>
      </c>
      <c r="I55" s="46" t="str">
        <f t="shared" si="33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4"/>
        <v>60</v>
      </c>
      <c r="T55" s="51">
        <f>'04.02'!BG55</f>
        <v>26</v>
      </c>
      <c r="U55" s="92">
        <v>54</v>
      </c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9048</v>
      </c>
      <c r="AC55" s="93">
        <f t="shared" si="11"/>
        <v>0</v>
      </c>
      <c r="AD55" s="93">
        <f t="shared" si="12"/>
        <v>156</v>
      </c>
      <c r="AE55" s="93">
        <f t="shared" si="35"/>
        <v>9048</v>
      </c>
      <c r="AF55" s="54">
        <f>AE55+'04.02'!AF55</f>
        <v>44875</v>
      </c>
      <c r="AG55" s="94">
        <f t="shared" si="66"/>
        <v>26</v>
      </c>
      <c r="AH55" s="56">
        <f t="shared" si="13"/>
        <v>0</v>
      </c>
      <c r="AI55" s="93">
        <v>26</v>
      </c>
      <c r="AJ55" s="93">
        <f t="shared" si="67"/>
        <v>0</v>
      </c>
      <c r="AK55" s="95">
        <f t="shared" si="36"/>
        <v>1</v>
      </c>
      <c r="AL55" s="58">
        <f t="shared" si="37"/>
        <v>26</v>
      </c>
      <c r="AM55" s="55">
        <f t="shared" si="68"/>
        <v>54</v>
      </c>
      <c r="AN55" s="93"/>
      <c r="AO55" s="96"/>
      <c r="AP55" s="96"/>
      <c r="AQ55" s="96"/>
      <c r="AR55" s="96"/>
      <c r="AS55" s="96"/>
      <c r="AT55" s="96">
        <f>$CJ55</f>
        <v>2721</v>
      </c>
      <c r="AU55" s="96">
        <f t="shared" si="38"/>
        <v>0</v>
      </c>
      <c r="AV55" s="96">
        <f t="shared" si="38"/>
        <v>100</v>
      </c>
      <c r="AW55" s="96">
        <f t="shared" si="39"/>
        <v>2821</v>
      </c>
      <c r="AX55" s="96">
        <f t="shared" si="40"/>
        <v>4407</v>
      </c>
      <c r="AY55" s="94">
        <f t="shared" si="69"/>
        <v>-124.2800000000002</v>
      </c>
      <c r="AZ55" s="94">
        <f t="shared" si="41"/>
        <v>-194.18750000000031</v>
      </c>
      <c r="BA55" s="94">
        <f t="shared" si="42"/>
        <v>54</v>
      </c>
      <c r="BB55" s="97">
        <f t="shared" si="43"/>
        <v>0</v>
      </c>
      <c r="BC55" s="93">
        <v>28</v>
      </c>
      <c r="BD55" s="93">
        <f t="shared" si="44"/>
        <v>0</v>
      </c>
      <c r="BE55" s="95">
        <f t="shared" si="45"/>
        <v>1</v>
      </c>
      <c r="BF55" s="58">
        <f t="shared" si="46"/>
        <v>28</v>
      </c>
      <c r="BG55" s="94">
        <f t="shared" si="47"/>
        <v>26</v>
      </c>
      <c r="BH55" s="89"/>
      <c r="BI55" s="89"/>
      <c r="BJ55" s="89"/>
      <c r="BK55" s="89"/>
      <c r="BL55" s="89"/>
      <c r="BM55" s="89"/>
      <c r="BN55" s="92">
        <f>$CN55</f>
        <v>3070</v>
      </c>
      <c r="BO55" s="92">
        <f t="shared" si="70"/>
        <v>0</v>
      </c>
      <c r="BP55" s="92">
        <f t="shared" si="70"/>
        <v>0</v>
      </c>
      <c r="BQ55" s="96">
        <f t="shared" si="48"/>
        <v>3070</v>
      </c>
      <c r="BR55" s="96">
        <f t="shared" si="49"/>
        <v>4796</v>
      </c>
      <c r="BS55" s="96">
        <f t="shared" si="71"/>
        <v>-101.84000000000015</v>
      </c>
      <c r="BT55" s="96">
        <f t="shared" si="50"/>
        <v>-159.12500000000023</v>
      </c>
      <c r="BU55" s="92">
        <f t="shared" si="16"/>
        <v>9048</v>
      </c>
      <c r="BV55" s="98">
        <f t="shared" si="17"/>
        <v>54</v>
      </c>
      <c r="BW55" s="92">
        <f t="shared" si="18"/>
        <v>-353.31250000000057</v>
      </c>
      <c r="BX55" s="98">
        <f t="shared" si="51"/>
        <v>17.442</v>
      </c>
      <c r="BY55" s="61">
        <f t="shared" si="73"/>
        <v>54</v>
      </c>
      <c r="BZ55" s="62">
        <f t="shared" si="52"/>
        <v>54</v>
      </c>
      <c r="CA55" s="98">
        <f t="shared" si="53"/>
        <v>5.891</v>
      </c>
      <c r="CB55" s="92">
        <f t="shared" si="99"/>
        <v>9203</v>
      </c>
      <c r="CC55" s="92">
        <f t="shared" si="99"/>
        <v>-226.12000000000035</v>
      </c>
      <c r="CD55" s="92">
        <f t="shared" si="99"/>
        <v>-353.31250000000057</v>
      </c>
      <c r="CE55" s="99"/>
      <c r="CF55" s="99"/>
      <c r="CG55" s="51">
        <f t="shared" si="54"/>
        <v>11.651</v>
      </c>
      <c r="CH55" s="62">
        <f t="shared" si="55"/>
        <v>11.651</v>
      </c>
      <c r="CI55" s="89"/>
      <c r="CJ55" s="89">
        <v>2721</v>
      </c>
      <c r="CK55" s="89"/>
      <c r="CL55" s="96">
        <v>100</v>
      </c>
      <c r="CM55" s="89"/>
      <c r="CN55" s="89">
        <v>3070</v>
      </c>
      <c r="CO55" s="92"/>
      <c r="CP55" s="101"/>
      <c r="CQ55" s="102">
        <f t="shared" si="102"/>
        <v>4251</v>
      </c>
      <c r="CR55" s="102">
        <f t="shared" si="102"/>
        <v>0</v>
      </c>
      <c r="CS55" s="102">
        <f t="shared" si="102"/>
        <v>156</v>
      </c>
      <c r="CT55" s="92">
        <f t="shared" si="57"/>
        <v>4797</v>
      </c>
      <c r="CU55" s="92">
        <f t="shared" si="103"/>
        <v>0</v>
      </c>
      <c r="CV55" s="103">
        <f t="shared" si="103"/>
        <v>0</v>
      </c>
      <c r="CW55" s="104" t="s">
        <v>147</v>
      </c>
      <c r="CX55" s="105">
        <v>7</v>
      </c>
      <c r="CY55" s="106">
        <f t="shared" si="59"/>
        <v>5271</v>
      </c>
      <c r="CZ55" s="106">
        <f t="shared" si="60"/>
        <v>28.35</v>
      </c>
      <c r="DA55" s="106"/>
      <c r="DB55" s="106"/>
      <c r="DC55" s="105"/>
      <c r="DD55" s="107"/>
      <c r="DE55" s="92">
        <f t="shared" si="21"/>
        <v>4251</v>
      </c>
      <c r="DF55" s="108">
        <f t="shared" si="22"/>
        <v>26</v>
      </c>
      <c r="DG55" s="112">
        <f t="shared" si="23"/>
        <v>-194.18750000000031</v>
      </c>
      <c r="DH55" s="110">
        <f t="shared" si="24"/>
        <v>4797</v>
      </c>
      <c r="DI55" s="108">
        <f t="shared" si="25"/>
        <v>28</v>
      </c>
      <c r="DJ55" s="112">
        <f t="shared" si="26"/>
        <v>-159.12500000000023</v>
      </c>
      <c r="DK55" s="110">
        <f t="shared" si="86"/>
        <v>9048</v>
      </c>
      <c r="DL55" s="108">
        <f t="shared" si="86"/>
        <v>54</v>
      </c>
      <c r="DM55" s="111">
        <f t="shared" si="86"/>
        <v>-353.31250000000057</v>
      </c>
      <c r="DN55" s="76">
        <f t="shared" si="89"/>
        <v>26</v>
      </c>
      <c r="DO55" s="76">
        <f t="shared" si="90"/>
        <v>54</v>
      </c>
      <c r="DP55" s="112"/>
      <c r="DQ55" s="112"/>
      <c r="DR55" s="113" t="s">
        <v>448</v>
      </c>
      <c r="DS55" s="112"/>
      <c r="DT55" s="112"/>
      <c r="DU55" s="111"/>
      <c r="DV55" s="114"/>
      <c r="DW55" s="80">
        <f t="shared" si="105"/>
        <v>54</v>
      </c>
      <c r="DX55" s="81">
        <f t="shared" si="29"/>
        <v>8748.6875</v>
      </c>
      <c r="DY55" s="80">
        <f t="shared" si="62"/>
        <v>9204</v>
      </c>
      <c r="DZ55" s="82">
        <f t="shared" si="63"/>
        <v>9.9839999999999998E-2</v>
      </c>
      <c r="EA55" s="82">
        <f t="shared" si="64"/>
        <v>5.7907200000000003</v>
      </c>
      <c r="EB55" s="82">
        <f t="shared" si="65"/>
        <v>11.65128</v>
      </c>
      <c r="EC55" s="82">
        <f t="shared" ref="EC55:EC56" si="106">(BX55-CA55)+((AV55+BP55)/1000)</f>
        <v>11.651</v>
      </c>
      <c r="EF55" s="83">
        <f t="shared" si="93"/>
        <v>-353.31250000000057</v>
      </c>
    </row>
    <row r="56" spans="1:136" ht="14.1" customHeight="1">
      <c r="A56" s="84">
        <v>49</v>
      </c>
      <c r="B56" s="85" t="s">
        <v>278</v>
      </c>
      <c r="C56" s="86"/>
      <c r="D56" s="240" t="s">
        <v>279</v>
      </c>
      <c r="E56" s="88">
        <v>51</v>
      </c>
      <c r="F56" s="89" t="s">
        <v>147</v>
      </c>
      <c r="G56" s="45" t="str">
        <f t="shared" si="31"/>
        <v>TVSUS303-6x2.5-H9A14</v>
      </c>
      <c r="H56" s="46" t="str">
        <f t="shared" si="32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4"/>
        <v>110</v>
      </c>
      <c r="T56" s="51">
        <f>'04.02'!BG56</f>
        <v>30</v>
      </c>
      <c r="U56" s="92"/>
      <c r="V56" s="100">
        <v>7</v>
      </c>
      <c r="W56" s="93">
        <f t="shared" si="5"/>
        <v>0</v>
      </c>
      <c r="X56" s="93">
        <f t="shared" si="6"/>
        <v>0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0</v>
      </c>
      <c r="AE56" s="93">
        <f t="shared" si="35"/>
        <v>0</v>
      </c>
      <c r="AF56" s="54">
        <f>AE56+'04.02'!AF56</f>
        <v>1582</v>
      </c>
      <c r="AG56" s="94">
        <f t="shared" si="66"/>
        <v>30</v>
      </c>
      <c r="AH56" s="56">
        <f t="shared" si="13"/>
        <v>0</v>
      </c>
      <c r="AI56" s="93"/>
      <c r="AJ56" s="93">
        <f t="shared" si="67"/>
        <v>0</v>
      </c>
      <c r="AK56" s="95">
        <f t="shared" si="36"/>
        <v>1</v>
      </c>
      <c r="AL56" s="58">
        <f t="shared" si="37"/>
        <v>0</v>
      </c>
      <c r="AM56" s="55">
        <f t="shared" si="68"/>
        <v>30</v>
      </c>
      <c r="AN56" s="93"/>
      <c r="AO56" s="96"/>
      <c r="AP56" s="96">
        <f>$CJ56</f>
        <v>0</v>
      </c>
      <c r="AQ56" s="96"/>
      <c r="AR56" s="96"/>
      <c r="AS56" s="96"/>
      <c r="AT56" s="96"/>
      <c r="AU56" s="96">
        <f t="shared" si="38"/>
        <v>0</v>
      </c>
      <c r="AV56" s="96">
        <f t="shared" si="38"/>
        <v>0</v>
      </c>
      <c r="AW56" s="96">
        <f t="shared" si="39"/>
        <v>0</v>
      </c>
      <c r="AX56" s="96">
        <f t="shared" si="40"/>
        <v>0</v>
      </c>
      <c r="AY56" s="94">
        <f t="shared" si="69"/>
        <v>0</v>
      </c>
      <c r="AZ56" s="94">
        <f t="shared" si="41"/>
        <v>0</v>
      </c>
      <c r="BA56" s="94">
        <f t="shared" si="42"/>
        <v>30</v>
      </c>
      <c r="BB56" s="97">
        <f t="shared" si="43"/>
        <v>0</v>
      </c>
      <c r="BC56" s="93"/>
      <c r="BD56" s="93">
        <f t="shared" si="44"/>
        <v>0</v>
      </c>
      <c r="BE56" s="95">
        <f t="shared" si="45"/>
        <v>1</v>
      </c>
      <c r="BF56" s="58">
        <f t="shared" si="46"/>
        <v>0</v>
      </c>
      <c r="BG56" s="94">
        <f t="shared" si="47"/>
        <v>30</v>
      </c>
      <c r="BH56" s="89"/>
      <c r="BI56" s="89"/>
      <c r="BJ56" s="92">
        <f>$CN56</f>
        <v>0</v>
      </c>
      <c r="BK56" s="92"/>
      <c r="BL56" s="92"/>
      <c r="BM56" s="92"/>
      <c r="BN56" s="92"/>
      <c r="BO56" s="92">
        <f t="shared" si="70"/>
        <v>0</v>
      </c>
      <c r="BP56" s="92">
        <f t="shared" si="70"/>
        <v>0</v>
      </c>
      <c r="BQ56" s="96">
        <f t="shared" si="48"/>
        <v>0</v>
      </c>
      <c r="BR56" s="96">
        <f t="shared" si="49"/>
        <v>0</v>
      </c>
      <c r="BS56" s="96">
        <f t="shared" si="71"/>
        <v>0</v>
      </c>
      <c r="BT56" s="96">
        <f t="shared" si="50"/>
        <v>0</v>
      </c>
      <c r="BU56" s="92">
        <f t="shared" si="16"/>
        <v>0</v>
      </c>
      <c r="BV56" s="98">
        <f t="shared" si="17"/>
        <v>0</v>
      </c>
      <c r="BW56" s="92">
        <f t="shared" si="18"/>
        <v>0</v>
      </c>
      <c r="BX56" s="98">
        <f t="shared" si="51"/>
        <v>0</v>
      </c>
      <c r="BY56" s="61">
        <f t="shared" si="73"/>
        <v>0</v>
      </c>
      <c r="BZ56" s="62">
        <f t="shared" si="52"/>
        <v>0</v>
      </c>
      <c r="CA56" s="98">
        <f t="shared" si="53"/>
        <v>0</v>
      </c>
      <c r="CB56" s="92">
        <f t="shared" si="99"/>
        <v>0</v>
      </c>
      <c r="CC56" s="92">
        <f t="shared" si="99"/>
        <v>0</v>
      </c>
      <c r="CD56" s="92">
        <f t="shared" si="99"/>
        <v>0</v>
      </c>
      <c r="CE56" s="99"/>
      <c r="CF56" s="99"/>
      <c r="CG56" s="51">
        <f t="shared" si="54"/>
        <v>0</v>
      </c>
      <c r="CH56" s="62">
        <f t="shared" si="55"/>
        <v>0</v>
      </c>
      <c r="CI56" s="89"/>
      <c r="CJ56" s="89"/>
      <c r="CK56" s="89"/>
      <c r="CL56" s="96"/>
      <c r="CM56" s="89"/>
      <c r="CN56" s="89"/>
      <c r="CO56" s="92"/>
      <c r="CP56" s="101"/>
      <c r="CQ56" s="102">
        <f t="shared" si="102"/>
        <v>0</v>
      </c>
      <c r="CR56" s="102">
        <f t="shared" si="102"/>
        <v>0</v>
      </c>
      <c r="CS56" s="102">
        <f t="shared" si="102"/>
        <v>0</v>
      </c>
      <c r="CT56" s="92">
        <f t="shared" si="57"/>
        <v>0</v>
      </c>
      <c r="CU56" s="92">
        <f t="shared" si="103"/>
        <v>0</v>
      </c>
      <c r="CV56" s="103">
        <f t="shared" si="103"/>
        <v>0</v>
      </c>
      <c r="CW56" s="104" t="s">
        <v>147</v>
      </c>
      <c r="CX56" s="105">
        <v>10</v>
      </c>
      <c r="CY56" s="106">
        <f t="shared" si="59"/>
        <v>2790</v>
      </c>
      <c r="CZ56" s="106">
        <f t="shared" si="60"/>
        <v>40.5</v>
      </c>
      <c r="DA56" s="106"/>
      <c r="DB56" s="106"/>
      <c r="DC56" s="105"/>
      <c r="DD56" s="107"/>
      <c r="DE56" s="92">
        <f t="shared" si="21"/>
        <v>0</v>
      </c>
      <c r="DF56" s="108">
        <f t="shared" si="22"/>
        <v>0</v>
      </c>
      <c r="DG56" s="112">
        <f t="shared" si="23"/>
        <v>0</v>
      </c>
      <c r="DH56" s="136">
        <f t="shared" si="24"/>
        <v>0</v>
      </c>
      <c r="DI56" s="135">
        <f t="shared" si="25"/>
        <v>0</v>
      </c>
      <c r="DJ56" s="115">
        <f t="shared" si="26"/>
        <v>0</v>
      </c>
      <c r="DK56" s="110">
        <f t="shared" si="86"/>
        <v>0</v>
      </c>
      <c r="DL56" s="108">
        <f t="shared" si="86"/>
        <v>0</v>
      </c>
      <c r="DM56" s="111">
        <f t="shared" si="86"/>
        <v>0</v>
      </c>
      <c r="DN56" s="76">
        <f t="shared" si="89"/>
        <v>30</v>
      </c>
      <c r="DO56" s="76">
        <f t="shared" si="90"/>
        <v>0</v>
      </c>
      <c r="DP56" s="112"/>
      <c r="DQ56" s="112"/>
      <c r="DR56" s="113" t="s">
        <v>449</v>
      </c>
      <c r="DS56" s="112"/>
      <c r="DT56" s="112"/>
      <c r="DU56" s="111"/>
      <c r="DV56" s="114"/>
      <c r="DW56" s="80">
        <f t="shared" si="105"/>
        <v>0</v>
      </c>
      <c r="DX56" s="81">
        <f t="shared" si="29"/>
        <v>0</v>
      </c>
      <c r="DY56" s="80">
        <f t="shared" si="62"/>
        <v>0</v>
      </c>
      <c r="DZ56" s="82">
        <f t="shared" si="63"/>
        <v>0</v>
      </c>
      <c r="EA56" s="82">
        <f t="shared" si="64"/>
        <v>0</v>
      </c>
      <c r="EB56" s="82">
        <f t="shared" si="65"/>
        <v>0</v>
      </c>
      <c r="EC56" s="82">
        <f t="shared" si="106"/>
        <v>0</v>
      </c>
      <c r="EF56" s="83">
        <f t="shared" si="93"/>
        <v>0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1"/>
        <v>GWA6063-T5-8.3x3-H9B14</v>
      </c>
      <c r="H57" s="46" t="str">
        <f t="shared" si="32"/>
        <v>A6063-T5GW8.30DH9</v>
      </c>
      <c r="I57" s="46" t="str">
        <f t="shared" si="33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4"/>
        <v>12</v>
      </c>
      <c r="T57" s="51">
        <f>'04.02'!BG57</f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5"/>
        <v>0</v>
      </c>
      <c r="AF57" s="54">
        <f>AE57+'04.02'!AF57</f>
        <v>0</v>
      </c>
      <c r="AG57" s="94">
        <f t="shared" si="66"/>
        <v>47</v>
      </c>
      <c r="AH57" s="56">
        <f t="shared" si="13"/>
        <v>0</v>
      </c>
      <c r="AI57" s="93"/>
      <c r="AJ57" s="93">
        <f t="shared" si="67"/>
        <v>0</v>
      </c>
      <c r="AK57" s="95">
        <f t="shared" si="36"/>
        <v>1</v>
      </c>
      <c r="AL57" s="58">
        <f t="shared" si="37"/>
        <v>0</v>
      </c>
      <c r="AM57" s="55">
        <f t="shared" si="68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8"/>
        <v>0</v>
      </c>
      <c r="AV57" s="96">
        <f t="shared" si="38"/>
        <v>0</v>
      </c>
      <c r="AW57" s="96">
        <f t="shared" si="39"/>
        <v>0</v>
      </c>
      <c r="AX57" s="96">
        <f t="shared" si="40"/>
        <v>0</v>
      </c>
      <c r="AY57" s="94">
        <f t="shared" si="69"/>
        <v>0</v>
      </c>
      <c r="AZ57" s="94">
        <f t="shared" si="41"/>
        <v>0</v>
      </c>
      <c r="BA57" s="94">
        <f t="shared" si="42"/>
        <v>47</v>
      </c>
      <c r="BB57" s="97">
        <f t="shared" si="43"/>
        <v>0</v>
      </c>
      <c r="BC57" s="93"/>
      <c r="BD57" s="93">
        <f t="shared" si="44"/>
        <v>0</v>
      </c>
      <c r="BE57" s="95">
        <f t="shared" si="45"/>
        <v>1</v>
      </c>
      <c r="BF57" s="58">
        <f t="shared" si="46"/>
        <v>0</v>
      </c>
      <c r="BG57" s="94">
        <f t="shared" si="47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0"/>
        <v>0</v>
      </c>
      <c r="BP57" s="92">
        <f t="shared" si="70"/>
        <v>0</v>
      </c>
      <c r="BQ57" s="96">
        <f t="shared" si="48"/>
        <v>0</v>
      </c>
      <c r="BR57" s="96">
        <f t="shared" si="49"/>
        <v>0</v>
      </c>
      <c r="BS57" s="96">
        <f t="shared" si="71"/>
        <v>0</v>
      </c>
      <c r="BT57" s="96">
        <f t="shared" si="50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1"/>
        <v>0</v>
      </c>
      <c r="BY57" s="61">
        <f t="shared" si="73"/>
        <v>0</v>
      </c>
      <c r="BZ57" s="62">
        <f t="shared" si="52"/>
        <v>0</v>
      </c>
      <c r="CA57" s="98">
        <f t="shared" si="53"/>
        <v>0</v>
      </c>
      <c r="CB57" s="92">
        <f t="shared" si="99"/>
        <v>0</v>
      </c>
      <c r="CC57" s="92">
        <f t="shared" si="99"/>
        <v>0</v>
      </c>
      <c r="CD57" s="92">
        <f t="shared" si="99"/>
        <v>0</v>
      </c>
      <c r="CE57" s="99"/>
      <c r="CF57" s="99"/>
      <c r="CG57" s="51">
        <f t="shared" si="54"/>
        <v>0</v>
      </c>
      <c r="CH57" s="62">
        <f t="shared" si="55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102"/>
        <v>0</v>
      </c>
      <c r="CR57" s="102">
        <f t="shared" si="102"/>
        <v>0</v>
      </c>
      <c r="CS57" s="102">
        <f t="shared" si="102"/>
        <v>0</v>
      </c>
      <c r="CT57" s="92">
        <f t="shared" si="57"/>
        <v>0</v>
      </c>
      <c r="CU57" s="92">
        <f t="shared" si="103"/>
        <v>0</v>
      </c>
      <c r="CV57" s="103">
        <f t="shared" si="103"/>
        <v>0</v>
      </c>
      <c r="CW57" s="104" t="s">
        <v>147</v>
      </c>
      <c r="CX57" s="105">
        <v>22</v>
      </c>
      <c r="CY57" s="106">
        <f t="shared" si="59"/>
        <v>1914</v>
      </c>
      <c r="CZ57" s="106">
        <f t="shared" si="60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6"/>
        <v>0</v>
      </c>
      <c r="DL57" s="108">
        <f t="shared" si="86"/>
        <v>0</v>
      </c>
      <c r="DM57" s="111">
        <f t="shared" si="86"/>
        <v>0</v>
      </c>
      <c r="DN57" s="76">
        <f t="shared" si="89"/>
        <v>47</v>
      </c>
      <c r="DO57" s="76">
        <f t="shared" si="90"/>
        <v>0</v>
      </c>
      <c r="DP57" s="112"/>
      <c r="DQ57" s="112"/>
      <c r="DR57" s="113" t="s">
        <v>450</v>
      </c>
      <c r="DS57" s="112"/>
      <c r="DT57" s="112"/>
      <c r="DU57" s="111"/>
      <c r="DV57" s="114"/>
      <c r="DW57" s="80">
        <f t="shared" si="105"/>
        <v>0</v>
      </c>
      <c r="DX57" s="81">
        <f t="shared" si="29"/>
        <v>0</v>
      </c>
      <c r="DY57" s="80">
        <f t="shared" si="62"/>
        <v>0</v>
      </c>
      <c r="DZ57" s="82">
        <f t="shared" si="63"/>
        <v>0</v>
      </c>
      <c r="EA57" s="82">
        <f t="shared" si="64"/>
        <v>0</v>
      </c>
      <c r="EB57" s="82">
        <f t="shared" si="65"/>
        <v>0</v>
      </c>
      <c r="EC57" s="82">
        <f t="shared" si="75"/>
        <v>0</v>
      </c>
      <c r="EF57" s="83">
        <f t="shared" si="93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1"/>
        <v>IBC3604-6.5x3-H9A15</v>
      </c>
      <c r="H58" s="46" t="str">
        <f t="shared" si="32"/>
        <v>C3604IB6.50DH9</v>
      </c>
      <c r="I58" s="46" t="str">
        <f t="shared" si="33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4"/>
        <v>20</v>
      </c>
      <c r="T58" s="51">
        <f>'04.02'!BG58</f>
        <v>10</v>
      </c>
      <c r="U58" s="92">
        <v>20</v>
      </c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4660</v>
      </c>
      <c r="AC58" s="93">
        <f t="shared" si="11"/>
        <v>0</v>
      </c>
      <c r="AD58" s="93">
        <f t="shared" si="12"/>
        <v>155</v>
      </c>
      <c r="AE58" s="93">
        <f t="shared" si="35"/>
        <v>4660</v>
      </c>
      <c r="AF58" s="54">
        <f>AE58+'04.02'!AF58</f>
        <v>30826</v>
      </c>
      <c r="AG58" s="94">
        <f t="shared" si="66"/>
        <v>10</v>
      </c>
      <c r="AH58" s="56">
        <f t="shared" si="13"/>
        <v>0</v>
      </c>
      <c r="AI58" s="93">
        <v>7</v>
      </c>
      <c r="AJ58" s="93">
        <f t="shared" si="67"/>
        <v>150</v>
      </c>
      <c r="AK58" s="95">
        <f t="shared" si="36"/>
        <v>0.79068051236097203</v>
      </c>
      <c r="AL58" s="58">
        <f t="shared" si="37"/>
        <v>6.8</v>
      </c>
      <c r="AM58" s="55">
        <f t="shared" si="68"/>
        <v>23.2</v>
      </c>
      <c r="AN58" s="93"/>
      <c r="AO58" s="96"/>
      <c r="AP58" s="96"/>
      <c r="AQ58" s="96"/>
      <c r="AR58" s="96"/>
      <c r="AS58" s="96"/>
      <c r="AT58" s="96">
        <f>$CJ58</f>
        <v>1152</v>
      </c>
      <c r="AU58" s="96">
        <f t="shared" si="38"/>
        <v>0</v>
      </c>
      <c r="AV58" s="96">
        <f t="shared" si="38"/>
        <v>75</v>
      </c>
      <c r="AW58" s="96">
        <f t="shared" si="39"/>
        <v>1227</v>
      </c>
      <c r="AX58" s="96">
        <f t="shared" si="40"/>
        <v>2011</v>
      </c>
      <c r="AY58" s="94">
        <f t="shared" si="69"/>
        <v>-63.027999999999793</v>
      </c>
      <c r="AZ58" s="94">
        <f t="shared" si="41"/>
        <v>-103.32459016393409</v>
      </c>
      <c r="BA58" s="94">
        <f t="shared" si="42"/>
        <v>23.2</v>
      </c>
      <c r="BB58" s="97">
        <f t="shared" si="43"/>
        <v>0.2</v>
      </c>
      <c r="BC58" s="93">
        <v>9</v>
      </c>
      <c r="BD58" s="93">
        <f t="shared" si="44"/>
        <v>0</v>
      </c>
      <c r="BE58" s="95">
        <f t="shared" si="45"/>
        <v>1</v>
      </c>
      <c r="BF58" s="58">
        <f t="shared" si="46"/>
        <v>9.1999999999999993</v>
      </c>
      <c r="BG58" s="94">
        <f t="shared" si="47"/>
        <v>14</v>
      </c>
      <c r="BH58" s="89"/>
      <c r="BI58" s="89"/>
      <c r="BJ58" s="89"/>
      <c r="BK58" s="89"/>
      <c r="BL58" s="89"/>
      <c r="BM58" s="89"/>
      <c r="BN58" s="92">
        <f>$CN58</f>
        <v>1691</v>
      </c>
      <c r="BO58" s="92">
        <f t="shared" si="70"/>
        <v>0</v>
      </c>
      <c r="BP58" s="92">
        <f t="shared" si="70"/>
        <v>20</v>
      </c>
      <c r="BQ58" s="96">
        <f t="shared" si="48"/>
        <v>1711</v>
      </c>
      <c r="BR58" s="96">
        <f t="shared" si="49"/>
        <v>2804</v>
      </c>
      <c r="BS58" s="96">
        <f t="shared" si="71"/>
        <v>-34.33199999999988</v>
      </c>
      <c r="BT58" s="96">
        <f t="shared" si="50"/>
        <v>-56.281967213114555</v>
      </c>
      <c r="BU58" s="92">
        <f t="shared" si="16"/>
        <v>4660</v>
      </c>
      <c r="BV58" s="98">
        <f t="shared" si="17"/>
        <v>16</v>
      </c>
      <c r="BW58" s="92">
        <f t="shared" si="18"/>
        <v>-159.60655737704866</v>
      </c>
      <c r="BX58" s="98">
        <f t="shared" si="51"/>
        <v>13.456</v>
      </c>
      <c r="BY58" s="61">
        <f t="shared" si="73"/>
        <v>16</v>
      </c>
      <c r="BZ58" s="62">
        <f t="shared" si="52"/>
        <v>16</v>
      </c>
      <c r="CA58" s="98">
        <f t="shared" si="53"/>
        <v>2.9380000000000002</v>
      </c>
      <c r="CB58" s="92">
        <f t="shared" si="99"/>
        <v>4815</v>
      </c>
      <c r="CC58" s="92">
        <f t="shared" si="99"/>
        <v>-97.359999999999673</v>
      </c>
      <c r="CD58" s="92">
        <f t="shared" si="99"/>
        <v>-159.60655737704866</v>
      </c>
      <c r="CE58" s="99"/>
      <c r="CF58" s="99"/>
      <c r="CG58" s="51">
        <f t="shared" si="54"/>
        <v>10.613</v>
      </c>
      <c r="CH58" s="62">
        <f t="shared" si="55"/>
        <v>10.613</v>
      </c>
      <c r="CI58" s="89">
        <v>150</v>
      </c>
      <c r="CJ58" s="89">
        <v>1152</v>
      </c>
      <c r="CK58" s="89"/>
      <c r="CL58" s="96">
        <v>75</v>
      </c>
      <c r="CM58" s="89"/>
      <c r="CN58" s="89">
        <v>1691</v>
      </c>
      <c r="CO58" s="92"/>
      <c r="CP58" s="101">
        <v>20</v>
      </c>
      <c r="CQ58" s="102">
        <f t="shared" si="102"/>
        <v>1888</v>
      </c>
      <c r="CR58" s="102">
        <f t="shared" si="102"/>
        <v>0</v>
      </c>
      <c r="CS58" s="102">
        <f t="shared" si="102"/>
        <v>122</v>
      </c>
      <c r="CT58" s="92">
        <f t="shared" si="57"/>
        <v>2772</v>
      </c>
      <c r="CU58" s="92">
        <f t="shared" si="103"/>
        <v>0</v>
      </c>
      <c r="CV58" s="103">
        <f t="shared" si="103"/>
        <v>33</v>
      </c>
      <c r="CW58" s="104" t="s">
        <v>147</v>
      </c>
      <c r="CX58" s="105">
        <v>13</v>
      </c>
      <c r="CY58" s="106">
        <f t="shared" si="59"/>
        <v>3170</v>
      </c>
      <c r="CZ58" s="106">
        <f t="shared" si="60"/>
        <v>52.650000000000006</v>
      </c>
      <c r="DA58" s="106"/>
      <c r="DB58" s="106"/>
      <c r="DC58" s="105"/>
      <c r="DD58" s="107"/>
      <c r="DE58" s="92">
        <f t="shared" si="21"/>
        <v>1888</v>
      </c>
      <c r="DF58" s="108">
        <f t="shared" si="22"/>
        <v>6.8</v>
      </c>
      <c r="DG58" s="112">
        <f t="shared" si="23"/>
        <v>-103.32459016393409</v>
      </c>
      <c r="DH58" s="110">
        <f t="shared" si="24"/>
        <v>2772</v>
      </c>
      <c r="DI58" s="108">
        <f t="shared" si="25"/>
        <v>9.1999999999999993</v>
      </c>
      <c r="DJ58" s="112">
        <f t="shared" si="26"/>
        <v>-56.281967213114555</v>
      </c>
      <c r="DK58" s="110">
        <f t="shared" si="86"/>
        <v>4660</v>
      </c>
      <c r="DL58" s="108">
        <f t="shared" si="86"/>
        <v>16</v>
      </c>
      <c r="DM58" s="111">
        <f t="shared" si="86"/>
        <v>-159.60655737704866</v>
      </c>
      <c r="DN58" s="76">
        <f t="shared" si="89"/>
        <v>10</v>
      </c>
      <c r="DO58" s="76">
        <f t="shared" si="90"/>
        <v>20</v>
      </c>
      <c r="DP58" s="112"/>
      <c r="DQ58" s="112"/>
      <c r="DR58" s="113" t="s">
        <v>451</v>
      </c>
      <c r="DS58" s="112"/>
      <c r="DT58" s="112"/>
      <c r="DU58" s="111"/>
      <c r="DV58" s="114"/>
      <c r="DW58" s="80">
        <f t="shared" si="105"/>
        <v>16</v>
      </c>
      <c r="DX58" s="81">
        <f t="shared" si="29"/>
        <v>4516.3934426229516</v>
      </c>
      <c r="DY58" s="80">
        <f t="shared" si="62"/>
        <v>4815</v>
      </c>
      <c r="DZ58" s="82">
        <f t="shared" si="63"/>
        <v>9.4549999999999995E-2</v>
      </c>
      <c r="EA58" s="82">
        <f t="shared" si="64"/>
        <v>2.8426</v>
      </c>
      <c r="EB58" s="82">
        <f t="shared" si="65"/>
        <v>10.613399999999999</v>
      </c>
      <c r="EC58" s="82">
        <f>(BX58-CA58)+((AV58+BP58)/1000)</f>
        <v>10.613</v>
      </c>
      <c r="EF58" s="83">
        <f t="shared" si="93"/>
        <v>-159.60655737704866</v>
      </c>
    </row>
    <row r="59" spans="1:136" ht="14.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1"/>
        <v>GWA6063-T5-7.5x3-H9B14</v>
      </c>
      <c r="H59" s="46" t="str">
        <f t="shared" si="32"/>
        <v>A6063-T5GW7.50DH9</v>
      </c>
      <c r="I59" s="46" t="str">
        <f t="shared" si="33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4"/>
        <v>22</v>
      </c>
      <c r="T59" s="51">
        <f>'04.02'!BG59</f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5"/>
        <v>0</v>
      </c>
      <c r="AF59" s="54">
        <f>AE59+'04.02'!AF59</f>
        <v>0</v>
      </c>
      <c r="AG59" s="94">
        <f t="shared" si="66"/>
        <v>0</v>
      </c>
      <c r="AH59" s="56">
        <f t="shared" si="13"/>
        <v>0</v>
      </c>
      <c r="AI59" s="93"/>
      <c r="AJ59" s="93">
        <f t="shared" si="67"/>
        <v>0</v>
      </c>
      <c r="AK59" s="95">
        <f t="shared" si="36"/>
        <v>1</v>
      </c>
      <c r="AL59" s="58">
        <f t="shared" si="37"/>
        <v>0</v>
      </c>
      <c r="AM59" s="55">
        <f t="shared" si="68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8"/>
        <v>0</v>
      </c>
      <c r="AV59" s="96">
        <f t="shared" si="38"/>
        <v>0</v>
      </c>
      <c r="AW59" s="96">
        <f t="shared" si="39"/>
        <v>0</v>
      </c>
      <c r="AX59" s="96">
        <f t="shared" si="40"/>
        <v>0</v>
      </c>
      <c r="AY59" s="94">
        <f t="shared" si="69"/>
        <v>0</v>
      </c>
      <c r="AZ59" s="94">
        <f t="shared" si="41"/>
        <v>0</v>
      </c>
      <c r="BA59" s="94">
        <f t="shared" si="42"/>
        <v>0</v>
      </c>
      <c r="BB59" s="97">
        <f t="shared" si="43"/>
        <v>0</v>
      </c>
      <c r="BC59" s="93"/>
      <c r="BD59" s="93">
        <f t="shared" si="44"/>
        <v>0</v>
      </c>
      <c r="BE59" s="95">
        <f t="shared" si="45"/>
        <v>1</v>
      </c>
      <c r="BF59" s="58">
        <f t="shared" si="46"/>
        <v>0</v>
      </c>
      <c r="BG59" s="94">
        <f t="shared" si="47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0"/>
        <v>0</v>
      </c>
      <c r="BP59" s="92">
        <f t="shared" si="70"/>
        <v>0</v>
      </c>
      <c r="BQ59" s="96">
        <f t="shared" si="48"/>
        <v>0</v>
      </c>
      <c r="BR59" s="96">
        <f t="shared" si="49"/>
        <v>0</v>
      </c>
      <c r="BS59" s="96">
        <f t="shared" si="71"/>
        <v>0</v>
      </c>
      <c r="BT59" s="96">
        <f t="shared" si="50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1"/>
        <v>0</v>
      </c>
      <c r="BY59" s="61">
        <f t="shared" si="73"/>
        <v>0</v>
      </c>
      <c r="BZ59" s="62">
        <f t="shared" si="52"/>
        <v>0</v>
      </c>
      <c r="CA59" s="98">
        <f t="shared" si="53"/>
        <v>0</v>
      </c>
      <c r="CB59" s="92">
        <f t="shared" si="99"/>
        <v>0</v>
      </c>
      <c r="CC59" s="92">
        <f t="shared" si="99"/>
        <v>0</v>
      </c>
      <c r="CD59" s="92">
        <f t="shared" si="99"/>
        <v>0</v>
      </c>
      <c r="CE59" s="99"/>
      <c r="CF59" s="99"/>
      <c r="CG59" s="51">
        <f t="shared" si="54"/>
        <v>0</v>
      </c>
      <c r="CH59" s="62">
        <f t="shared" si="55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102"/>
        <v>0</v>
      </c>
      <c r="CR59" s="102">
        <f t="shared" si="102"/>
        <v>0</v>
      </c>
      <c r="CS59" s="102">
        <f t="shared" si="102"/>
        <v>0</v>
      </c>
      <c r="CT59" s="92">
        <f t="shared" si="57"/>
        <v>0</v>
      </c>
      <c r="CU59" s="92">
        <f t="shared" si="103"/>
        <v>0</v>
      </c>
      <c r="CV59" s="103">
        <f t="shared" si="103"/>
        <v>0</v>
      </c>
      <c r="CW59" s="104" t="s">
        <v>147</v>
      </c>
      <c r="CX59" s="105">
        <v>15.56</v>
      </c>
      <c r="CY59" s="106">
        <f t="shared" si="59"/>
        <v>2637</v>
      </c>
      <c r="CZ59" s="106">
        <f t="shared" si="60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6"/>
        <v>0</v>
      </c>
      <c r="DL59" s="108">
        <f t="shared" si="86"/>
        <v>0</v>
      </c>
      <c r="DM59" s="111">
        <f t="shared" si="86"/>
        <v>0</v>
      </c>
      <c r="DN59" s="76">
        <f t="shared" si="89"/>
        <v>0</v>
      </c>
      <c r="DO59" s="76">
        <f t="shared" si="90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1"/>
        <v>0</v>
      </c>
      <c r="DX59" s="81">
        <f t="shared" si="29"/>
        <v>0</v>
      </c>
      <c r="DY59" s="80">
        <f t="shared" si="62"/>
        <v>0</v>
      </c>
      <c r="DZ59" s="82">
        <f t="shared" si="63"/>
        <v>0</v>
      </c>
      <c r="EA59" s="82">
        <f t="shared" si="64"/>
        <v>0</v>
      </c>
      <c r="EB59" s="82">
        <f t="shared" si="65"/>
        <v>0</v>
      </c>
      <c r="EC59" s="82">
        <f t="shared" si="75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1"/>
        <v>TVSUS303-5x3-H7B13</v>
      </c>
      <c r="H60" s="46" t="str">
        <f t="shared" si="32"/>
        <v>SUS303TV50DH7</v>
      </c>
      <c r="I60" s="46" t="str">
        <f t="shared" si="33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4"/>
        <v>6</v>
      </c>
      <c r="T60" s="51">
        <f>'04.02'!BG60</f>
        <v>4</v>
      </c>
      <c r="U60" s="92">
        <v>19</v>
      </c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512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219</v>
      </c>
      <c r="AE60" s="93">
        <f t="shared" si="35"/>
        <v>512</v>
      </c>
      <c r="AF60" s="54">
        <f>AE60+'04.02'!AF60</f>
        <v>1744</v>
      </c>
      <c r="AG60" s="94">
        <f t="shared" si="66"/>
        <v>4</v>
      </c>
      <c r="AH60" s="56">
        <f t="shared" si="13"/>
        <v>0</v>
      </c>
      <c r="AI60" s="93">
        <v>1</v>
      </c>
      <c r="AJ60" s="93">
        <f t="shared" si="67"/>
        <v>0</v>
      </c>
      <c r="AK60" s="95">
        <f t="shared" si="36"/>
        <v>1</v>
      </c>
      <c r="AL60" s="58">
        <f t="shared" si="37"/>
        <v>1</v>
      </c>
      <c r="AM60" s="55">
        <f t="shared" si="68"/>
        <v>22</v>
      </c>
      <c r="AN60" s="93"/>
      <c r="AO60" s="96"/>
      <c r="AP60" s="96"/>
      <c r="AQ60" s="96"/>
      <c r="AR60" s="96">
        <f t="shared" ref="AR60:AS61" si="107">$CJ60</f>
        <v>110</v>
      </c>
      <c r="AS60" s="96"/>
      <c r="AT60" s="96"/>
      <c r="AU60" s="96">
        <f t="shared" si="38"/>
        <v>0</v>
      </c>
      <c r="AV60" s="96">
        <f t="shared" si="38"/>
        <v>30</v>
      </c>
      <c r="AW60" s="96">
        <f t="shared" si="39"/>
        <v>140</v>
      </c>
      <c r="AX60" s="96">
        <f t="shared" si="40"/>
        <v>383</v>
      </c>
      <c r="AY60" s="94">
        <f t="shared" si="69"/>
        <v>-45.784999999999997</v>
      </c>
      <c r="AZ60" s="94">
        <f t="shared" si="41"/>
        <v>-125.43835616438355</v>
      </c>
      <c r="BA60" s="94">
        <f t="shared" si="42"/>
        <v>22</v>
      </c>
      <c r="BB60" s="97">
        <f t="shared" si="43"/>
        <v>0</v>
      </c>
      <c r="BC60" s="93">
        <v>1</v>
      </c>
      <c r="BD60" s="93">
        <f t="shared" si="44"/>
        <v>0</v>
      </c>
      <c r="BE60" s="95">
        <f t="shared" si="45"/>
        <v>1</v>
      </c>
      <c r="BF60" s="58">
        <f t="shared" si="46"/>
        <v>1</v>
      </c>
      <c r="BG60" s="94">
        <f t="shared" si="47"/>
        <v>21</v>
      </c>
      <c r="BH60" s="89"/>
      <c r="BI60" s="89"/>
      <c r="BJ60" s="92"/>
      <c r="BK60" s="89"/>
      <c r="BL60" s="92">
        <f>$CN60</f>
        <v>77</v>
      </c>
      <c r="BM60" s="92"/>
      <c r="BN60" s="92"/>
      <c r="BO60" s="92">
        <f t="shared" si="70"/>
        <v>0</v>
      </c>
      <c r="BP60" s="92">
        <f t="shared" si="70"/>
        <v>50</v>
      </c>
      <c r="BQ60" s="96">
        <f t="shared" si="48"/>
        <v>127</v>
      </c>
      <c r="BR60" s="96">
        <f t="shared" si="49"/>
        <v>347</v>
      </c>
      <c r="BS60" s="96">
        <f t="shared" si="71"/>
        <v>-58.784999999999997</v>
      </c>
      <c r="BT60" s="96">
        <f t="shared" si="50"/>
        <v>-161.05479452054794</v>
      </c>
      <c r="BU60" s="92">
        <f t="shared" si="16"/>
        <v>512</v>
      </c>
      <c r="BV60" s="98">
        <f t="shared" si="17"/>
        <v>2</v>
      </c>
      <c r="BW60" s="92">
        <f t="shared" si="18"/>
        <v>-286.49315068493149</v>
      </c>
      <c r="BX60" s="98">
        <f t="shared" si="51"/>
        <v>0.94</v>
      </c>
      <c r="BY60" s="61">
        <f t="shared" si="73"/>
        <v>2</v>
      </c>
      <c r="BZ60" s="62">
        <f t="shared" si="52"/>
        <v>2</v>
      </c>
      <c r="CA60" s="98">
        <f t="shared" si="53"/>
        <v>0.26700000000000002</v>
      </c>
      <c r="CB60" s="92">
        <f t="shared" si="99"/>
        <v>730</v>
      </c>
      <c r="CC60" s="92">
        <f t="shared" si="99"/>
        <v>-104.57</v>
      </c>
      <c r="CD60" s="92">
        <f t="shared" si="99"/>
        <v>-286.49315068493149</v>
      </c>
      <c r="CE60" s="99"/>
      <c r="CF60" s="99"/>
      <c r="CG60" s="51">
        <f t="shared" si="54"/>
        <v>0.75299999999999989</v>
      </c>
      <c r="CH60" s="62">
        <f t="shared" si="55"/>
        <v>0.75299999999999989</v>
      </c>
      <c r="CI60" s="89"/>
      <c r="CJ60" s="89">
        <v>110</v>
      </c>
      <c r="CK60" s="89"/>
      <c r="CL60" s="96">
        <v>30</v>
      </c>
      <c r="CM60" s="89"/>
      <c r="CN60" s="89">
        <v>77</v>
      </c>
      <c r="CO60" s="92"/>
      <c r="CP60" s="101">
        <v>50</v>
      </c>
      <c r="CQ60" s="102">
        <f t="shared" si="102"/>
        <v>301</v>
      </c>
      <c r="CR60" s="102">
        <f t="shared" si="102"/>
        <v>0</v>
      </c>
      <c r="CS60" s="102">
        <f t="shared" si="102"/>
        <v>82</v>
      </c>
      <c r="CT60" s="92">
        <f t="shared" si="57"/>
        <v>211</v>
      </c>
      <c r="CU60" s="92">
        <f t="shared" si="103"/>
        <v>0</v>
      </c>
      <c r="CV60" s="103">
        <f t="shared" si="103"/>
        <v>137</v>
      </c>
      <c r="CW60" s="104" t="s">
        <v>147</v>
      </c>
      <c r="CX60" s="105">
        <v>30</v>
      </c>
      <c r="CY60" s="106">
        <f t="shared" si="59"/>
        <v>1422</v>
      </c>
      <c r="CZ60" s="106">
        <f t="shared" si="60"/>
        <v>121.50000000000001</v>
      </c>
      <c r="DA60" s="106"/>
      <c r="DB60" s="106"/>
      <c r="DC60" s="105"/>
      <c r="DD60" s="107"/>
      <c r="DE60" s="92">
        <f t="shared" si="21"/>
        <v>301</v>
      </c>
      <c r="DF60" s="108">
        <f t="shared" si="22"/>
        <v>1</v>
      </c>
      <c r="DG60" s="115">
        <f t="shared" si="23"/>
        <v>-125.43835616438355</v>
      </c>
      <c r="DH60" s="110">
        <f t="shared" si="24"/>
        <v>211</v>
      </c>
      <c r="DI60" s="108">
        <f t="shared" si="25"/>
        <v>1</v>
      </c>
      <c r="DJ60" s="115">
        <f t="shared" si="26"/>
        <v>-161.05479452054794</v>
      </c>
      <c r="DK60" s="110">
        <f t="shared" si="86"/>
        <v>512</v>
      </c>
      <c r="DL60" s="108">
        <f t="shared" si="86"/>
        <v>2</v>
      </c>
      <c r="DM60" s="111">
        <f t="shared" si="86"/>
        <v>-286.49315068493149</v>
      </c>
      <c r="DN60" s="76">
        <f t="shared" si="89"/>
        <v>4</v>
      </c>
      <c r="DO60" s="76">
        <f t="shared" si="90"/>
        <v>19</v>
      </c>
      <c r="DP60" s="112"/>
      <c r="DQ60" s="112"/>
      <c r="DR60" s="113" t="s">
        <v>452</v>
      </c>
      <c r="DS60" s="112"/>
      <c r="DT60" s="112"/>
      <c r="DU60" s="111"/>
      <c r="DV60" s="114"/>
      <c r="DW60" s="80">
        <f>IFERROR(AL60+BF60,"")</f>
        <v>2</v>
      </c>
      <c r="DX60" s="81">
        <f t="shared" si="29"/>
        <v>227.50684931506851</v>
      </c>
      <c r="DY60" s="80">
        <f t="shared" si="62"/>
        <v>731</v>
      </c>
      <c r="DZ60" s="82">
        <f t="shared" si="63"/>
        <v>7.9935000000000006E-2</v>
      </c>
      <c r="EA60" s="82">
        <f t="shared" si="64"/>
        <v>0.18687999999999999</v>
      </c>
      <c r="EB60" s="82">
        <f t="shared" si="65"/>
        <v>0.75312000000000001</v>
      </c>
      <c r="EC60" s="82">
        <f t="shared" si="75"/>
        <v>0.83305499999999999</v>
      </c>
      <c r="EF60" s="83">
        <f t="shared" ref="EF60:EF88" si="108">DG60+DJ60</f>
        <v>-286.49315068493149</v>
      </c>
    </row>
    <row r="61" spans="1:136" ht="14.1" customHeight="1">
      <c r="A61" s="84">
        <v>54</v>
      </c>
      <c r="B61" s="85" t="s">
        <v>290</v>
      </c>
      <c r="C61" s="86"/>
      <c r="D61" s="254" t="s">
        <v>496</v>
      </c>
      <c r="E61" s="88">
        <v>61</v>
      </c>
      <c r="F61" s="89" t="s">
        <v>147</v>
      </c>
      <c r="G61" s="45" t="str">
        <f t="shared" si="31"/>
        <v>TV12L14-5x3-H9B14</v>
      </c>
      <c r="H61" s="46" t="str">
        <f t="shared" si="32"/>
        <v>12L14TV50DH9</v>
      </c>
      <c r="I61" s="46" t="str">
        <f t="shared" si="33"/>
        <v>12L14TV50DH93B14</v>
      </c>
      <c r="J61" s="90" t="s">
        <v>137</v>
      </c>
      <c r="K61" s="90" t="s">
        <v>138</v>
      </c>
      <c r="L61" s="90">
        <v>5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171</v>
      </c>
      <c r="S61" s="89">
        <f t="shared" si="34"/>
        <v>84</v>
      </c>
      <c r="T61" s="51">
        <v>0</v>
      </c>
      <c r="U61" s="92">
        <v>20</v>
      </c>
      <c r="V61" s="100">
        <v>2.0499999999999998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608</v>
      </c>
      <c r="AB61" s="93">
        <f t="shared" si="10"/>
        <v>0</v>
      </c>
      <c r="AC61" s="93">
        <f t="shared" si="11"/>
        <v>0</v>
      </c>
      <c r="AD61" s="93">
        <f t="shared" si="12"/>
        <v>88</v>
      </c>
      <c r="AE61" s="93">
        <f t="shared" si="35"/>
        <v>608</v>
      </c>
      <c r="AF61" s="54">
        <f>AE61+'04.02'!AF61</f>
        <v>608</v>
      </c>
      <c r="AG61" s="94">
        <f t="shared" si="66"/>
        <v>0</v>
      </c>
      <c r="AH61" s="56">
        <f t="shared" si="13"/>
        <v>0</v>
      </c>
      <c r="AI61" s="93">
        <v>1</v>
      </c>
      <c r="AJ61" s="93">
        <f t="shared" si="67"/>
        <v>0</v>
      </c>
      <c r="AK61" s="95">
        <f t="shared" si="36"/>
        <v>1</v>
      </c>
      <c r="AL61" s="58">
        <f t="shared" si="37"/>
        <v>1</v>
      </c>
      <c r="AM61" s="55">
        <f t="shared" si="68"/>
        <v>19</v>
      </c>
      <c r="AN61" s="93"/>
      <c r="AO61" s="96"/>
      <c r="AP61" s="96"/>
      <c r="AQ61" s="96"/>
      <c r="AR61" s="96"/>
      <c r="AS61" s="96">
        <f t="shared" si="107"/>
        <v>170</v>
      </c>
      <c r="AT61" s="96"/>
      <c r="AU61" s="96">
        <f t="shared" si="38"/>
        <v>0</v>
      </c>
      <c r="AV61" s="96">
        <f t="shared" si="38"/>
        <v>154</v>
      </c>
      <c r="AW61" s="96">
        <f t="shared" si="39"/>
        <v>324</v>
      </c>
      <c r="AX61" s="96">
        <f t="shared" si="40"/>
        <v>158</v>
      </c>
      <c r="AY61" s="94">
        <f t="shared" si="69"/>
        <v>198.95000000000002</v>
      </c>
      <c r="AZ61" s="94">
        <f t="shared" si="41"/>
        <v>97.048780487804891</v>
      </c>
      <c r="BA61" s="94">
        <f t="shared" si="42"/>
        <v>19</v>
      </c>
      <c r="BB61" s="97">
        <f t="shared" si="43"/>
        <v>0</v>
      </c>
      <c r="BC61" s="93">
        <v>9</v>
      </c>
      <c r="BD61" s="93">
        <f t="shared" si="44"/>
        <v>0</v>
      </c>
      <c r="BE61" s="95">
        <f t="shared" si="45"/>
        <v>1</v>
      </c>
      <c r="BF61" s="58">
        <f t="shared" si="46"/>
        <v>9</v>
      </c>
      <c r="BG61" s="94">
        <f t="shared" si="47"/>
        <v>10</v>
      </c>
      <c r="BH61" s="89"/>
      <c r="BI61" s="89"/>
      <c r="BJ61" s="92"/>
      <c r="BK61" s="89"/>
      <c r="BL61" s="89"/>
      <c r="BM61" s="92">
        <f>$CN61</f>
        <v>1078</v>
      </c>
      <c r="BN61" s="92"/>
      <c r="BO61" s="92">
        <f t="shared" si="70"/>
        <v>0</v>
      </c>
      <c r="BP61" s="92">
        <f t="shared" si="70"/>
        <v>28</v>
      </c>
      <c r="BQ61" s="96">
        <f t="shared" si="48"/>
        <v>1106</v>
      </c>
      <c r="BR61" s="96">
        <f t="shared" si="49"/>
        <v>539</v>
      </c>
      <c r="BS61" s="96">
        <f t="shared" si="71"/>
        <v>-19.449999999999818</v>
      </c>
      <c r="BT61" s="96">
        <f>IF($V61="","",BS61/$V61)</f>
        <v>-9.4878048780486921</v>
      </c>
      <c r="BU61" s="92">
        <f t="shared" si="16"/>
        <v>608</v>
      </c>
      <c r="BV61" s="98">
        <f t="shared" si="17"/>
        <v>10</v>
      </c>
      <c r="BW61" s="92">
        <f t="shared" si="18"/>
        <v>87.560975609756198</v>
      </c>
      <c r="BX61" s="98">
        <f t="shared" si="51"/>
        <v>9.8000000000000007</v>
      </c>
      <c r="BY61" s="61">
        <f t="shared" si="73"/>
        <v>10</v>
      </c>
      <c r="BZ61" s="62">
        <f t="shared" si="52"/>
        <v>10</v>
      </c>
      <c r="CA61" s="98">
        <f t="shared" si="53"/>
        <v>1.43</v>
      </c>
      <c r="CB61" s="92">
        <f t="shared" si="99"/>
        <v>697</v>
      </c>
      <c r="CC61" s="92">
        <f t="shared" si="99"/>
        <v>179.5000000000002</v>
      </c>
      <c r="CD61" s="92">
        <f t="shared" si="99"/>
        <v>87.560975609756198</v>
      </c>
      <c r="CE61" s="99"/>
      <c r="CF61" s="99"/>
      <c r="CG61" s="51">
        <f t="shared" si="54"/>
        <v>8.5520000000000014</v>
      </c>
      <c r="CH61" s="62">
        <f t="shared" si="55"/>
        <v>8.5520000000000014</v>
      </c>
      <c r="CI61" s="89"/>
      <c r="CJ61" s="89">
        <v>170</v>
      </c>
      <c r="CK61" s="89"/>
      <c r="CL61" s="96">
        <v>154</v>
      </c>
      <c r="CM61" s="89"/>
      <c r="CN61" s="89">
        <v>1078</v>
      </c>
      <c r="CO61" s="92"/>
      <c r="CP61" s="101">
        <v>28</v>
      </c>
      <c r="CQ61" s="102">
        <f t="shared" si="102"/>
        <v>82</v>
      </c>
      <c r="CR61" s="102">
        <f t="shared" si="102"/>
        <v>0</v>
      </c>
      <c r="CS61" s="102">
        <f t="shared" si="102"/>
        <v>75</v>
      </c>
      <c r="CT61" s="92">
        <f t="shared" si="57"/>
        <v>526</v>
      </c>
      <c r="CU61" s="92">
        <f t="shared" si="103"/>
        <v>0</v>
      </c>
      <c r="CV61" s="103">
        <f t="shared" si="103"/>
        <v>13</v>
      </c>
      <c r="CW61" s="104" t="s">
        <v>147</v>
      </c>
      <c r="CX61" s="105">
        <v>13</v>
      </c>
      <c r="CY61" s="106">
        <f t="shared" si="59"/>
        <v>2561</v>
      </c>
      <c r="CZ61" s="106">
        <f t="shared" si="60"/>
        <v>52.650000000000006</v>
      </c>
      <c r="DA61" s="106"/>
      <c r="DB61" s="106"/>
      <c r="DC61" s="105"/>
      <c r="DD61" s="107"/>
      <c r="DE61" s="92">
        <f t="shared" si="21"/>
        <v>82</v>
      </c>
      <c r="DF61" s="108">
        <f t="shared" si="22"/>
        <v>1</v>
      </c>
      <c r="DG61" s="112">
        <f t="shared" si="23"/>
        <v>97.048780487804891</v>
      </c>
      <c r="DH61" s="110">
        <f t="shared" si="24"/>
        <v>526</v>
      </c>
      <c r="DI61" s="108">
        <f t="shared" si="25"/>
        <v>9</v>
      </c>
      <c r="DJ61" s="112">
        <f t="shared" si="26"/>
        <v>-9.4878048780486921</v>
      </c>
      <c r="DK61" s="110">
        <f t="shared" si="86"/>
        <v>608</v>
      </c>
      <c r="DL61" s="108">
        <f t="shared" si="86"/>
        <v>10</v>
      </c>
      <c r="DM61" s="111">
        <f t="shared" si="86"/>
        <v>87.560975609756198</v>
      </c>
      <c r="DN61" s="76">
        <f t="shared" si="89"/>
        <v>0</v>
      </c>
      <c r="DO61" s="76">
        <f t="shared" si="90"/>
        <v>20</v>
      </c>
      <c r="DP61" s="112"/>
      <c r="DQ61" s="112"/>
      <c r="DR61" s="113"/>
      <c r="DS61" s="112"/>
      <c r="DT61" s="112"/>
      <c r="DU61" s="111"/>
      <c r="DV61" s="114"/>
      <c r="DW61" s="80">
        <f t="shared" si="61"/>
        <v>618</v>
      </c>
      <c r="DX61" s="81">
        <f t="shared" si="29"/>
        <v>705.56097560975616</v>
      </c>
      <c r="DY61" s="80">
        <f t="shared" si="62"/>
        <v>696</v>
      </c>
      <c r="DZ61" s="82">
        <f t="shared" si="63"/>
        <v>0.18039999999999998</v>
      </c>
      <c r="EA61" s="82">
        <f t="shared" si="64"/>
        <v>1.2464</v>
      </c>
      <c r="EB61" s="82">
        <f t="shared" si="65"/>
        <v>8.5536000000000012</v>
      </c>
      <c r="EC61" s="82">
        <f t="shared" ref="EC61:EC65" si="109">(BX61-CA61)+((AV61+BP61)/1000)</f>
        <v>8.5520000000000014</v>
      </c>
      <c r="EF61" s="83">
        <f t="shared" si="108"/>
        <v>87.560975609756198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1"/>
        <v>MIC3602-3x2.5-H9A14</v>
      </c>
      <c r="H62" s="46" t="str">
        <f t="shared" si="32"/>
        <v>C3602MI30DH9</v>
      </c>
      <c r="I62" s="46" t="str">
        <f t="shared" si="33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4"/>
        <v>34</v>
      </c>
      <c r="T62" s="51">
        <f>'04.02'!BG62</f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5"/>
        <v>0</v>
      </c>
      <c r="AF62" s="54">
        <f>AE62+'04.02'!AF62</f>
        <v>0</v>
      </c>
      <c r="AG62" s="94">
        <f t="shared" si="66"/>
        <v>47</v>
      </c>
      <c r="AH62" s="56">
        <f t="shared" si="13"/>
        <v>0</v>
      </c>
      <c r="AI62" s="93"/>
      <c r="AJ62" s="93">
        <f t="shared" si="67"/>
        <v>0</v>
      </c>
      <c r="AK62" s="95">
        <f t="shared" si="36"/>
        <v>1</v>
      </c>
      <c r="AL62" s="58">
        <f t="shared" si="37"/>
        <v>0</v>
      </c>
      <c r="AM62" s="55">
        <f t="shared" si="68"/>
        <v>47</v>
      </c>
      <c r="AN62" s="93"/>
      <c r="AO62" s="96"/>
      <c r="AP62" s="96"/>
      <c r="AQ62" s="96"/>
      <c r="AR62" s="96"/>
      <c r="AS62" s="96"/>
      <c r="AT62" s="96">
        <f t="shared" ref="AT62:AT64" si="110">$CJ62</f>
        <v>0</v>
      </c>
      <c r="AU62" s="96">
        <f t="shared" si="38"/>
        <v>0</v>
      </c>
      <c r="AV62" s="96">
        <f t="shared" si="38"/>
        <v>0</v>
      </c>
      <c r="AW62" s="96">
        <f t="shared" si="39"/>
        <v>0</v>
      </c>
      <c r="AX62" s="96">
        <f t="shared" si="40"/>
        <v>0</v>
      </c>
      <c r="AY62" s="94">
        <f t="shared" si="69"/>
        <v>0</v>
      </c>
      <c r="AZ62" s="94">
        <f t="shared" si="41"/>
        <v>0</v>
      </c>
      <c r="BA62" s="94">
        <f t="shared" si="42"/>
        <v>47</v>
      </c>
      <c r="BB62" s="97">
        <f t="shared" si="43"/>
        <v>0</v>
      </c>
      <c r="BC62" s="93"/>
      <c r="BD62" s="93">
        <f t="shared" si="44"/>
        <v>0</v>
      </c>
      <c r="BE62" s="95">
        <f t="shared" si="45"/>
        <v>1</v>
      </c>
      <c r="BF62" s="58">
        <f t="shared" si="46"/>
        <v>0</v>
      </c>
      <c r="BG62" s="94">
        <f t="shared" si="47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0"/>
        <v>0</v>
      </c>
      <c r="BP62" s="92">
        <f t="shared" si="70"/>
        <v>0</v>
      </c>
      <c r="BQ62" s="96">
        <f t="shared" si="48"/>
        <v>0</v>
      </c>
      <c r="BR62" s="96">
        <f t="shared" si="49"/>
        <v>0</v>
      </c>
      <c r="BS62" s="96">
        <f t="shared" si="71"/>
        <v>0</v>
      </c>
      <c r="BT62" s="96">
        <f t="shared" si="50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1"/>
        <v>0</v>
      </c>
      <c r="BY62" s="61">
        <f t="shared" si="73"/>
        <v>0</v>
      </c>
      <c r="BZ62" s="62">
        <f t="shared" si="52"/>
        <v>0</v>
      </c>
      <c r="CA62" s="98">
        <f t="shared" si="53"/>
        <v>0</v>
      </c>
      <c r="CB62" s="92">
        <f t="shared" si="99"/>
        <v>0</v>
      </c>
      <c r="CC62" s="92">
        <f t="shared" si="99"/>
        <v>0</v>
      </c>
      <c r="CD62" s="92">
        <f t="shared" si="99"/>
        <v>0</v>
      </c>
      <c r="CE62" s="99"/>
      <c r="CF62" s="99"/>
      <c r="CG62" s="51">
        <f t="shared" si="54"/>
        <v>0</v>
      </c>
      <c r="CH62" s="62">
        <f t="shared" si="55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102"/>
        <v>0</v>
      </c>
      <c r="CR62" s="102">
        <f t="shared" si="102"/>
        <v>0</v>
      </c>
      <c r="CS62" s="102">
        <f t="shared" si="102"/>
        <v>0</v>
      </c>
      <c r="CT62" s="92">
        <f t="shared" si="57"/>
        <v>0</v>
      </c>
      <c r="CU62" s="92">
        <f t="shared" si="103"/>
        <v>0</v>
      </c>
      <c r="CV62" s="103">
        <f t="shared" si="103"/>
        <v>0</v>
      </c>
      <c r="CW62" s="104" t="s">
        <v>147</v>
      </c>
      <c r="CX62" s="105">
        <v>6</v>
      </c>
      <c r="CY62" s="106">
        <f t="shared" si="59"/>
        <v>6630</v>
      </c>
      <c r="CZ62" s="106">
        <f t="shared" si="60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6"/>
        <v>0</v>
      </c>
      <c r="DL62" s="108">
        <f t="shared" si="86"/>
        <v>0</v>
      </c>
      <c r="DM62" s="111">
        <f t="shared" si="86"/>
        <v>0</v>
      </c>
      <c r="DN62" s="76">
        <f t="shared" si="89"/>
        <v>47</v>
      </c>
      <c r="DO62" s="76">
        <f t="shared" si="90"/>
        <v>0</v>
      </c>
      <c r="DP62" s="112"/>
      <c r="DQ62" s="112"/>
      <c r="DR62" s="113" t="s">
        <v>454</v>
      </c>
      <c r="DS62" s="112"/>
      <c r="DT62" s="112"/>
      <c r="DU62" s="111"/>
      <c r="DV62" s="114"/>
      <c r="DW62" s="80">
        <f t="shared" ref="DW62:DW65" si="111">IFERROR(AL62+BF62,"")</f>
        <v>0</v>
      </c>
      <c r="DX62" s="81">
        <f t="shared" si="29"/>
        <v>0</v>
      </c>
      <c r="DY62" s="80">
        <f t="shared" si="62"/>
        <v>0</v>
      </c>
      <c r="DZ62" s="82">
        <f t="shared" si="63"/>
        <v>0</v>
      </c>
      <c r="EA62" s="82">
        <f t="shared" si="64"/>
        <v>0</v>
      </c>
      <c r="EB62" s="82">
        <f t="shared" si="65"/>
        <v>0</v>
      </c>
      <c r="EC62" s="82">
        <f t="shared" si="109"/>
        <v>0</v>
      </c>
      <c r="EF62" s="83">
        <f t="shared" si="108"/>
        <v>0</v>
      </c>
    </row>
    <row r="63" spans="1:136" ht="11.25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1"/>
        <v>FRCuBe2Pb-3.15x3-H9A08</v>
      </c>
      <c r="H63" s="46" t="str">
        <f t="shared" si="32"/>
        <v>CuBe2PbFR3.150DH9</v>
      </c>
      <c r="I63" s="46" t="str">
        <f t="shared" si="33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4"/>
        <v>16</v>
      </c>
      <c r="T63" s="51">
        <f>'04.02'!BG63</f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5"/>
        <v>0</v>
      </c>
      <c r="AF63" s="54">
        <f>AE63+'04.02'!AF63</f>
        <v>0</v>
      </c>
      <c r="AG63" s="94">
        <f t="shared" si="66"/>
        <v>0</v>
      </c>
      <c r="AH63" s="56">
        <f t="shared" si="13"/>
        <v>0</v>
      </c>
      <c r="AI63" s="93"/>
      <c r="AJ63" s="93">
        <f t="shared" si="67"/>
        <v>0</v>
      </c>
      <c r="AK63" s="95">
        <f t="shared" si="36"/>
        <v>1</v>
      </c>
      <c r="AL63" s="58">
        <f t="shared" si="37"/>
        <v>0</v>
      </c>
      <c r="AM63" s="55">
        <f t="shared" si="68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8"/>
        <v>0</v>
      </c>
      <c r="AV63" s="96">
        <f t="shared" si="38"/>
        <v>0</v>
      </c>
      <c r="AW63" s="96">
        <f t="shared" si="39"/>
        <v>0</v>
      </c>
      <c r="AX63" s="96">
        <f t="shared" si="40"/>
        <v>0</v>
      </c>
      <c r="AY63" s="94">
        <f t="shared" si="69"/>
        <v>0</v>
      </c>
      <c r="AZ63" s="94">
        <f t="shared" si="41"/>
        <v>0</v>
      </c>
      <c r="BA63" s="94">
        <f t="shared" si="42"/>
        <v>0</v>
      </c>
      <c r="BB63" s="97">
        <f t="shared" si="43"/>
        <v>0</v>
      </c>
      <c r="BC63" s="93"/>
      <c r="BD63" s="93">
        <f t="shared" si="44"/>
        <v>0</v>
      </c>
      <c r="BE63" s="95">
        <f t="shared" si="45"/>
        <v>1</v>
      </c>
      <c r="BF63" s="58">
        <f t="shared" si="46"/>
        <v>0</v>
      </c>
      <c r="BG63" s="94">
        <f t="shared" si="47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0"/>
        <v>0</v>
      </c>
      <c r="BP63" s="92">
        <f t="shared" si="70"/>
        <v>0</v>
      </c>
      <c r="BQ63" s="96">
        <f t="shared" si="48"/>
        <v>0</v>
      </c>
      <c r="BR63" s="96">
        <f>IF(AA63="","",INT(BQ63/$V63))</f>
        <v>0</v>
      </c>
      <c r="BS63" s="96">
        <f t="shared" si="71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1"/>
        <v>0</v>
      </c>
      <c r="BY63" s="61">
        <f t="shared" si="73"/>
        <v>0</v>
      </c>
      <c r="BZ63" s="62">
        <f t="shared" si="52"/>
        <v>0</v>
      </c>
      <c r="CA63" s="98">
        <f t="shared" si="53"/>
        <v>0</v>
      </c>
      <c r="CB63" s="92">
        <f t="shared" si="99"/>
        <v>0</v>
      </c>
      <c r="CC63" s="92">
        <f t="shared" si="99"/>
        <v>0</v>
      </c>
      <c r="CD63" s="92">
        <f t="shared" si="99"/>
        <v>0</v>
      </c>
      <c r="CE63" s="99"/>
      <c r="CF63" s="99"/>
      <c r="CG63" s="51">
        <f t="shared" si="54"/>
        <v>0</v>
      </c>
      <c r="CH63" s="62">
        <f t="shared" si="55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102"/>
        <v>0</v>
      </c>
      <c r="CR63" s="102">
        <f t="shared" si="102"/>
        <v>0</v>
      </c>
      <c r="CS63" s="102">
        <f t="shared" si="102"/>
        <v>0</v>
      </c>
      <c r="CT63" s="92">
        <f t="shared" si="57"/>
        <v>0</v>
      </c>
      <c r="CU63" s="92">
        <f t="shared" si="103"/>
        <v>0</v>
      </c>
      <c r="CV63" s="103">
        <f t="shared" si="103"/>
        <v>0</v>
      </c>
      <c r="CW63" s="104" t="s">
        <v>147</v>
      </c>
      <c r="CX63" s="105">
        <v>6</v>
      </c>
      <c r="CY63" s="106">
        <f t="shared" si="59"/>
        <v>6960</v>
      </c>
      <c r="CZ63" s="106">
        <f t="shared" si="60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6"/>
        <v>0</v>
      </c>
      <c r="DL63" s="108">
        <f t="shared" si="86"/>
        <v>0</v>
      </c>
      <c r="DM63" s="111">
        <f t="shared" si="86"/>
        <v>0</v>
      </c>
      <c r="DN63" s="76">
        <f t="shared" si="89"/>
        <v>0</v>
      </c>
      <c r="DO63" s="76">
        <f t="shared" si="90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11"/>
        <v>0</v>
      </c>
      <c r="DX63" s="81">
        <f t="shared" si="29"/>
        <v>0</v>
      </c>
      <c r="DY63" s="80">
        <f t="shared" si="62"/>
        <v>0</v>
      </c>
      <c r="DZ63" s="82">
        <f t="shared" si="63"/>
        <v>0</v>
      </c>
      <c r="EA63" s="82">
        <f t="shared" si="64"/>
        <v>0</v>
      </c>
      <c r="EB63" s="82">
        <f t="shared" si="65"/>
        <v>0</v>
      </c>
      <c r="EC63" s="82">
        <f t="shared" si="109"/>
        <v>0</v>
      </c>
      <c r="EF63" s="83">
        <f t="shared" si="108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1"/>
        <v>IBC3604-5x3-H9B14</v>
      </c>
      <c r="H64" s="46" t="str">
        <f t="shared" si="32"/>
        <v>C3604IB50DH9</v>
      </c>
      <c r="I64" s="46" t="str">
        <f t="shared" si="33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4"/>
        <v>22</v>
      </c>
      <c r="T64" s="51">
        <f>'04.02'!BG64</f>
        <v>9</v>
      </c>
      <c r="U64" s="92">
        <v>21</v>
      </c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10650</v>
      </c>
      <c r="AC64" s="93">
        <f t="shared" si="11"/>
        <v>0</v>
      </c>
      <c r="AD64" s="93">
        <f t="shared" si="12"/>
        <v>0</v>
      </c>
      <c r="AE64" s="93">
        <f t="shared" si="35"/>
        <v>10650</v>
      </c>
      <c r="AF64" s="54">
        <f>AE64+'04.02'!AF64</f>
        <v>47658</v>
      </c>
      <c r="AG64" s="94">
        <f t="shared" si="66"/>
        <v>9</v>
      </c>
      <c r="AH64" s="56">
        <f t="shared" si="13"/>
        <v>0</v>
      </c>
      <c r="AI64" s="93">
        <v>12</v>
      </c>
      <c r="AJ64" s="93">
        <f t="shared" si="67"/>
        <v>150</v>
      </c>
      <c r="AK64" s="95">
        <f t="shared" si="36"/>
        <v>0.68794716565767744</v>
      </c>
      <c r="AL64" s="58">
        <f t="shared" si="37"/>
        <v>11.69</v>
      </c>
      <c r="AM64" s="55">
        <f t="shared" si="68"/>
        <v>18.310000000000002</v>
      </c>
      <c r="AN64" s="93"/>
      <c r="AO64" s="96"/>
      <c r="AP64" s="96"/>
      <c r="AQ64" s="96"/>
      <c r="AR64" s="96"/>
      <c r="AS64" s="96"/>
      <c r="AT64" s="96">
        <f t="shared" si="110"/>
        <v>2474</v>
      </c>
      <c r="AU64" s="96">
        <f t="shared" si="38"/>
        <v>0</v>
      </c>
      <c r="AV64" s="96">
        <f t="shared" si="38"/>
        <v>0</v>
      </c>
      <c r="AW64" s="96">
        <f t="shared" si="39"/>
        <v>2474</v>
      </c>
      <c r="AX64" s="96">
        <f t="shared" si="40"/>
        <v>5378</v>
      </c>
      <c r="AY64" s="94">
        <f t="shared" si="69"/>
        <v>-74.88760000000002</v>
      </c>
      <c r="AZ64" s="94">
        <f t="shared" si="41"/>
        <v>-162.79913043478265</v>
      </c>
      <c r="BA64" s="94">
        <f t="shared" si="42"/>
        <v>18.310000000000002</v>
      </c>
      <c r="BB64" s="97">
        <f t="shared" si="43"/>
        <v>0.31</v>
      </c>
      <c r="BC64" s="93">
        <v>11</v>
      </c>
      <c r="BD64" s="93">
        <f t="shared" si="44"/>
        <v>0</v>
      </c>
      <c r="BE64" s="95">
        <f t="shared" si="45"/>
        <v>1</v>
      </c>
      <c r="BF64" s="58">
        <f t="shared" si="46"/>
        <v>11.31</v>
      </c>
      <c r="BG64" s="94">
        <f t="shared" si="47"/>
        <v>7.0000000000000018</v>
      </c>
      <c r="BH64" s="89"/>
      <c r="BI64" s="89"/>
      <c r="BJ64" s="89"/>
      <c r="BK64" s="89"/>
      <c r="BL64" s="89"/>
      <c r="BM64" s="92"/>
      <c r="BN64" s="92">
        <f>$CN64</f>
        <v>2425</v>
      </c>
      <c r="BO64" s="92">
        <f t="shared" si="70"/>
        <v>0</v>
      </c>
      <c r="BP64" s="92">
        <f t="shared" si="70"/>
        <v>0</v>
      </c>
      <c r="BQ64" s="96">
        <f t="shared" si="48"/>
        <v>2425</v>
      </c>
      <c r="BR64" s="96">
        <f t="shared" si="49"/>
        <v>5271</v>
      </c>
      <c r="BS64" s="96">
        <f t="shared" si="71"/>
        <v>-41.032400000000507</v>
      </c>
      <c r="BT64" s="96">
        <f t="shared" si="50"/>
        <v>-89.200869565218497</v>
      </c>
      <c r="BU64" s="92">
        <f t="shared" si="16"/>
        <v>10650</v>
      </c>
      <c r="BV64" s="98">
        <f t="shared" si="17"/>
        <v>23</v>
      </c>
      <c r="BW64" s="92">
        <f t="shared" si="18"/>
        <v>-252.00000000000114</v>
      </c>
      <c r="BX64" s="98">
        <f t="shared" si="51"/>
        <v>11.5</v>
      </c>
      <c r="BY64" s="61">
        <f>IFERROR(BF64+AL64,0)</f>
        <v>23</v>
      </c>
      <c r="BZ64" s="62">
        <f t="shared" si="52"/>
        <v>23</v>
      </c>
      <c r="CA64" s="98">
        <f t="shared" si="53"/>
        <v>4.899</v>
      </c>
      <c r="CB64" s="92">
        <f t="shared" si="99"/>
        <v>10649</v>
      </c>
      <c r="CC64" s="92">
        <f t="shared" si="99"/>
        <v>-115.92000000000053</v>
      </c>
      <c r="CD64" s="92">
        <f t="shared" si="99"/>
        <v>-252.00000000000114</v>
      </c>
      <c r="CE64" s="99"/>
      <c r="CF64" s="99"/>
      <c r="CG64" s="51">
        <f t="shared" si="54"/>
        <v>6.601</v>
      </c>
      <c r="CH64" s="62">
        <f t="shared" si="55"/>
        <v>6.601</v>
      </c>
      <c r="CI64" s="89">
        <v>150</v>
      </c>
      <c r="CJ64" s="89">
        <v>2474</v>
      </c>
      <c r="CK64" s="89"/>
      <c r="CL64" s="96"/>
      <c r="CM64" s="89"/>
      <c r="CN64" s="89">
        <v>2425</v>
      </c>
      <c r="CO64" s="92"/>
      <c r="CP64" s="101"/>
      <c r="CQ64" s="102">
        <f t="shared" si="102"/>
        <v>5378</v>
      </c>
      <c r="CR64" s="102">
        <f t="shared" si="102"/>
        <v>0</v>
      </c>
      <c r="CS64" s="102">
        <f t="shared" si="102"/>
        <v>0</v>
      </c>
      <c r="CT64" s="92">
        <f t="shared" si="57"/>
        <v>5272</v>
      </c>
      <c r="CU64" s="92">
        <f t="shared" si="103"/>
        <v>0</v>
      </c>
      <c r="CV64" s="103">
        <f t="shared" si="103"/>
        <v>0</v>
      </c>
      <c r="CW64" s="104" t="s">
        <v>147</v>
      </c>
      <c r="CX64" s="105">
        <v>8</v>
      </c>
      <c r="CY64" s="106">
        <f t="shared" si="59"/>
        <v>5130</v>
      </c>
      <c r="CZ64" s="106">
        <f t="shared" si="60"/>
        <v>32.400000000000006</v>
      </c>
      <c r="DA64" s="106"/>
      <c r="DB64" s="106"/>
      <c r="DC64" s="105"/>
      <c r="DD64" s="107"/>
      <c r="DE64" s="92">
        <f t="shared" si="21"/>
        <v>5378</v>
      </c>
      <c r="DF64" s="108">
        <f t="shared" si="22"/>
        <v>11.69</v>
      </c>
      <c r="DG64" s="112">
        <f t="shared" si="23"/>
        <v>-162.79913043478265</v>
      </c>
      <c r="DH64" s="110">
        <f t="shared" si="24"/>
        <v>5272</v>
      </c>
      <c r="DI64" s="108">
        <f t="shared" si="25"/>
        <v>11.31</v>
      </c>
      <c r="DJ64" s="112">
        <f t="shared" si="26"/>
        <v>-89.200869565218497</v>
      </c>
      <c r="DK64" s="110">
        <f t="shared" si="86"/>
        <v>10650</v>
      </c>
      <c r="DL64" s="108">
        <f t="shared" si="86"/>
        <v>23</v>
      </c>
      <c r="DM64" s="111">
        <f t="shared" si="86"/>
        <v>-252.00000000000114</v>
      </c>
      <c r="DN64" s="76">
        <f t="shared" si="89"/>
        <v>9</v>
      </c>
      <c r="DO64" s="76">
        <f t="shared" si="90"/>
        <v>21</v>
      </c>
      <c r="DP64" s="112"/>
      <c r="DQ64" s="112"/>
      <c r="DR64" s="113" t="s">
        <v>455</v>
      </c>
      <c r="DS64" s="112"/>
      <c r="DT64" s="112"/>
      <c r="DU64" s="111"/>
      <c r="DV64" s="114"/>
      <c r="DW64" s="80">
        <f t="shared" si="111"/>
        <v>23</v>
      </c>
      <c r="DX64" s="81">
        <f t="shared" si="29"/>
        <v>10420.999999999998</v>
      </c>
      <c r="DY64" s="80">
        <f t="shared" si="62"/>
        <v>10650</v>
      </c>
      <c r="DZ64" s="82">
        <f t="shared" si="63"/>
        <v>0</v>
      </c>
      <c r="EA64" s="82">
        <f t="shared" si="64"/>
        <v>4.899</v>
      </c>
      <c r="EB64" s="82">
        <f t="shared" si="65"/>
        <v>6.601</v>
      </c>
      <c r="EC64" s="82">
        <f t="shared" si="109"/>
        <v>6.601</v>
      </c>
      <c r="EF64" s="83">
        <f t="shared" si="108"/>
        <v>-252.00000000000114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1"/>
        <v>TVA2011-T3-6x3-H9B14</v>
      </c>
      <c r="H65" s="46" t="str">
        <f t="shared" si="32"/>
        <v>A2011-T3TV60DH9</v>
      </c>
      <c r="I65" s="46" t="str">
        <f t="shared" si="33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4"/>
        <v>#DIV/0!</v>
      </c>
      <c r="T65" s="51">
        <f>'04.02'!BG65</f>
        <v>20</v>
      </c>
      <c r="U65" s="92"/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0</v>
      </c>
      <c r="AC65" s="93">
        <f t="shared" si="11"/>
        <v>0</v>
      </c>
      <c r="AD65" s="93">
        <f t="shared" si="12"/>
        <v>0</v>
      </c>
      <c r="AE65" s="93">
        <f t="shared" si="35"/>
        <v>0</v>
      </c>
      <c r="AF65" s="54">
        <f>AE65+'04.02'!AF65</f>
        <v>9679</v>
      </c>
      <c r="AG65" s="94">
        <f t="shared" si="66"/>
        <v>20</v>
      </c>
      <c r="AH65" s="56">
        <f t="shared" si="13"/>
        <v>0</v>
      </c>
      <c r="AI65" s="93"/>
      <c r="AJ65" s="93">
        <f t="shared" si="67"/>
        <v>0</v>
      </c>
      <c r="AK65" s="95">
        <f t="shared" si="36"/>
        <v>1</v>
      </c>
      <c r="AL65" s="58">
        <f t="shared" si="37"/>
        <v>0</v>
      </c>
      <c r="AM65" s="55">
        <f t="shared" si="68"/>
        <v>20</v>
      </c>
      <c r="AN65" s="93"/>
      <c r="AO65" s="96"/>
      <c r="AP65" s="96"/>
      <c r="AQ65" s="96"/>
      <c r="AR65" s="96"/>
      <c r="AS65" s="96"/>
      <c r="AT65" s="96">
        <f>$CJ65</f>
        <v>0</v>
      </c>
      <c r="AU65" s="96">
        <f t="shared" si="38"/>
        <v>0</v>
      </c>
      <c r="AV65" s="96">
        <f t="shared" si="38"/>
        <v>0</v>
      </c>
      <c r="AW65" s="96">
        <f t="shared" si="39"/>
        <v>0</v>
      </c>
      <c r="AX65" s="96">
        <f t="shared" si="40"/>
        <v>0</v>
      </c>
      <c r="AY65" s="94">
        <f t="shared" si="69"/>
        <v>0</v>
      </c>
      <c r="AZ65" s="94">
        <f t="shared" si="41"/>
        <v>0</v>
      </c>
      <c r="BA65" s="94">
        <f t="shared" si="42"/>
        <v>20</v>
      </c>
      <c r="BB65" s="97">
        <f t="shared" si="43"/>
        <v>0</v>
      </c>
      <c r="BC65" s="93"/>
      <c r="BD65" s="93">
        <f t="shared" si="44"/>
        <v>0</v>
      </c>
      <c r="BE65" s="95">
        <f t="shared" si="45"/>
        <v>1</v>
      </c>
      <c r="BF65" s="58">
        <f t="shared" si="46"/>
        <v>0</v>
      </c>
      <c r="BG65" s="94">
        <f t="shared" si="47"/>
        <v>20</v>
      </c>
      <c r="BH65" s="89"/>
      <c r="BI65" s="89"/>
      <c r="BJ65" s="92"/>
      <c r="BK65" s="89"/>
      <c r="BL65" s="89"/>
      <c r="BM65" s="89"/>
      <c r="BN65" s="92">
        <f>$CN65</f>
        <v>0</v>
      </c>
      <c r="BO65" s="92">
        <f t="shared" si="70"/>
        <v>0</v>
      </c>
      <c r="BP65" s="92">
        <f t="shared" si="70"/>
        <v>0</v>
      </c>
      <c r="BQ65" s="96">
        <f t="shared" si="48"/>
        <v>0</v>
      </c>
      <c r="BR65" s="96">
        <f t="shared" si="49"/>
        <v>0</v>
      </c>
      <c r="BS65" s="96">
        <f t="shared" si="71"/>
        <v>0</v>
      </c>
      <c r="BT65" s="96">
        <f t="shared" si="50"/>
        <v>0</v>
      </c>
      <c r="BU65" s="92">
        <f t="shared" si="16"/>
        <v>0</v>
      </c>
      <c r="BV65" s="98">
        <f t="shared" si="17"/>
        <v>0</v>
      </c>
      <c r="BW65" s="92">
        <f t="shared" si="18"/>
        <v>0</v>
      </c>
      <c r="BX65" s="98">
        <f t="shared" si="51"/>
        <v>0</v>
      </c>
      <c r="BY65" s="61">
        <f t="shared" si="73"/>
        <v>0</v>
      </c>
      <c r="BZ65" s="62">
        <f t="shared" si="52"/>
        <v>0</v>
      </c>
      <c r="CA65" s="98">
        <f t="shared" si="53"/>
        <v>0</v>
      </c>
      <c r="CB65" s="92">
        <f t="shared" si="99"/>
        <v>0</v>
      </c>
      <c r="CC65" s="92">
        <f t="shared" si="99"/>
        <v>0</v>
      </c>
      <c r="CD65" s="92">
        <f t="shared" si="99"/>
        <v>0</v>
      </c>
      <c r="CE65" s="99"/>
      <c r="CF65" s="99"/>
      <c r="CG65" s="51">
        <f t="shared" si="54"/>
        <v>0</v>
      </c>
      <c r="CH65" s="62">
        <f t="shared" si="55"/>
        <v>0</v>
      </c>
      <c r="CI65" s="89"/>
      <c r="CJ65" s="89"/>
      <c r="CK65" s="89"/>
      <c r="CL65" s="96"/>
      <c r="CM65" s="89"/>
      <c r="CN65" s="89"/>
      <c r="CO65" s="92"/>
      <c r="CP65" s="101"/>
      <c r="CQ65" s="102">
        <f t="shared" si="102"/>
        <v>0</v>
      </c>
      <c r="CR65" s="102">
        <f t="shared" si="102"/>
        <v>0</v>
      </c>
      <c r="CS65" s="102">
        <f t="shared" si="102"/>
        <v>0</v>
      </c>
      <c r="CT65" s="92">
        <f t="shared" si="57"/>
        <v>0</v>
      </c>
      <c r="CU65" s="92">
        <f t="shared" si="103"/>
        <v>0</v>
      </c>
      <c r="CV65" s="103">
        <f t="shared" si="103"/>
        <v>0</v>
      </c>
      <c r="CW65" s="104" t="s">
        <v>147</v>
      </c>
      <c r="CX65" s="105"/>
      <c r="CY65" s="106" t="e">
        <f t="shared" si="59"/>
        <v>#DIV/0!</v>
      </c>
      <c r="CZ65" s="106">
        <f t="shared" si="60"/>
        <v>0</v>
      </c>
      <c r="DA65" s="106"/>
      <c r="DB65" s="106"/>
      <c r="DC65" s="105"/>
      <c r="DD65" s="107"/>
      <c r="DE65" s="92">
        <f t="shared" si="21"/>
        <v>0</v>
      </c>
      <c r="DF65" s="108">
        <f t="shared" si="22"/>
        <v>0</v>
      </c>
      <c r="DG65" s="115">
        <f t="shared" si="23"/>
        <v>0</v>
      </c>
      <c r="DH65" s="110">
        <f t="shared" si="24"/>
        <v>0</v>
      </c>
      <c r="DI65" s="108">
        <f t="shared" si="25"/>
        <v>0</v>
      </c>
      <c r="DJ65" s="115">
        <f t="shared" si="26"/>
        <v>0</v>
      </c>
      <c r="DK65" s="110">
        <f t="shared" si="86"/>
        <v>0</v>
      </c>
      <c r="DL65" s="108">
        <f t="shared" si="86"/>
        <v>0</v>
      </c>
      <c r="DM65" s="111">
        <f t="shared" si="86"/>
        <v>0</v>
      </c>
      <c r="DN65" s="76">
        <f t="shared" si="89"/>
        <v>20</v>
      </c>
      <c r="DO65" s="76">
        <f t="shared" si="90"/>
        <v>0</v>
      </c>
      <c r="DP65" s="112"/>
      <c r="DQ65" s="112"/>
      <c r="DR65" s="113" t="s">
        <v>456</v>
      </c>
      <c r="DS65" s="112"/>
      <c r="DT65" s="112"/>
      <c r="DU65" s="111"/>
      <c r="DV65" s="114"/>
      <c r="DW65" s="80">
        <f t="shared" si="111"/>
        <v>0</v>
      </c>
      <c r="DX65" s="81">
        <f t="shared" si="29"/>
        <v>0</v>
      </c>
      <c r="DY65" s="80">
        <f t="shared" si="62"/>
        <v>0</v>
      </c>
      <c r="DZ65" s="82">
        <f t="shared" si="63"/>
        <v>0</v>
      </c>
      <c r="EA65" s="82">
        <f t="shared" si="64"/>
        <v>0</v>
      </c>
      <c r="EB65" s="82">
        <f t="shared" si="65"/>
        <v>0</v>
      </c>
      <c r="EC65" s="82">
        <f t="shared" si="109"/>
        <v>0</v>
      </c>
      <c r="EF65" s="83">
        <f t="shared" si="108"/>
        <v>0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1"/>
        <v>GAA5052-5.7x3-H9A14</v>
      </c>
      <c r="H66" s="46" t="str">
        <f t="shared" si="32"/>
        <v>A5052GA5.70DH9</v>
      </c>
      <c r="I66" s="46" t="str">
        <f t="shared" si="33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4"/>
        <v>52</v>
      </c>
      <c r="T66" s="51">
        <f>'04.02'!BG66</f>
        <v>12</v>
      </c>
      <c r="U66" s="92">
        <v>13</v>
      </c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2926</v>
      </c>
      <c r="AC66" s="93">
        <f t="shared" si="11"/>
        <v>0</v>
      </c>
      <c r="AD66" s="93">
        <f t="shared" si="12"/>
        <v>66</v>
      </c>
      <c r="AE66" s="93">
        <f t="shared" si="35"/>
        <v>2926</v>
      </c>
      <c r="AF66" s="54">
        <f>AE66+'04.02'!AF66</f>
        <v>14985</v>
      </c>
      <c r="AG66" s="94">
        <f t="shared" si="66"/>
        <v>12</v>
      </c>
      <c r="AH66" s="56">
        <f t="shared" si="13"/>
        <v>0</v>
      </c>
      <c r="AI66" s="93">
        <v>6</v>
      </c>
      <c r="AJ66" s="93">
        <f t="shared" si="67"/>
        <v>0</v>
      </c>
      <c r="AK66" s="95">
        <f t="shared" si="36"/>
        <v>1</v>
      </c>
      <c r="AL66" s="58">
        <f t="shared" si="37"/>
        <v>6</v>
      </c>
      <c r="AM66" s="55">
        <f t="shared" si="68"/>
        <v>19</v>
      </c>
      <c r="AN66" s="93"/>
      <c r="AO66" s="96"/>
      <c r="AP66" s="96"/>
      <c r="AQ66" s="96"/>
      <c r="AR66" s="96"/>
      <c r="AS66" s="96"/>
      <c r="AT66" s="96">
        <f>$CJ66</f>
        <v>189</v>
      </c>
      <c r="AU66" s="96">
        <f t="shared" si="38"/>
        <v>0</v>
      </c>
      <c r="AV66" s="96">
        <f t="shared" si="38"/>
        <v>10</v>
      </c>
      <c r="AW66" s="96">
        <f t="shared" si="39"/>
        <v>199</v>
      </c>
      <c r="AX66" s="96">
        <f t="shared" si="40"/>
        <v>1326</v>
      </c>
      <c r="AY66" s="94">
        <f t="shared" si="69"/>
        <v>-17</v>
      </c>
      <c r="AZ66" s="94">
        <f t="shared" si="41"/>
        <v>-113.33333333333334</v>
      </c>
      <c r="BA66" s="94">
        <f t="shared" si="42"/>
        <v>19</v>
      </c>
      <c r="BB66" s="97">
        <f t="shared" si="43"/>
        <v>0</v>
      </c>
      <c r="BC66" s="93">
        <v>7</v>
      </c>
      <c r="BD66" s="93">
        <f t="shared" si="44"/>
        <v>0</v>
      </c>
      <c r="BE66" s="95">
        <f t="shared" si="45"/>
        <v>1</v>
      </c>
      <c r="BF66" s="58">
        <f t="shared" si="46"/>
        <v>7</v>
      </c>
      <c r="BG66" s="94">
        <f t="shared" si="47"/>
        <v>12</v>
      </c>
      <c r="BH66" s="89"/>
      <c r="BI66" s="89"/>
      <c r="BJ66" s="89"/>
      <c r="BK66" s="92"/>
      <c r="BL66" s="89"/>
      <c r="BM66" s="92"/>
      <c r="BN66" s="92">
        <f>$CN66</f>
        <v>250</v>
      </c>
      <c r="BO66" s="92">
        <f t="shared" si="70"/>
        <v>0</v>
      </c>
      <c r="BP66" s="92">
        <f t="shared" si="70"/>
        <v>0</v>
      </c>
      <c r="BQ66" s="96">
        <f t="shared" si="48"/>
        <v>250</v>
      </c>
      <c r="BR66" s="96">
        <f t="shared" si="49"/>
        <v>1666</v>
      </c>
      <c r="BS66" s="96">
        <f t="shared" si="71"/>
        <v>-2</v>
      </c>
      <c r="BT66" s="96">
        <f t="shared" si="50"/>
        <v>-13.333333333333334</v>
      </c>
      <c r="BU66" s="92">
        <f t="shared" si="16"/>
        <v>2926</v>
      </c>
      <c r="BV66" s="98">
        <f t="shared" si="17"/>
        <v>13</v>
      </c>
      <c r="BW66" s="92">
        <f t="shared" si="18"/>
        <v>-126.66666666666667</v>
      </c>
      <c r="BX66" s="98">
        <f t="shared" si="51"/>
        <v>2.6519999999999997</v>
      </c>
      <c r="BY66" s="61">
        <f t="shared" si="73"/>
        <v>13</v>
      </c>
      <c r="BZ66" s="62">
        <f t="shared" si="52"/>
        <v>13</v>
      </c>
      <c r="CA66" s="98">
        <f t="shared" si="53"/>
        <v>0.44900000000000001</v>
      </c>
      <c r="CB66" s="92">
        <f t="shared" si="99"/>
        <v>2992</v>
      </c>
      <c r="CC66" s="92">
        <f t="shared" si="99"/>
        <v>-19</v>
      </c>
      <c r="CD66" s="92">
        <f t="shared" si="99"/>
        <v>-126.66666666666667</v>
      </c>
      <c r="CE66" s="99" t="s">
        <v>2</v>
      </c>
      <c r="CF66" s="99"/>
      <c r="CG66" s="51">
        <f t="shared" si="54"/>
        <v>2.2129999999999996</v>
      </c>
      <c r="CH66" s="62">
        <f t="shared" si="55"/>
        <v>2.2129999999999996</v>
      </c>
      <c r="CI66" s="89"/>
      <c r="CJ66" s="89">
        <v>189</v>
      </c>
      <c r="CK66" s="89"/>
      <c r="CL66" s="96">
        <v>10</v>
      </c>
      <c r="CM66" s="89"/>
      <c r="CN66" s="89">
        <v>250</v>
      </c>
      <c r="CO66" s="92"/>
      <c r="CP66" s="101"/>
      <c r="CQ66" s="102">
        <f t="shared" si="102"/>
        <v>1260</v>
      </c>
      <c r="CR66" s="102">
        <f t="shared" si="102"/>
        <v>0</v>
      </c>
      <c r="CS66" s="102">
        <f t="shared" si="102"/>
        <v>66</v>
      </c>
      <c r="CT66" s="92">
        <f t="shared" si="57"/>
        <v>1666</v>
      </c>
      <c r="CU66" s="92">
        <f t="shared" si="103"/>
        <v>0</v>
      </c>
      <c r="CV66" s="103">
        <f t="shared" si="103"/>
        <v>0</v>
      </c>
      <c r="CW66" s="104" t="s">
        <v>147</v>
      </c>
      <c r="CX66" s="105">
        <v>6</v>
      </c>
      <c r="CY66" s="106">
        <f t="shared" si="59"/>
        <v>6300</v>
      </c>
      <c r="CZ66" s="106">
        <f t="shared" si="60"/>
        <v>24.3</v>
      </c>
      <c r="DA66" s="106"/>
      <c r="DB66" s="106"/>
      <c r="DC66" s="105"/>
      <c r="DD66" s="107"/>
      <c r="DE66" s="92">
        <f t="shared" si="21"/>
        <v>1260</v>
      </c>
      <c r="DF66" s="108">
        <f t="shared" si="22"/>
        <v>6</v>
      </c>
      <c r="DG66" s="115">
        <f t="shared" si="23"/>
        <v>-113.33333333333334</v>
      </c>
      <c r="DH66" s="110">
        <f t="shared" si="24"/>
        <v>1666</v>
      </c>
      <c r="DI66" s="108">
        <f t="shared" si="25"/>
        <v>7</v>
      </c>
      <c r="DJ66" s="112">
        <f t="shared" si="26"/>
        <v>-13.333333333333334</v>
      </c>
      <c r="DK66" s="110">
        <f t="shared" si="86"/>
        <v>2926</v>
      </c>
      <c r="DL66" s="108">
        <f t="shared" si="86"/>
        <v>13</v>
      </c>
      <c r="DM66" s="111">
        <f t="shared" si="86"/>
        <v>-126.66666666666667</v>
      </c>
      <c r="DN66" s="76">
        <f t="shared" si="89"/>
        <v>12</v>
      </c>
      <c r="DO66" s="76">
        <f t="shared" si="90"/>
        <v>13</v>
      </c>
      <c r="DP66" s="112"/>
      <c r="DQ66" s="112"/>
      <c r="DR66" s="113" t="s">
        <v>457</v>
      </c>
      <c r="DS66" s="112"/>
      <c r="DT66" s="112"/>
      <c r="DU66" s="111"/>
      <c r="DV66" s="114"/>
      <c r="DW66" s="80">
        <f t="shared" si="61"/>
        <v>2939</v>
      </c>
      <c r="DX66" s="81">
        <f t="shared" si="29"/>
        <v>2812.3333333333335</v>
      </c>
      <c r="DY66" s="80">
        <f t="shared" si="62"/>
        <v>2992</v>
      </c>
      <c r="DZ66" s="82">
        <f t="shared" si="63"/>
        <v>9.9000000000000008E-3</v>
      </c>
      <c r="EA66" s="82">
        <f t="shared" si="64"/>
        <v>0.43889999999999996</v>
      </c>
      <c r="EB66" s="82">
        <f t="shared" si="65"/>
        <v>2.2130999999999998</v>
      </c>
      <c r="EC66" s="82">
        <f t="shared" si="75"/>
        <v>2.2229999999999999</v>
      </c>
      <c r="EF66" s="83">
        <f t="shared" si="108"/>
        <v>-126.66666666666667</v>
      </c>
    </row>
    <row r="67" spans="1:136" ht="14.1" customHeight="1">
      <c r="A67" s="84">
        <v>60</v>
      </c>
      <c r="B67" s="147" t="s">
        <v>309</v>
      </c>
      <c r="C67" s="148"/>
      <c r="D67" s="255" t="s">
        <v>502</v>
      </c>
      <c r="E67" s="149">
        <v>98</v>
      </c>
      <c r="F67" s="150" t="s">
        <v>147</v>
      </c>
      <c r="G67" s="45" t="str">
        <f t="shared" si="31"/>
        <v>IBC3604-H7x3-H11C14</v>
      </c>
      <c r="H67" s="46" t="str">
        <f t="shared" si="32"/>
        <v>C3604IB70HH11</v>
      </c>
      <c r="I67" s="46" t="str">
        <f t="shared" si="33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4"/>
        <v>52</v>
      </c>
      <c r="T67" s="51">
        <f>'04.02'!BG67</f>
        <v>0</v>
      </c>
      <c r="U67" s="146"/>
      <c r="V67" s="100">
        <v>5.52</v>
      </c>
      <c r="W67" s="151">
        <f t="shared" si="5"/>
        <v>0</v>
      </c>
      <c r="X67" s="151">
        <f t="shared" si="6"/>
        <v>103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5"/>
        <v>103</v>
      </c>
      <c r="AF67" s="54">
        <f>AE67+'04.02'!AF67</f>
        <v>103</v>
      </c>
      <c r="AG67" s="94">
        <f t="shared" si="66"/>
        <v>0</v>
      </c>
      <c r="AH67" s="56">
        <f t="shared" si="13"/>
        <v>0</v>
      </c>
      <c r="AI67" s="151">
        <v>1</v>
      </c>
      <c r="AJ67" s="93">
        <f t="shared" si="67"/>
        <v>0</v>
      </c>
      <c r="AK67" s="95">
        <f t="shared" si="36"/>
        <v>1</v>
      </c>
      <c r="AL67" s="58">
        <f t="shared" si="37"/>
        <v>1</v>
      </c>
      <c r="AM67" s="55">
        <f t="shared" si="68"/>
        <v>-1</v>
      </c>
      <c r="AN67" s="151"/>
      <c r="AO67" s="145"/>
      <c r="AP67" s="145">
        <f>$CJ67</f>
        <v>568.55999999999995</v>
      </c>
      <c r="AQ67" s="145"/>
      <c r="AR67" s="145"/>
      <c r="AS67" s="145"/>
      <c r="AT67" s="145"/>
      <c r="AU67" s="145">
        <f t="shared" si="38"/>
        <v>0</v>
      </c>
      <c r="AV67" s="145">
        <f t="shared" si="38"/>
        <v>0</v>
      </c>
      <c r="AW67" s="145">
        <f t="shared" si="39"/>
        <v>568.55999999999995</v>
      </c>
      <c r="AX67" s="145">
        <f t="shared" si="40"/>
        <v>103</v>
      </c>
      <c r="AY67" s="94">
        <f t="shared" si="69"/>
        <v>27.600000000000023</v>
      </c>
      <c r="AZ67" s="94">
        <f t="shared" si="41"/>
        <v>5.0000000000000044</v>
      </c>
      <c r="BA67" s="94">
        <f t="shared" si="42"/>
        <v>-1</v>
      </c>
      <c r="BB67" s="97">
        <f t="shared" si="43"/>
        <v>0</v>
      </c>
      <c r="BC67" s="151"/>
      <c r="BD67" s="93">
        <f t="shared" si="44"/>
        <v>0</v>
      </c>
      <c r="BE67" s="152">
        <f t="shared" si="45"/>
        <v>1</v>
      </c>
      <c r="BF67" s="58">
        <f t="shared" si="46"/>
        <v>0</v>
      </c>
      <c r="BG67" s="94">
        <f t="shared" si="47"/>
        <v>-1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0"/>
        <v>0</v>
      </c>
      <c r="BP67" s="146">
        <f t="shared" si="70"/>
        <v>0</v>
      </c>
      <c r="BQ67" s="145">
        <f t="shared" si="48"/>
        <v>0</v>
      </c>
      <c r="BR67" s="145">
        <f t="shared" si="49"/>
        <v>0</v>
      </c>
      <c r="BS67" s="96">
        <f t="shared" si="71"/>
        <v>0</v>
      </c>
      <c r="BT67" s="145">
        <f t="shared" si="50"/>
        <v>0</v>
      </c>
      <c r="BU67" s="146">
        <f t="shared" si="16"/>
        <v>103</v>
      </c>
      <c r="BV67" s="153">
        <f t="shared" si="17"/>
        <v>1</v>
      </c>
      <c r="BW67" s="146">
        <f t="shared" si="18"/>
        <v>5.0000000000000044</v>
      </c>
      <c r="BX67" s="153">
        <f t="shared" si="51"/>
        <v>1.08</v>
      </c>
      <c r="BY67" s="61">
        <f t="shared" si="73"/>
        <v>1</v>
      </c>
      <c r="BZ67" s="62">
        <f t="shared" si="52"/>
        <v>1</v>
      </c>
      <c r="CA67" s="153">
        <f t="shared" si="53"/>
        <v>0.56855999999999995</v>
      </c>
      <c r="CB67" s="146">
        <f t="shared" si="99"/>
        <v>103</v>
      </c>
      <c r="CC67" s="146">
        <f t="shared" si="99"/>
        <v>27.600000000000023</v>
      </c>
      <c r="CD67" s="146">
        <f t="shared" si="99"/>
        <v>5.0000000000000044</v>
      </c>
      <c r="CE67" s="150"/>
      <c r="CF67" s="150"/>
      <c r="CG67" s="51">
        <f t="shared" si="54"/>
        <v>0.51144000000000012</v>
      </c>
      <c r="CH67" s="62">
        <f t="shared" si="55"/>
        <v>0.51144000000000012</v>
      </c>
      <c r="CI67" s="150"/>
      <c r="CJ67" s="150">
        <f>103*5.52</f>
        <v>568.55999999999995</v>
      </c>
      <c r="CK67" s="150"/>
      <c r="CL67" s="145"/>
      <c r="CM67" s="150"/>
      <c r="CN67" s="150"/>
      <c r="CO67" s="146"/>
      <c r="CP67" s="154"/>
      <c r="CQ67" s="102">
        <f t="shared" si="102"/>
        <v>103</v>
      </c>
      <c r="CR67" s="102">
        <f t="shared" si="102"/>
        <v>0</v>
      </c>
      <c r="CS67" s="102">
        <f t="shared" si="102"/>
        <v>0</v>
      </c>
      <c r="CT67" s="92">
        <f t="shared" si="57"/>
        <v>0</v>
      </c>
      <c r="CU67" s="92">
        <f t="shared" si="103"/>
        <v>0</v>
      </c>
      <c r="CV67" s="103">
        <f t="shared" si="103"/>
        <v>0</v>
      </c>
      <c r="CW67" s="155" t="s">
        <v>147</v>
      </c>
      <c r="CX67" s="156">
        <v>15</v>
      </c>
      <c r="CY67" s="157">
        <f t="shared" si="59"/>
        <v>2520</v>
      </c>
      <c r="CZ67" s="157">
        <f t="shared" si="60"/>
        <v>60.750000000000007</v>
      </c>
      <c r="DA67" s="157"/>
      <c r="DB67" s="157"/>
      <c r="DC67" s="156"/>
      <c r="DD67" s="158"/>
      <c r="DE67" s="92">
        <f t="shared" si="21"/>
        <v>103</v>
      </c>
      <c r="DF67" s="108">
        <f t="shared" si="22"/>
        <v>1</v>
      </c>
      <c r="DG67" s="115">
        <f t="shared" si="23"/>
        <v>5.0000000000000044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6"/>
        <v>103</v>
      </c>
      <c r="DL67" s="108">
        <f t="shared" si="86"/>
        <v>1</v>
      </c>
      <c r="DM67" s="111">
        <f t="shared" si="86"/>
        <v>5.0000000000000044</v>
      </c>
      <c r="DN67" s="76">
        <f t="shared" si="89"/>
        <v>0</v>
      </c>
      <c r="DO67" s="76">
        <f t="shared" si="90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12">IFERROR(AL67+BF67,"")</f>
        <v>1</v>
      </c>
      <c r="DX67" s="159">
        <f t="shared" si="29"/>
        <v>109</v>
      </c>
      <c r="DY67" s="80">
        <f t="shared" si="62"/>
        <v>103</v>
      </c>
      <c r="DZ67" s="82">
        <f t="shared" si="63"/>
        <v>0</v>
      </c>
      <c r="EA67" s="82">
        <f t="shared" si="64"/>
        <v>0.56855999999999995</v>
      </c>
      <c r="EB67" s="82">
        <f t="shared" si="65"/>
        <v>0.51144000000000012</v>
      </c>
      <c r="EC67" s="82">
        <f>(BX67-CA67)+((AV67+BP67)/1000)</f>
        <v>0.51144000000000012</v>
      </c>
      <c r="EF67" s="83">
        <f t="shared" si="108"/>
        <v>5.0000000000000044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1"/>
        <v>TVA2011-T3-6.35x3-H9A14</v>
      </c>
      <c r="H68" s="46" t="str">
        <f t="shared" si="32"/>
        <v>A2011-T3TV6.350DH9</v>
      </c>
      <c r="I68" s="46" t="str">
        <f t="shared" si="33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4"/>
        <v>8</v>
      </c>
      <c r="T68" s="51">
        <f>'04.02'!BG68</f>
        <v>5</v>
      </c>
      <c r="U68" s="92">
        <v>25</v>
      </c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11167</v>
      </c>
      <c r="AC68" s="93">
        <f t="shared" si="11"/>
        <v>0</v>
      </c>
      <c r="AD68" s="93">
        <f t="shared" si="12"/>
        <v>12</v>
      </c>
      <c r="AE68" s="93">
        <f t="shared" si="35"/>
        <v>11167</v>
      </c>
      <c r="AF68" s="54">
        <f>AE68+'04.02'!AF68</f>
        <v>55515</v>
      </c>
      <c r="AG68" s="94">
        <f t="shared" si="66"/>
        <v>5</v>
      </c>
      <c r="AH68" s="56">
        <f t="shared" si="13"/>
        <v>0</v>
      </c>
      <c r="AI68" s="93">
        <v>12</v>
      </c>
      <c r="AJ68" s="93">
        <f t="shared" si="67"/>
        <v>0</v>
      </c>
      <c r="AK68" s="95">
        <f t="shared" si="36"/>
        <v>1</v>
      </c>
      <c r="AL68" s="58">
        <f t="shared" si="37"/>
        <v>12</v>
      </c>
      <c r="AM68" s="55">
        <f t="shared" si="68"/>
        <v>18</v>
      </c>
      <c r="AN68" s="93"/>
      <c r="AO68" s="96"/>
      <c r="AP68" s="96"/>
      <c r="AQ68" s="96"/>
      <c r="AR68" s="96"/>
      <c r="AS68" s="96"/>
      <c r="AT68" s="96">
        <f t="shared" ref="AT68:AT73" si="113">$CJ68</f>
        <v>2100</v>
      </c>
      <c r="AU68" s="96">
        <f t="shared" si="38"/>
        <v>0</v>
      </c>
      <c r="AV68" s="96">
        <f t="shared" si="38"/>
        <v>5</v>
      </c>
      <c r="AW68" s="96">
        <f t="shared" si="39"/>
        <v>2105</v>
      </c>
      <c r="AX68" s="96">
        <f t="shared" si="40"/>
        <v>5342</v>
      </c>
      <c r="AY68" s="94">
        <f t="shared" si="69"/>
        <v>19.951999999999771</v>
      </c>
      <c r="AZ68" s="94">
        <f t="shared" si="41"/>
        <v>50.639593908628861</v>
      </c>
      <c r="BA68" s="94">
        <f t="shared" si="42"/>
        <v>18</v>
      </c>
      <c r="BB68" s="97">
        <f t="shared" si="43"/>
        <v>0</v>
      </c>
      <c r="BC68" s="93">
        <v>13</v>
      </c>
      <c r="BD68" s="93">
        <f t="shared" si="44"/>
        <v>0</v>
      </c>
      <c r="BE68" s="95">
        <f t="shared" si="45"/>
        <v>1</v>
      </c>
      <c r="BF68" s="58">
        <f t="shared" si="46"/>
        <v>13</v>
      </c>
      <c r="BG68" s="94">
        <f t="shared" si="47"/>
        <v>5</v>
      </c>
      <c r="BH68" s="89"/>
      <c r="BI68" s="89"/>
      <c r="BJ68" s="92"/>
      <c r="BK68" s="89"/>
      <c r="BL68" s="89"/>
      <c r="BM68" s="89"/>
      <c r="BN68" s="92">
        <f t="shared" ref="BN68:BN73" si="114">$CN68</f>
        <v>2300</v>
      </c>
      <c r="BO68" s="92">
        <f t="shared" si="70"/>
        <v>0</v>
      </c>
      <c r="BP68" s="92">
        <f t="shared" si="70"/>
        <v>0</v>
      </c>
      <c r="BQ68" s="96">
        <f t="shared" si="48"/>
        <v>2300</v>
      </c>
      <c r="BR68" s="96">
        <f t="shared" si="49"/>
        <v>5837</v>
      </c>
      <c r="BS68" s="96">
        <f t="shared" si="71"/>
        <v>41.197999999999865</v>
      </c>
      <c r="BT68" s="96">
        <f t="shared" si="50"/>
        <v>104.5634517766494</v>
      </c>
      <c r="BU68" s="92">
        <f t="shared" si="16"/>
        <v>11167</v>
      </c>
      <c r="BV68" s="98">
        <f t="shared" si="17"/>
        <v>25</v>
      </c>
      <c r="BW68" s="92">
        <f t="shared" si="18"/>
        <v>155.20304568527825</v>
      </c>
      <c r="BX68" s="98">
        <f t="shared" si="51"/>
        <v>6.5</v>
      </c>
      <c r="BY68" s="61">
        <f t="shared" si="73"/>
        <v>25</v>
      </c>
      <c r="BZ68" s="62">
        <f t="shared" si="52"/>
        <v>25</v>
      </c>
      <c r="CA68" s="98">
        <f t="shared" si="53"/>
        <v>4.4050000000000002</v>
      </c>
      <c r="CB68" s="92">
        <f t="shared" si="99"/>
        <v>11179</v>
      </c>
      <c r="CC68" s="92">
        <f t="shared" si="99"/>
        <v>61.149999999999636</v>
      </c>
      <c r="CD68" s="92">
        <f t="shared" si="99"/>
        <v>155.20304568527825</v>
      </c>
      <c r="CE68" s="99"/>
      <c r="CF68" s="99"/>
      <c r="CG68" s="51">
        <f t="shared" si="54"/>
        <v>2.0999999999999996</v>
      </c>
      <c r="CH68" s="62">
        <f t="shared" si="55"/>
        <v>2.0999999999999996</v>
      </c>
      <c r="CI68" s="89"/>
      <c r="CJ68" s="89">
        <v>2100</v>
      </c>
      <c r="CK68" s="89"/>
      <c r="CL68" s="96">
        <v>5</v>
      </c>
      <c r="CM68" s="89"/>
      <c r="CN68" s="89">
        <v>2300</v>
      </c>
      <c r="CO68" s="92"/>
      <c r="CP68" s="101"/>
      <c r="CQ68" s="102">
        <f t="shared" si="102"/>
        <v>5329</v>
      </c>
      <c r="CR68" s="102">
        <f t="shared" si="102"/>
        <v>0</v>
      </c>
      <c r="CS68" s="102">
        <f t="shared" si="102"/>
        <v>12</v>
      </c>
      <c r="CT68" s="92">
        <f t="shared" si="57"/>
        <v>5838</v>
      </c>
      <c r="CU68" s="92">
        <f t="shared" si="103"/>
        <v>0</v>
      </c>
      <c r="CV68" s="103">
        <f t="shared" si="103"/>
        <v>0</v>
      </c>
      <c r="CW68" s="104" t="s">
        <v>147</v>
      </c>
      <c r="CX68" s="105">
        <v>23.98</v>
      </c>
      <c r="CY68" s="106">
        <f t="shared" si="59"/>
        <v>1763</v>
      </c>
      <c r="CZ68" s="106">
        <f t="shared" si="60"/>
        <v>97.119</v>
      </c>
      <c r="DA68" s="106"/>
      <c r="DB68" s="106"/>
      <c r="DC68" s="105"/>
      <c r="DD68" s="107"/>
      <c r="DE68" s="92">
        <f t="shared" si="21"/>
        <v>5329</v>
      </c>
      <c r="DF68" s="108">
        <f t="shared" si="22"/>
        <v>12</v>
      </c>
      <c r="DG68" s="115">
        <f t="shared" si="23"/>
        <v>50.639593908628861</v>
      </c>
      <c r="DH68" s="110">
        <f t="shared" si="24"/>
        <v>5838</v>
      </c>
      <c r="DI68" s="108">
        <f t="shared" si="25"/>
        <v>13</v>
      </c>
      <c r="DJ68" s="115">
        <f t="shared" si="26"/>
        <v>104.5634517766494</v>
      </c>
      <c r="DK68" s="110">
        <f t="shared" si="86"/>
        <v>11167</v>
      </c>
      <c r="DL68" s="108">
        <f t="shared" si="86"/>
        <v>25</v>
      </c>
      <c r="DM68" s="111">
        <f t="shared" si="86"/>
        <v>155.20304568527825</v>
      </c>
      <c r="DN68" s="76">
        <f t="shared" si="89"/>
        <v>5</v>
      </c>
      <c r="DO68" s="76">
        <f t="shared" si="90"/>
        <v>25</v>
      </c>
      <c r="DP68" s="112"/>
      <c r="DQ68" s="112"/>
      <c r="DR68" s="113" t="s">
        <v>458</v>
      </c>
      <c r="DS68" s="112"/>
      <c r="DT68" s="112"/>
      <c r="DU68" s="111"/>
      <c r="DV68" s="114"/>
      <c r="DW68" s="80">
        <f t="shared" si="112"/>
        <v>25</v>
      </c>
      <c r="DX68" s="81">
        <f t="shared" si="29"/>
        <v>11347.203045685279</v>
      </c>
      <c r="DY68" s="80">
        <f t="shared" si="62"/>
        <v>11179</v>
      </c>
      <c r="DZ68" s="82">
        <f t="shared" si="63"/>
        <v>4.7279999999999996E-3</v>
      </c>
      <c r="EA68" s="82">
        <f t="shared" si="64"/>
        <v>4.3997979999999997</v>
      </c>
      <c r="EB68" s="82">
        <f t="shared" si="65"/>
        <v>2.1002020000000003</v>
      </c>
      <c r="EC68" s="82">
        <f t="shared" si="75"/>
        <v>2.1049300000000004</v>
      </c>
      <c r="EF68" s="83">
        <f t="shared" si="108"/>
        <v>155.20304568527825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1"/>
        <v>GAA5052-5.7x3-H9A14</v>
      </c>
      <c r="H69" s="46" t="str">
        <f t="shared" si="32"/>
        <v>A5052GA5.70DH9</v>
      </c>
      <c r="I69" s="46" t="str">
        <f t="shared" si="33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4"/>
        <v>20</v>
      </c>
      <c r="T69" s="51">
        <f>'04.02'!BG69</f>
        <v>12.000000000000002</v>
      </c>
      <c r="U69" s="92">
        <v>13</v>
      </c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2860</v>
      </c>
      <c r="AC69" s="93">
        <f t="shared" si="11"/>
        <v>0</v>
      </c>
      <c r="AD69" s="93">
        <f t="shared" si="12"/>
        <v>160</v>
      </c>
      <c r="AE69" s="93">
        <f t="shared" si="35"/>
        <v>2860</v>
      </c>
      <c r="AF69" s="54">
        <f>AE69+'04.02'!AF69</f>
        <v>14805</v>
      </c>
      <c r="AG69" s="94">
        <f t="shared" si="66"/>
        <v>12.000000000000002</v>
      </c>
      <c r="AH69" s="56">
        <f t="shared" si="13"/>
        <v>0</v>
      </c>
      <c r="AI69" s="93">
        <v>6</v>
      </c>
      <c r="AJ69" s="93">
        <f t="shared" si="67"/>
        <v>0</v>
      </c>
      <c r="AK69" s="95">
        <f t="shared" si="36"/>
        <v>1</v>
      </c>
      <c r="AL69" s="58">
        <f t="shared" si="37"/>
        <v>6</v>
      </c>
      <c r="AM69" s="55">
        <f t="shared" si="68"/>
        <v>19</v>
      </c>
      <c r="AN69" s="93"/>
      <c r="AO69" s="96"/>
      <c r="AP69" s="96"/>
      <c r="AQ69" s="96"/>
      <c r="AR69" s="96"/>
      <c r="AS69" s="96"/>
      <c r="AT69" s="96">
        <f t="shared" si="113"/>
        <v>205</v>
      </c>
      <c r="AU69" s="96">
        <f t="shared" si="38"/>
        <v>0</v>
      </c>
      <c r="AV69" s="96">
        <f t="shared" si="38"/>
        <v>9</v>
      </c>
      <c r="AW69" s="96">
        <f t="shared" si="39"/>
        <v>214</v>
      </c>
      <c r="AX69" s="96">
        <f t="shared" si="40"/>
        <v>1426</v>
      </c>
      <c r="AY69" s="94">
        <f t="shared" si="69"/>
        <v>-2</v>
      </c>
      <c r="AZ69" s="94">
        <f t="shared" si="41"/>
        <v>-13.333333333333334</v>
      </c>
      <c r="BA69" s="94">
        <f t="shared" si="42"/>
        <v>19</v>
      </c>
      <c r="BB69" s="97">
        <f t="shared" si="43"/>
        <v>0</v>
      </c>
      <c r="BC69" s="93">
        <v>7</v>
      </c>
      <c r="BD69" s="93">
        <f t="shared" si="44"/>
        <v>0</v>
      </c>
      <c r="BE69" s="95">
        <f t="shared" si="45"/>
        <v>1</v>
      </c>
      <c r="BF69" s="58">
        <f t="shared" si="46"/>
        <v>7</v>
      </c>
      <c r="BG69" s="94">
        <f t="shared" si="47"/>
        <v>12</v>
      </c>
      <c r="BH69" s="89"/>
      <c r="BI69" s="89"/>
      <c r="BJ69" s="89"/>
      <c r="BK69" s="89"/>
      <c r="BL69" s="89"/>
      <c r="BM69" s="89"/>
      <c r="BN69" s="92">
        <f t="shared" si="114"/>
        <v>224</v>
      </c>
      <c r="BO69" s="92">
        <f t="shared" si="70"/>
        <v>0</v>
      </c>
      <c r="BP69" s="92">
        <f t="shared" si="70"/>
        <v>15</v>
      </c>
      <c r="BQ69" s="96">
        <f t="shared" si="48"/>
        <v>239</v>
      </c>
      <c r="BR69" s="96">
        <f t="shared" si="49"/>
        <v>1593</v>
      </c>
      <c r="BS69" s="96">
        <f t="shared" si="71"/>
        <v>-13</v>
      </c>
      <c r="BT69" s="96">
        <f>IF($V69="","",BS69/$V69)</f>
        <v>-86.666666666666671</v>
      </c>
      <c r="BU69" s="92">
        <f t="shared" si="16"/>
        <v>2860</v>
      </c>
      <c r="BV69" s="98">
        <f t="shared" si="17"/>
        <v>13</v>
      </c>
      <c r="BW69" s="92">
        <f t="shared" si="18"/>
        <v>-100</v>
      </c>
      <c r="BX69" s="98">
        <f t="shared" si="51"/>
        <v>2.6519999999999997</v>
      </c>
      <c r="BY69" s="61">
        <f t="shared" si="73"/>
        <v>13</v>
      </c>
      <c r="BZ69" s="62">
        <f t="shared" si="52"/>
        <v>13</v>
      </c>
      <c r="CA69" s="98">
        <f t="shared" si="53"/>
        <v>0.45300000000000001</v>
      </c>
      <c r="CB69" s="92">
        <f t="shared" si="99"/>
        <v>3019</v>
      </c>
      <c r="CC69" s="92">
        <f t="shared" si="99"/>
        <v>-15</v>
      </c>
      <c r="CD69" s="92">
        <f t="shared" si="99"/>
        <v>-100</v>
      </c>
      <c r="CE69" s="99"/>
      <c r="CF69" s="99"/>
      <c r="CG69" s="51">
        <f t="shared" si="54"/>
        <v>2.2229999999999999</v>
      </c>
      <c r="CH69" s="62">
        <f t="shared" si="55"/>
        <v>2.2229999999999999</v>
      </c>
      <c r="CI69" s="89"/>
      <c r="CJ69" s="89">
        <v>205</v>
      </c>
      <c r="CK69" s="89"/>
      <c r="CL69" s="96">
        <v>9</v>
      </c>
      <c r="CM69" s="89"/>
      <c r="CN69" s="89">
        <v>224</v>
      </c>
      <c r="CO69" s="92"/>
      <c r="CP69" s="101">
        <v>15</v>
      </c>
      <c r="CQ69" s="102">
        <f t="shared" si="102"/>
        <v>1366</v>
      </c>
      <c r="CR69" s="102">
        <f t="shared" si="102"/>
        <v>0</v>
      </c>
      <c r="CS69" s="102">
        <f t="shared" si="102"/>
        <v>60</v>
      </c>
      <c r="CT69" s="92">
        <f t="shared" si="57"/>
        <v>1494</v>
      </c>
      <c r="CU69" s="92">
        <f t="shared" si="103"/>
        <v>0</v>
      </c>
      <c r="CV69" s="103">
        <f t="shared" si="103"/>
        <v>100</v>
      </c>
      <c r="CW69" s="104" t="s">
        <v>147</v>
      </c>
      <c r="CX69" s="105">
        <v>16.8</v>
      </c>
      <c r="CY69" s="106">
        <f t="shared" si="59"/>
        <v>2453</v>
      </c>
      <c r="CZ69" s="106">
        <f t="shared" si="60"/>
        <v>68.040000000000006</v>
      </c>
      <c r="DA69" s="106"/>
      <c r="DB69" s="106"/>
      <c r="DC69" s="105"/>
      <c r="DD69" s="107"/>
      <c r="DE69" s="92">
        <f t="shared" si="21"/>
        <v>1366</v>
      </c>
      <c r="DF69" s="108">
        <f t="shared" si="22"/>
        <v>6</v>
      </c>
      <c r="DG69" s="115">
        <f t="shared" si="23"/>
        <v>-13.333333333333334</v>
      </c>
      <c r="DH69" s="110">
        <f t="shared" si="24"/>
        <v>1494</v>
      </c>
      <c r="DI69" s="108">
        <f t="shared" si="25"/>
        <v>7</v>
      </c>
      <c r="DJ69" s="112">
        <f t="shared" si="26"/>
        <v>-86.666666666666671</v>
      </c>
      <c r="DK69" s="110">
        <f t="shared" si="86"/>
        <v>2860</v>
      </c>
      <c r="DL69" s="108">
        <f t="shared" si="86"/>
        <v>13</v>
      </c>
      <c r="DM69" s="111">
        <f t="shared" si="86"/>
        <v>-100</v>
      </c>
      <c r="DN69" s="76">
        <f t="shared" si="89"/>
        <v>12.000000000000002</v>
      </c>
      <c r="DO69" s="76">
        <f t="shared" si="90"/>
        <v>13</v>
      </c>
      <c r="DP69" s="112"/>
      <c r="DQ69" s="112"/>
      <c r="DR69" s="113" t="s">
        <v>459</v>
      </c>
      <c r="DS69" s="112"/>
      <c r="DT69" s="112"/>
      <c r="DU69" s="111"/>
      <c r="DV69" s="114"/>
      <c r="DW69" s="80">
        <f t="shared" si="61"/>
        <v>2873</v>
      </c>
      <c r="DX69" s="81">
        <f t="shared" si="29"/>
        <v>2773</v>
      </c>
      <c r="DY69" s="80">
        <f t="shared" si="62"/>
        <v>3020</v>
      </c>
      <c r="DZ69" s="82">
        <f t="shared" si="63"/>
        <v>2.4E-2</v>
      </c>
      <c r="EA69" s="82">
        <f t="shared" si="64"/>
        <v>0.42899999999999999</v>
      </c>
      <c r="EB69" s="82">
        <f t="shared" si="65"/>
        <v>2.2229999999999999</v>
      </c>
      <c r="EC69" s="82">
        <f t="shared" si="75"/>
        <v>2.2469999999999999</v>
      </c>
      <c r="EF69" s="83">
        <f t="shared" si="108"/>
        <v>-100</v>
      </c>
    </row>
    <row r="70" spans="1:136" ht="14.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1"/>
        <v>YHC2700-5.5x3-H9A14</v>
      </c>
      <c r="H70" s="46" t="str">
        <f t="shared" si="32"/>
        <v>C2700YH5.50DH9</v>
      </c>
      <c r="I70" s="46" t="str">
        <f t="shared" si="33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4"/>
        <v>24</v>
      </c>
      <c r="T70" s="51">
        <f>'04.02'!BG70</f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>AE70+'04.02'!AF70</f>
        <v>0</v>
      </c>
      <c r="AG70" s="94">
        <f t="shared" si="66"/>
        <v>0</v>
      </c>
      <c r="AH70" s="56">
        <f t="shared" si="13"/>
        <v>0</v>
      </c>
      <c r="AI70" s="93"/>
      <c r="AJ70" s="93">
        <f t="shared" si="67"/>
        <v>0</v>
      </c>
      <c r="AK70" s="95">
        <f t="shared" si="36"/>
        <v>1</v>
      </c>
      <c r="AL70" s="58">
        <f t="shared" si="37"/>
        <v>0</v>
      </c>
      <c r="AM70" s="55">
        <f t="shared" si="68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8"/>
        <v>0</v>
      </c>
      <c r="AV70" s="96">
        <f t="shared" si="38"/>
        <v>0</v>
      </c>
      <c r="AW70" s="96">
        <f t="shared" si="39"/>
        <v>0</v>
      </c>
      <c r="AX70" s="96">
        <f>IF(V70="","",INT(AW70/$V70))</f>
        <v>0</v>
      </c>
      <c r="AY70" s="94">
        <f t="shared" si="69"/>
        <v>0</v>
      </c>
      <c r="AZ70" s="94">
        <f t="shared" si="41"/>
        <v>0</v>
      </c>
      <c r="BA70" s="94">
        <f t="shared" si="42"/>
        <v>0</v>
      </c>
      <c r="BB70" s="97">
        <f t="shared" si="43"/>
        <v>0</v>
      </c>
      <c r="BC70" s="93"/>
      <c r="BD70" s="93">
        <f t="shared" si="44"/>
        <v>0</v>
      </c>
      <c r="BE70" s="95">
        <f t="shared" si="45"/>
        <v>1</v>
      </c>
      <c r="BF70" s="58">
        <f t="shared" si="46"/>
        <v>0</v>
      </c>
      <c r="BG70" s="94">
        <f t="shared" si="47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0"/>
        <v>0</v>
      </c>
      <c r="BP70" s="92">
        <f t="shared" si="70"/>
        <v>0</v>
      </c>
      <c r="BQ70" s="96">
        <f t="shared" si="48"/>
        <v>0</v>
      </c>
      <c r="BR70" s="96">
        <f t="shared" si="49"/>
        <v>0</v>
      </c>
      <c r="BS70" s="96">
        <f t="shared" si="71"/>
        <v>0</v>
      </c>
      <c r="BT70" s="96">
        <f t="shared" si="50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1"/>
        <v>0</v>
      </c>
      <c r="BY70" s="61">
        <f t="shared" si="73"/>
        <v>0</v>
      </c>
      <c r="BZ70" s="62">
        <f t="shared" si="52"/>
        <v>0</v>
      </c>
      <c r="CA70" s="98">
        <f t="shared" si="53"/>
        <v>0</v>
      </c>
      <c r="CB70" s="92">
        <f t="shared" si="99"/>
        <v>0</v>
      </c>
      <c r="CC70" s="92">
        <f t="shared" si="99"/>
        <v>0</v>
      </c>
      <c r="CD70" s="92">
        <f t="shared" si="99"/>
        <v>0</v>
      </c>
      <c r="CE70" s="99"/>
      <c r="CF70" s="99"/>
      <c r="CG70" s="51">
        <f t="shared" si="54"/>
        <v>0</v>
      </c>
      <c r="CH70" s="62">
        <f t="shared" si="55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102"/>
        <v>0</v>
      </c>
      <c r="CR70" s="102">
        <f t="shared" si="102"/>
        <v>0</v>
      </c>
      <c r="CS70" s="102">
        <f t="shared" si="102"/>
        <v>0</v>
      </c>
      <c r="CT70" s="92">
        <f t="shared" si="57"/>
        <v>0</v>
      </c>
      <c r="CU70" s="92">
        <f t="shared" si="103"/>
        <v>0</v>
      </c>
      <c r="CV70" s="103">
        <f t="shared" si="103"/>
        <v>0</v>
      </c>
      <c r="CW70" s="104" t="s">
        <v>147</v>
      </c>
      <c r="CX70" s="105">
        <v>20</v>
      </c>
      <c r="CY70" s="106">
        <f t="shared" si="59"/>
        <v>2034</v>
      </c>
      <c r="CZ70" s="106">
        <f t="shared" si="60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6"/>
        <v>0</v>
      </c>
      <c r="DL70" s="108">
        <f t="shared" si="86"/>
        <v>0</v>
      </c>
      <c r="DM70" s="111">
        <f t="shared" si="86"/>
        <v>0</v>
      </c>
      <c r="DN70" s="76">
        <f t="shared" si="89"/>
        <v>0</v>
      </c>
      <c r="DO70" s="76">
        <f t="shared" si="90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1"/>
        <v>0</v>
      </c>
      <c r="DX70" s="81">
        <f t="shared" si="29"/>
        <v>0</v>
      </c>
      <c r="DY70" s="80">
        <f t="shared" si="62"/>
        <v>0</v>
      </c>
      <c r="DZ70" s="82">
        <f t="shared" si="63"/>
        <v>0</v>
      </c>
      <c r="EA70" s="82">
        <f t="shared" si="64"/>
        <v>0</v>
      </c>
      <c r="EB70" s="82">
        <f t="shared" si="65"/>
        <v>0</v>
      </c>
      <c r="EC70" s="82">
        <f>(BX70-CA70)+((AV70+BP70)/1000)</f>
        <v>0</v>
      </c>
      <c r="EF70" s="83">
        <f t="shared" si="108"/>
        <v>0</v>
      </c>
    </row>
    <row r="71" spans="1:136" ht="14.1" customHeight="1">
      <c r="A71" s="84">
        <v>64</v>
      </c>
      <c r="B71" s="85" t="s">
        <v>319</v>
      </c>
      <c r="C71" s="86"/>
      <c r="D71" s="119">
        <v>8400</v>
      </c>
      <c r="E71" s="88">
        <v>92</v>
      </c>
      <c r="F71" s="89" t="s">
        <v>147</v>
      </c>
      <c r="G71" s="45" t="str">
        <f t="shared" si="31"/>
        <v>IBC3604-6.2x3-H9B14</v>
      </c>
      <c r="H71" s="46" t="str">
        <f t="shared" si="32"/>
        <v>C3604IB6.20DH9</v>
      </c>
      <c r="I71" s="46" t="str">
        <f t="shared" si="33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4"/>
        <v>38</v>
      </c>
      <c r="T71" s="51">
        <f>'04.02'!BG71</f>
        <v>0</v>
      </c>
      <c r="U71" s="92"/>
      <c r="V71" s="100">
        <v>4.26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5"/>
        <v>0</v>
      </c>
      <c r="AF71" s="54">
        <f>AE71+'04.02'!AF71</f>
        <v>0</v>
      </c>
      <c r="AG71" s="94">
        <f t="shared" si="66"/>
        <v>0</v>
      </c>
      <c r="AH71" s="56">
        <f t="shared" si="13"/>
        <v>0</v>
      </c>
      <c r="AI71" s="93"/>
      <c r="AJ71" s="93">
        <f t="shared" si="67"/>
        <v>0</v>
      </c>
      <c r="AK71" s="95">
        <f t="shared" si="36"/>
        <v>1</v>
      </c>
      <c r="AL71" s="58">
        <f t="shared" si="37"/>
        <v>0</v>
      </c>
      <c r="AM71" s="55">
        <f t="shared" si="68"/>
        <v>0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8"/>
        <v>0</v>
      </c>
      <c r="AV71" s="96">
        <f t="shared" si="38"/>
        <v>0</v>
      </c>
      <c r="AW71" s="96">
        <f t="shared" si="39"/>
        <v>0</v>
      </c>
      <c r="AX71" s="96">
        <f t="shared" si="40"/>
        <v>0</v>
      </c>
      <c r="AY71" s="94">
        <f t="shared" si="69"/>
        <v>0</v>
      </c>
      <c r="AZ71" s="94">
        <f t="shared" si="41"/>
        <v>0</v>
      </c>
      <c r="BA71" s="94">
        <f t="shared" si="42"/>
        <v>0</v>
      </c>
      <c r="BB71" s="97">
        <f t="shared" si="43"/>
        <v>0</v>
      </c>
      <c r="BC71" s="93"/>
      <c r="BD71" s="93">
        <f t="shared" si="44"/>
        <v>0</v>
      </c>
      <c r="BE71" s="95">
        <f t="shared" si="45"/>
        <v>1</v>
      </c>
      <c r="BF71" s="58">
        <f t="shared" si="46"/>
        <v>0</v>
      </c>
      <c r="BG71" s="94">
        <f t="shared" si="47"/>
        <v>0</v>
      </c>
      <c r="BH71" s="89"/>
      <c r="BI71" s="89"/>
      <c r="BJ71" s="92">
        <f>$CN71</f>
        <v>0</v>
      </c>
      <c r="BK71" s="89"/>
      <c r="BL71" s="89"/>
      <c r="BM71" s="89"/>
      <c r="BN71" s="89"/>
      <c r="BO71" s="92">
        <f t="shared" si="70"/>
        <v>0</v>
      </c>
      <c r="BP71" s="92">
        <f t="shared" si="70"/>
        <v>0</v>
      </c>
      <c r="BQ71" s="96">
        <f t="shared" si="48"/>
        <v>0</v>
      </c>
      <c r="BR71" s="96">
        <f t="shared" si="49"/>
        <v>0</v>
      </c>
      <c r="BS71" s="96">
        <f t="shared" si="71"/>
        <v>0</v>
      </c>
      <c r="BT71" s="96">
        <f t="shared" si="50"/>
        <v>0</v>
      </c>
      <c r="BU71" s="92">
        <f t="shared" si="16"/>
        <v>0</v>
      </c>
      <c r="BV71" s="98">
        <f t="shared" si="17"/>
        <v>0</v>
      </c>
      <c r="BW71" s="92">
        <f t="shared" si="18"/>
        <v>0</v>
      </c>
      <c r="BX71" s="98">
        <f t="shared" si="51"/>
        <v>0</v>
      </c>
      <c r="BY71" s="61">
        <f t="shared" si="73"/>
        <v>0</v>
      </c>
      <c r="BZ71" s="62">
        <f t="shared" si="52"/>
        <v>0</v>
      </c>
      <c r="CA71" s="98">
        <f t="shared" si="53"/>
        <v>0</v>
      </c>
      <c r="CB71" s="92">
        <f t="shared" si="99"/>
        <v>0</v>
      </c>
      <c r="CC71" s="92">
        <f t="shared" si="99"/>
        <v>0</v>
      </c>
      <c r="CD71" s="92">
        <f t="shared" si="99"/>
        <v>0</v>
      </c>
      <c r="CE71" s="99"/>
      <c r="CF71" s="99"/>
      <c r="CG71" s="51">
        <f t="shared" si="54"/>
        <v>0</v>
      </c>
      <c r="CH71" s="62">
        <f t="shared" si="55"/>
        <v>0</v>
      </c>
      <c r="CI71" s="89"/>
      <c r="CJ71" s="89"/>
      <c r="CK71" s="89"/>
      <c r="CL71" s="96"/>
      <c r="CM71" s="89"/>
      <c r="CN71" s="89"/>
      <c r="CO71" s="92"/>
      <c r="CP71" s="101"/>
      <c r="CQ71" s="102">
        <f t="shared" si="102"/>
        <v>0</v>
      </c>
      <c r="CR71" s="102">
        <f t="shared" si="102"/>
        <v>0</v>
      </c>
      <c r="CS71" s="102">
        <f t="shared" si="102"/>
        <v>0</v>
      </c>
      <c r="CT71" s="92">
        <f t="shared" si="57"/>
        <v>0</v>
      </c>
      <c r="CU71" s="92">
        <f t="shared" si="103"/>
        <v>0</v>
      </c>
      <c r="CV71" s="103">
        <f t="shared" si="103"/>
        <v>0</v>
      </c>
      <c r="CW71" s="104" t="s">
        <v>147</v>
      </c>
      <c r="CX71" s="105">
        <v>23</v>
      </c>
      <c r="CY71" s="106">
        <f t="shared" si="59"/>
        <v>1713</v>
      </c>
      <c r="CZ71" s="106">
        <f t="shared" si="60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0</v>
      </c>
      <c r="DG71" s="115">
        <f t="shared" si="23"/>
        <v>0</v>
      </c>
      <c r="DH71" s="110">
        <f t="shared" si="24"/>
        <v>0</v>
      </c>
      <c r="DI71" s="108">
        <f t="shared" si="25"/>
        <v>0</v>
      </c>
      <c r="DJ71" s="112">
        <f t="shared" si="26"/>
        <v>0</v>
      </c>
      <c r="DK71" s="110">
        <f t="shared" si="86"/>
        <v>0</v>
      </c>
      <c r="DL71" s="108">
        <f t="shared" si="86"/>
        <v>0</v>
      </c>
      <c r="DM71" s="111">
        <f t="shared" si="86"/>
        <v>0</v>
      </c>
      <c r="DN71" s="76">
        <f t="shared" si="89"/>
        <v>0</v>
      </c>
      <c r="DO71" s="76">
        <f t="shared" si="90"/>
        <v>0</v>
      </c>
      <c r="DP71" s="112"/>
      <c r="DQ71" s="112"/>
      <c r="DR71" s="113"/>
      <c r="DS71" s="112"/>
      <c r="DT71" s="112"/>
      <c r="DU71" s="111"/>
      <c r="DV71" s="114"/>
      <c r="DW71" s="80">
        <f t="shared" si="61"/>
        <v>0</v>
      </c>
      <c r="DX71" s="81">
        <f t="shared" si="29"/>
        <v>0</v>
      </c>
      <c r="DY71" s="80">
        <f t="shared" si="62"/>
        <v>0</v>
      </c>
      <c r="DZ71" s="82">
        <f t="shared" si="63"/>
        <v>0</v>
      </c>
      <c r="EA71" s="82">
        <f t="shared" si="64"/>
        <v>0</v>
      </c>
      <c r="EB71" s="82">
        <f t="shared" si="65"/>
        <v>0</v>
      </c>
      <c r="EC71" s="82">
        <f t="shared" si="75"/>
        <v>0</v>
      </c>
      <c r="EF71" s="83">
        <f t="shared" si="108"/>
        <v>0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1"/>
        <v>TVA2011-T3-7.5x3-H9B14</v>
      </c>
      <c r="H72" s="46" t="str">
        <f t="shared" si="32"/>
        <v>A2011-T3TV7.50DH9</v>
      </c>
      <c r="I72" s="46" t="str">
        <f t="shared" si="33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4"/>
        <v>24</v>
      </c>
      <c r="T72" s="51">
        <f>'04.02'!BG72</f>
        <v>30</v>
      </c>
      <c r="U72" s="92"/>
      <c r="V72" s="100">
        <v>0.58299999999999996</v>
      </c>
      <c r="W72" s="93">
        <f t="shared" ref="W72:W103" si="115">IF(V72="","",INT((AO72+BI72)/$V72))</f>
        <v>0</v>
      </c>
      <c r="X72" s="93">
        <f t="shared" ref="X72:X106" si="116">IF(V72="","",INT((AP72+BJ72)/$V72))</f>
        <v>0</v>
      </c>
      <c r="Y72" s="93">
        <f t="shared" ref="Y72:Y106" si="117">IF(V72="","",INT((AQ72+BK72)/$V72))</f>
        <v>0</v>
      </c>
      <c r="Z72" s="93">
        <f t="shared" ref="Z72:Z106" si="118">IF(V72="","",INT((AR72+BL72)/$V72))</f>
        <v>0</v>
      </c>
      <c r="AA72" s="93">
        <f t="shared" ref="AA72:AA106" si="119">IF(V72="","",INT((AS72+BM72)/$V72))</f>
        <v>0</v>
      </c>
      <c r="AB72" s="93">
        <f t="shared" ref="AB72:AB106" si="120">IF(V72="","",INT((AT72+BN72)/$V72))</f>
        <v>0</v>
      </c>
      <c r="AC72" s="93">
        <f t="shared" ref="AC72:AC106" si="121">IF(V72="","",INT((AU72+BO72)/$V72))</f>
        <v>0</v>
      </c>
      <c r="AD72" s="93">
        <f t="shared" ref="AD72:AD106" si="122">IF(V72="","",INT((AV72+BP72)/$V72))</f>
        <v>0</v>
      </c>
      <c r="AE72" s="93">
        <f t="shared" si="35"/>
        <v>0</v>
      </c>
      <c r="AF72" s="54">
        <f>AE72+'04.02'!AF72</f>
        <v>0</v>
      </c>
      <c r="AG72" s="94">
        <f t="shared" si="66"/>
        <v>30</v>
      </c>
      <c r="AH72" s="56">
        <f t="shared" si="13"/>
        <v>0</v>
      </c>
      <c r="AI72" s="93"/>
      <c r="AJ72" s="93">
        <f t="shared" si="67"/>
        <v>0</v>
      </c>
      <c r="AK72" s="95">
        <f t="shared" si="36"/>
        <v>1</v>
      </c>
      <c r="AL72" s="58">
        <f t="shared" si="37"/>
        <v>0</v>
      </c>
      <c r="AM72" s="55">
        <f t="shared" si="68"/>
        <v>30</v>
      </c>
      <c r="AN72" s="93"/>
      <c r="AO72" s="96"/>
      <c r="AP72" s="96"/>
      <c r="AQ72" s="96"/>
      <c r="AR72" s="96"/>
      <c r="AS72" s="96"/>
      <c r="AT72" s="96">
        <f t="shared" si="113"/>
        <v>0</v>
      </c>
      <c r="AU72" s="96">
        <f t="shared" si="38"/>
        <v>0</v>
      </c>
      <c r="AV72" s="96">
        <f t="shared" si="38"/>
        <v>0</v>
      </c>
      <c r="AW72" s="96">
        <f t="shared" si="39"/>
        <v>0</v>
      </c>
      <c r="AX72" s="96">
        <f t="shared" si="40"/>
        <v>0</v>
      </c>
      <c r="AY72" s="94">
        <f t="shared" si="69"/>
        <v>0</v>
      </c>
      <c r="AZ72" s="94">
        <f t="shared" si="41"/>
        <v>0</v>
      </c>
      <c r="BA72" s="94">
        <f t="shared" si="42"/>
        <v>30</v>
      </c>
      <c r="BB72" s="97">
        <f t="shared" si="43"/>
        <v>0</v>
      </c>
      <c r="BC72" s="93"/>
      <c r="BD72" s="93">
        <f t="shared" si="44"/>
        <v>0</v>
      </c>
      <c r="BE72" s="95">
        <f t="shared" si="45"/>
        <v>1</v>
      </c>
      <c r="BF72" s="58">
        <f t="shared" si="46"/>
        <v>0</v>
      </c>
      <c r="BG72" s="94">
        <f t="shared" si="47"/>
        <v>30</v>
      </c>
      <c r="BH72" s="89"/>
      <c r="BI72" s="89"/>
      <c r="BJ72" s="89"/>
      <c r="BK72" s="89"/>
      <c r="BL72" s="89"/>
      <c r="BM72" s="89"/>
      <c r="BN72" s="92">
        <f t="shared" si="114"/>
        <v>0</v>
      </c>
      <c r="BO72" s="92">
        <f t="shared" si="70"/>
        <v>0</v>
      </c>
      <c r="BP72" s="92">
        <f t="shared" si="70"/>
        <v>0</v>
      </c>
      <c r="BQ72" s="96">
        <f t="shared" si="48"/>
        <v>0</v>
      </c>
      <c r="BR72" s="96">
        <f t="shared" si="49"/>
        <v>0</v>
      </c>
      <c r="BS72" s="96">
        <f t="shared" si="71"/>
        <v>0</v>
      </c>
      <c r="BT72" s="96">
        <f t="shared" si="50"/>
        <v>0</v>
      </c>
      <c r="BU72" s="92">
        <f t="shared" ref="BU72:BU106" si="123">IFERROR(AE72,"")</f>
        <v>0</v>
      </c>
      <c r="BV72" s="98">
        <f t="shared" si="17"/>
        <v>0</v>
      </c>
      <c r="BW72" s="92">
        <f t="shared" ref="BW72:BW106" si="124">IFERROR(BT72+AZ72,"")</f>
        <v>0</v>
      </c>
      <c r="BX72" s="98">
        <f t="shared" si="51"/>
        <v>0</v>
      </c>
      <c r="BY72" s="61">
        <f t="shared" si="73"/>
        <v>0</v>
      </c>
      <c r="BZ72" s="62">
        <f t="shared" si="52"/>
        <v>0</v>
      </c>
      <c r="CA72" s="98">
        <f t="shared" si="53"/>
        <v>0</v>
      </c>
      <c r="CB72" s="92">
        <f t="shared" ref="CB72:CD106" si="125">IFERROR(BR72+AX72,"")</f>
        <v>0</v>
      </c>
      <c r="CC72" s="92">
        <f t="shared" si="125"/>
        <v>0</v>
      </c>
      <c r="CD72" s="92">
        <f t="shared" si="125"/>
        <v>0</v>
      </c>
      <c r="CE72" s="99"/>
      <c r="CF72" s="99"/>
      <c r="CG72" s="51">
        <f t="shared" si="54"/>
        <v>0</v>
      </c>
      <c r="CH72" s="62">
        <f t="shared" si="55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102"/>
        <v>0</v>
      </c>
      <c r="CR72" s="102">
        <f t="shared" si="102"/>
        <v>0</v>
      </c>
      <c r="CS72" s="102">
        <f t="shared" si="102"/>
        <v>0</v>
      </c>
      <c r="CT72" s="92">
        <f t="shared" si="57"/>
        <v>0</v>
      </c>
      <c r="CU72" s="92">
        <f t="shared" si="103"/>
        <v>0</v>
      </c>
      <c r="CV72" s="103">
        <f t="shared" si="103"/>
        <v>0</v>
      </c>
      <c r="CW72" s="104" t="s">
        <v>147</v>
      </c>
      <c r="CX72" s="105">
        <v>8</v>
      </c>
      <c r="CY72" s="106">
        <f t="shared" si="59"/>
        <v>5107</v>
      </c>
      <c r="CZ72" s="106">
        <f t="shared" si="60"/>
        <v>32.400000000000006</v>
      </c>
      <c r="DA72" s="106"/>
      <c r="DB72" s="106"/>
      <c r="DC72" s="105"/>
      <c r="DD72" s="107"/>
      <c r="DE72" s="92">
        <f t="shared" ref="DE72:DE106" si="126">IFERROR(CQ72+CR72,"")</f>
        <v>0</v>
      </c>
      <c r="DF72" s="108">
        <f t="shared" ref="DF72:DF106" si="127">IFERROR(AL72,"")</f>
        <v>0</v>
      </c>
      <c r="DG72" s="115">
        <f t="shared" ref="DG72:DG106" si="128">IFERROR(AZ72,"")</f>
        <v>0</v>
      </c>
      <c r="DH72" s="110">
        <f t="shared" ref="DH72:DH106" si="129">IFERROR(CT72+CU72,"")</f>
        <v>0</v>
      </c>
      <c r="DI72" s="108">
        <f t="shared" ref="DI72:DI106" si="130">IFERROR(BF72,"")</f>
        <v>0</v>
      </c>
      <c r="DJ72" s="112">
        <f t="shared" ref="DJ72:DJ106" si="131">IFERROR(BT72,"")</f>
        <v>0</v>
      </c>
      <c r="DK72" s="110">
        <f t="shared" si="86"/>
        <v>0</v>
      </c>
      <c r="DL72" s="108">
        <f t="shared" si="86"/>
        <v>0</v>
      </c>
      <c r="DM72" s="111">
        <f t="shared" si="86"/>
        <v>0</v>
      </c>
      <c r="DN72" s="76">
        <f t="shared" si="89"/>
        <v>30</v>
      </c>
      <c r="DO72" s="76">
        <f t="shared" si="90"/>
        <v>0</v>
      </c>
      <c r="DP72" s="112"/>
      <c r="DQ72" s="112"/>
      <c r="DR72" s="113" t="s">
        <v>460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32">IFERROR(DK72+DL72+DM72,"")</f>
        <v>0</v>
      </c>
      <c r="DY72" s="80">
        <f t="shared" si="62"/>
        <v>0</v>
      </c>
      <c r="DZ72" s="82">
        <f t="shared" si="63"/>
        <v>0</v>
      </c>
      <c r="EA72" s="82">
        <f t="shared" si="64"/>
        <v>0</v>
      </c>
      <c r="EB72" s="82">
        <f t="shared" si="65"/>
        <v>0</v>
      </c>
      <c r="EC72" s="82">
        <f t="shared" si="75"/>
        <v>0</v>
      </c>
      <c r="EF72" s="83">
        <f t="shared" si="108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3">CONCATENATE(K73,J73,"-",IF(N73="D",L73,IF(N73="H",CONCATENATE(N73,L73),CONCATENATE(N73,L73,"x",M73))),"x",P73,"-",O73,R73)</f>
        <v>GAA5052-5.7x3-H9A14</v>
      </c>
      <c r="H73" s="46" t="str">
        <f t="shared" ref="H73:H106" si="134">CONCATENATE(J73,,K73,L73,M73,N73,O73)</f>
        <v>A5052GA5.70DH9</v>
      </c>
      <c r="I73" s="46" t="str">
        <f t="shared" ref="I73:I106" si="135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6">ROUND(CY73/E73,0)*2</f>
        <v>14</v>
      </c>
      <c r="T73" s="51">
        <f>'04.02'!BG73</f>
        <v>12.999999999999998</v>
      </c>
      <c r="U73" s="92">
        <v>12</v>
      </c>
      <c r="V73" s="100">
        <v>0.15</v>
      </c>
      <c r="W73" s="93">
        <f t="shared" si="115"/>
        <v>0</v>
      </c>
      <c r="X73" s="93">
        <f t="shared" si="116"/>
        <v>0</v>
      </c>
      <c r="Y73" s="93">
        <f t="shared" si="117"/>
        <v>0</v>
      </c>
      <c r="Z73" s="93">
        <f t="shared" si="118"/>
        <v>0</v>
      </c>
      <c r="AA73" s="93">
        <f t="shared" si="119"/>
        <v>0</v>
      </c>
      <c r="AB73" s="93">
        <f t="shared" si="120"/>
        <v>2800</v>
      </c>
      <c r="AC73" s="93">
        <f t="shared" si="121"/>
        <v>0</v>
      </c>
      <c r="AD73" s="93">
        <f t="shared" si="122"/>
        <v>0</v>
      </c>
      <c r="AE73" s="93">
        <f t="shared" ref="AE73:AE106" si="137">IF(V73="","",SUM(W73:AC73))</f>
        <v>2800</v>
      </c>
      <c r="AF73" s="54">
        <f>AE73+'04.02'!AF73</f>
        <v>14026</v>
      </c>
      <c r="AG73" s="94">
        <f t="shared" si="66"/>
        <v>12.999999999999998</v>
      </c>
      <c r="AH73" s="56">
        <f t="shared" ref="AH73:AH106" si="138">IFERROR(VALUE("0"&amp;RIGHT(AG73,(LEN(AG73)-LEN(TRUNC(AG73))))),"")</f>
        <v>0</v>
      </c>
      <c r="AI73" s="93">
        <v>6</v>
      </c>
      <c r="AJ73" s="93">
        <f t="shared" si="67"/>
        <v>22</v>
      </c>
      <c r="AK73" s="95">
        <f t="shared" ref="AK73:AK107" si="139">IF(V73="","",IF(AJ73=0,1,AJ73/$V73/$E73))</f>
        <v>0.59620596205962062</v>
      </c>
      <c r="AL73" s="58">
        <f t="shared" si="37"/>
        <v>5.6</v>
      </c>
      <c r="AM73" s="55">
        <f t="shared" si="68"/>
        <v>19.399999999999999</v>
      </c>
      <c r="AN73" s="93"/>
      <c r="AO73" s="96"/>
      <c r="AP73" s="96"/>
      <c r="AQ73" s="96"/>
      <c r="AR73" s="96"/>
      <c r="AS73" s="96"/>
      <c r="AT73" s="96">
        <f t="shared" si="113"/>
        <v>190</v>
      </c>
      <c r="AU73" s="96">
        <f t="shared" ref="AU73:AV106" si="140">CK73</f>
        <v>0</v>
      </c>
      <c r="AV73" s="96">
        <f t="shared" si="140"/>
        <v>0</v>
      </c>
      <c r="AW73" s="96">
        <f t="shared" ref="AW73:AW106" si="141">SUM(AO73:AV73)</f>
        <v>190</v>
      </c>
      <c r="AX73" s="96">
        <f t="shared" ref="AX73:AX106" si="142">IF(V73="","",INT(AW73/$V73))</f>
        <v>1266</v>
      </c>
      <c r="AY73" s="94">
        <f t="shared" si="69"/>
        <v>-16.639999999999986</v>
      </c>
      <c r="AZ73" s="94">
        <f t="shared" ref="AZ73:AZ106" si="143">IF($V73="","",AY73/$V73)</f>
        <v>-110.93333333333325</v>
      </c>
      <c r="BA73" s="94">
        <f t="shared" si="42"/>
        <v>19.399999999999999</v>
      </c>
      <c r="BB73" s="97">
        <f t="shared" si="43"/>
        <v>0.4</v>
      </c>
      <c r="BC73" s="93">
        <v>6</v>
      </c>
      <c r="BD73" s="93">
        <f t="shared" ref="BD73:BD106" si="144">$CM73</f>
        <v>0</v>
      </c>
      <c r="BE73" s="95">
        <f t="shared" ref="BE73:BE106" si="145">IF(AA73="","",IF(BD73=0,1,BD73/$V73/$E73))</f>
        <v>1</v>
      </c>
      <c r="BF73" s="58">
        <f t="shared" si="46"/>
        <v>6.4</v>
      </c>
      <c r="BG73" s="94">
        <f t="shared" ref="BG73:BG106" si="146">IF(AA73="","",BA73-BF73)</f>
        <v>12.999999999999998</v>
      </c>
      <c r="BH73" s="89"/>
      <c r="BI73" s="89"/>
      <c r="BJ73" s="89"/>
      <c r="BK73" s="89"/>
      <c r="BL73" s="89"/>
      <c r="BM73" s="89"/>
      <c r="BN73" s="92">
        <f t="shared" si="114"/>
        <v>230</v>
      </c>
      <c r="BO73" s="92">
        <f t="shared" si="70"/>
        <v>0</v>
      </c>
      <c r="BP73" s="92">
        <f t="shared" si="70"/>
        <v>0</v>
      </c>
      <c r="BQ73" s="96">
        <f t="shared" ref="BQ73:BQ106" si="147">SUM(BI73:BP73)</f>
        <v>230</v>
      </c>
      <c r="BR73" s="96">
        <f t="shared" ref="BR73:BR106" si="148">IF(AA73="","",INT(BQ73/$V73))</f>
        <v>1533</v>
      </c>
      <c r="BS73" s="96">
        <f t="shared" si="71"/>
        <v>-6.1599999999999966</v>
      </c>
      <c r="BT73" s="96">
        <f t="shared" ref="BT73:BT106" si="149">IF($V73="","",BS73/$V73)</f>
        <v>-41.066666666666649</v>
      </c>
      <c r="BU73" s="92">
        <f t="shared" si="123"/>
        <v>2800</v>
      </c>
      <c r="BV73" s="98">
        <f t="shared" si="17"/>
        <v>12</v>
      </c>
      <c r="BW73" s="92">
        <f t="shared" si="124"/>
        <v>-151.99999999999989</v>
      </c>
      <c r="BX73" s="98">
        <f t="shared" ref="BX73:BX106" si="150">IF($Q73="","",(BF73+AL73)*$Q73)</f>
        <v>2.448</v>
      </c>
      <c r="BY73" s="61">
        <f t="shared" si="73"/>
        <v>12</v>
      </c>
      <c r="BZ73" s="62">
        <f t="shared" ref="BZ73:BZ108" si="151">BY73</f>
        <v>12</v>
      </c>
      <c r="CA73" s="98">
        <f t="shared" ref="CA73:CA106" si="152">IFERROR((BQ73+AW73)/1000,"")</f>
        <v>0.42</v>
      </c>
      <c r="CB73" s="92">
        <f t="shared" si="125"/>
        <v>2799</v>
      </c>
      <c r="CC73" s="92">
        <f t="shared" si="125"/>
        <v>-22.799999999999983</v>
      </c>
      <c r="CD73" s="92">
        <f t="shared" si="125"/>
        <v>-151.99999999999989</v>
      </c>
      <c r="CE73" s="99"/>
      <c r="CF73" s="99"/>
      <c r="CG73" s="51">
        <f t="shared" ref="CG73:CG106" si="153">IF(BX73="",0,(BX73-CA73)+((AV73+BP73)/1000))</f>
        <v>2.028</v>
      </c>
      <c r="CH73" s="62">
        <f t="shared" ref="CH73:CH108" si="154">CG73</f>
        <v>2.028</v>
      </c>
      <c r="CI73" s="89">
        <v>22</v>
      </c>
      <c r="CJ73" s="89">
        <v>190</v>
      </c>
      <c r="CK73" s="89"/>
      <c r="CL73" s="96"/>
      <c r="CM73" s="89"/>
      <c r="CN73" s="89">
        <v>230</v>
      </c>
      <c r="CO73" s="92"/>
      <c r="CP73" s="101"/>
      <c r="CQ73" s="102">
        <f t="shared" si="102"/>
        <v>1266</v>
      </c>
      <c r="CR73" s="102">
        <f t="shared" si="102"/>
        <v>0</v>
      </c>
      <c r="CS73" s="102">
        <f t="shared" si="102"/>
        <v>0</v>
      </c>
      <c r="CT73" s="92">
        <f t="shared" ref="CT73:CT106" si="155">INT(IFERROR( AE73-CQ73-CU73-CR73,0))</f>
        <v>1534</v>
      </c>
      <c r="CU73" s="92">
        <f t="shared" si="103"/>
        <v>0</v>
      </c>
      <c r="CV73" s="103">
        <f t="shared" si="103"/>
        <v>0</v>
      </c>
      <c r="CW73" s="104" t="s">
        <v>147</v>
      </c>
      <c r="CX73" s="105">
        <v>23.04</v>
      </c>
      <c r="CY73" s="106">
        <f t="shared" ref="CY73:CY106" si="156">INT(60/CX73*60*(12-(CEILING((60/CX73*60*12)/E73,1)*IF(CW73="T",0.45,IF(CW73="",5,3))/60)))</f>
        <v>1812</v>
      </c>
      <c r="CZ73" s="106">
        <f t="shared" ref="CZ73:CZ106" si="157">IF(CX73="",0,(IF(CW73="",360,180)/(60/CX73))*1.35)</f>
        <v>93.311999999999998</v>
      </c>
      <c r="DA73" s="106"/>
      <c r="DB73" s="106"/>
      <c r="DC73" s="105"/>
      <c r="DD73" s="107"/>
      <c r="DE73" s="92">
        <f t="shared" si="126"/>
        <v>1266</v>
      </c>
      <c r="DF73" s="108">
        <f t="shared" si="127"/>
        <v>5.6</v>
      </c>
      <c r="DG73" s="115">
        <f t="shared" si="128"/>
        <v>-110.93333333333325</v>
      </c>
      <c r="DH73" s="110">
        <f t="shared" si="129"/>
        <v>1534</v>
      </c>
      <c r="DI73" s="108">
        <f t="shared" si="130"/>
        <v>6.4</v>
      </c>
      <c r="DJ73" s="112">
        <f t="shared" si="131"/>
        <v>-41.066666666666649</v>
      </c>
      <c r="DK73" s="110">
        <f t="shared" si="86"/>
        <v>2800</v>
      </c>
      <c r="DL73" s="108">
        <f t="shared" si="86"/>
        <v>12</v>
      </c>
      <c r="DM73" s="111">
        <f t="shared" si="86"/>
        <v>-151.99999999999989</v>
      </c>
      <c r="DN73" s="76">
        <f t="shared" si="89"/>
        <v>12.999999999999998</v>
      </c>
      <c r="DO73" s="76">
        <f t="shared" si="90"/>
        <v>12</v>
      </c>
      <c r="DP73" s="112"/>
      <c r="DQ73" s="112"/>
      <c r="DR73" s="113" t="s">
        <v>461</v>
      </c>
      <c r="DS73" s="112"/>
      <c r="DT73" s="112"/>
      <c r="DU73" s="111"/>
      <c r="DV73" s="114"/>
      <c r="DW73" s="80">
        <f t="shared" ref="DW73:DW106" si="158">IFERROR(BU73+BV73,"")</f>
        <v>2812</v>
      </c>
      <c r="DX73" s="81">
        <f t="shared" si="132"/>
        <v>2660</v>
      </c>
      <c r="DY73" s="80">
        <f t="shared" ref="DY73:DY106" si="159">CQ73+CR73+CS73+CT73+CU73+CV73</f>
        <v>2800</v>
      </c>
      <c r="DZ73" s="82">
        <f t="shared" ref="DZ73:DZ106" si="160">IFERROR((AD73*V73/1000),0)</f>
        <v>0</v>
      </c>
      <c r="EA73" s="82">
        <f t="shared" ref="EA73:EA106" si="161">IFERROR((AE73*V73/1000),0)</f>
        <v>0.42</v>
      </c>
      <c r="EB73" s="82">
        <f t="shared" ref="EB73:EB106" si="162">BX73-EA73</f>
        <v>2.028</v>
      </c>
      <c r="EC73" s="82">
        <f t="shared" si="75"/>
        <v>2.028</v>
      </c>
      <c r="EF73" s="83">
        <f t="shared" si="108"/>
        <v>-151.99999999999989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3"/>
        <v>IBC3604-7x3-H9D14</v>
      </c>
      <c r="H74" s="46" t="str">
        <f t="shared" si="134"/>
        <v>C3604IB70DH9</v>
      </c>
      <c r="I74" s="46" t="str">
        <f t="shared" si="135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6"/>
        <v>28</v>
      </c>
      <c r="T74" s="51">
        <f>'04.02'!BG74</f>
        <v>22</v>
      </c>
      <c r="U74" s="92">
        <v>28</v>
      </c>
      <c r="V74" s="100">
        <v>3.3769999999999998</v>
      </c>
      <c r="W74" s="93">
        <f t="shared" si="115"/>
        <v>0</v>
      </c>
      <c r="X74" s="93">
        <f t="shared" si="116"/>
        <v>3628</v>
      </c>
      <c r="Y74" s="93">
        <f t="shared" si="117"/>
        <v>0</v>
      </c>
      <c r="Z74" s="93">
        <f t="shared" si="118"/>
        <v>0</v>
      </c>
      <c r="AA74" s="93">
        <f t="shared" si="119"/>
        <v>0</v>
      </c>
      <c r="AB74" s="93">
        <f t="shared" si="120"/>
        <v>0</v>
      </c>
      <c r="AC74" s="93">
        <f t="shared" si="121"/>
        <v>0</v>
      </c>
      <c r="AD74" s="93">
        <f t="shared" si="122"/>
        <v>17</v>
      </c>
      <c r="AE74" s="93">
        <f t="shared" si="137"/>
        <v>3628</v>
      </c>
      <c r="AF74" s="54">
        <f>AE74+'04.02'!AF74</f>
        <v>15236</v>
      </c>
      <c r="AG74" s="94">
        <f t="shared" ref="AG74:AG106" si="163">T74</f>
        <v>22</v>
      </c>
      <c r="AH74" s="56">
        <f t="shared" si="138"/>
        <v>0</v>
      </c>
      <c r="AI74" s="93">
        <v>13</v>
      </c>
      <c r="AJ74" s="93">
        <f t="shared" ref="AJ74:AJ106" si="164">$CI74</f>
        <v>0</v>
      </c>
      <c r="AK74" s="95">
        <f t="shared" si="139"/>
        <v>1</v>
      </c>
      <c r="AL74" s="58">
        <f t="shared" si="37"/>
        <v>13</v>
      </c>
      <c r="AM74" s="55">
        <f t="shared" ref="AM74:AM106" si="165">IF(V74="","",AG74+U74-AL74)</f>
        <v>37</v>
      </c>
      <c r="AN74" s="93"/>
      <c r="AO74" s="96"/>
      <c r="AP74" s="96">
        <f>$CJ74</f>
        <v>5796</v>
      </c>
      <c r="AQ74" s="96"/>
      <c r="AR74" s="96"/>
      <c r="AS74" s="96"/>
      <c r="AT74" s="96"/>
      <c r="AU74" s="96">
        <f t="shared" si="140"/>
        <v>0</v>
      </c>
      <c r="AV74" s="96">
        <f t="shared" si="140"/>
        <v>58</v>
      </c>
      <c r="AW74" s="96">
        <f t="shared" si="141"/>
        <v>5854</v>
      </c>
      <c r="AX74" s="96">
        <f t="shared" si="142"/>
        <v>1733</v>
      </c>
      <c r="AY74" s="94">
        <f t="shared" ref="AY74:AY106" si="166">IF(V74="","",AW74-AL74*$E74*$V74)</f>
        <v>-72.634999999999309</v>
      </c>
      <c r="AZ74" s="94">
        <f t="shared" si="143"/>
        <v>-21.508735564109955</v>
      </c>
      <c r="BA74" s="94">
        <f t="shared" si="42"/>
        <v>37</v>
      </c>
      <c r="BB74" s="97">
        <f t="shared" si="43"/>
        <v>0</v>
      </c>
      <c r="BC74" s="93">
        <v>14</v>
      </c>
      <c r="BD74" s="93">
        <f t="shared" si="144"/>
        <v>0</v>
      </c>
      <c r="BE74" s="95">
        <f t="shared" si="145"/>
        <v>1</v>
      </c>
      <c r="BF74" s="58">
        <f t="shared" si="46"/>
        <v>14</v>
      </c>
      <c r="BG74" s="94">
        <f t="shared" si="146"/>
        <v>23</v>
      </c>
      <c r="BH74" s="89"/>
      <c r="BI74" s="89"/>
      <c r="BJ74" s="92">
        <f>$CN74</f>
        <v>6457</v>
      </c>
      <c r="BK74" s="89"/>
      <c r="BL74" s="89"/>
      <c r="BM74" s="89"/>
      <c r="BN74" s="89"/>
      <c r="BO74" s="92">
        <f t="shared" ref="BO74:BP103" si="167">CO74</f>
        <v>0</v>
      </c>
      <c r="BP74" s="92">
        <f t="shared" si="167"/>
        <v>0</v>
      </c>
      <c r="BQ74" s="96">
        <f t="shared" si="147"/>
        <v>6457</v>
      </c>
      <c r="BR74" s="96">
        <f t="shared" si="148"/>
        <v>1912</v>
      </c>
      <c r="BS74" s="96">
        <f t="shared" ref="BS74:BS106" si="168">IF(AA74="","",-BF74*$E74*$V74+BQ74)</f>
        <v>74.470000000000255</v>
      </c>
      <c r="BT74" s="96">
        <f t="shared" si="149"/>
        <v>22.052117263843726</v>
      </c>
      <c r="BU74" s="92">
        <f t="shared" si="123"/>
        <v>3628</v>
      </c>
      <c r="BV74" s="98">
        <f t="shared" ref="BV74:BV106" si="169">IFERROR(BF74+AL74,"")</f>
        <v>27</v>
      </c>
      <c r="BW74" s="92">
        <f t="shared" si="124"/>
        <v>0.54338169973377148</v>
      </c>
      <c r="BX74" s="98">
        <f t="shared" si="150"/>
        <v>26.46</v>
      </c>
      <c r="BY74" s="61">
        <f>IFERROR(BF74+AL74,0)</f>
        <v>27</v>
      </c>
      <c r="BZ74" s="62">
        <f t="shared" si="151"/>
        <v>27</v>
      </c>
      <c r="CA74" s="98">
        <f t="shared" si="152"/>
        <v>12.311</v>
      </c>
      <c r="CB74" s="92">
        <f t="shared" si="125"/>
        <v>3645</v>
      </c>
      <c r="CC74" s="92">
        <f t="shared" si="125"/>
        <v>1.8350000000009459</v>
      </c>
      <c r="CD74" s="92">
        <f t="shared" si="125"/>
        <v>0.54338169973377148</v>
      </c>
      <c r="CE74" s="99"/>
      <c r="CF74" s="99"/>
      <c r="CG74" s="51">
        <f t="shared" si="153"/>
        <v>14.207000000000001</v>
      </c>
      <c r="CH74" s="62">
        <f t="shared" si="154"/>
        <v>14.207000000000001</v>
      </c>
      <c r="CI74" s="89"/>
      <c r="CJ74" s="89">
        <v>5796</v>
      </c>
      <c r="CK74" s="89"/>
      <c r="CL74" s="96">
        <v>58</v>
      </c>
      <c r="CM74" s="89"/>
      <c r="CN74" s="89">
        <v>6457</v>
      </c>
      <c r="CO74" s="92"/>
      <c r="CP74" s="101"/>
      <c r="CQ74" s="102">
        <f t="shared" si="102"/>
        <v>1716</v>
      </c>
      <c r="CR74" s="102">
        <f t="shared" si="102"/>
        <v>0</v>
      </c>
      <c r="CS74" s="102">
        <f t="shared" si="102"/>
        <v>17</v>
      </c>
      <c r="CT74" s="92">
        <f t="shared" si="155"/>
        <v>1912</v>
      </c>
      <c r="CU74" s="92">
        <f t="shared" si="103"/>
        <v>0</v>
      </c>
      <c r="CV74" s="103">
        <f t="shared" si="103"/>
        <v>0</v>
      </c>
      <c r="CW74" s="104" t="s">
        <v>147</v>
      </c>
      <c r="CX74" s="105">
        <v>22</v>
      </c>
      <c r="CY74" s="106">
        <f t="shared" si="156"/>
        <v>1840</v>
      </c>
      <c r="CZ74" s="106">
        <f t="shared" si="157"/>
        <v>89.100000000000009</v>
      </c>
      <c r="DA74" s="106"/>
      <c r="DB74" s="106"/>
      <c r="DC74" s="105"/>
      <c r="DD74" s="107"/>
      <c r="DE74" s="92">
        <f t="shared" si="126"/>
        <v>1716</v>
      </c>
      <c r="DF74" s="108">
        <f t="shared" si="127"/>
        <v>13</v>
      </c>
      <c r="DG74" s="115">
        <f t="shared" si="128"/>
        <v>-21.508735564109955</v>
      </c>
      <c r="DH74" s="110">
        <f t="shared" si="129"/>
        <v>1912</v>
      </c>
      <c r="DI74" s="108">
        <f t="shared" si="130"/>
        <v>14</v>
      </c>
      <c r="DJ74" s="112">
        <f t="shared" si="131"/>
        <v>22.052117263843726</v>
      </c>
      <c r="DK74" s="110">
        <f t="shared" si="86"/>
        <v>3628</v>
      </c>
      <c r="DL74" s="108">
        <f t="shared" si="86"/>
        <v>27</v>
      </c>
      <c r="DM74" s="111">
        <f t="shared" si="86"/>
        <v>0.54338169973377148</v>
      </c>
      <c r="DN74" s="76">
        <f t="shared" si="89"/>
        <v>22</v>
      </c>
      <c r="DO74" s="76">
        <f t="shared" si="90"/>
        <v>28</v>
      </c>
      <c r="DP74" s="112"/>
      <c r="DQ74" s="112"/>
      <c r="DR74" s="113" t="s">
        <v>462</v>
      </c>
      <c r="DS74" s="112"/>
      <c r="DT74" s="112"/>
      <c r="DU74" s="111"/>
      <c r="DV74" s="114"/>
      <c r="DW74" s="80">
        <f t="shared" ref="DW74:DW76" si="170">IFERROR(AL74+BF74,"")</f>
        <v>27</v>
      </c>
      <c r="DX74" s="81">
        <f t="shared" si="132"/>
        <v>3655.5433816997338</v>
      </c>
      <c r="DY74" s="80">
        <f t="shared" si="159"/>
        <v>3645</v>
      </c>
      <c r="DZ74" s="82">
        <f t="shared" si="160"/>
        <v>5.7409000000000002E-2</v>
      </c>
      <c r="EA74" s="82">
        <f t="shared" si="161"/>
        <v>12.251755999999999</v>
      </c>
      <c r="EB74" s="82">
        <f t="shared" si="162"/>
        <v>14.208244000000002</v>
      </c>
      <c r="EC74" s="82">
        <f t="shared" ref="EC74:EC75" si="171">(BX74-CA74)+((AV74+BP74)/1000)</f>
        <v>14.207000000000001</v>
      </c>
      <c r="EF74" s="83">
        <f t="shared" si="108"/>
        <v>0.54338169973377148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3"/>
        <v>IBC3604-5x3-H9B14</v>
      </c>
      <c r="H75" s="46" t="str">
        <f t="shared" si="134"/>
        <v>C3604IB50DH9</v>
      </c>
      <c r="I75" s="46" t="str">
        <f t="shared" si="135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6"/>
        <v>82</v>
      </c>
      <c r="T75" s="51">
        <f>'04.02'!BG75</f>
        <v>220</v>
      </c>
      <c r="U75" s="92"/>
      <c r="V75" s="100">
        <v>2.65</v>
      </c>
      <c r="W75" s="93">
        <f t="shared" si="115"/>
        <v>0</v>
      </c>
      <c r="X75" s="93">
        <f t="shared" si="116"/>
        <v>0</v>
      </c>
      <c r="Y75" s="93">
        <f t="shared" si="117"/>
        <v>0</v>
      </c>
      <c r="Z75" s="93">
        <f t="shared" si="118"/>
        <v>0</v>
      </c>
      <c r="AA75" s="93">
        <f t="shared" si="119"/>
        <v>0</v>
      </c>
      <c r="AB75" s="93">
        <f t="shared" si="120"/>
        <v>0</v>
      </c>
      <c r="AC75" s="93">
        <f t="shared" si="121"/>
        <v>0</v>
      </c>
      <c r="AD75" s="93">
        <f t="shared" si="122"/>
        <v>0</v>
      </c>
      <c r="AE75" s="93">
        <f t="shared" si="137"/>
        <v>0</v>
      </c>
      <c r="AF75" s="54">
        <f>AE75+'04.02'!AF75</f>
        <v>0</v>
      </c>
      <c r="AG75" s="94">
        <f t="shared" si="163"/>
        <v>220</v>
      </c>
      <c r="AH75" s="56">
        <f t="shared" si="138"/>
        <v>0</v>
      </c>
      <c r="AI75" s="93"/>
      <c r="AJ75" s="93">
        <f t="shared" si="164"/>
        <v>0</v>
      </c>
      <c r="AK75" s="95">
        <f t="shared" si="139"/>
        <v>1</v>
      </c>
      <c r="AL75" s="58">
        <f t="shared" si="37"/>
        <v>0</v>
      </c>
      <c r="AM75" s="55">
        <f t="shared" si="165"/>
        <v>220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40"/>
        <v>0</v>
      </c>
      <c r="AV75" s="96">
        <f t="shared" si="140"/>
        <v>0</v>
      </c>
      <c r="AW75" s="96">
        <f t="shared" si="141"/>
        <v>0</v>
      </c>
      <c r="AX75" s="96">
        <f t="shared" si="142"/>
        <v>0</v>
      </c>
      <c r="AY75" s="94">
        <f t="shared" si="166"/>
        <v>0</v>
      </c>
      <c r="AZ75" s="94">
        <f t="shared" si="143"/>
        <v>0</v>
      </c>
      <c r="BA75" s="94">
        <f t="shared" ref="BA75:BA106" si="172">AM75</f>
        <v>220</v>
      </c>
      <c r="BB75" s="97">
        <f t="shared" ref="BB75:BB106" si="173">VALUE("0"&amp;RIGHT(BA75,(LEN(BA75)-LEN(TRUNC(BA75)))))</f>
        <v>0</v>
      </c>
      <c r="BC75" s="93"/>
      <c r="BD75" s="93">
        <f t="shared" si="144"/>
        <v>0</v>
      </c>
      <c r="BE75" s="95">
        <f t="shared" si="145"/>
        <v>1</v>
      </c>
      <c r="BF75" s="58">
        <f t="shared" si="46"/>
        <v>0</v>
      </c>
      <c r="BG75" s="94">
        <f t="shared" si="146"/>
        <v>220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7"/>
        <v>0</v>
      </c>
      <c r="BP75" s="92">
        <f t="shared" si="167"/>
        <v>0</v>
      </c>
      <c r="BQ75" s="96">
        <f t="shared" si="147"/>
        <v>0</v>
      </c>
      <c r="BR75" s="96">
        <f t="shared" si="148"/>
        <v>0</v>
      </c>
      <c r="BS75" s="96">
        <f t="shared" si="168"/>
        <v>0</v>
      </c>
      <c r="BT75" s="96">
        <f t="shared" si="149"/>
        <v>0</v>
      </c>
      <c r="BU75" s="92">
        <f t="shared" si="123"/>
        <v>0</v>
      </c>
      <c r="BV75" s="98">
        <f t="shared" si="169"/>
        <v>0</v>
      </c>
      <c r="BW75" s="92">
        <f t="shared" si="124"/>
        <v>0</v>
      </c>
      <c r="BX75" s="98">
        <f t="shared" si="150"/>
        <v>0</v>
      </c>
      <c r="BY75" s="61">
        <f t="shared" ref="BY75:BY106" si="174">IFERROR(BF75+AL75,0)</f>
        <v>0</v>
      </c>
      <c r="BZ75" s="62">
        <f t="shared" si="151"/>
        <v>0</v>
      </c>
      <c r="CA75" s="98">
        <f t="shared" si="152"/>
        <v>0</v>
      </c>
      <c r="CB75" s="92">
        <f t="shared" si="125"/>
        <v>0</v>
      </c>
      <c r="CC75" s="92">
        <f t="shared" si="125"/>
        <v>0</v>
      </c>
      <c r="CD75" s="92">
        <f t="shared" si="125"/>
        <v>0</v>
      </c>
      <c r="CE75" s="99"/>
      <c r="CF75" s="99"/>
      <c r="CG75" s="51">
        <f t="shared" si="153"/>
        <v>0</v>
      </c>
      <c r="CH75" s="62">
        <f t="shared" si="154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102"/>
        <v>0</v>
      </c>
      <c r="CR75" s="102">
        <f t="shared" si="102"/>
        <v>0</v>
      </c>
      <c r="CS75" s="102">
        <f t="shared" si="102"/>
        <v>0</v>
      </c>
      <c r="CT75" s="92">
        <f t="shared" si="155"/>
        <v>0</v>
      </c>
      <c r="CU75" s="92">
        <f t="shared" si="103"/>
        <v>0</v>
      </c>
      <c r="CV75" s="103">
        <f t="shared" si="103"/>
        <v>0</v>
      </c>
      <c r="CW75" s="104" t="s">
        <v>147</v>
      </c>
      <c r="CX75" s="105">
        <v>11</v>
      </c>
      <c r="CY75" s="106">
        <f t="shared" si="156"/>
        <v>3043</v>
      </c>
      <c r="CZ75" s="106">
        <f t="shared" si="157"/>
        <v>44.550000000000004</v>
      </c>
      <c r="DA75" s="106"/>
      <c r="DB75" s="106"/>
      <c r="DC75" s="105"/>
      <c r="DD75" s="107"/>
      <c r="DE75" s="92">
        <f t="shared" si="126"/>
        <v>0</v>
      </c>
      <c r="DF75" s="108">
        <f t="shared" si="127"/>
        <v>0</v>
      </c>
      <c r="DG75" s="115">
        <f t="shared" si="128"/>
        <v>0</v>
      </c>
      <c r="DH75" s="110">
        <f t="shared" si="129"/>
        <v>0</v>
      </c>
      <c r="DI75" s="108">
        <f t="shared" si="130"/>
        <v>0</v>
      </c>
      <c r="DJ75" s="112">
        <f t="shared" si="131"/>
        <v>0</v>
      </c>
      <c r="DK75" s="110">
        <f t="shared" si="86"/>
        <v>0</v>
      </c>
      <c r="DL75" s="108">
        <f t="shared" si="86"/>
        <v>0</v>
      </c>
      <c r="DM75" s="111">
        <f t="shared" si="86"/>
        <v>0</v>
      </c>
      <c r="DN75" s="76">
        <f t="shared" si="89"/>
        <v>220</v>
      </c>
      <c r="DO75" s="76">
        <f t="shared" si="90"/>
        <v>0</v>
      </c>
      <c r="DP75" s="112"/>
      <c r="DQ75" s="112"/>
      <c r="DR75" s="113" t="s">
        <v>463</v>
      </c>
      <c r="DS75" s="112"/>
      <c r="DT75" s="112"/>
      <c r="DU75" s="111"/>
      <c r="DV75" s="114"/>
      <c r="DW75" s="80">
        <f t="shared" si="170"/>
        <v>0</v>
      </c>
      <c r="DX75" s="81">
        <f t="shared" si="132"/>
        <v>0</v>
      </c>
      <c r="DY75" s="80">
        <f t="shared" si="159"/>
        <v>0</v>
      </c>
      <c r="DZ75" s="82">
        <f t="shared" si="160"/>
        <v>0</v>
      </c>
      <c r="EA75" s="82">
        <f t="shared" si="161"/>
        <v>0</v>
      </c>
      <c r="EB75" s="82">
        <f t="shared" si="162"/>
        <v>0</v>
      </c>
      <c r="EC75" s="82">
        <f t="shared" si="171"/>
        <v>0</v>
      </c>
      <c r="EF75" s="83">
        <f t="shared" si="108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3"/>
        <v>GAA5052-5.7x3-H9A14</v>
      </c>
      <c r="H76" s="46" t="str">
        <f t="shared" si="134"/>
        <v>A5052GA5.70DH9</v>
      </c>
      <c r="I76" s="46" t="str">
        <f t="shared" si="135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6"/>
        <v>22</v>
      </c>
      <c r="T76" s="51">
        <f>'04.02'!BG76</f>
        <v>11</v>
      </c>
      <c r="U76" s="92">
        <v>14</v>
      </c>
      <c r="V76" s="100">
        <v>0.15</v>
      </c>
      <c r="W76" s="93">
        <f t="shared" si="115"/>
        <v>0</v>
      </c>
      <c r="X76" s="93">
        <f t="shared" si="116"/>
        <v>0</v>
      </c>
      <c r="Y76" s="93">
        <f t="shared" si="117"/>
        <v>0</v>
      </c>
      <c r="Z76" s="93">
        <f t="shared" si="118"/>
        <v>0</v>
      </c>
      <c r="AA76" s="93">
        <f t="shared" si="119"/>
        <v>0</v>
      </c>
      <c r="AB76" s="93">
        <f t="shared" si="120"/>
        <v>2700</v>
      </c>
      <c r="AC76" s="93">
        <f t="shared" si="121"/>
        <v>0</v>
      </c>
      <c r="AD76" s="93">
        <f t="shared" si="122"/>
        <v>106</v>
      </c>
      <c r="AE76" s="93">
        <f t="shared" si="137"/>
        <v>2700</v>
      </c>
      <c r="AF76" s="54">
        <f>AE76+'04.02'!AF76</f>
        <v>14125</v>
      </c>
      <c r="AG76" s="94">
        <f t="shared" si="163"/>
        <v>11</v>
      </c>
      <c r="AH76" s="56">
        <f t="shared" si="138"/>
        <v>0</v>
      </c>
      <c r="AI76" s="93">
        <v>6</v>
      </c>
      <c r="AJ76" s="93">
        <f t="shared" si="164"/>
        <v>19</v>
      </c>
      <c r="AK76" s="95">
        <f t="shared" si="139"/>
        <v>0.52777777777777779</v>
      </c>
      <c r="AL76" s="58">
        <f t="shared" ref="AL76:AL108" si="175">IF(V76="","",MAX(ROUNDUP((IF(AI76+AJ76=0,0,AH76)+AI76+AK76-1),2),0))</f>
        <v>5.5299999999999994</v>
      </c>
      <c r="AM76" s="55">
        <f t="shared" si="165"/>
        <v>19.47</v>
      </c>
      <c r="AN76" s="93"/>
      <c r="AO76" s="96"/>
      <c r="AP76" s="96"/>
      <c r="AQ76" s="96"/>
      <c r="AR76" s="96"/>
      <c r="AS76" s="96"/>
      <c r="AT76" s="96">
        <f>$CJ76</f>
        <v>185</v>
      </c>
      <c r="AU76" s="96">
        <f t="shared" si="140"/>
        <v>0</v>
      </c>
      <c r="AV76" s="96">
        <f t="shared" si="140"/>
        <v>16</v>
      </c>
      <c r="AW76" s="96">
        <f t="shared" si="141"/>
        <v>201</v>
      </c>
      <c r="AX76" s="96">
        <f t="shared" si="142"/>
        <v>1340</v>
      </c>
      <c r="AY76" s="94">
        <f t="shared" si="166"/>
        <v>1.9200000000000443</v>
      </c>
      <c r="AZ76" s="94">
        <f t="shared" si="143"/>
        <v>12.800000000000296</v>
      </c>
      <c r="BA76" s="94">
        <f t="shared" si="172"/>
        <v>19.47</v>
      </c>
      <c r="BB76" s="97">
        <f t="shared" si="173"/>
        <v>0.47</v>
      </c>
      <c r="BC76" s="93">
        <v>6</v>
      </c>
      <c r="BD76" s="93">
        <f t="shared" si="144"/>
        <v>0</v>
      </c>
      <c r="BE76" s="95">
        <f t="shared" si="145"/>
        <v>1</v>
      </c>
      <c r="BF76" s="58">
        <f t="shared" si="46"/>
        <v>6.47</v>
      </c>
      <c r="BG76" s="94">
        <f t="shared" si="146"/>
        <v>13</v>
      </c>
      <c r="BH76" s="89"/>
      <c r="BI76" s="89"/>
      <c r="BJ76" s="92"/>
      <c r="BK76" s="89"/>
      <c r="BL76" s="89"/>
      <c r="BM76" s="89"/>
      <c r="BN76" s="92">
        <f>$CN76</f>
        <v>220</v>
      </c>
      <c r="BO76" s="92">
        <f t="shared" si="167"/>
        <v>0</v>
      </c>
      <c r="BP76" s="92">
        <f t="shared" si="167"/>
        <v>0</v>
      </c>
      <c r="BQ76" s="96">
        <f t="shared" si="147"/>
        <v>220</v>
      </c>
      <c r="BR76" s="96">
        <f t="shared" si="148"/>
        <v>1466</v>
      </c>
      <c r="BS76" s="96">
        <f t="shared" si="168"/>
        <v>-12.919999999999987</v>
      </c>
      <c r="BT76" s="96">
        <f t="shared" si="149"/>
        <v>-86.133333333333255</v>
      </c>
      <c r="BU76" s="92">
        <f t="shared" si="123"/>
        <v>2700</v>
      </c>
      <c r="BV76" s="98">
        <f t="shared" si="169"/>
        <v>12</v>
      </c>
      <c r="BW76" s="92">
        <f t="shared" si="124"/>
        <v>-73.333333333332959</v>
      </c>
      <c r="BX76" s="98">
        <f t="shared" si="150"/>
        <v>2.448</v>
      </c>
      <c r="BY76" s="61">
        <f>IFERROR(BF76+AL76,0)</f>
        <v>12</v>
      </c>
      <c r="BZ76" s="62">
        <f t="shared" si="151"/>
        <v>12</v>
      </c>
      <c r="CA76" s="98">
        <f t="shared" si="152"/>
        <v>0.42099999999999999</v>
      </c>
      <c r="CB76" s="92">
        <f t="shared" si="125"/>
        <v>2806</v>
      </c>
      <c r="CC76" s="92">
        <f t="shared" si="125"/>
        <v>-10.999999999999943</v>
      </c>
      <c r="CD76" s="92">
        <f t="shared" si="125"/>
        <v>-73.333333333332959</v>
      </c>
      <c r="CE76" s="99"/>
      <c r="CF76" s="99"/>
      <c r="CG76" s="51">
        <f t="shared" si="153"/>
        <v>2.0430000000000001</v>
      </c>
      <c r="CH76" s="62">
        <f t="shared" si="154"/>
        <v>2.0430000000000001</v>
      </c>
      <c r="CI76" s="89">
        <v>19</v>
      </c>
      <c r="CJ76" s="89">
        <v>185</v>
      </c>
      <c r="CK76" s="89"/>
      <c r="CL76" s="96">
        <v>16</v>
      </c>
      <c r="CM76" s="89"/>
      <c r="CN76" s="89">
        <v>220</v>
      </c>
      <c r="CO76" s="92"/>
      <c r="CP76" s="101"/>
      <c r="CQ76" s="102">
        <f t="shared" si="102"/>
        <v>1233</v>
      </c>
      <c r="CR76" s="102">
        <f t="shared" si="102"/>
        <v>0</v>
      </c>
      <c r="CS76" s="102">
        <f t="shared" si="102"/>
        <v>106</v>
      </c>
      <c r="CT76" s="92">
        <f t="shared" si="155"/>
        <v>1467</v>
      </c>
      <c r="CU76" s="92">
        <f t="shared" si="103"/>
        <v>0</v>
      </c>
      <c r="CV76" s="103">
        <f t="shared" si="103"/>
        <v>0</v>
      </c>
      <c r="CW76" s="104" t="s">
        <v>147</v>
      </c>
      <c r="CX76" s="105">
        <v>16</v>
      </c>
      <c r="CY76" s="106">
        <f t="shared" si="156"/>
        <v>2565</v>
      </c>
      <c r="CZ76" s="106">
        <f t="shared" si="157"/>
        <v>64.800000000000011</v>
      </c>
      <c r="DA76" s="106"/>
      <c r="DB76" s="106"/>
      <c r="DC76" s="105"/>
      <c r="DD76" s="107"/>
      <c r="DE76" s="92">
        <f t="shared" si="126"/>
        <v>1233</v>
      </c>
      <c r="DF76" s="108">
        <f t="shared" si="127"/>
        <v>5.5299999999999994</v>
      </c>
      <c r="DG76" s="115">
        <f t="shared" si="128"/>
        <v>12.800000000000296</v>
      </c>
      <c r="DH76" s="110">
        <f t="shared" si="129"/>
        <v>1467</v>
      </c>
      <c r="DI76" s="108">
        <f t="shared" si="130"/>
        <v>6.47</v>
      </c>
      <c r="DJ76" s="112">
        <f t="shared" si="131"/>
        <v>-86.133333333333255</v>
      </c>
      <c r="DK76" s="110">
        <f t="shared" si="86"/>
        <v>2700</v>
      </c>
      <c r="DL76" s="108">
        <f t="shared" si="86"/>
        <v>12</v>
      </c>
      <c r="DM76" s="111">
        <f t="shared" si="86"/>
        <v>-73.333333333332959</v>
      </c>
      <c r="DN76" s="76">
        <f t="shared" si="89"/>
        <v>11</v>
      </c>
      <c r="DO76" s="76">
        <f t="shared" si="90"/>
        <v>14</v>
      </c>
      <c r="DP76" s="112"/>
      <c r="DQ76" s="112"/>
      <c r="DR76" s="113" t="s">
        <v>464</v>
      </c>
      <c r="DS76" s="112"/>
      <c r="DT76" s="112"/>
      <c r="DU76" s="111"/>
      <c r="DV76" s="114"/>
      <c r="DW76" s="80">
        <f t="shared" si="170"/>
        <v>12</v>
      </c>
      <c r="DX76" s="81">
        <f t="shared" si="132"/>
        <v>2638.666666666667</v>
      </c>
      <c r="DY76" s="80">
        <f t="shared" si="159"/>
        <v>2806</v>
      </c>
      <c r="DZ76" s="82">
        <f t="shared" si="160"/>
        <v>1.5899999999999997E-2</v>
      </c>
      <c r="EA76" s="82">
        <f t="shared" si="161"/>
        <v>0.40500000000000003</v>
      </c>
      <c r="EB76" s="82">
        <f t="shared" si="162"/>
        <v>2.0430000000000001</v>
      </c>
      <c r="EC76" s="82">
        <f t="shared" si="75"/>
        <v>2.0589</v>
      </c>
      <c r="EF76" s="83">
        <f t="shared" si="108"/>
        <v>-73.333333333332959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3"/>
        <v>GAA5052-5.7x3-H9A14</v>
      </c>
      <c r="H77" s="46" t="str">
        <f t="shared" si="134"/>
        <v>A5052GA5.70DH9</v>
      </c>
      <c r="I77" s="46" t="str">
        <f t="shared" si="135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6"/>
        <v>16</v>
      </c>
      <c r="T77" s="51">
        <f>'04.02'!BG77</f>
        <v>18</v>
      </c>
      <c r="U77" s="92">
        <v>7</v>
      </c>
      <c r="V77" s="100">
        <v>0.15</v>
      </c>
      <c r="W77" s="93">
        <f t="shared" si="115"/>
        <v>0</v>
      </c>
      <c r="X77" s="93">
        <f t="shared" si="116"/>
        <v>0</v>
      </c>
      <c r="Y77" s="93">
        <f t="shared" si="117"/>
        <v>0</v>
      </c>
      <c r="Z77" s="93">
        <f t="shared" si="118"/>
        <v>0</v>
      </c>
      <c r="AA77" s="93">
        <f t="shared" si="119"/>
        <v>0</v>
      </c>
      <c r="AB77" s="93">
        <f t="shared" si="120"/>
        <v>2060</v>
      </c>
      <c r="AC77" s="93">
        <f t="shared" si="121"/>
        <v>0</v>
      </c>
      <c r="AD77" s="93">
        <f t="shared" si="122"/>
        <v>93</v>
      </c>
      <c r="AE77" s="93">
        <f t="shared" si="137"/>
        <v>2060</v>
      </c>
      <c r="AF77" s="54">
        <f>AE77+'04.02'!AF77</f>
        <v>10426</v>
      </c>
      <c r="AG77" s="94">
        <f t="shared" si="163"/>
        <v>18</v>
      </c>
      <c r="AH77" s="56">
        <f t="shared" si="138"/>
        <v>0</v>
      </c>
      <c r="AI77" s="93">
        <v>2</v>
      </c>
      <c r="AJ77" s="93">
        <f t="shared" si="164"/>
        <v>0</v>
      </c>
      <c r="AK77" s="95">
        <f t="shared" si="139"/>
        <v>1</v>
      </c>
      <c r="AL77" s="58">
        <f t="shared" si="175"/>
        <v>2</v>
      </c>
      <c r="AM77" s="55">
        <f t="shared" si="165"/>
        <v>23</v>
      </c>
      <c r="AN77" s="93"/>
      <c r="AO77" s="96"/>
      <c r="AP77" s="96"/>
      <c r="AQ77" s="96"/>
      <c r="AR77" s="96"/>
      <c r="AS77" s="96"/>
      <c r="AT77" s="96">
        <f>$CJ77</f>
        <v>59</v>
      </c>
      <c r="AU77" s="96">
        <f t="shared" si="140"/>
        <v>0</v>
      </c>
      <c r="AV77" s="96">
        <f t="shared" si="140"/>
        <v>14</v>
      </c>
      <c r="AW77" s="96">
        <f t="shared" si="141"/>
        <v>73</v>
      </c>
      <c r="AX77" s="96">
        <f t="shared" si="142"/>
        <v>486</v>
      </c>
      <c r="AY77" s="94">
        <f t="shared" si="166"/>
        <v>1</v>
      </c>
      <c r="AZ77" s="94">
        <f t="shared" si="143"/>
        <v>6.666666666666667</v>
      </c>
      <c r="BA77" s="94">
        <f t="shared" si="172"/>
        <v>23</v>
      </c>
      <c r="BB77" s="97">
        <f t="shared" si="173"/>
        <v>0</v>
      </c>
      <c r="BC77" s="93">
        <v>7</v>
      </c>
      <c r="BD77" s="93">
        <f t="shared" si="144"/>
        <v>0</v>
      </c>
      <c r="BE77" s="95">
        <f t="shared" si="145"/>
        <v>1</v>
      </c>
      <c r="BF77" s="58">
        <f t="shared" ref="BF77:BF106" si="176">IF(V77="","",MAX(ROUNDUP((IF(BC77+BD77=0,0,BB77)+BC77+BE77-1),2),0))</f>
        <v>7</v>
      </c>
      <c r="BG77" s="94">
        <f t="shared" si="146"/>
        <v>16</v>
      </c>
      <c r="BH77" s="89"/>
      <c r="BI77" s="89"/>
      <c r="BJ77" s="89"/>
      <c r="BK77" s="89"/>
      <c r="BL77" s="89"/>
      <c r="BM77" s="89"/>
      <c r="BN77" s="92">
        <f>$CN77</f>
        <v>250</v>
      </c>
      <c r="BO77" s="92">
        <f t="shared" si="167"/>
        <v>0</v>
      </c>
      <c r="BP77" s="92">
        <f t="shared" si="167"/>
        <v>0</v>
      </c>
      <c r="BQ77" s="96">
        <f t="shared" si="147"/>
        <v>250</v>
      </c>
      <c r="BR77" s="96">
        <f t="shared" si="148"/>
        <v>1666</v>
      </c>
      <c r="BS77" s="96">
        <f t="shared" si="168"/>
        <v>-2</v>
      </c>
      <c r="BT77" s="96">
        <f t="shared" si="149"/>
        <v>-13.333333333333334</v>
      </c>
      <c r="BU77" s="92">
        <f t="shared" si="123"/>
        <v>2060</v>
      </c>
      <c r="BV77" s="98">
        <f t="shared" si="169"/>
        <v>9</v>
      </c>
      <c r="BW77" s="92">
        <f t="shared" si="124"/>
        <v>-6.666666666666667</v>
      </c>
      <c r="BX77" s="98">
        <f t="shared" si="150"/>
        <v>1.8359999999999999</v>
      </c>
      <c r="BY77" s="61">
        <f t="shared" si="174"/>
        <v>9</v>
      </c>
      <c r="BZ77" s="62">
        <f t="shared" si="151"/>
        <v>9</v>
      </c>
      <c r="CA77" s="98">
        <f t="shared" si="152"/>
        <v>0.32300000000000001</v>
      </c>
      <c r="CB77" s="92">
        <f t="shared" si="125"/>
        <v>2152</v>
      </c>
      <c r="CC77" s="92">
        <f t="shared" si="125"/>
        <v>-1</v>
      </c>
      <c r="CD77" s="92">
        <f t="shared" si="125"/>
        <v>-6.666666666666667</v>
      </c>
      <c r="CE77" s="99"/>
      <c r="CF77" s="99"/>
      <c r="CG77" s="51">
        <f t="shared" si="153"/>
        <v>1.5269999999999999</v>
      </c>
      <c r="CH77" s="62">
        <f t="shared" si="154"/>
        <v>1.5269999999999999</v>
      </c>
      <c r="CI77" s="89"/>
      <c r="CJ77" s="89">
        <v>59</v>
      </c>
      <c r="CK77" s="89"/>
      <c r="CL77" s="96">
        <v>14</v>
      </c>
      <c r="CM77" s="89"/>
      <c r="CN77" s="89">
        <v>250</v>
      </c>
      <c r="CO77" s="92"/>
      <c r="CP77" s="101"/>
      <c r="CQ77" s="102">
        <f t="shared" si="102"/>
        <v>393</v>
      </c>
      <c r="CR77" s="102">
        <f t="shared" si="102"/>
        <v>0</v>
      </c>
      <c r="CS77" s="102">
        <f t="shared" si="102"/>
        <v>93</v>
      </c>
      <c r="CT77" s="92">
        <f t="shared" si="155"/>
        <v>1667</v>
      </c>
      <c r="CU77" s="92">
        <f t="shared" si="103"/>
        <v>0</v>
      </c>
      <c r="CV77" s="103">
        <f t="shared" si="103"/>
        <v>0</v>
      </c>
      <c r="CW77" s="104" t="s">
        <v>147</v>
      </c>
      <c r="CX77" s="105">
        <v>21.26</v>
      </c>
      <c r="CY77" s="106">
        <f t="shared" si="156"/>
        <v>1955</v>
      </c>
      <c r="CZ77" s="106">
        <f t="shared" si="157"/>
        <v>86.103000000000023</v>
      </c>
      <c r="DA77" s="106"/>
      <c r="DB77" s="106"/>
      <c r="DC77" s="105"/>
      <c r="DD77" s="107"/>
      <c r="DE77" s="92">
        <f t="shared" si="126"/>
        <v>393</v>
      </c>
      <c r="DF77" s="108">
        <f t="shared" si="127"/>
        <v>2</v>
      </c>
      <c r="DG77" s="115">
        <f t="shared" si="128"/>
        <v>6.666666666666667</v>
      </c>
      <c r="DH77" s="110">
        <f t="shared" si="129"/>
        <v>1667</v>
      </c>
      <c r="DI77" s="108">
        <f t="shared" si="130"/>
        <v>7</v>
      </c>
      <c r="DJ77" s="112">
        <f t="shared" si="131"/>
        <v>-13.333333333333334</v>
      </c>
      <c r="DK77" s="110">
        <f t="shared" si="86"/>
        <v>2060</v>
      </c>
      <c r="DL77" s="108">
        <f t="shared" si="86"/>
        <v>9</v>
      </c>
      <c r="DM77" s="111">
        <f t="shared" si="86"/>
        <v>-6.666666666666667</v>
      </c>
      <c r="DN77" s="76">
        <f t="shared" si="89"/>
        <v>18</v>
      </c>
      <c r="DO77" s="76">
        <f t="shared" si="90"/>
        <v>7</v>
      </c>
      <c r="DP77" s="112"/>
      <c r="DQ77" s="112"/>
      <c r="DR77" s="113" t="s">
        <v>465</v>
      </c>
      <c r="DS77" s="112"/>
      <c r="DT77" s="112"/>
      <c r="DU77" s="111"/>
      <c r="DV77" s="114"/>
      <c r="DW77" s="80">
        <f t="shared" si="158"/>
        <v>2069</v>
      </c>
      <c r="DX77" s="81">
        <f t="shared" si="132"/>
        <v>2062.3333333333335</v>
      </c>
      <c r="DY77" s="80">
        <f t="shared" si="159"/>
        <v>2153</v>
      </c>
      <c r="DZ77" s="82">
        <f t="shared" si="160"/>
        <v>1.3949999999999999E-2</v>
      </c>
      <c r="EA77" s="82">
        <f t="shared" si="161"/>
        <v>0.309</v>
      </c>
      <c r="EB77" s="82">
        <f t="shared" si="162"/>
        <v>1.5269999999999999</v>
      </c>
      <c r="EC77" s="82">
        <f t="shared" si="75"/>
        <v>1.5409499999999998</v>
      </c>
      <c r="EF77" s="83">
        <f t="shared" si="108"/>
        <v>-6.666666666666667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3"/>
        <v>TTS22C-2x2-H9A12</v>
      </c>
      <c r="H78" s="46" t="str">
        <f t="shared" si="134"/>
        <v>S22CTT20DH9</v>
      </c>
      <c r="I78" s="46" t="str">
        <f t="shared" si="135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6"/>
        <v>16</v>
      </c>
      <c r="T78" s="51">
        <f>'04.02'!BG78</f>
        <v>16</v>
      </c>
      <c r="U78" s="92">
        <v>14</v>
      </c>
      <c r="V78" s="100">
        <v>3.5000000000000003E-2</v>
      </c>
      <c r="W78" s="93">
        <f t="shared" si="115"/>
        <v>0</v>
      </c>
      <c r="X78" s="93">
        <f t="shared" si="116"/>
        <v>0</v>
      </c>
      <c r="Y78" s="93">
        <f t="shared" si="117"/>
        <v>0</v>
      </c>
      <c r="Z78" s="93">
        <f t="shared" si="118"/>
        <v>7142</v>
      </c>
      <c r="AA78" s="93">
        <f t="shared" si="119"/>
        <v>0</v>
      </c>
      <c r="AB78" s="93">
        <f t="shared" si="120"/>
        <v>0</v>
      </c>
      <c r="AC78" s="93">
        <f t="shared" si="121"/>
        <v>0</v>
      </c>
      <c r="AD78" s="93">
        <f t="shared" si="122"/>
        <v>0</v>
      </c>
      <c r="AE78" s="93">
        <f t="shared" si="137"/>
        <v>7142</v>
      </c>
      <c r="AF78" s="54">
        <f>AE78+'04.02'!AF78</f>
        <v>34568</v>
      </c>
      <c r="AG78" s="94">
        <f t="shared" si="163"/>
        <v>16</v>
      </c>
      <c r="AH78" s="56">
        <f t="shared" si="138"/>
        <v>0</v>
      </c>
      <c r="AI78" s="93">
        <v>7</v>
      </c>
      <c r="AJ78" s="93">
        <f t="shared" si="164"/>
        <v>0</v>
      </c>
      <c r="AK78" s="95">
        <f t="shared" si="139"/>
        <v>1</v>
      </c>
      <c r="AL78" s="58">
        <f t="shared" si="175"/>
        <v>7</v>
      </c>
      <c r="AM78" s="55">
        <f t="shared" si="165"/>
        <v>23</v>
      </c>
      <c r="AN78" s="93"/>
      <c r="AO78" s="96"/>
      <c r="AP78" s="96"/>
      <c r="AQ78" s="96"/>
      <c r="AR78" s="96">
        <f>$CJ78</f>
        <v>125</v>
      </c>
      <c r="AS78" s="96"/>
      <c r="AT78" s="96"/>
      <c r="AU78" s="96">
        <f t="shared" si="140"/>
        <v>0</v>
      </c>
      <c r="AV78" s="96">
        <f t="shared" si="140"/>
        <v>0</v>
      </c>
      <c r="AW78" s="96">
        <f t="shared" si="141"/>
        <v>125</v>
      </c>
      <c r="AX78" s="96">
        <f t="shared" si="142"/>
        <v>3571</v>
      </c>
      <c r="AY78" s="94">
        <f t="shared" si="166"/>
        <v>2.2549999999999812</v>
      </c>
      <c r="AZ78" s="94">
        <f t="shared" si="143"/>
        <v>64.428571428570891</v>
      </c>
      <c r="BA78" s="94">
        <f t="shared" si="172"/>
        <v>23</v>
      </c>
      <c r="BB78" s="97">
        <f t="shared" si="173"/>
        <v>0</v>
      </c>
      <c r="BC78" s="93">
        <v>7</v>
      </c>
      <c r="BD78" s="93">
        <f t="shared" si="144"/>
        <v>0</v>
      </c>
      <c r="BE78" s="95">
        <f t="shared" si="145"/>
        <v>1</v>
      </c>
      <c r="BF78" s="58">
        <f t="shared" si="176"/>
        <v>7</v>
      </c>
      <c r="BG78" s="94">
        <f t="shared" si="146"/>
        <v>16</v>
      </c>
      <c r="BH78" s="89"/>
      <c r="BI78" s="89"/>
      <c r="BJ78" s="89"/>
      <c r="BK78" s="89"/>
      <c r="BL78" s="92">
        <f>$CN78</f>
        <v>125</v>
      </c>
      <c r="BM78" s="89"/>
      <c r="BN78" s="89"/>
      <c r="BO78" s="92">
        <f t="shared" si="167"/>
        <v>0</v>
      </c>
      <c r="BP78" s="92">
        <f t="shared" si="167"/>
        <v>0</v>
      </c>
      <c r="BQ78" s="96">
        <f t="shared" si="147"/>
        <v>125</v>
      </c>
      <c r="BR78" s="96">
        <f t="shared" si="148"/>
        <v>3571</v>
      </c>
      <c r="BS78" s="96">
        <f t="shared" si="168"/>
        <v>2.2549999999999812</v>
      </c>
      <c r="BT78" s="96">
        <f t="shared" si="149"/>
        <v>64.428571428570891</v>
      </c>
      <c r="BU78" s="92">
        <f t="shared" si="123"/>
        <v>7142</v>
      </c>
      <c r="BV78" s="98">
        <f t="shared" si="169"/>
        <v>14</v>
      </c>
      <c r="BW78" s="92">
        <f t="shared" si="124"/>
        <v>128.85714285714178</v>
      </c>
      <c r="BX78" s="98" t="str">
        <f t="shared" si="150"/>
        <v/>
      </c>
      <c r="BY78" s="61">
        <f t="shared" si="174"/>
        <v>14</v>
      </c>
      <c r="BZ78" s="62">
        <f t="shared" si="151"/>
        <v>14</v>
      </c>
      <c r="CA78" s="98">
        <f t="shared" si="152"/>
        <v>0.25</v>
      </c>
      <c r="CB78" s="92">
        <f t="shared" si="125"/>
        <v>7142</v>
      </c>
      <c r="CC78" s="92">
        <f t="shared" si="125"/>
        <v>4.5099999999999625</v>
      </c>
      <c r="CD78" s="92">
        <f t="shared" si="125"/>
        <v>128.85714285714178</v>
      </c>
      <c r="CE78" s="99"/>
      <c r="CF78" s="99"/>
      <c r="CG78" s="51">
        <f t="shared" si="153"/>
        <v>0</v>
      </c>
      <c r="CH78" s="62">
        <f t="shared" si="154"/>
        <v>0</v>
      </c>
      <c r="CI78" s="89"/>
      <c r="CJ78" s="89">
        <v>125</v>
      </c>
      <c r="CK78" s="89"/>
      <c r="CL78" s="96"/>
      <c r="CM78" s="89"/>
      <c r="CN78" s="89">
        <v>125</v>
      </c>
      <c r="CO78" s="92"/>
      <c r="CP78" s="101"/>
      <c r="CQ78" s="102">
        <f t="shared" si="102"/>
        <v>3571</v>
      </c>
      <c r="CR78" s="102">
        <f t="shared" si="102"/>
        <v>0</v>
      </c>
      <c r="CS78" s="102">
        <f t="shared" si="102"/>
        <v>0</v>
      </c>
      <c r="CT78" s="92">
        <f t="shared" si="155"/>
        <v>3571</v>
      </c>
      <c r="CU78" s="92">
        <f t="shared" si="103"/>
        <v>0</v>
      </c>
      <c r="CV78" s="103">
        <f t="shared" si="103"/>
        <v>0</v>
      </c>
      <c r="CW78" s="104" t="s">
        <v>147</v>
      </c>
      <c r="CX78" s="105">
        <v>9.85</v>
      </c>
      <c r="CY78" s="106">
        <f t="shared" si="156"/>
        <v>4221</v>
      </c>
      <c r="CZ78" s="106">
        <f t="shared" si="157"/>
        <v>39.892499999999998</v>
      </c>
      <c r="DA78" s="106"/>
      <c r="DB78" s="106"/>
      <c r="DC78" s="105"/>
      <c r="DD78" s="107"/>
      <c r="DE78" s="92">
        <f t="shared" si="126"/>
        <v>3571</v>
      </c>
      <c r="DF78" s="108">
        <f t="shared" si="127"/>
        <v>7</v>
      </c>
      <c r="DG78" s="115">
        <f t="shared" si="128"/>
        <v>64.428571428570891</v>
      </c>
      <c r="DH78" s="110">
        <f t="shared" si="129"/>
        <v>3571</v>
      </c>
      <c r="DI78" s="108">
        <f t="shared" si="130"/>
        <v>7</v>
      </c>
      <c r="DJ78" s="115">
        <f t="shared" si="131"/>
        <v>64.428571428570891</v>
      </c>
      <c r="DK78" s="110">
        <f t="shared" si="86"/>
        <v>7142</v>
      </c>
      <c r="DL78" s="108">
        <f t="shared" si="86"/>
        <v>14</v>
      </c>
      <c r="DM78" s="111">
        <f t="shared" si="86"/>
        <v>128.85714285714178</v>
      </c>
      <c r="DN78" s="76">
        <f t="shared" si="89"/>
        <v>16</v>
      </c>
      <c r="DO78" s="76">
        <f t="shared" si="90"/>
        <v>14</v>
      </c>
      <c r="DP78" s="112"/>
      <c r="DQ78" s="112"/>
      <c r="DR78" s="113" t="s">
        <v>466</v>
      </c>
      <c r="DS78" s="112"/>
      <c r="DT78" s="112"/>
      <c r="DU78" s="111"/>
      <c r="DV78" s="114"/>
      <c r="DW78" s="80">
        <f t="shared" si="158"/>
        <v>7156</v>
      </c>
      <c r="DX78" s="81">
        <f t="shared" si="132"/>
        <v>7284.8571428571422</v>
      </c>
      <c r="DY78" s="80">
        <f t="shared" si="159"/>
        <v>7142</v>
      </c>
      <c r="DZ78" s="82">
        <f t="shared" si="160"/>
        <v>0</v>
      </c>
      <c r="EA78" s="82">
        <f t="shared" si="161"/>
        <v>0.24997000000000003</v>
      </c>
      <c r="EB78" s="82" t="e">
        <f t="shared" si="162"/>
        <v>#VALUE!</v>
      </c>
      <c r="EC78" s="82" t="e">
        <f t="shared" si="75"/>
        <v>#VALUE!</v>
      </c>
      <c r="EF78" s="83">
        <f t="shared" si="108"/>
        <v>128.85714285714178</v>
      </c>
    </row>
    <row r="79" spans="1:136" ht="15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3"/>
        <v>IBC3604-6x3-H9B13</v>
      </c>
      <c r="H79" s="46" t="str">
        <f t="shared" si="134"/>
        <v>C3604IB60DH9</v>
      </c>
      <c r="I79" s="46" t="str">
        <f t="shared" si="135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6"/>
        <v>10</v>
      </c>
      <c r="T79" s="51">
        <f>'04.02'!BG79</f>
        <v>0</v>
      </c>
      <c r="U79" s="92"/>
      <c r="V79" s="100">
        <v>0.67</v>
      </c>
      <c r="W79" s="93">
        <f t="shared" si="115"/>
        <v>0</v>
      </c>
      <c r="X79" s="93">
        <f t="shared" si="116"/>
        <v>0</v>
      </c>
      <c r="Y79" s="93">
        <f t="shared" si="117"/>
        <v>0</v>
      </c>
      <c r="Z79" s="93">
        <f t="shared" si="118"/>
        <v>0</v>
      </c>
      <c r="AA79" s="93">
        <f t="shared" si="119"/>
        <v>0</v>
      </c>
      <c r="AB79" s="93">
        <f t="shared" si="120"/>
        <v>0</v>
      </c>
      <c r="AC79" s="93">
        <f t="shared" si="121"/>
        <v>0</v>
      </c>
      <c r="AD79" s="93">
        <f t="shared" si="122"/>
        <v>0</v>
      </c>
      <c r="AE79" s="93">
        <f t="shared" si="137"/>
        <v>0</v>
      </c>
      <c r="AF79" s="54">
        <f>AE79+'04.02'!AF79</f>
        <v>0</v>
      </c>
      <c r="AG79" s="94">
        <f t="shared" si="163"/>
        <v>0</v>
      </c>
      <c r="AH79" s="56">
        <f t="shared" si="138"/>
        <v>0</v>
      </c>
      <c r="AI79" s="93"/>
      <c r="AJ79" s="93">
        <f t="shared" si="164"/>
        <v>0</v>
      </c>
      <c r="AK79" s="95">
        <f t="shared" si="139"/>
        <v>1</v>
      </c>
      <c r="AL79" s="58">
        <f t="shared" si="175"/>
        <v>0</v>
      </c>
      <c r="AM79" s="55">
        <f t="shared" si="165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40"/>
        <v>0</v>
      </c>
      <c r="AV79" s="96">
        <f t="shared" si="140"/>
        <v>0</v>
      </c>
      <c r="AW79" s="96">
        <f t="shared" si="141"/>
        <v>0</v>
      </c>
      <c r="AX79" s="96">
        <f t="shared" si="142"/>
        <v>0</v>
      </c>
      <c r="AY79" s="94">
        <f t="shared" si="166"/>
        <v>0</v>
      </c>
      <c r="AZ79" s="94">
        <f t="shared" si="143"/>
        <v>0</v>
      </c>
      <c r="BA79" s="94">
        <f t="shared" si="172"/>
        <v>0</v>
      </c>
      <c r="BB79" s="97">
        <f t="shared" si="173"/>
        <v>0</v>
      </c>
      <c r="BC79" s="93"/>
      <c r="BD79" s="93">
        <f t="shared" si="144"/>
        <v>0</v>
      </c>
      <c r="BE79" s="95">
        <f t="shared" si="145"/>
        <v>1</v>
      </c>
      <c r="BF79" s="58">
        <f t="shared" si="176"/>
        <v>0</v>
      </c>
      <c r="BG79" s="94">
        <f t="shared" si="146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7"/>
        <v>0</v>
      </c>
      <c r="BP79" s="92">
        <f t="shared" si="167"/>
        <v>0</v>
      </c>
      <c r="BQ79" s="96">
        <f t="shared" si="147"/>
        <v>0</v>
      </c>
      <c r="BR79" s="96">
        <f t="shared" si="148"/>
        <v>0</v>
      </c>
      <c r="BS79" s="96">
        <f t="shared" si="168"/>
        <v>0</v>
      </c>
      <c r="BT79" s="96">
        <f t="shared" si="149"/>
        <v>0</v>
      </c>
      <c r="BU79" s="92">
        <f t="shared" si="123"/>
        <v>0</v>
      </c>
      <c r="BV79" s="98">
        <f t="shared" si="169"/>
        <v>0</v>
      </c>
      <c r="BW79" s="92">
        <f t="shared" si="124"/>
        <v>0</v>
      </c>
      <c r="BX79" s="98">
        <f t="shared" si="150"/>
        <v>0</v>
      </c>
      <c r="BY79" s="61">
        <f t="shared" si="174"/>
        <v>0</v>
      </c>
      <c r="BZ79" s="62">
        <f t="shared" si="151"/>
        <v>0</v>
      </c>
      <c r="CA79" s="98">
        <f t="shared" si="152"/>
        <v>0</v>
      </c>
      <c r="CB79" s="92">
        <f t="shared" si="125"/>
        <v>0</v>
      </c>
      <c r="CC79" s="92">
        <f t="shared" si="125"/>
        <v>0</v>
      </c>
      <c r="CD79" s="92">
        <f t="shared" si="125"/>
        <v>0</v>
      </c>
      <c r="CE79" s="99"/>
      <c r="CF79" s="99"/>
      <c r="CG79" s="51">
        <f t="shared" si="153"/>
        <v>0</v>
      </c>
      <c r="CH79" s="62">
        <f t="shared" si="154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102"/>
        <v>0</v>
      </c>
      <c r="CR79" s="102">
        <f t="shared" si="102"/>
        <v>0</v>
      </c>
      <c r="CS79" s="102">
        <f t="shared" si="102"/>
        <v>0</v>
      </c>
      <c r="CT79" s="92">
        <f t="shared" si="155"/>
        <v>0</v>
      </c>
      <c r="CU79" s="92">
        <f t="shared" si="103"/>
        <v>0</v>
      </c>
      <c r="CV79" s="103">
        <f t="shared" si="103"/>
        <v>0</v>
      </c>
      <c r="CW79" s="104" t="s">
        <v>147</v>
      </c>
      <c r="CX79" s="105">
        <v>20</v>
      </c>
      <c r="CY79" s="106">
        <f t="shared" si="156"/>
        <v>2106</v>
      </c>
      <c r="CZ79" s="106">
        <f t="shared" si="157"/>
        <v>81</v>
      </c>
      <c r="DA79" s="106"/>
      <c r="DB79" s="106"/>
      <c r="DC79" s="105"/>
      <c r="DD79" s="107"/>
      <c r="DE79" s="92">
        <f t="shared" si="126"/>
        <v>0</v>
      </c>
      <c r="DF79" s="108">
        <f t="shared" si="127"/>
        <v>0</v>
      </c>
      <c r="DG79" s="115">
        <f t="shared" si="128"/>
        <v>0</v>
      </c>
      <c r="DH79" s="110">
        <f t="shared" si="129"/>
        <v>0</v>
      </c>
      <c r="DI79" s="108">
        <f t="shared" si="130"/>
        <v>0</v>
      </c>
      <c r="DJ79" s="112">
        <f t="shared" si="131"/>
        <v>0</v>
      </c>
      <c r="DK79" s="110">
        <f t="shared" si="86"/>
        <v>0</v>
      </c>
      <c r="DL79" s="108">
        <f t="shared" si="86"/>
        <v>0</v>
      </c>
      <c r="DM79" s="111">
        <f t="shared" si="86"/>
        <v>0</v>
      </c>
      <c r="DN79" s="76">
        <f t="shared" si="89"/>
        <v>0</v>
      </c>
      <c r="DO79" s="76">
        <f t="shared" si="90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8"/>
        <v>0</v>
      </c>
      <c r="DX79" s="81">
        <f t="shared" si="132"/>
        <v>0</v>
      </c>
      <c r="DY79" s="80">
        <f t="shared" si="159"/>
        <v>0</v>
      </c>
      <c r="DZ79" s="82">
        <f t="shared" si="160"/>
        <v>0</v>
      </c>
      <c r="EA79" s="82">
        <f t="shared" si="161"/>
        <v>0</v>
      </c>
      <c r="EB79" s="82">
        <f t="shared" si="162"/>
        <v>0</v>
      </c>
      <c r="EC79" s="82">
        <f t="shared" ref="EC79:EC82" si="177">(BX79-CA79)+((AV79+BP79)/1000)</f>
        <v>0</v>
      </c>
      <c r="EF79" s="83">
        <f t="shared" si="108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3"/>
        <v>YHC2700-5.5x3-H9A14</v>
      </c>
      <c r="H80" s="46" t="str">
        <f t="shared" si="134"/>
        <v>C2700YH5.50DH9</v>
      </c>
      <c r="I80" s="46" t="str">
        <f t="shared" si="135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6"/>
        <v>46</v>
      </c>
      <c r="T80" s="51">
        <f>'04.02'!BG80</f>
        <v>9</v>
      </c>
      <c r="U80" s="92">
        <v>31</v>
      </c>
      <c r="V80" s="100">
        <v>1.1000000000000001</v>
      </c>
      <c r="W80" s="93">
        <f t="shared" si="115"/>
        <v>0</v>
      </c>
      <c r="X80" s="93">
        <f t="shared" si="116"/>
        <v>2720</v>
      </c>
      <c r="Y80" s="93">
        <f t="shared" si="117"/>
        <v>0</v>
      </c>
      <c r="Z80" s="93">
        <f t="shared" si="118"/>
        <v>0</v>
      </c>
      <c r="AA80" s="93">
        <f t="shared" si="119"/>
        <v>0</v>
      </c>
      <c r="AB80" s="93">
        <f t="shared" si="120"/>
        <v>0</v>
      </c>
      <c r="AC80" s="93">
        <f t="shared" si="121"/>
        <v>0</v>
      </c>
      <c r="AD80" s="93">
        <f t="shared" si="122"/>
        <v>79</v>
      </c>
      <c r="AE80" s="93">
        <f t="shared" si="137"/>
        <v>2720</v>
      </c>
      <c r="AF80" s="54">
        <f>AE80+'04.02'!AF80</f>
        <v>11700</v>
      </c>
      <c r="AG80" s="94">
        <f t="shared" si="163"/>
        <v>9</v>
      </c>
      <c r="AH80" s="56">
        <f t="shared" si="138"/>
        <v>0</v>
      </c>
      <c r="AI80" s="93">
        <v>7</v>
      </c>
      <c r="AJ80" s="93">
        <f t="shared" si="164"/>
        <v>0</v>
      </c>
      <c r="AK80" s="95">
        <f t="shared" si="139"/>
        <v>1</v>
      </c>
      <c r="AL80" s="58">
        <f t="shared" si="175"/>
        <v>7</v>
      </c>
      <c r="AM80" s="55">
        <f t="shared" si="165"/>
        <v>33</v>
      </c>
      <c r="AN80" s="93"/>
      <c r="AO80" s="96"/>
      <c r="AP80" s="96">
        <f>$CJ80</f>
        <v>1194</v>
      </c>
      <c r="AQ80" s="96"/>
      <c r="AR80" s="96"/>
      <c r="AS80" s="96"/>
      <c r="AT80" s="96"/>
      <c r="AU80" s="96">
        <f t="shared" si="140"/>
        <v>0</v>
      </c>
      <c r="AV80" s="96">
        <f t="shared" si="140"/>
        <v>10</v>
      </c>
      <c r="AW80" s="96">
        <f t="shared" si="141"/>
        <v>1204</v>
      </c>
      <c r="AX80" s="96">
        <f t="shared" si="142"/>
        <v>1094</v>
      </c>
      <c r="AY80" s="94">
        <f t="shared" si="166"/>
        <v>-66.5</v>
      </c>
      <c r="AZ80" s="94">
        <f t="shared" si="143"/>
        <v>-60.454545454545446</v>
      </c>
      <c r="BA80" s="94">
        <f t="shared" si="172"/>
        <v>33</v>
      </c>
      <c r="BB80" s="97">
        <f t="shared" si="173"/>
        <v>0</v>
      </c>
      <c r="BC80" s="93">
        <v>11</v>
      </c>
      <c r="BD80" s="93">
        <f t="shared" si="144"/>
        <v>0</v>
      </c>
      <c r="BE80" s="95">
        <f t="shared" si="145"/>
        <v>1</v>
      </c>
      <c r="BF80" s="58">
        <f t="shared" si="176"/>
        <v>11</v>
      </c>
      <c r="BG80" s="94">
        <f t="shared" si="146"/>
        <v>22</v>
      </c>
      <c r="BH80" s="89"/>
      <c r="BI80" s="89"/>
      <c r="BJ80" s="92">
        <f>$CN80</f>
        <v>1799</v>
      </c>
      <c r="BK80" s="89"/>
      <c r="BL80" s="89"/>
      <c r="BM80" s="89"/>
      <c r="BN80" s="92"/>
      <c r="BO80" s="92">
        <f t="shared" si="167"/>
        <v>0</v>
      </c>
      <c r="BP80" s="92">
        <f t="shared" si="167"/>
        <v>77</v>
      </c>
      <c r="BQ80" s="96">
        <f t="shared" si="147"/>
        <v>1876</v>
      </c>
      <c r="BR80" s="96">
        <f t="shared" si="148"/>
        <v>1705</v>
      </c>
      <c r="BS80" s="96">
        <f t="shared" si="168"/>
        <v>-120.50000000000023</v>
      </c>
      <c r="BT80" s="96">
        <f t="shared" si="149"/>
        <v>-109.54545454545475</v>
      </c>
      <c r="BU80" s="92">
        <f t="shared" si="123"/>
        <v>2720</v>
      </c>
      <c r="BV80" s="98">
        <f t="shared" si="169"/>
        <v>18</v>
      </c>
      <c r="BW80" s="92">
        <f t="shared" si="124"/>
        <v>-170.0000000000002</v>
      </c>
      <c r="BX80" s="98">
        <f t="shared" si="150"/>
        <v>10.782</v>
      </c>
      <c r="BY80" s="61">
        <f t="shared" si="174"/>
        <v>18</v>
      </c>
      <c r="BZ80" s="62">
        <f t="shared" si="151"/>
        <v>18</v>
      </c>
      <c r="CA80" s="98">
        <f t="shared" si="152"/>
        <v>3.08</v>
      </c>
      <c r="CB80" s="92">
        <f>IFERROR(BR80+AX80,"")</f>
        <v>2799</v>
      </c>
      <c r="CC80" s="92">
        <f t="shared" si="125"/>
        <v>-187.00000000000023</v>
      </c>
      <c r="CD80" s="92">
        <f t="shared" si="125"/>
        <v>-170.0000000000002</v>
      </c>
      <c r="CE80" s="99"/>
      <c r="CF80" s="99"/>
      <c r="CG80" s="51">
        <f t="shared" si="153"/>
        <v>7.7889999999999997</v>
      </c>
      <c r="CH80" s="62">
        <f t="shared" si="154"/>
        <v>7.7889999999999997</v>
      </c>
      <c r="CI80" s="89"/>
      <c r="CJ80" s="89">
        <v>1194</v>
      </c>
      <c r="CK80" s="89"/>
      <c r="CL80" s="96">
        <v>10</v>
      </c>
      <c r="CM80" s="89"/>
      <c r="CN80" s="89">
        <v>1799</v>
      </c>
      <c r="CO80" s="92"/>
      <c r="CP80" s="101">
        <v>77</v>
      </c>
      <c r="CQ80" s="102">
        <f t="shared" si="102"/>
        <v>1085</v>
      </c>
      <c r="CR80" s="102">
        <f t="shared" si="102"/>
        <v>0</v>
      </c>
      <c r="CS80" s="102">
        <f t="shared" si="102"/>
        <v>9</v>
      </c>
      <c r="CT80" s="92">
        <f t="shared" si="155"/>
        <v>1635</v>
      </c>
      <c r="CU80" s="92">
        <f t="shared" si="103"/>
        <v>0</v>
      </c>
      <c r="CV80" s="103">
        <f t="shared" si="103"/>
        <v>70</v>
      </c>
      <c r="CW80" s="104" t="s">
        <v>147</v>
      </c>
      <c r="CX80" s="105">
        <v>10</v>
      </c>
      <c r="CY80" s="106">
        <f t="shared" si="156"/>
        <v>3834</v>
      </c>
      <c r="CZ80" s="106">
        <f t="shared" si="157"/>
        <v>40.5</v>
      </c>
      <c r="DA80" s="106"/>
      <c r="DB80" s="106"/>
      <c r="DC80" s="105"/>
      <c r="DD80" s="107"/>
      <c r="DE80" s="92">
        <f t="shared" si="126"/>
        <v>1085</v>
      </c>
      <c r="DF80" s="108">
        <f t="shared" si="127"/>
        <v>7</v>
      </c>
      <c r="DG80" s="115">
        <f t="shared" si="128"/>
        <v>-60.454545454545446</v>
      </c>
      <c r="DH80" s="110">
        <f t="shared" si="129"/>
        <v>1635</v>
      </c>
      <c r="DI80" s="108">
        <f t="shared" si="130"/>
        <v>11</v>
      </c>
      <c r="DJ80" s="112">
        <f t="shared" si="131"/>
        <v>-109.54545454545475</v>
      </c>
      <c r="DK80" s="110">
        <f t="shared" si="86"/>
        <v>2720</v>
      </c>
      <c r="DL80" s="108">
        <f t="shared" si="86"/>
        <v>18</v>
      </c>
      <c r="DM80" s="111">
        <f t="shared" si="86"/>
        <v>-170.0000000000002</v>
      </c>
      <c r="DN80" s="76">
        <f t="shared" si="89"/>
        <v>9</v>
      </c>
      <c r="DO80" s="76">
        <f t="shared" si="90"/>
        <v>31</v>
      </c>
      <c r="DP80" s="112"/>
      <c r="DQ80" s="112"/>
      <c r="DR80" s="113" t="s">
        <v>467</v>
      </c>
      <c r="DS80" s="112"/>
      <c r="DT80" s="112"/>
      <c r="DU80" s="111"/>
      <c r="DV80" s="114"/>
      <c r="DW80" s="80">
        <f t="shared" si="158"/>
        <v>2738</v>
      </c>
      <c r="DX80" s="81">
        <f t="shared" si="132"/>
        <v>2568</v>
      </c>
      <c r="DY80" s="80">
        <f t="shared" si="159"/>
        <v>2799</v>
      </c>
      <c r="DZ80" s="82">
        <f t="shared" si="160"/>
        <v>8.6900000000000005E-2</v>
      </c>
      <c r="EA80" s="82">
        <f t="shared" si="161"/>
        <v>2.9920000000000004</v>
      </c>
      <c r="EB80" s="82">
        <f t="shared" si="162"/>
        <v>7.7899999999999991</v>
      </c>
      <c r="EC80" s="82">
        <f t="shared" si="177"/>
        <v>7.7889999999999997</v>
      </c>
      <c r="EF80" s="83">
        <f t="shared" si="108"/>
        <v>-170.0000000000002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3"/>
        <v>IBC3604-7x3-H9D14</v>
      </c>
      <c r="H81" s="46" t="str">
        <f t="shared" si="134"/>
        <v>C3604IB70DH9</v>
      </c>
      <c r="I81" s="46" t="str">
        <f t="shared" si="135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6"/>
        <v>34</v>
      </c>
      <c r="T81" s="51">
        <f>'04.02'!BG81</f>
        <v>18</v>
      </c>
      <c r="U81" s="92">
        <v>32</v>
      </c>
      <c r="V81" s="100">
        <v>2.12</v>
      </c>
      <c r="W81" s="93">
        <f t="shared" si="115"/>
        <v>0</v>
      </c>
      <c r="X81" s="93">
        <f t="shared" si="116"/>
        <v>5423</v>
      </c>
      <c r="Y81" s="93">
        <f t="shared" si="117"/>
        <v>0</v>
      </c>
      <c r="Z81" s="93">
        <f t="shared" si="118"/>
        <v>0</v>
      </c>
      <c r="AA81" s="93">
        <f t="shared" si="119"/>
        <v>0</v>
      </c>
      <c r="AB81" s="93">
        <f t="shared" si="120"/>
        <v>0</v>
      </c>
      <c r="AC81" s="93">
        <f t="shared" si="121"/>
        <v>0</v>
      </c>
      <c r="AD81" s="93">
        <f t="shared" si="122"/>
        <v>32</v>
      </c>
      <c r="AE81" s="93">
        <f t="shared" si="137"/>
        <v>5423</v>
      </c>
      <c r="AF81" s="54">
        <f>AE81+'04.02'!AF81</f>
        <v>25373</v>
      </c>
      <c r="AG81" s="94">
        <f t="shared" si="163"/>
        <v>18</v>
      </c>
      <c r="AH81" s="56">
        <f t="shared" si="138"/>
        <v>0</v>
      </c>
      <c r="AI81" s="93">
        <v>15</v>
      </c>
      <c r="AJ81" s="93">
        <f t="shared" si="164"/>
        <v>0</v>
      </c>
      <c r="AK81" s="95">
        <f t="shared" si="139"/>
        <v>1</v>
      </c>
      <c r="AL81" s="58">
        <f t="shared" si="175"/>
        <v>15</v>
      </c>
      <c r="AM81" s="55">
        <f t="shared" si="165"/>
        <v>35</v>
      </c>
      <c r="AN81" s="93"/>
      <c r="AO81" s="96"/>
      <c r="AP81" s="96">
        <f>$CJ81</f>
        <v>5429</v>
      </c>
      <c r="AQ81" s="96"/>
      <c r="AR81" s="96"/>
      <c r="AS81" s="96"/>
      <c r="AT81" s="96"/>
      <c r="AU81" s="96">
        <f t="shared" si="140"/>
        <v>0</v>
      </c>
      <c r="AV81" s="96">
        <f t="shared" si="140"/>
        <v>45</v>
      </c>
      <c r="AW81" s="96">
        <f t="shared" si="141"/>
        <v>5474</v>
      </c>
      <c r="AX81" s="96">
        <f t="shared" si="142"/>
        <v>2582</v>
      </c>
      <c r="AY81" s="94">
        <f t="shared" si="166"/>
        <v>-27.400000000000546</v>
      </c>
      <c r="AZ81" s="94">
        <f t="shared" si="143"/>
        <v>-12.924528301887049</v>
      </c>
      <c r="BA81" s="94">
        <f t="shared" si="172"/>
        <v>35</v>
      </c>
      <c r="BB81" s="97">
        <f t="shared" si="173"/>
        <v>0</v>
      </c>
      <c r="BC81" s="93">
        <v>17</v>
      </c>
      <c r="BD81" s="93">
        <f t="shared" si="144"/>
        <v>0</v>
      </c>
      <c r="BE81" s="95">
        <f t="shared" si="145"/>
        <v>1</v>
      </c>
      <c r="BF81" s="58">
        <f t="shared" si="176"/>
        <v>17</v>
      </c>
      <c r="BG81" s="94">
        <f t="shared" si="146"/>
        <v>18</v>
      </c>
      <c r="BH81" s="89"/>
      <c r="BI81" s="89"/>
      <c r="BJ81" s="92">
        <f>$CN81</f>
        <v>6068</v>
      </c>
      <c r="BK81" s="89"/>
      <c r="BL81" s="89"/>
      <c r="BM81" s="89"/>
      <c r="BN81" s="89"/>
      <c r="BO81" s="92">
        <f t="shared" si="167"/>
        <v>0</v>
      </c>
      <c r="BP81" s="92">
        <f t="shared" si="167"/>
        <v>24</v>
      </c>
      <c r="BQ81" s="96">
        <f t="shared" si="147"/>
        <v>6092</v>
      </c>
      <c r="BR81" s="96">
        <f t="shared" si="148"/>
        <v>2873</v>
      </c>
      <c r="BS81" s="96">
        <f t="shared" si="168"/>
        <v>-142.92000000000007</v>
      </c>
      <c r="BT81" s="96">
        <f t="shared" si="149"/>
        <v>-67.415094339622669</v>
      </c>
      <c r="BU81" s="92">
        <f t="shared" si="123"/>
        <v>5423</v>
      </c>
      <c r="BV81" s="98">
        <f t="shared" si="169"/>
        <v>32</v>
      </c>
      <c r="BW81" s="92">
        <f t="shared" si="124"/>
        <v>-80.33962264150972</v>
      </c>
      <c r="BX81" s="98">
        <f t="shared" si="150"/>
        <v>31.36</v>
      </c>
      <c r="BY81" s="61">
        <f t="shared" si="174"/>
        <v>32</v>
      </c>
      <c r="BZ81" s="62">
        <f t="shared" si="151"/>
        <v>32</v>
      </c>
      <c r="CA81" s="98">
        <f t="shared" si="152"/>
        <v>11.566000000000001</v>
      </c>
      <c r="CB81" s="92">
        <f t="shared" si="125"/>
        <v>5455</v>
      </c>
      <c r="CC81" s="92">
        <f t="shared" si="125"/>
        <v>-170.32000000000062</v>
      </c>
      <c r="CD81" s="92">
        <f t="shared" si="125"/>
        <v>-80.33962264150972</v>
      </c>
      <c r="CE81" s="99"/>
      <c r="CF81" s="99"/>
      <c r="CG81" s="51">
        <f t="shared" si="153"/>
        <v>19.862999999999996</v>
      </c>
      <c r="CH81" s="62">
        <f t="shared" si="154"/>
        <v>19.862999999999996</v>
      </c>
      <c r="CI81" s="89"/>
      <c r="CJ81" s="89">
        <v>5429</v>
      </c>
      <c r="CK81" s="89"/>
      <c r="CL81" s="96">
        <v>45</v>
      </c>
      <c r="CM81" s="89"/>
      <c r="CN81" s="89">
        <v>6068</v>
      </c>
      <c r="CO81" s="92"/>
      <c r="CP81" s="101">
        <v>24</v>
      </c>
      <c r="CQ81" s="102">
        <f t="shared" si="102"/>
        <v>2560</v>
      </c>
      <c r="CR81" s="102">
        <f t="shared" si="102"/>
        <v>0</v>
      </c>
      <c r="CS81" s="102">
        <f t="shared" si="102"/>
        <v>21</v>
      </c>
      <c r="CT81" s="92">
        <f t="shared" si="155"/>
        <v>2863</v>
      </c>
      <c r="CU81" s="92">
        <f t="shared" si="103"/>
        <v>0</v>
      </c>
      <c r="CV81" s="103">
        <f t="shared" si="103"/>
        <v>11</v>
      </c>
      <c r="CW81" s="104" t="s">
        <v>147</v>
      </c>
      <c r="CX81" s="105">
        <v>13.35</v>
      </c>
      <c r="CY81" s="106">
        <f t="shared" si="156"/>
        <v>2979</v>
      </c>
      <c r="CZ81" s="106">
        <f t="shared" si="157"/>
        <v>54.067500000000003</v>
      </c>
      <c r="DA81" s="106"/>
      <c r="DB81" s="106"/>
      <c r="DC81" s="105"/>
      <c r="DD81" s="107"/>
      <c r="DE81" s="92">
        <f t="shared" si="126"/>
        <v>2560</v>
      </c>
      <c r="DF81" s="108">
        <f t="shared" si="127"/>
        <v>15</v>
      </c>
      <c r="DG81" s="115">
        <f t="shared" si="128"/>
        <v>-12.924528301887049</v>
      </c>
      <c r="DH81" s="110">
        <f t="shared" si="129"/>
        <v>2863</v>
      </c>
      <c r="DI81" s="108">
        <f t="shared" si="130"/>
        <v>17</v>
      </c>
      <c r="DJ81" s="112">
        <f t="shared" si="131"/>
        <v>-67.415094339622669</v>
      </c>
      <c r="DK81" s="110">
        <f t="shared" si="86"/>
        <v>5423</v>
      </c>
      <c r="DL81" s="108">
        <f t="shared" si="86"/>
        <v>32</v>
      </c>
      <c r="DM81" s="111">
        <f t="shared" si="86"/>
        <v>-80.33962264150972</v>
      </c>
      <c r="DN81" s="76">
        <f t="shared" si="89"/>
        <v>18</v>
      </c>
      <c r="DO81" s="76">
        <f t="shared" si="90"/>
        <v>32</v>
      </c>
      <c r="DP81" s="112"/>
      <c r="DQ81" s="112"/>
      <c r="DR81" s="113" t="s">
        <v>468</v>
      </c>
      <c r="DS81" s="112"/>
      <c r="DT81" s="112"/>
      <c r="DU81" s="111"/>
      <c r="DV81" s="114"/>
      <c r="DW81" s="80">
        <f t="shared" ref="DW81:DW82" si="178">IFERROR(AL81+BF81,"")</f>
        <v>32</v>
      </c>
      <c r="DX81" s="81">
        <f t="shared" si="132"/>
        <v>5374.6603773584902</v>
      </c>
      <c r="DY81" s="80">
        <f t="shared" si="159"/>
        <v>5455</v>
      </c>
      <c r="DZ81" s="82">
        <f t="shared" si="160"/>
        <v>6.7839999999999998E-2</v>
      </c>
      <c r="EA81" s="82">
        <f t="shared" si="161"/>
        <v>11.49676</v>
      </c>
      <c r="EB81" s="82">
        <f t="shared" si="162"/>
        <v>19.863239999999998</v>
      </c>
      <c r="EC81" s="82">
        <f t="shared" si="177"/>
        <v>19.862999999999996</v>
      </c>
      <c r="EF81" s="83">
        <f t="shared" si="108"/>
        <v>-80.33962264150972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3"/>
        <v>IBC3602-7.5x3-H9B14</v>
      </c>
      <c r="H82" s="46" t="str">
        <f t="shared" si="134"/>
        <v>C3602IB7.50DH9</v>
      </c>
      <c r="I82" s="46" t="str">
        <f t="shared" si="135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6"/>
        <v>34</v>
      </c>
      <c r="T82" s="51">
        <v>12</v>
      </c>
      <c r="U82" s="92">
        <v>38</v>
      </c>
      <c r="V82" s="174">
        <v>1.23</v>
      </c>
      <c r="W82" s="93">
        <f t="shared" si="115"/>
        <v>0</v>
      </c>
      <c r="X82" s="93">
        <f t="shared" si="116"/>
        <v>0</v>
      </c>
      <c r="Y82" s="93">
        <f t="shared" si="117"/>
        <v>6006</v>
      </c>
      <c r="Z82" s="93">
        <f t="shared" si="118"/>
        <v>0</v>
      </c>
      <c r="AA82" s="93">
        <f t="shared" si="119"/>
        <v>0</v>
      </c>
      <c r="AB82" s="93">
        <f t="shared" si="120"/>
        <v>0</v>
      </c>
      <c r="AC82" s="93">
        <f t="shared" si="121"/>
        <v>0</v>
      </c>
      <c r="AD82" s="93">
        <f t="shared" si="122"/>
        <v>16</v>
      </c>
      <c r="AE82" s="93">
        <f t="shared" si="137"/>
        <v>6006</v>
      </c>
      <c r="AF82" s="54">
        <f>AE82+'04.02'!AF82</f>
        <v>29128</v>
      </c>
      <c r="AG82" s="94">
        <f t="shared" si="163"/>
        <v>12</v>
      </c>
      <c r="AH82" s="56">
        <f t="shared" si="138"/>
        <v>0</v>
      </c>
      <c r="AI82" s="93">
        <v>18</v>
      </c>
      <c r="AJ82" s="93">
        <f t="shared" si="164"/>
        <v>0</v>
      </c>
      <c r="AK82" s="95">
        <f t="shared" si="139"/>
        <v>1</v>
      </c>
      <c r="AL82" s="58">
        <f t="shared" si="175"/>
        <v>18</v>
      </c>
      <c r="AM82" s="55">
        <f t="shared" si="165"/>
        <v>32</v>
      </c>
      <c r="AN82" s="93"/>
      <c r="AO82" s="96"/>
      <c r="AP82" s="96"/>
      <c r="AQ82" s="96">
        <f>$CJ82</f>
        <v>3622</v>
      </c>
      <c r="AR82" s="96"/>
      <c r="AS82" s="96"/>
      <c r="AT82" s="96"/>
      <c r="AU82" s="96">
        <f t="shared" si="140"/>
        <v>0</v>
      </c>
      <c r="AV82" s="96">
        <f t="shared" si="140"/>
        <v>0</v>
      </c>
      <c r="AW82" s="96">
        <f t="shared" si="141"/>
        <v>3622</v>
      </c>
      <c r="AX82" s="96">
        <f t="shared" si="142"/>
        <v>2944</v>
      </c>
      <c r="AY82" s="94">
        <f t="shared" si="166"/>
        <v>57.460000000000036</v>
      </c>
      <c r="AZ82" s="94">
        <f t="shared" si="143"/>
        <v>46.715447154471576</v>
      </c>
      <c r="BA82" s="94">
        <f t="shared" si="172"/>
        <v>32</v>
      </c>
      <c r="BB82" s="97">
        <f t="shared" si="173"/>
        <v>0</v>
      </c>
      <c r="BC82" s="93">
        <v>19</v>
      </c>
      <c r="BD82" s="93">
        <f t="shared" si="144"/>
        <v>0</v>
      </c>
      <c r="BE82" s="95">
        <f t="shared" si="145"/>
        <v>1</v>
      </c>
      <c r="BF82" s="58">
        <f t="shared" si="176"/>
        <v>19</v>
      </c>
      <c r="BG82" s="94">
        <f t="shared" si="146"/>
        <v>13</v>
      </c>
      <c r="BH82" s="89"/>
      <c r="BI82" s="89"/>
      <c r="BJ82" s="89"/>
      <c r="BK82" s="92">
        <f>$CN82</f>
        <v>3766</v>
      </c>
      <c r="BL82" s="89"/>
      <c r="BM82" s="89"/>
      <c r="BN82" s="89"/>
      <c r="BO82" s="92">
        <f t="shared" si="167"/>
        <v>0</v>
      </c>
      <c r="BP82" s="92">
        <f t="shared" si="167"/>
        <v>20</v>
      </c>
      <c r="BQ82" s="96">
        <f t="shared" si="147"/>
        <v>3786</v>
      </c>
      <c r="BR82" s="96">
        <f t="shared" si="148"/>
        <v>3078</v>
      </c>
      <c r="BS82" s="96">
        <f t="shared" si="168"/>
        <v>23.429999999999836</v>
      </c>
      <c r="BT82" s="96">
        <f t="shared" si="149"/>
        <v>19.048780487804745</v>
      </c>
      <c r="BU82" s="92">
        <f t="shared" si="123"/>
        <v>6006</v>
      </c>
      <c r="BV82" s="98">
        <f t="shared" si="169"/>
        <v>37</v>
      </c>
      <c r="BW82" s="92">
        <f t="shared" si="124"/>
        <v>65.764227642276325</v>
      </c>
      <c r="BX82" s="98">
        <f t="shared" si="150"/>
        <v>41.476999999999997</v>
      </c>
      <c r="BY82" s="61">
        <f t="shared" si="174"/>
        <v>37</v>
      </c>
      <c r="BZ82" s="62">
        <f t="shared" si="151"/>
        <v>37</v>
      </c>
      <c r="CA82" s="98">
        <f t="shared" si="152"/>
        <v>7.4080000000000004</v>
      </c>
      <c r="CB82" s="92">
        <f t="shared" si="125"/>
        <v>6022</v>
      </c>
      <c r="CC82" s="92">
        <f t="shared" si="125"/>
        <v>80.889999999999873</v>
      </c>
      <c r="CD82" s="92">
        <f t="shared" si="125"/>
        <v>65.764227642276325</v>
      </c>
      <c r="CE82" s="99"/>
      <c r="CF82" s="99"/>
      <c r="CG82" s="51">
        <f t="shared" si="153"/>
        <v>34.088999999999999</v>
      </c>
      <c r="CH82" s="62">
        <f t="shared" si="154"/>
        <v>34.088999999999999</v>
      </c>
      <c r="CI82" s="89"/>
      <c r="CJ82" s="89">
        <v>3622</v>
      </c>
      <c r="CK82" s="89"/>
      <c r="CL82" s="96"/>
      <c r="CM82" s="89"/>
      <c r="CN82" s="89">
        <v>3766</v>
      </c>
      <c r="CO82" s="92"/>
      <c r="CP82" s="101">
        <v>20</v>
      </c>
      <c r="CQ82" s="102">
        <f t="shared" si="102"/>
        <v>2944</v>
      </c>
      <c r="CR82" s="102">
        <f t="shared" si="102"/>
        <v>0</v>
      </c>
      <c r="CS82" s="102">
        <f t="shared" si="102"/>
        <v>0</v>
      </c>
      <c r="CT82" s="92">
        <f t="shared" si="155"/>
        <v>3062</v>
      </c>
      <c r="CU82" s="92">
        <f t="shared" si="103"/>
        <v>0</v>
      </c>
      <c r="CV82" s="103">
        <f t="shared" si="103"/>
        <v>16</v>
      </c>
      <c r="CW82" s="104" t="s">
        <v>147</v>
      </c>
      <c r="CX82" s="105">
        <v>15</v>
      </c>
      <c r="CY82" s="106">
        <f t="shared" si="156"/>
        <v>2664</v>
      </c>
      <c r="CZ82" s="106">
        <f t="shared" si="157"/>
        <v>60.750000000000007</v>
      </c>
      <c r="DA82" s="106"/>
      <c r="DB82" s="106"/>
      <c r="DC82" s="105"/>
      <c r="DD82" s="107"/>
      <c r="DE82" s="92">
        <f t="shared" si="126"/>
        <v>2944</v>
      </c>
      <c r="DF82" s="108">
        <f t="shared" si="127"/>
        <v>18</v>
      </c>
      <c r="DG82" s="115">
        <f t="shared" si="128"/>
        <v>46.715447154471576</v>
      </c>
      <c r="DH82" s="110">
        <f t="shared" si="129"/>
        <v>3062</v>
      </c>
      <c r="DI82" s="108">
        <f t="shared" si="130"/>
        <v>19</v>
      </c>
      <c r="DJ82" s="112">
        <f t="shared" si="131"/>
        <v>19.048780487804745</v>
      </c>
      <c r="DK82" s="110">
        <f t="shared" si="86"/>
        <v>6006</v>
      </c>
      <c r="DL82" s="108">
        <f t="shared" si="86"/>
        <v>37</v>
      </c>
      <c r="DM82" s="111">
        <f t="shared" si="86"/>
        <v>65.764227642276325</v>
      </c>
      <c r="DN82" s="76">
        <f t="shared" si="89"/>
        <v>12</v>
      </c>
      <c r="DO82" s="76">
        <f t="shared" si="90"/>
        <v>38</v>
      </c>
      <c r="DP82" s="112"/>
      <c r="DQ82" s="112"/>
      <c r="DR82" s="113" t="s">
        <v>469</v>
      </c>
      <c r="DS82" s="112"/>
      <c r="DT82" s="112"/>
      <c r="DU82" s="111"/>
      <c r="DV82" s="114"/>
      <c r="DW82" s="80">
        <f t="shared" si="178"/>
        <v>37</v>
      </c>
      <c r="DX82" s="81">
        <f t="shared" si="132"/>
        <v>6108.7642276422766</v>
      </c>
      <c r="DY82" s="80">
        <f t="shared" si="159"/>
        <v>6022</v>
      </c>
      <c r="DZ82" s="82">
        <f t="shared" si="160"/>
        <v>1.968E-2</v>
      </c>
      <c r="EA82" s="82">
        <f t="shared" si="161"/>
        <v>7.3873800000000003</v>
      </c>
      <c r="EB82" s="82">
        <f t="shared" si="162"/>
        <v>34.089619999999996</v>
      </c>
      <c r="EC82" s="82">
        <f t="shared" si="177"/>
        <v>34.088999999999999</v>
      </c>
      <c r="EF82" s="83">
        <f t="shared" si="108"/>
        <v>65.764227642276325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3"/>
        <v>GWA6063-T5-7.5x3-H9B14</v>
      </c>
      <c r="H83" s="46" t="str">
        <f t="shared" si="134"/>
        <v>A6063-T5GW7.50DH9</v>
      </c>
      <c r="I83" s="46" t="str">
        <f t="shared" si="135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6"/>
        <v>18</v>
      </c>
      <c r="T83" s="51">
        <f>'04.02'!BG83</f>
        <v>46</v>
      </c>
      <c r="U83" s="92"/>
      <c r="V83" s="100">
        <v>0.70299999999999996</v>
      </c>
      <c r="W83" s="93">
        <f t="shared" si="115"/>
        <v>0</v>
      </c>
      <c r="X83" s="93">
        <f t="shared" si="116"/>
        <v>0</v>
      </c>
      <c r="Y83" s="93">
        <f t="shared" si="117"/>
        <v>0</v>
      </c>
      <c r="Z83" s="93">
        <f t="shared" si="118"/>
        <v>0</v>
      </c>
      <c r="AA83" s="93">
        <f t="shared" si="119"/>
        <v>0</v>
      </c>
      <c r="AB83" s="93">
        <f t="shared" si="120"/>
        <v>0</v>
      </c>
      <c r="AC83" s="93">
        <f t="shared" si="121"/>
        <v>0</v>
      </c>
      <c r="AD83" s="93">
        <f t="shared" si="122"/>
        <v>0</v>
      </c>
      <c r="AE83" s="93">
        <f t="shared" si="137"/>
        <v>0</v>
      </c>
      <c r="AF83" s="54">
        <f>AE83+'04.02'!AF83</f>
        <v>0</v>
      </c>
      <c r="AG83" s="94">
        <f t="shared" si="163"/>
        <v>46</v>
      </c>
      <c r="AH83" s="56">
        <f t="shared" si="138"/>
        <v>0</v>
      </c>
      <c r="AI83" s="93"/>
      <c r="AJ83" s="93">
        <f t="shared" si="164"/>
        <v>0</v>
      </c>
      <c r="AK83" s="95">
        <f t="shared" si="139"/>
        <v>1</v>
      </c>
      <c r="AL83" s="58">
        <f t="shared" si="175"/>
        <v>0</v>
      </c>
      <c r="AM83" s="55">
        <f t="shared" si="165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40"/>
        <v>0</v>
      </c>
      <c r="AV83" s="96">
        <f t="shared" si="140"/>
        <v>0</v>
      </c>
      <c r="AW83" s="96">
        <f t="shared" si="141"/>
        <v>0</v>
      </c>
      <c r="AX83" s="96">
        <f t="shared" si="142"/>
        <v>0</v>
      </c>
      <c r="AY83" s="94">
        <f t="shared" si="166"/>
        <v>0</v>
      </c>
      <c r="AZ83" s="94">
        <f t="shared" si="143"/>
        <v>0</v>
      </c>
      <c r="BA83" s="94">
        <f t="shared" si="172"/>
        <v>46</v>
      </c>
      <c r="BB83" s="97">
        <f t="shared" si="173"/>
        <v>0</v>
      </c>
      <c r="BC83" s="93"/>
      <c r="BD83" s="93">
        <f t="shared" si="144"/>
        <v>0</v>
      </c>
      <c r="BE83" s="95">
        <f t="shared" si="145"/>
        <v>1</v>
      </c>
      <c r="BF83" s="58">
        <f t="shared" si="176"/>
        <v>0</v>
      </c>
      <c r="BG83" s="94">
        <f t="shared" si="146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7"/>
        <v>0</v>
      </c>
      <c r="BP83" s="92">
        <f t="shared" si="167"/>
        <v>0</v>
      </c>
      <c r="BQ83" s="96">
        <f t="shared" si="147"/>
        <v>0</v>
      </c>
      <c r="BR83" s="96">
        <f t="shared" si="148"/>
        <v>0</v>
      </c>
      <c r="BS83" s="96">
        <f t="shared" si="168"/>
        <v>0</v>
      </c>
      <c r="BT83" s="96">
        <f t="shared" si="149"/>
        <v>0</v>
      </c>
      <c r="BU83" s="92">
        <f t="shared" si="123"/>
        <v>0</v>
      </c>
      <c r="BV83" s="98">
        <f t="shared" si="169"/>
        <v>0</v>
      </c>
      <c r="BW83" s="92">
        <f t="shared" si="124"/>
        <v>0</v>
      </c>
      <c r="BX83" s="98">
        <f t="shared" si="150"/>
        <v>0</v>
      </c>
      <c r="BY83" s="61">
        <f t="shared" si="174"/>
        <v>0</v>
      </c>
      <c r="BZ83" s="62">
        <f t="shared" si="151"/>
        <v>0</v>
      </c>
      <c r="CA83" s="98">
        <f t="shared" si="152"/>
        <v>0</v>
      </c>
      <c r="CB83" s="92">
        <f t="shared" si="125"/>
        <v>0</v>
      </c>
      <c r="CC83" s="92">
        <f t="shared" si="125"/>
        <v>0</v>
      </c>
      <c r="CD83" s="92">
        <f t="shared" si="125"/>
        <v>0</v>
      </c>
      <c r="CE83" s="99"/>
      <c r="CF83" s="99"/>
      <c r="CG83" s="51">
        <f t="shared" si="153"/>
        <v>0</v>
      </c>
      <c r="CH83" s="62">
        <f t="shared" si="154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102"/>
        <v>0</v>
      </c>
      <c r="CR83" s="102">
        <f t="shared" si="102"/>
        <v>0</v>
      </c>
      <c r="CS83" s="102">
        <f t="shared" si="102"/>
        <v>0</v>
      </c>
      <c r="CT83" s="92">
        <f t="shared" si="155"/>
        <v>0</v>
      </c>
      <c r="CU83" s="92">
        <f t="shared" si="103"/>
        <v>0</v>
      </c>
      <c r="CV83" s="103">
        <f t="shared" si="103"/>
        <v>0</v>
      </c>
      <c r="CW83" s="104" t="s">
        <v>147</v>
      </c>
      <c r="CX83" s="105">
        <v>18.5</v>
      </c>
      <c r="CY83" s="106">
        <f t="shared" si="156"/>
        <v>2237</v>
      </c>
      <c r="CZ83" s="106">
        <f t="shared" si="157"/>
        <v>74.925000000000011</v>
      </c>
      <c r="DA83" s="106"/>
      <c r="DB83" s="106"/>
      <c r="DC83" s="105"/>
      <c r="DD83" s="107"/>
      <c r="DE83" s="92">
        <f t="shared" si="126"/>
        <v>0</v>
      </c>
      <c r="DF83" s="108">
        <f t="shared" si="127"/>
        <v>0</v>
      </c>
      <c r="DG83" s="115">
        <f t="shared" si="128"/>
        <v>0</v>
      </c>
      <c r="DH83" s="110">
        <f t="shared" si="129"/>
        <v>0</v>
      </c>
      <c r="DI83" s="108">
        <f t="shared" si="130"/>
        <v>0</v>
      </c>
      <c r="DJ83" s="112">
        <f t="shared" si="131"/>
        <v>0</v>
      </c>
      <c r="DK83" s="110">
        <f t="shared" si="86"/>
        <v>0</v>
      </c>
      <c r="DL83" s="108">
        <f t="shared" si="86"/>
        <v>0</v>
      </c>
      <c r="DM83" s="111">
        <f t="shared" si="86"/>
        <v>0</v>
      </c>
      <c r="DN83" s="76">
        <f t="shared" si="89"/>
        <v>46</v>
      </c>
      <c r="DO83" s="76">
        <f t="shared" si="90"/>
        <v>0</v>
      </c>
      <c r="DP83" s="112"/>
      <c r="DQ83" s="112"/>
      <c r="DR83" s="113" t="s">
        <v>470</v>
      </c>
      <c r="DS83" s="112"/>
      <c r="DT83" s="112"/>
      <c r="DU83" s="111"/>
      <c r="DV83" s="114"/>
      <c r="DW83" s="80">
        <f t="shared" si="158"/>
        <v>0</v>
      </c>
      <c r="DX83" s="81">
        <f t="shared" si="132"/>
        <v>0</v>
      </c>
      <c r="DY83" s="80">
        <f t="shared" si="159"/>
        <v>0</v>
      </c>
      <c r="DZ83" s="82">
        <f t="shared" si="160"/>
        <v>0</v>
      </c>
      <c r="EA83" s="82">
        <f t="shared" si="161"/>
        <v>0</v>
      </c>
      <c r="EB83" s="82">
        <f t="shared" si="162"/>
        <v>0</v>
      </c>
      <c r="EC83" s="82">
        <f t="shared" ref="EC83:EC106" si="179">EB83+DZ83</f>
        <v>0</v>
      </c>
      <c r="EF83" s="83">
        <f t="shared" si="108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3"/>
        <v>GAA5052-5.7x3-H9A14</v>
      </c>
      <c r="H84" s="46" t="str">
        <f t="shared" si="134"/>
        <v>A5052GA5.70DH9</v>
      </c>
      <c r="I84" s="46" t="str">
        <f t="shared" si="135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6"/>
        <v>30</v>
      </c>
      <c r="T84" s="51">
        <v>2</v>
      </c>
      <c r="U84" s="92">
        <v>23</v>
      </c>
      <c r="V84" s="100">
        <v>0.15</v>
      </c>
      <c r="W84" s="93">
        <f t="shared" si="115"/>
        <v>0</v>
      </c>
      <c r="X84" s="93">
        <f t="shared" si="116"/>
        <v>0</v>
      </c>
      <c r="Y84" s="93">
        <f t="shared" si="117"/>
        <v>0</v>
      </c>
      <c r="Z84" s="93">
        <f t="shared" si="118"/>
        <v>0</v>
      </c>
      <c r="AA84" s="93">
        <f t="shared" si="119"/>
        <v>0</v>
      </c>
      <c r="AB84" s="93">
        <f t="shared" si="120"/>
        <v>2873</v>
      </c>
      <c r="AC84" s="93">
        <f t="shared" si="121"/>
        <v>0</v>
      </c>
      <c r="AD84" s="93">
        <f t="shared" si="122"/>
        <v>213</v>
      </c>
      <c r="AE84" s="93">
        <f t="shared" si="137"/>
        <v>2873</v>
      </c>
      <c r="AF84" s="54">
        <f>AE84+'04.02'!AF84</f>
        <v>14959</v>
      </c>
      <c r="AG84" s="94">
        <f t="shared" si="163"/>
        <v>2</v>
      </c>
      <c r="AH84" s="56">
        <f t="shared" si="138"/>
        <v>0</v>
      </c>
      <c r="AI84" s="93">
        <v>7</v>
      </c>
      <c r="AJ84" s="93">
        <f t="shared" si="164"/>
        <v>11</v>
      </c>
      <c r="AK84" s="95">
        <f t="shared" si="139"/>
        <v>0.30555555555555558</v>
      </c>
      <c r="AL84" s="58">
        <f t="shared" si="175"/>
        <v>6.31</v>
      </c>
      <c r="AM84" s="55">
        <f t="shared" si="165"/>
        <v>18.690000000000001</v>
      </c>
      <c r="AN84" s="93"/>
      <c r="AO84" s="96"/>
      <c r="AP84" s="96"/>
      <c r="AQ84" s="96"/>
      <c r="AR84" s="96"/>
      <c r="AS84" s="96"/>
      <c r="AT84" s="96">
        <f>$CJ84</f>
        <v>207</v>
      </c>
      <c r="AU84" s="96">
        <f t="shared" si="140"/>
        <v>0</v>
      </c>
      <c r="AV84" s="96">
        <f t="shared" si="140"/>
        <v>22</v>
      </c>
      <c r="AW84" s="96">
        <f t="shared" ref="AW84" si="180">SUM(AO84:AV84)</f>
        <v>229</v>
      </c>
      <c r="AX84" s="96">
        <f t="shared" si="142"/>
        <v>1526</v>
      </c>
      <c r="AY84" s="94">
        <f t="shared" si="166"/>
        <v>1.8400000000000318</v>
      </c>
      <c r="AZ84" s="94">
        <f t="shared" si="143"/>
        <v>12.266666666666879</v>
      </c>
      <c r="BA84" s="94">
        <f t="shared" si="172"/>
        <v>18.690000000000001</v>
      </c>
      <c r="BB84" s="97">
        <f t="shared" si="173"/>
        <v>0.69</v>
      </c>
      <c r="BC84" s="93">
        <v>6</v>
      </c>
      <c r="BD84" s="93">
        <f t="shared" si="144"/>
        <v>0</v>
      </c>
      <c r="BE84" s="95">
        <f t="shared" si="145"/>
        <v>1</v>
      </c>
      <c r="BF84" s="58">
        <f t="shared" si="176"/>
        <v>6.69</v>
      </c>
      <c r="BG84" s="94">
        <f t="shared" si="146"/>
        <v>12</v>
      </c>
      <c r="BH84" s="89"/>
      <c r="BI84" s="89"/>
      <c r="BJ84" s="92"/>
      <c r="BK84" s="89"/>
      <c r="BL84" s="89"/>
      <c r="BM84" s="89"/>
      <c r="BN84" s="92">
        <f>$CN84</f>
        <v>224</v>
      </c>
      <c r="BO84" s="92">
        <f t="shared" si="167"/>
        <v>0</v>
      </c>
      <c r="BP84" s="92">
        <f t="shared" si="167"/>
        <v>10</v>
      </c>
      <c r="BQ84" s="96">
        <f t="shared" si="147"/>
        <v>234</v>
      </c>
      <c r="BR84" s="96">
        <f t="shared" si="148"/>
        <v>1560</v>
      </c>
      <c r="BS84" s="96">
        <f t="shared" si="168"/>
        <v>-6.8400000000000034</v>
      </c>
      <c r="BT84" s="96">
        <f t="shared" si="149"/>
        <v>-45.600000000000023</v>
      </c>
      <c r="BU84" s="92">
        <f t="shared" si="123"/>
        <v>2873</v>
      </c>
      <c r="BV84" s="98">
        <f t="shared" si="169"/>
        <v>13</v>
      </c>
      <c r="BW84" s="92">
        <f t="shared" si="124"/>
        <v>-33.333333333333144</v>
      </c>
      <c r="BX84" s="98">
        <f t="shared" si="150"/>
        <v>2.6519999999999997</v>
      </c>
      <c r="BY84" s="61">
        <f t="shared" si="174"/>
        <v>13</v>
      </c>
      <c r="BZ84" s="62">
        <f t="shared" si="151"/>
        <v>13</v>
      </c>
      <c r="CA84" s="98">
        <f t="shared" si="152"/>
        <v>0.46300000000000002</v>
      </c>
      <c r="CB84" s="92">
        <f t="shared" si="125"/>
        <v>3086</v>
      </c>
      <c r="CC84" s="92">
        <f t="shared" si="125"/>
        <v>-4.9999999999999716</v>
      </c>
      <c r="CD84" s="92">
        <f t="shared" si="125"/>
        <v>-33.333333333333144</v>
      </c>
      <c r="CE84" s="99"/>
      <c r="CF84" s="99"/>
      <c r="CG84" s="51">
        <f t="shared" si="153"/>
        <v>2.2209999999999996</v>
      </c>
      <c r="CH84" s="62">
        <f t="shared" si="154"/>
        <v>2.2209999999999996</v>
      </c>
      <c r="CI84" s="89">
        <v>11</v>
      </c>
      <c r="CJ84" s="89">
        <v>207</v>
      </c>
      <c r="CK84" s="89"/>
      <c r="CL84" s="96">
        <v>22</v>
      </c>
      <c r="CM84" s="89"/>
      <c r="CN84" s="89">
        <v>224</v>
      </c>
      <c r="CO84" s="92"/>
      <c r="CP84" s="101">
        <v>10</v>
      </c>
      <c r="CQ84" s="102">
        <f t="shared" si="102"/>
        <v>1380</v>
      </c>
      <c r="CR84" s="102">
        <f t="shared" si="102"/>
        <v>0</v>
      </c>
      <c r="CS84" s="102">
        <f t="shared" si="102"/>
        <v>146</v>
      </c>
      <c r="CT84" s="92">
        <f t="shared" si="155"/>
        <v>1493</v>
      </c>
      <c r="CU84" s="92">
        <f t="shared" si="103"/>
        <v>0</v>
      </c>
      <c r="CV84" s="103">
        <f t="shared" si="103"/>
        <v>67</v>
      </c>
      <c r="CW84" s="104" t="s">
        <v>147</v>
      </c>
      <c r="CX84" s="105">
        <v>11</v>
      </c>
      <c r="CY84" s="106">
        <f t="shared" si="156"/>
        <v>3649</v>
      </c>
      <c r="CZ84" s="106">
        <f t="shared" si="157"/>
        <v>44.550000000000004</v>
      </c>
      <c r="DA84" s="106"/>
      <c r="DB84" s="106"/>
      <c r="DC84" s="105"/>
      <c r="DD84" s="107"/>
      <c r="DE84" s="92">
        <f t="shared" si="126"/>
        <v>1380</v>
      </c>
      <c r="DF84" s="108">
        <f t="shared" si="127"/>
        <v>6.31</v>
      </c>
      <c r="DG84" s="115">
        <f t="shared" si="128"/>
        <v>12.266666666666879</v>
      </c>
      <c r="DH84" s="110">
        <f t="shared" si="129"/>
        <v>1493</v>
      </c>
      <c r="DI84" s="108">
        <f t="shared" si="130"/>
        <v>6.69</v>
      </c>
      <c r="DJ84" s="112">
        <f t="shared" si="131"/>
        <v>-45.600000000000023</v>
      </c>
      <c r="DK84" s="110">
        <f t="shared" si="86"/>
        <v>2873</v>
      </c>
      <c r="DL84" s="108">
        <f t="shared" si="86"/>
        <v>13</v>
      </c>
      <c r="DM84" s="111">
        <f t="shared" si="86"/>
        <v>-33.333333333333144</v>
      </c>
      <c r="DN84" s="76">
        <f t="shared" si="89"/>
        <v>2</v>
      </c>
      <c r="DO84" s="76">
        <f t="shared" si="90"/>
        <v>23</v>
      </c>
      <c r="DP84" s="112"/>
      <c r="DQ84" s="112"/>
      <c r="DR84" s="113" t="s">
        <v>471</v>
      </c>
      <c r="DS84" s="112"/>
      <c r="DT84" s="112"/>
      <c r="DU84" s="111"/>
      <c r="DV84" s="114"/>
      <c r="DW84" s="80">
        <f t="shared" si="158"/>
        <v>2886</v>
      </c>
      <c r="DX84" s="81">
        <f t="shared" si="132"/>
        <v>2852.666666666667</v>
      </c>
      <c r="DY84" s="80">
        <f t="shared" si="159"/>
        <v>3086</v>
      </c>
      <c r="DZ84" s="82">
        <f t="shared" si="160"/>
        <v>3.1949999999999999E-2</v>
      </c>
      <c r="EA84" s="82">
        <f t="shared" si="161"/>
        <v>0.43095</v>
      </c>
      <c r="EB84" s="82">
        <f t="shared" si="162"/>
        <v>2.2210499999999995</v>
      </c>
      <c r="EC84" s="82">
        <f t="shared" si="179"/>
        <v>2.2529999999999997</v>
      </c>
      <c r="EF84" s="83">
        <f t="shared" si="108"/>
        <v>-33.333333333333144</v>
      </c>
    </row>
    <row r="85" spans="1:136" ht="15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3"/>
        <v>TVSUS303Cu-H15.87x2.5-H11B14</v>
      </c>
      <c r="H85" s="46" t="str">
        <f t="shared" si="134"/>
        <v>SUS303CuTV15.870HH11</v>
      </c>
      <c r="I85" s="46" t="str">
        <f t="shared" si="135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f>'04.02'!BG85</f>
        <v>0</v>
      </c>
      <c r="U85" s="92"/>
      <c r="V85" s="100">
        <v>27.35</v>
      </c>
      <c r="W85" s="93">
        <f t="shared" si="115"/>
        <v>0</v>
      </c>
      <c r="X85" s="93">
        <f t="shared" si="116"/>
        <v>0</v>
      </c>
      <c r="Y85" s="93">
        <f t="shared" si="117"/>
        <v>0</v>
      </c>
      <c r="Z85" s="93">
        <f t="shared" si="118"/>
        <v>0</v>
      </c>
      <c r="AA85" s="93">
        <f t="shared" si="119"/>
        <v>0</v>
      </c>
      <c r="AB85" s="93">
        <f t="shared" si="120"/>
        <v>0</v>
      </c>
      <c r="AC85" s="93">
        <f t="shared" si="121"/>
        <v>0</v>
      </c>
      <c r="AD85" s="93">
        <f t="shared" si="122"/>
        <v>0</v>
      </c>
      <c r="AE85" s="93">
        <f t="shared" si="137"/>
        <v>0</v>
      </c>
      <c r="AF85" s="54">
        <f>AE85+'04.02'!AF85</f>
        <v>0</v>
      </c>
      <c r="AG85" s="94">
        <f t="shared" si="163"/>
        <v>0</v>
      </c>
      <c r="AH85" s="56">
        <f t="shared" si="138"/>
        <v>0</v>
      </c>
      <c r="AI85" s="93"/>
      <c r="AJ85" s="93">
        <f t="shared" si="164"/>
        <v>0</v>
      </c>
      <c r="AK85" s="95">
        <f t="shared" si="139"/>
        <v>1</v>
      </c>
      <c r="AL85" s="58">
        <f t="shared" si="175"/>
        <v>0</v>
      </c>
      <c r="AM85" s="55">
        <f t="shared" si="165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40"/>
        <v>0</v>
      </c>
      <c r="AV85" s="96">
        <f t="shared" si="140"/>
        <v>0</v>
      </c>
      <c r="AW85" s="96">
        <f t="shared" si="141"/>
        <v>0</v>
      </c>
      <c r="AX85" s="96">
        <f t="shared" si="142"/>
        <v>0</v>
      </c>
      <c r="AY85" s="94">
        <f t="shared" si="166"/>
        <v>0</v>
      </c>
      <c r="AZ85" s="94">
        <f t="shared" si="143"/>
        <v>0</v>
      </c>
      <c r="BA85" s="94">
        <f t="shared" si="172"/>
        <v>0</v>
      </c>
      <c r="BB85" s="97">
        <f t="shared" si="173"/>
        <v>0</v>
      </c>
      <c r="BC85" s="93"/>
      <c r="BD85" s="93">
        <f t="shared" si="144"/>
        <v>0</v>
      </c>
      <c r="BE85" s="95">
        <f t="shared" si="145"/>
        <v>1</v>
      </c>
      <c r="BF85" s="58">
        <f t="shared" si="176"/>
        <v>0</v>
      </c>
      <c r="BG85" s="94">
        <f t="shared" si="146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7"/>
        <v>0</v>
      </c>
      <c r="BP85" s="92">
        <f t="shared" si="167"/>
        <v>0</v>
      </c>
      <c r="BQ85" s="96">
        <f t="shared" si="147"/>
        <v>0</v>
      </c>
      <c r="BR85" s="96">
        <f t="shared" si="148"/>
        <v>0</v>
      </c>
      <c r="BS85" s="96">
        <f t="shared" si="168"/>
        <v>0</v>
      </c>
      <c r="BT85" s="96">
        <f t="shared" si="149"/>
        <v>0</v>
      </c>
      <c r="BU85" s="92">
        <f t="shared" si="123"/>
        <v>0</v>
      </c>
      <c r="BV85" s="98">
        <f t="shared" si="169"/>
        <v>0</v>
      </c>
      <c r="BW85" s="92">
        <f t="shared" si="124"/>
        <v>0</v>
      </c>
      <c r="BX85" s="98">
        <f t="shared" si="150"/>
        <v>0</v>
      </c>
      <c r="BY85" s="61">
        <f t="shared" si="174"/>
        <v>0</v>
      </c>
      <c r="BZ85" s="62">
        <f t="shared" si="151"/>
        <v>0</v>
      </c>
      <c r="CA85" s="98">
        <f t="shared" si="152"/>
        <v>0</v>
      </c>
      <c r="CB85" s="92">
        <f t="shared" si="125"/>
        <v>0</v>
      </c>
      <c r="CC85" s="92">
        <f t="shared" si="125"/>
        <v>0</v>
      </c>
      <c r="CD85" s="92">
        <f t="shared" si="125"/>
        <v>0</v>
      </c>
      <c r="CE85" s="99"/>
      <c r="CF85" s="99"/>
      <c r="CG85" s="51">
        <f t="shared" si="153"/>
        <v>0</v>
      </c>
      <c r="CH85" s="62">
        <f t="shared" si="154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102"/>
        <v>0</v>
      </c>
      <c r="CR85" s="102">
        <f t="shared" si="102"/>
        <v>0</v>
      </c>
      <c r="CS85" s="102">
        <f t="shared" si="102"/>
        <v>0</v>
      </c>
      <c r="CT85" s="92">
        <f t="shared" si="155"/>
        <v>0</v>
      </c>
      <c r="CU85" s="92">
        <f t="shared" si="103"/>
        <v>0</v>
      </c>
      <c r="CV85" s="103">
        <f t="shared" si="103"/>
        <v>0</v>
      </c>
      <c r="CW85" s="104"/>
      <c r="CX85" s="105">
        <v>100</v>
      </c>
      <c r="CY85" s="106">
        <f t="shared" si="156"/>
        <v>414</v>
      </c>
      <c r="CZ85" s="106">
        <f t="shared" si="157"/>
        <v>810</v>
      </c>
      <c r="DA85" s="106"/>
      <c r="DB85" s="106"/>
      <c r="DC85" s="105"/>
      <c r="DD85" s="107"/>
      <c r="DE85" s="92">
        <f t="shared" si="126"/>
        <v>0</v>
      </c>
      <c r="DF85" s="108">
        <f t="shared" si="127"/>
        <v>0</v>
      </c>
      <c r="DG85" s="115">
        <f t="shared" si="128"/>
        <v>0</v>
      </c>
      <c r="DH85" s="110">
        <f t="shared" si="129"/>
        <v>0</v>
      </c>
      <c r="DI85" s="108">
        <f t="shared" si="130"/>
        <v>0</v>
      </c>
      <c r="DJ85" s="112">
        <f t="shared" si="131"/>
        <v>0</v>
      </c>
      <c r="DK85" s="110">
        <f t="shared" si="86"/>
        <v>0</v>
      </c>
      <c r="DL85" s="108">
        <f t="shared" si="86"/>
        <v>0</v>
      </c>
      <c r="DM85" s="111">
        <f t="shared" si="86"/>
        <v>0</v>
      </c>
      <c r="DN85" s="76">
        <f t="shared" si="89"/>
        <v>0</v>
      </c>
      <c r="DO85" s="76">
        <f t="shared" si="90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8"/>
        <v>0</v>
      </c>
      <c r="DX85" s="81">
        <f t="shared" si="132"/>
        <v>0</v>
      </c>
      <c r="DY85" s="80">
        <f t="shared" si="159"/>
        <v>0</v>
      </c>
      <c r="DZ85" s="82">
        <f t="shared" si="160"/>
        <v>0</v>
      </c>
      <c r="EA85" s="82">
        <f t="shared" si="161"/>
        <v>0</v>
      </c>
      <c r="EB85" s="82">
        <f t="shared" si="162"/>
        <v>0</v>
      </c>
      <c r="EC85" s="82">
        <f t="shared" ref="EC85:EC86" si="181">(BX85-CA85)+((AV85+BP85)/1000)</f>
        <v>0</v>
      </c>
      <c r="EF85" s="83">
        <f t="shared" si="108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3"/>
        <v>TVSUS303Cu-24x2.5-H9A15</v>
      </c>
      <c r="H86" s="46" t="str">
        <f t="shared" si="134"/>
        <v>SUS303CuTV240DH9</v>
      </c>
      <c r="I86" s="46" t="str">
        <f t="shared" si="135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6"/>
        <v>16</v>
      </c>
      <c r="T86" s="51">
        <f>'04.02'!BG86</f>
        <v>4</v>
      </c>
      <c r="U86" s="92">
        <v>3</v>
      </c>
      <c r="V86" s="100">
        <v>59.75</v>
      </c>
      <c r="W86" s="93">
        <f t="shared" si="115"/>
        <v>147</v>
      </c>
      <c r="X86" s="93">
        <f t="shared" si="116"/>
        <v>0</v>
      </c>
      <c r="Y86" s="93">
        <f t="shared" si="117"/>
        <v>0</v>
      </c>
      <c r="Z86" s="93">
        <f t="shared" si="118"/>
        <v>0</v>
      </c>
      <c r="AA86" s="93">
        <f t="shared" si="119"/>
        <v>0</v>
      </c>
      <c r="AB86" s="93">
        <f t="shared" si="120"/>
        <v>0</v>
      </c>
      <c r="AC86" s="93">
        <f t="shared" si="121"/>
        <v>0</v>
      </c>
      <c r="AD86" s="93">
        <f t="shared" si="122"/>
        <v>1</v>
      </c>
      <c r="AE86" s="93">
        <f t="shared" si="137"/>
        <v>147</v>
      </c>
      <c r="AF86" s="54">
        <f>AE86+'04.02'!AF86</f>
        <v>768</v>
      </c>
      <c r="AG86" s="94">
        <f t="shared" si="163"/>
        <v>4</v>
      </c>
      <c r="AH86" s="56">
        <f t="shared" si="138"/>
        <v>0</v>
      </c>
      <c r="AI86" s="93">
        <v>2</v>
      </c>
      <c r="AJ86" s="93">
        <f t="shared" si="164"/>
        <v>0</v>
      </c>
      <c r="AK86" s="95">
        <f t="shared" si="139"/>
        <v>1</v>
      </c>
      <c r="AL86" s="58">
        <f t="shared" si="175"/>
        <v>2</v>
      </c>
      <c r="AM86" s="55">
        <f t="shared" si="165"/>
        <v>5</v>
      </c>
      <c r="AN86" s="93"/>
      <c r="AO86" s="96">
        <f>$CJ86</f>
        <v>5915.25</v>
      </c>
      <c r="AP86" s="96"/>
      <c r="AQ86" s="96"/>
      <c r="AR86" s="96"/>
      <c r="AS86" s="96"/>
      <c r="AT86" s="96"/>
      <c r="AU86" s="96">
        <f t="shared" si="140"/>
        <v>0</v>
      </c>
      <c r="AV86" s="96">
        <f t="shared" si="140"/>
        <v>110</v>
      </c>
      <c r="AW86" s="96">
        <f t="shared" si="141"/>
        <v>6025.25</v>
      </c>
      <c r="AX86" s="96">
        <f t="shared" si="142"/>
        <v>100</v>
      </c>
      <c r="AY86" s="94">
        <f t="shared" si="166"/>
        <v>-1622.75</v>
      </c>
      <c r="AZ86" s="94">
        <f t="shared" si="143"/>
        <v>-27.15899581589958</v>
      </c>
      <c r="BA86" s="94">
        <f t="shared" si="172"/>
        <v>5</v>
      </c>
      <c r="BB86" s="97">
        <f t="shared" si="173"/>
        <v>0</v>
      </c>
      <c r="BC86" s="93">
        <v>1</v>
      </c>
      <c r="BD86" s="93">
        <f t="shared" si="144"/>
        <v>0</v>
      </c>
      <c r="BE86" s="95">
        <f t="shared" si="145"/>
        <v>1</v>
      </c>
      <c r="BF86" s="58">
        <f t="shared" si="176"/>
        <v>1</v>
      </c>
      <c r="BG86" s="94">
        <f t="shared" si="146"/>
        <v>4</v>
      </c>
      <c r="BH86" s="89"/>
      <c r="BI86" s="92">
        <f>$CN86</f>
        <v>2868</v>
      </c>
      <c r="BJ86" s="92"/>
      <c r="BK86" s="89"/>
      <c r="BL86" s="89"/>
      <c r="BM86" s="89"/>
      <c r="BN86" s="89"/>
      <c r="BO86" s="92">
        <f t="shared" si="167"/>
        <v>0</v>
      </c>
      <c r="BP86" s="92">
        <f t="shared" si="167"/>
        <v>0</v>
      </c>
      <c r="BQ86" s="96">
        <f t="shared" si="147"/>
        <v>2868</v>
      </c>
      <c r="BR86" s="96">
        <f t="shared" si="148"/>
        <v>48</v>
      </c>
      <c r="BS86" s="96">
        <f t="shared" si="168"/>
        <v>-956</v>
      </c>
      <c r="BT86" s="96">
        <f t="shared" si="149"/>
        <v>-16</v>
      </c>
      <c r="BU86" s="92">
        <f t="shared" si="123"/>
        <v>147</v>
      </c>
      <c r="BV86" s="98">
        <f t="shared" si="169"/>
        <v>3</v>
      </c>
      <c r="BW86" s="92">
        <f t="shared" si="124"/>
        <v>-43.15899581589958</v>
      </c>
      <c r="BX86" s="98">
        <f t="shared" si="150"/>
        <v>27.150000000000002</v>
      </c>
      <c r="BY86" s="61">
        <f t="shared" si="174"/>
        <v>3</v>
      </c>
      <c r="BZ86" s="62">
        <f t="shared" si="151"/>
        <v>3</v>
      </c>
      <c r="CA86" s="98">
        <f t="shared" si="152"/>
        <v>8.8932500000000001</v>
      </c>
      <c r="CB86" s="92">
        <f t="shared" si="125"/>
        <v>148</v>
      </c>
      <c r="CC86" s="92">
        <f t="shared" si="125"/>
        <v>-2578.75</v>
      </c>
      <c r="CD86" s="92">
        <f t="shared" si="125"/>
        <v>-43.15899581589958</v>
      </c>
      <c r="CE86" s="99"/>
      <c r="CF86" s="99"/>
      <c r="CG86" s="51">
        <f t="shared" si="153"/>
        <v>18.366750000000003</v>
      </c>
      <c r="CH86" s="62">
        <f t="shared" si="154"/>
        <v>18.366750000000003</v>
      </c>
      <c r="CI86" s="89"/>
      <c r="CJ86" s="89">
        <f>99*59.75</f>
        <v>5915.25</v>
      </c>
      <c r="CK86" s="89"/>
      <c r="CL86" s="96">
        <v>110</v>
      </c>
      <c r="CM86" s="89"/>
      <c r="CN86" s="89">
        <f>48*59.75</f>
        <v>2868</v>
      </c>
      <c r="CO86" s="92"/>
      <c r="CP86" s="101"/>
      <c r="CQ86" s="102">
        <f t="shared" si="102"/>
        <v>99</v>
      </c>
      <c r="CR86" s="102">
        <f t="shared" si="102"/>
        <v>0</v>
      </c>
      <c r="CS86" s="102">
        <f t="shared" si="102"/>
        <v>1</v>
      </c>
      <c r="CT86" s="92">
        <f t="shared" si="155"/>
        <v>48</v>
      </c>
      <c r="CU86" s="92">
        <f t="shared" si="103"/>
        <v>0</v>
      </c>
      <c r="CV86" s="103">
        <f t="shared" si="103"/>
        <v>0</v>
      </c>
      <c r="CW86" s="104"/>
      <c r="CX86" s="105">
        <v>80</v>
      </c>
      <c r="CY86" s="106">
        <f t="shared" si="156"/>
        <v>506</v>
      </c>
      <c r="CZ86" s="106">
        <f t="shared" si="157"/>
        <v>648</v>
      </c>
      <c r="DA86" s="106"/>
      <c r="DB86" s="106"/>
      <c r="DC86" s="105"/>
      <c r="DD86" s="107"/>
      <c r="DE86" s="92">
        <f t="shared" si="126"/>
        <v>99</v>
      </c>
      <c r="DF86" s="108">
        <f t="shared" si="127"/>
        <v>2</v>
      </c>
      <c r="DG86" s="115">
        <f t="shared" si="128"/>
        <v>-27.15899581589958</v>
      </c>
      <c r="DH86" s="110">
        <f t="shared" si="129"/>
        <v>48</v>
      </c>
      <c r="DI86" s="108">
        <f t="shared" si="130"/>
        <v>1</v>
      </c>
      <c r="DJ86" s="112">
        <f t="shared" si="131"/>
        <v>-16</v>
      </c>
      <c r="DK86" s="110">
        <f t="shared" si="86"/>
        <v>147</v>
      </c>
      <c r="DL86" s="108">
        <f t="shared" si="86"/>
        <v>3</v>
      </c>
      <c r="DM86" s="111">
        <f t="shared" si="86"/>
        <v>-43.15899581589958</v>
      </c>
      <c r="DN86" s="76">
        <f t="shared" si="89"/>
        <v>4</v>
      </c>
      <c r="DO86" s="76">
        <f t="shared" si="90"/>
        <v>3</v>
      </c>
      <c r="DP86" s="112"/>
      <c r="DQ86" s="112"/>
      <c r="DR86" s="113" t="s">
        <v>472</v>
      </c>
      <c r="DS86" s="112"/>
      <c r="DT86" s="112"/>
      <c r="DU86" s="111"/>
      <c r="DV86" s="114"/>
      <c r="DW86" s="80">
        <f>IFERROR(AL86+BF86,"")</f>
        <v>3</v>
      </c>
      <c r="DX86" s="81">
        <f t="shared" si="132"/>
        <v>106.84100418410043</v>
      </c>
      <c r="DY86" s="80">
        <f t="shared" si="159"/>
        <v>148</v>
      </c>
      <c r="DZ86" s="82">
        <f t="shared" si="160"/>
        <v>5.9749999999999998E-2</v>
      </c>
      <c r="EA86" s="82">
        <f t="shared" si="161"/>
        <v>8.7832500000000007</v>
      </c>
      <c r="EB86" s="82">
        <f t="shared" si="162"/>
        <v>18.366750000000003</v>
      </c>
      <c r="EC86" s="82">
        <f t="shared" si="181"/>
        <v>18.366750000000003</v>
      </c>
      <c r="EF86" s="83">
        <f t="shared" si="108"/>
        <v>-43.15899581589958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3"/>
        <v>TVSUS303-7.5x2.5-H9A14</v>
      </c>
      <c r="H87" s="46" t="str">
        <f t="shared" si="134"/>
        <v>SUS303TV7.50DH9</v>
      </c>
      <c r="I87" s="46" t="str">
        <f t="shared" si="135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6"/>
        <v>2</v>
      </c>
      <c r="T87" s="51">
        <f>'04.02'!BG87</f>
        <v>6</v>
      </c>
      <c r="U87" s="92"/>
      <c r="V87" s="100">
        <v>0.7</v>
      </c>
      <c r="W87" s="93">
        <f t="shared" si="115"/>
        <v>0</v>
      </c>
      <c r="X87" s="93">
        <f t="shared" si="116"/>
        <v>0</v>
      </c>
      <c r="Y87" s="93">
        <f t="shared" si="117"/>
        <v>0</v>
      </c>
      <c r="Z87" s="93">
        <f t="shared" si="118"/>
        <v>0</v>
      </c>
      <c r="AA87" s="93">
        <f t="shared" si="119"/>
        <v>0</v>
      </c>
      <c r="AB87" s="93">
        <f t="shared" si="120"/>
        <v>847</v>
      </c>
      <c r="AC87" s="93">
        <f t="shared" si="121"/>
        <v>0</v>
      </c>
      <c r="AD87" s="93">
        <f t="shared" si="122"/>
        <v>0</v>
      </c>
      <c r="AE87" s="93">
        <f t="shared" si="137"/>
        <v>847</v>
      </c>
      <c r="AF87" s="54">
        <f>AE87+'04.02'!AF87</f>
        <v>3943</v>
      </c>
      <c r="AG87" s="94">
        <f t="shared" si="163"/>
        <v>6</v>
      </c>
      <c r="AH87" s="56">
        <f t="shared" si="138"/>
        <v>0</v>
      </c>
      <c r="AI87" s="93">
        <v>2</v>
      </c>
      <c r="AJ87" s="93">
        <f t="shared" si="164"/>
        <v>0</v>
      </c>
      <c r="AK87" s="95">
        <f t="shared" si="139"/>
        <v>1</v>
      </c>
      <c r="AL87" s="58">
        <f t="shared" si="175"/>
        <v>2</v>
      </c>
      <c r="AM87" s="55">
        <f t="shared" si="165"/>
        <v>4</v>
      </c>
      <c r="AN87" s="93"/>
      <c r="AO87" s="96"/>
      <c r="AP87" s="96"/>
      <c r="AQ87" s="96"/>
      <c r="AR87" s="96"/>
      <c r="AS87" s="96"/>
      <c r="AT87" s="96">
        <f>$CJ87</f>
        <v>296</v>
      </c>
      <c r="AU87" s="96">
        <f t="shared" si="140"/>
        <v>0</v>
      </c>
      <c r="AV87" s="96">
        <f t="shared" si="140"/>
        <v>0</v>
      </c>
      <c r="AW87" s="96">
        <f t="shared" si="141"/>
        <v>296</v>
      </c>
      <c r="AX87" s="96">
        <f t="shared" si="142"/>
        <v>422</v>
      </c>
      <c r="AY87" s="94">
        <f t="shared" si="166"/>
        <v>-17.599999999999966</v>
      </c>
      <c r="AZ87" s="94">
        <f t="shared" si="143"/>
        <v>-25.142857142857096</v>
      </c>
      <c r="BA87" s="94">
        <f t="shared" si="172"/>
        <v>4</v>
      </c>
      <c r="BB87" s="97">
        <f t="shared" si="173"/>
        <v>0</v>
      </c>
      <c r="BC87" s="93">
        <v>2</v>
      </c>
      <c r="BD87" s="93">
        <f t="shared" si="144"/>
        <v>0</v>
      </c>
      <c r="BE87" s="95">
        <f t="shared" si="145"/>
        <v>1</v>
      </c>
      <c r="BF87" s="58">
        <f t="shared" si="176"/>
        <v>2</v>
      </c>
      <c r="BG87" s="94">
        <f t="shared" si="146"/>
        <v>2</v>
      </c>
      <c r="BH87" s="89"/>
      <c r="BI87" s="89"/>
      <c r="BJ87" s="92"/>
      <c r="BK87" s="89"/>
      <c r="BL87" s="89"/>
      <c r="BM87" s="89"/>
      <c r="BN87" s="92">
        <f>$CN87</f>
        <v>297</v>
      </c>
      <c r="BO87" s="92">
        <f t="shared" si="167"/>
        <v>0</v>
      </c>
      <c r="BP87" s="92">
        <f t="shared" si="167"/>
        <v>0</v>
      </c>
      <c r="BQ87" s="96">
        <f t="shared" si="147"/>
        <v>297</v>
      </c>
      <c r="BR87" s="96">
        <f t="shared" si="148"/>
        <v>424</v>
      </c>
      <c r="BS87" s="96">
        <f t="shared" si="168"/>
        <v>-16.599999999999966</v>
      </c>
      <c r="BT87" s="96">
        <f t="shared" si="149"/>
        <v>-23.714285714285666</v>
      </c>
      <c r="BU87" s="92">
        <f t="shared" si="123"/>
        <v>847</v>
      </c>
      <c r="BV87" s="98">
        <f t="shared" si="169"/>
        <v>4</v>
      </c>
      <c r="BW87" s="92">
        <f t="shared" si="124"/>
        <v>-48.857142857142762</v>
      </c>
      <c r="BX87" s="98">
        <f t="shared" si="150"/>
        <v>2.2160000000000002</v>
      </c>
      <c r="BY87" s="61">
        <f t="shared" si="174"/>
        <v>4</v>
      </c>
      <c r="BZ87" s="62">
        <f t="shared" si="151"/>
        <v>4</v>
      </c>
      <c r="CA87" s="98">
        <f t="shared" si="152"/>
        <v>0.59299999999999997</v>
      </c>
      <c r="CB87" s="92">
        <f t="shared" si="125"/>
        <v>846</v>
      </c>
      <c r="CC87" s="92">
        <f t="shared" si="125"/>
        <v>-34.199999999999932</v>
      </c>
      <c r="CD87" s="92">
        <f t="shared" si="125"/>
        <v>-48.857142857142762</v>
      </c>
      <c r="CE87" s="99"/>
      <c r="CF87" s="99"/>
      <c r="CG87" s="51">
        <f t="shared" si="153"/>
        <v>1.6230000000000002</v>
      </c>
      <c r="CH87" s="62">
        <f t="shared" si="154"/>
        <v>1.6230000000000002</v>
      </c>
      <c r="CI87" s="89"/>
      <c r="CJ87" s="89">
        <v>296</v>
      </c>
      <c r="CK87" s="89"/>
      <c r="CL87" s="96"/>
      <c r="CM87" s="89"/>
      <c r="CN87" s="89">
        <v>297</v>
      </c>
      <c r="CO87" s="92"/>
      <c r="CP87" s="101"/>
      <c r="CQ87" s="102">
        <f t="shared" si="102"/>
        <v>422</v>
      </c>
      <c r="CR87" s="102">
        <f t="shared" si="102"/>
        <v>0</v>
      </c>
      <c r="CS87" s="102">
        <f t="shared" si="102"/>
        <v>0</v>
      </c>
      <c r="CT87" s="92">
        <f t="shared" si="155"/>
        <v>425</v>
      </c>
      <c r="CU87" s="92">
        <f t="shared" si="103"/>
        <v>0</v>
      </c>
      <c r="CV87" s="103">
        <f t="shared" si="103"/>
        <v>0</v>
      </c>
      <c r="CW87" s="104"/>
      <c r="CX87" s="105">
        <v>134</v>
      </c>
      <c r="CY87" s="106">
        <f t="shared" si="156"/>
        <v>317</v>
      </c>
      <c r="CZ87" s="106">
        <f t="shared" si="157"/>
        <v>1085.4000000000001</v>
      </c>
      <c r="DA87" s="106"/>
      <c r="DB87" s="106"/>
      <c r="DC87" s="105"/>
      <c r="DD87" s="107"/>
      <c r="DE87" s="92">
        <f t="shared" si="126"/>
        <v>422</v>
      </c>
      <c r="DF87" s="108">
        <f t="shared" si="127"/>
        <v>2</v>
      </c>
      <c r="DG87" s="115">
        <f t="shared" si="128"/>
        <v>-25.142857142857096</v>
      </c>
      <c r="DH87" s="110">
        <f t="shared" si="129"/>
        <v>425</v>
      </c>
      <c r="DI87" s="108">
        <f t="shared" si="130"/>
        <v>2</v>
      </c>
      <c r="DJ87" s="112">
        <f t="shared" si="131"/>
        <v>-23.714285714285666</v>
      </c>
      <c r="DK87" s="110">
        <f t="shared" si="86"/>
        <v>847</v>
      </c>
      <c r="DL87" s="108">
        <f t="shared" si="86"/>
        <v>4</v>
      </c>
      <c r="DM87" s="111">
        <f t="shared" si="86"/>
        <v>-48.857142857142762</v>
      </c>
      <c r="DN87" s="76">
        <f t="shared" si="89"/>
        <v>6</v>
      </c>
      <c r="DO87" s="76">
        <f t="shared" si="90"/>
        <v>0</v>
      </c>
      <c r="DP87" s="112"/>
      <c r="DQ87" s="112"/>
      <c r="DR87" s="113" t="s">
        <v>473</v>
      </c>
      <c r="DS87" s="112"/>
      <c r="DT87" s="112"/>
      <c r="DU87" s="111"/>
      <c r="DV87" s="114"/>
      <c r="DW87" s="80">
        <f t="shared" si="158"/>
        <v>851</v>
      </c>
      <c r="DX87" s="81">
        <f t="shared" si="132"/>
        <v>802.14285714285722</v>
      </c>
      <c r="DY87" s="80">
        <f t="shared" si="159"/>
        <v>847</v>
      </c>
      <c r="DZ87" s="82">
        <f t="shared" si="160"/>
        <v>0</v>
      </c>
      <c r="EA87" s="82">
        <f t="shared" si="161"/>
        <v>0.59289999999999998</v>
      </c>
      <c r="EB87" s="82">
        <f t="shared" si="162"/>
        <v>1.6231000000000002</v>
      </c>
      <c r="EC87" s="82">
        <f t="shared" si="179"/>
        <v>1.6231000000000002</v>
      </c>
      <c r="EF87" s="83">
        <f t="shared" si="108"/>
        <v>-48.857142857142762</v>
      </c>
    </row>
    <row r="88" spans="1:136" ht="15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3"/>
        <v>MESUS303-8x3-H7C14</v>
      </c>
      <c r="H88" s="46" t="str">
        <f t="shared" si="134"/>
        <v>SUS303ME80DH7</v>
      </c>
      <c r="I88" s="46" t="str">
        <f t="shared" si="135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6"/>
        <v>22</v>
      </c>
      <c r="T88" s="51">
        <f>'04.02'!BG88</f>
        <v>0</v>
      </c>
      <c r="U88" s="92"/>
      <c r="V88" s="100">
        <v>15.11</v>
      </c>
      <c r="W88" s="93">
        <f t="shared" si="115"/>
        <v>0</v>
      </c>
      <c r="X88" s="93">
        <f t="shared" si="116"/>
        <v>0</v>
      </c>
      <c r="Y88" s="93">
        <f t="shared" si="117"/>
        <v>0</v>
      </c>
      <c r="Z88" s="93">
        <f t="shared" si="118"/>
        <v>0</v>
      </c>
      <c r="AA88" s="93">
        <f t="shared" si="119"/>
        <v>0</v>
      </c>
      <c r="AB88" s="93">
        <f t="shared" si="120"/>
        <v>0</v>
      </c>
      <c r="AC88" s="93">
        <f t="shared" si="121"/>
        <v>0</v>
      </c>
      <c r="AD88" s="93">
        <f t="shared" si="122"/>
        <v>0</v>
      </c>
      <c r="AE88" s="93">
        <f t="shared" si="137"/>
        <v>0</v>
      </c>
      <c r="AF88" s="54">
        <f>AE88+'04.02'!AF88</f>
        <v>0</v>
      </c>
      <c r="AG88" s="94">
        <f t="shared" si="163"/>
        <v>0</v>
      </c>
      <c r="AH88" s="56">
        <f t="shared" si="138"/>
        <v>0</v>
      </c>
      <c r="AI88" s="93"/>
      <c r="AJ88" s="93">
        <f t="shared" si="164"/>
        <v>0</v>
      </c>
      <c r="AK88" s="95">
        <f t="shared" si="139"/>
        <v>1</v>
      </c>
      <c r="AL88" s="58">
        <f t="shared" si="175"/>
        <v>0</v>
      </c>
      <c r="AM88" s="55">
        <f t="shared" si="165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40"/>
        <v>0</v>
      </c>
      <c r="AV88" s="96">
        <f t="shared" si="140"/>
        <v>0</v>
      </c>
      <c r="AW88" s="96">
        <f t="shared" si="141"/>
        <v>0</v>
      </c>
      <c r="AX88" s="96">
        <f t="shared" si="142"/>
        <v>0</v>
      </c>
      <c r="AY88" s="94">
        <f t="shared" si="166"/>
        <v>0</v>
      </c>
      <c r="AZ88" s="94">
        <f t="shared" si="143"/>
        <v>0</v>
      </c>
      <c r="BA88" s="94">
        <f t="shared" si="172"/>
        <v>0</v>
      </c>
      <c r="BB88" s="97">
        <f t="shared" si="173"/>
        <v>0</v>
      </c>
      <c r="BC88" s="93"/>
      <c r="BD88" s="93">
        <f t="shared" si="144"/>
        <v>0</v>
      </c>
      <c r="BE88" s="95">
        <f t="shared" si="145"/>
        <v>1</v>
      </c>
      <c r="BF88" s="58">
        <f t="shared" si="176"/>
        <v>0</v>
      </c>
      <c r="BG88" s="94">
        <f t="shared" si="146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7"/>
        <v>0</v>
      </c>
      <c r="BP88" s="92">
        <f t="shared" si="167"/>
        <v>0</v>
      </c>
      <c r="BQ88" s="96">
        <f t="shared" si="147"/>
        <v>0</v>
      </c>
      <c r="BR88" s="96">
        <f t="shared" si="148"/>
        <v>0</v>
      </c>
      <c r="BS88" s="96">
        <f t="shared" si="168"/>
        <v>0</v>
      </c>
      <c r="BT88" s="96">
        <f t="shared" si="149"/>
        <v>0</v>
      </c>
      <c r="BU88" s="92">
        <f t="shared" si="123"/>
        <v>0</v>
      </c>
      <c r="BV88" s="98">
        <f t="shared" si="169"/>
        <v>0</v>
      </c>
      <c r="BW88" s="92">
        <f t="shared" si="124"/>
        <v>0</v>
      </c>
      <c r="BX88" s="98">
        <f t="shared" si="150"/>
        <v>0</v>
      </c>
      <c r="BY88" s="61">
        <f t="shared" si="174"/>
        <v>0</v>
      </c>
      <c r="BZ88" s="62">
        <f t="shared" si="151"/>
        <v>0</v>
      </c>
      <c r="CA88" s="98">
        <f t="shared" si="152"/>
        <v>0</v>
      </c>
      <c r="CB88" s="92">
        <f t="shared" si="125"/>
        <v>0</v>
      </c>
      <c r="CC88" s="92">
        <f t="shared" si="125"/>
        <v>0</v>
      </c>
      <c r="CD88" s="92">
        <f t="shared" si="125"/>
        <v>0</v>
      </c>
      <c r="CE88" s="99"/>
      <c r="CF88" s="99"/>
      <c r="CG88" s="51">
        <f t="shared" si="153"/>
        <v>0</v>
      </c>
      <c r="CH88" s="62">
        <f t="shared" si="154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102"/>
        <v>0</v>
      </c>
      <c r="CR88" s="102">
        <f t="shared" si="102"/>
        <v>0</v>
      </c>
      <c r="CS88" s="102">
        <f t="shared" si="102"/>
        <v>0</v>
      </c>
      <c r="CT88" s="92">
        <f t="shared" si="155"/>
        <v>0</v>
      </c>
      <c r="CU88" s="92">
        <f t="shared" si="103"/>
        <v>0</v>
      </c>
      <c r="CV88" s="103">
        <f t="shared" si="103"/>
        <v>0</v>
      </c>
      <c r="CW88" s="104"/>
      <c r="CX88" s="105">
        <v>61</v>
      </c>
      <c r="CY88" s="106">
        <f t="shared" si="156"/>
        <v>649</v>
      </c>
      <c r="CZ88" s="106">
        <f t="shared" si="157"/>
        <v>494.1</v>
      </c>
      <c r="DA88" s="106"/>
      <c r="DB88" s="106"/>
      <c r="DC88" s="105"/>
      <c r="DD88" s="107"/>
      <c r="DE88" s="92">
        <f t="shared" si="126"/>
        <v>0</v>
      </c>
      <c r="DF88" s="108">
        <f t="shared" si="127"/>
        <v>0</v>
      </c>
      <c r="DG88" s="115">
        <f t="shared" si="128"/>
        <v>0</v>
      </c>
      <c r="DH88" s="110">
        <f t="shared" si="129"/>
        <v>0</v>
      </c>
      <c r="DI88" s="108">
        <f t="shared" si="130"/>
        <v>0</v>
      </c>
      <c r="DJ88" s="112">
        <f t="shared" si="131"/>
        <v>0</v>
      </c>
      <c r="DK88" s="110">
        <f t="shared" ref="DK88:DM106" si="182">IFERROR(DE88+DH88,"")</f>
        <v>0</v>
      </c>
      <c r="DL88" s="108">
        <f t="shared" si="182"/>
        <v>0</v>
      </c>
      <c r="DM88" s="111">
        <f t="shared" si="182"/>
        <v>0</v>
      </c>
      <c r="DN88" s="76">
        <f t="shared" si="89"/>
        <v>0</v>
      </c>
      <c r="DO88" s="76">
        <f t="shared" si="90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8"/>
        <v>0</v>
      </c>
      <c r="DX88" s="81">
        <f t="shared" si="132"/>
        <v>0</v>
      </c>
      <c r="DY88" s="80">
        <f t="shared" si="159"/>
        <v>0</v>
      </c>
      <c r="DZ88" s="82">
        <f t="shared" si="160"/>
        <v>0</v>
      </c>
      <c r="EA88" s="82">
        <f t="shared" si="161"/>
        <v>0</v>
      </c>
      <c r="EB88" s="82">
        <f t="shared" si="162"/>
        <v>0</v>
      </c>
      <c r="EC88" s="82">
        <f t="shared" si="179"/>
        <v>0</v>
      </c>
      <c r="EF88" s="83">
        <f t="shared" si="108"/>
        <v>0</v>
      </c>
    </row>
    <row r="89" spans="1:136" ht="15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3"/>
        <v>-xx-</v>
      </c>
      <c r="H89" s="46" t="str">
        <f t="shared" si="134"/>
        <v/>
      </c>
      <c r="I89" s="46" t="str">
        <f t="shared" si="135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6"/>
        <v>#DIV/0!</v>
      </c>
      <c r="T89" s="51">
        <f>'04.02'!BG89</f>
        <v>0</v>
      </c>
      <c r="U89" s="92"/>
      <c r="V89" s="100">
        <v>1</v>
      </c>
      <c r="W89" s="93">
        <f t="shared" si="115"/>
        <v>0</v>
      </c>
      <c r="X89" s="93">
        <f t="shared" si="116"/>
        <v>0</v>
      </c>
      <c r="Y89" s="93">
        <f t="shared" si="117"/>
        <v>0</v>
      </c>
      <c r="Z89" s="93">
        <f t="shared" si="118"/>
        <v>0</v>
      </c>
      <c r="AA89" s="93">
        <f t="shared" si="119"/>
        <v>0</v>
      </c>
      <c r="AB89" s="93">
        <f t="shared" si="120"/>
        <v>0</v>
      </c>
      <c r="AC89" s="93">
        <f t="shared" si="121"/>
        <v>0</v>
      </c>
      <c r="AD89" s="93">
        <f t="shared" si="122"/>
        <v>0</v>
      </c>
      <c r="AE89" s="93">
        <f t="shared" si="137"/>
        <v>0</v>
      </c>
      <c r="AF89" s="54">
        <f>AE89+'04.02'!AF89</f>
        <v>0</v>
      </c>
      <c r="AG89" s="94">
        <f t="shared" si="163"/>
        <v>0</v>
      </c>
      <c r="AH89" s="56">
        <f t="shared" si="138"/>
        <v>0</v>
      </c>
      <c r="AI89" s="93"/>
      <c r="AJ89" s="93">
        <f t="shared" si="164"/>
        <v>0</v>
      </c>
      <c r="AK89" s="95">
        <f t="shared" si="139"/>
        <v>1</v>
      </c>
      <c r="AL89" s="58">
        <f t="shared" si="175"/>
        <v>0</v>
      </c>
      <c r="AM89" s="55">
        <f t="shared" si="165"/>
        <v>0</v>
      </c>
      <c r="AN89" s="93"/>
      <c r="AO89" s="96"/>
      <c r="AP89" s="96"/>
      <c r="AQ89" s="96"/>
      <c r="AR89" s="96"/>
      <c r="AS89" s="96"/>
      <c r="AT89" s="96"/>
      <c r="AU89" s="96">
        <f t="shared" si="140"/>
        <v>0</v>
      </c>
      <c r="AV89" s="96">
        <f t="shared" si="140"/>
        <v>0</v>
      </c>
      <c r="AW89" s="96">
        <f t="shared" si="141"/>
        <v>0</v>
      </c>
      <c r="AX89" s="96">
        <f t="shared" si="142"/>
        <v>0</v>
      </c>
      <c r="AY89" s="94">
        <f t="shared" si="166"/>
        <v>0</v>
      </c>
      <c r="AZ89" s="94">
        <f t="shared" si="143"/>
        <v>0</v>
      </c>
      <c r="BA89" s="94">
        <f t="shared" si="172"/>
        <v>0</v>
      </c>
      <c r="BB89" s="97">
        <f t="shared" si="173"/>
        <v>0</v>
      </c>
      <c r="BC89" s="93"/>
      <c r="BD89" s="93">
        <f t="shared" si="144"/>
        <v>0</v>
      </c>
      <c r="BE89" s="95">
        <f t="shared" si="145"/>
        <v>1</v>
      </c>
      <c r="BF89" s="58">
        <f t="shared" si="176"/>
        <v>0</v>
      </c>
      <c r="BG89" s="94">
        <f t="shared" si="146"/>
        <v>0</v>
      </c>
      <c r="BH89" s="89"/>
      <c r="BI89" s="89"/>
      <c r="BJ89" s="89"/>
      <c r="BK89" s="89"/>
      <c r="BL89" s="89"/>
      <c r="BM89" s="89"/>
      <c r="BN89" s="89"/>
      <c r="BO89" s="92">
        <f t="shared" si="167"/>
        <v>0</v>
      </c>
      <c r="BP89" s="92">
        <f t="shared" si="167"/>
        <v>0</v>
      </c>
      <c r="BQ89" s="96">
        <f t="shared" si="147"/>
        <v>0</v>
      </c>
      <c r="BR89" s="96">
        <f>IF(AA89="","",INT(BQ89/$V89))</f>
        <v>0</v>
      </c>
      <c r="BS89" s="96">
        <f t="shared" si="168"/>
        <v>0</v>
      </c>
      <c r="BT89" s="96">
        <f t="shared" si="149"/>
        <v>0</v>
      </c>
      <c r="BU89" s="92">
        <f t="shared" si="123"/>
        <v>0</v>
      </c>
      <c r="BV89" s="98">
        <f t="shared" si="169"/>
        <v>0</v>
      </c>
      <c r="BW89" s="92">
        <f t="shared" si="124"/>
        <v>0</v>
      </c>
      <c r="BX89" s="98" t="str">
        <f t="shared" si="150"/>
        <v/>
      </c>
      <c r="BY89" s="61">
        <f t="shared" si="174"/>
        <v>0</v>
      </c>
      <c r="BZ89" s="62">
        <f t="shared" si="151"/>
        <v>0</v>
      </c>
      <c r="CA89" s="98">
        <f t="shared" si="152"/>
        <v>0</v>
      </c>
      <c r="CB89" s="92">
        <f t="shared" si="125"/>
        <v>0</v>
      </c>
      <c r="CC89" s="92">
        <f t="shared" si="125"/>
        <v>0</v>
      </c>
      <c r="CD89" s="92">
        <f t="shared" si="125"/>
        <v>0</v>
      </c>
      <c r="CE89" s="99"/>
      <c r="CF89" s="99"/>
      <c r="CG89" s="51">
        <f t="shared" si="153"/>
        <v>0</v>
      </c>
      <c r="CH89" s="62">
        <f t="shared" si="154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102"/>
        <v>0</v>
      </c>
      <c r="CR89" s="102">
        <f t="shared" si="102"/>
        <v>0</v>
      </c>
      <c r="CS89" s="102">
        <f t="shared" si="102"/>
        <v>0</v>
      </c>
      <c r="CT89" s="92">
        <f t="shared" si="155"/>
        <v>0</v>
      </c>
      <c r="CU89" s="92">
        <f t="shared" si="103"/>
        <v>0</v>
      </c>
      <c r="CV89" s="103">
        <f t="shared" si="103"/>
        <v>0</v>
      </c>
      <c r="CW89" s="104"/>
      <c r="CX89" s="105"/>
      <c r="CY89" s="106" t="e">
        <f t="shared" si="156"/>
        <v>#DIV/0!</v>
      </c>
      <c r="CZ89" s="106">
        <f t="shared" si="157"/>
        <v>0</v>
      </c>
      <c r="DA89" s="106"/>
      <c r="DB89" s="106"/>
      <c r="DC89" s="105"/>
      <c r="DD89" s="107"/>
      <c r="DE89" s="92">
        <f t="shared" si="126"/>
        <v>0</v>
      </c>
      <c r="DF89" s="108">
        <f t="shared" si="127"/>
        <v>0</v>
      </c>
      <c r="DG89" s="115">
        <f t="shared" si="128"/>
        <v>0</v>
      </c>
      <c r="DH89" s="110">
        <f t="shared" si="129"/>
        <v>0</v>
      </c>
      <c r="DI89" s="108">
        <f t="shared" si="130"/>
        <v>0</v>
      </c>
      <c r="DJ89" s="112">
        <f t="shared" si="131"/>
        <v>0</v>
      </c>
      <c r="DK89" s="110">
        <f t="shared" si="182"/>
        <v>0</v>
      </c>
      <c r="DL89" s="108">
        <f t="shared" si="182"/>
        <v>0</v>
      </c>
      <c r="DM89" s="111">
        <f t="shared" si="182"/>
        <v>0</v>
      </c>
      <c r="DN89" s="76">
        <f t="shared" si="89"/>
        <v>0</v>
      </c>
      <c r="DO89" s="76">
        <f t="shared" si="90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8"/>
        <v>0</v>
      </c>
      <c r="DX89" s="81">
        <f t="shared" si="132"/>
        <v>0</v>
      </c>
      <c r="DY89" s="80">
        <f t="shared" si="159"/>
        <v>0</v>
      </c>
      <c r="DZ89" s="82">
        <f t="shared" si="160"/>
        <v>0</v>
      </c>
      <c r="EA89" s="82">
        <f t="shared" si="161"/>
        <v>0</v>
      </c>
      <c r="EB89" s="82" t="e">
        <f t="shared" si="162"/>
        <v>#VALUE!</v>
      </c>
      <c r="EC89" s="82" t="e">
        <f t="shared" si="179"/>
        <v>#VALUE!</v>
      </c>
    </row>
    <row r="90" spans="1:136" ht="15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3"/>
        <v>-xx-</v>
      </c>
      <c r="H90" s="46" t="str">
        <f t="shared" si="134"/>
        <v/>
      </c>
      <c r="I90" s="46" t="str">
        <f t="shared" si="135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6"/>
        <v>#DIV/0!</v>
      </c>
      <c r="T90" s="51">
        <f>'04.02'!BG90</f>
        <v>0</v>
      </c>
      <c r="U90" s="92"/>
      <c r="V90" s="100">
        <v>1</v>
      </c>
      <c r="W90" s="93">
        <f t="shared" si="115"/>
        <v>0</v>
      </c>
      <c r="X90" s="93">
        <f t="shared" si="116"/>
        <v>0</v>
      </c>
      <c r="Y90" s="93">
        <f t="shared" si="117"/>
        <v>0</v>
      </c>
      <c r="Z90" s="93">
        <f t="shared" si="118"/>
        <v>0</v>
      </c>
      <c r="AA90" s="93">
        <f t="shared" si="119"/>
        <v>0</v>
      </c>
      <c r="AB90" s="93">
        <f t="shared" si="120"/>
        <v>0</v>
      </c>
      <c r="AC90" s="93">
        <f t="shared" si="121"/>
        <v>0</v>
      </c>
      <c r="AD90" s="93">
        <f t="shared" si="122"/>
        <v>0</v>
      </c>
      <c r="AE90" s="93">
        <f t="shared" si="137"/>
        <v>0</v>
      </c>
      <c r="AF90" s="54">
        <f>AE90+'04.02'!AF90</f>
        <v>0</v>
      </c>
      <c r="AG90" s="94">
        <f t="shared" si="163"/>
        <v>0</v>
      </c>
      <c r="AH90" s="56">
        <f t="shared" si="138"/>
        <v>0</v>
      </c>
      <c r="AI90" s="93"/>
      <c r="AJ90" s="93">
        <f t="shared" si="164"/>
        <v>0</v>
      </c>
      <c r="AK90" s="95">
        <f t="shared" si="139"/>
        <v>1</v>
      </c>
      <c r="AL90" s="58">
        <f t="shared" si="175"/>
        <v>0</v>
      </c>
      <c r="AM90" s="55">
        <f t="shared" si="165"/>
        <v>0</v>
      </c>
      <c r="AN90" s="93"/>
      <c r="AO90" s="96"/>
      <c r="AP90" s="96"/>
      <c r="AQ90" s="96"/>
      <c r="AR90" s="96"/>
      <c r="AS90" s="96"/>
      <c r="AT90" s="96"/>
      <c r="AU90" s="96">
        <f t="shared" si="140"/>
        <v>0</v>
      </c>
      <c r="AV90" s="96">
        <f t="shared" si="140"/>
        <v>0</v>
      </c>
      <c r="AW90" s="96">
        <f t="shared" si="141"/>
        <v>0</v>
      </c>
      <c r="AX90" s="96">
        <f t="shared" si="142"/>
        <v>0</v>
      </c>
      <c r="AY90" s="94">
        <f t="shared" si="166"/>
        <v>0</v>
      </c>
      <c r="AZ90" s="94">
        <f t="shared" si="143"/>
        <v>0</v>
      </c>
      <c r="BA90" s="94">
        <f t="shared" si="172"/>
        <v>0</v>
      </c>
      <c r="BB90" s="97">
        <f t="shared" si="173"/>
        <v>0</v>
      </c>
      <c r="BC90" s="93"/>
      <c r="BD90" s="93">
        <f t="shared" si="144"/>
        <v>0</v>
      </c>
      <c r="BE90" s="95">
        <f t="shared" si="145"/>
        <v>1</v>
      </c>
      <c r="BF90" s="58">
        <f t="shared" si="176"/>
        <v>0</v>
      </c>
      <c r="BG90" s="94">
        <f t="shared" si="146"/>
        <v>0</v>
      </c>
      <c r="BH90" s="89"/>
      <c r="BI90" s="89"/>
      <c r="BJ90" s="89"/>
      <c r="BK90" s="89"/>
      <c r="BL90" s="89"/>
      <c r="BM90" s="89"/>
      <c r="BN90" s="89"/>
      <c r="BO90" s="92">
        <f t="shared" si="167"/>
        <v>0</v>
      </c>
      <c r="BP90" s="92">
        <f t="shared" si="167"/>
        <v>0</v>
      </c>
      <c r="BQ90" s="96">
        <f t="shared" si="147"/>
        <v>0</v>
      </c>
      <c r="BR90" s="96">
        <f t="shared" si="148"/>
        <v>0</v>
      </c>
      <c r="BS90" s="96">
        <f t="shared" si="168"/>
        <v>0</v>
      </c>
      <c r="BT90" s="96">
        <f t="shared" si="149"/>
        <v>0</v>
      </c>
      <c r="BU90" s="92">
        <f t="shared" si="123"/>
        <v>0</v>
      </c>
      <c r="BV90" s="98">
        <f t="shared" si="169"/>
        <v>0</v>
      </c>
      <c r="BW90" s="92">
        <f t="shared" si="124"/>
        <v>0</v>
      </c>
      <c r="BX90" s="98" t="str">
        <f t="shared" si="150"/>
        <v/>
      </c>
      <c r="BY90" s="61">
        <f t="shared" si="174"/>
        <v>0</v>
      </c>
      <c r="BZ90" s="62">
        <f t="shared" si="151"/>
        <v>0</v>
      </c>
      <c r="CA90" s="98">
        <f t="shared" si="152"/>
        <v>0</v>
      </c>
      <c r="CB90" s="92">
        <f t="shared" si="125"/>
        <v>0</v>
      </c>
      <c r="CC90" s="92">
        <f t="shared" si="125"/>
        <v>0</v>
      </c>
      <c r="CD90" s="92">
        <f t="shared" si="125"/>
        <v>0</v>
      </c>
      <c r="CE90" s="99"/>
      <c r="CF90" s="99"/>
      <c r="CG90" s="51">
        <f t="shared" si="153"/>
        <v>0</v>
      </c>
      <c r="CH90" s="62">
        <f t="shared" si="154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102"/>
        <v>0</v>
      </c>
      <c r="CR90" s="102">
        <f t="shared" si="102"/>
        <v>0</v>
      </c>
      <c r="CS90" s="102">
        <f t="shared" si="102"/>
        <v>0</v>
      </c>
      <c r="CT90" s="92">
        <f t="shared" si="155"/>
        <v>0</v>
      </c>
      <c r="CU90" s="92">
        <f t="shared" si="103"/>
        <v>0</v>
      </c>
      <c r="CV90" s="103">
        <f t="shared" si="103"/>
        <v>0</v>
      </c>
      <c r="CW90" s="104"/>
      <c r="CX90" s="105"/>
      <c r="CY90" s="106" t="e">
        <f t="shared" si="156"/>
        <v>#DIV/0!</v>
      </c>
      <c r="CZ90" s="106">
        <f t="shared" si="157"/>
        <v>0</v>
      </c>
      <c r="DA90" s="106"/>
      <c r="DB90" s="106"/>
      <c r="DC90" s="105"/>
      <c r="DD90" s="107"/>
      <c r="DE90" s="92">
        <f t="shared" si="126"/>
        <v>0</v>
      </c>
      <c r="DF90" s="108">
        <f t="shared" si="127"/>
        <v>0</v>
      </c>
      <c r="DG90" s="115">
        <f t="shared" si="128"/>
        <v>0</v>
      </c>
      <c r="DH90" s="110">
        <f t="shared" si="129"/>
        <v>0</v>
      </c>
      <c r="DI90" s="108">
        <f t="shared" si="130"/>
        <v>0</v>
      </c>
      <c r="DJ90" s="112">
        <f t="shared" si="131"/>
        <v>0</v>
      </c>
      <c r="DK90" s="110">
        <f t="shared" si="182"/>
        <v>0</v>
      </c>
      <c r="DL90" s="108">
        <f t="shared" si="182"/>
        <v>0</v>
      </c>
      <c r="DM90" s="111">
        <f t="shared" si="182"/>
        <v>0</v>
      </c>
      <c r="DN90" s="76">
        <f t="shared" ref="DN90:DN106" si="183">T90</f>
        <v>0</v>
      </c>
      <c r="DO90" s="76">
        <f t="shared" ref="DO90:DO106" si="184">U90</f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8"/>
        <v>0</v>
      </c>
      <c r="DX90" s="81">
        <f t="shared" si="132"/>
        <v>0</v>
      </c>
      <c r="DY90" s="80">
        <f t="shared" si="159"/>
        <v>0</v>
      </c>
      <c r="DZ90" s="82">
        <f t="shared" si="160"/>
        <v>0</v>
      </c>
      <c r="EA90" s="82">
        <f t="shared" si="161"/>
        <v>0</v>
      </c>
      <c r="EB90" s="82" t="e">
        <f t="shared" si="162"/>
        <v>#VALUE!</v>
      </c>
      <c r="EC90" s="82" t="e">
        <f t="shared" si="179"/>
        <v>#VALUE!</v>
      </c>
    </row>
    <row r="91" spans="1:136" ht="15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3"/>
        <v>GWA6063-T5-17x3-H9I14</v>
      </c>
      <c r="H91" s="46" t="str">
        <f t="shared" si="134"/>
        <v>A6063-T5GW170DH9</v>
      </c>
      <c r="I91" s="46" t="str">
        <f t="shared" si="135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6"/>
        <v>8</v>
      </c>
      <c r="T91" s="51">
        <f>'04.02'!BG91</f>
        <v>0</v>
      </c>
      <c r="U91" s="92"/>
      <c r="V91" s="100">
        <v>5.133</v>
      </c>
      <c r="W91" s="93">
        <f t="shared" si="115"/>
        <v>0</v>
      </c>
      <c r="X91" s="93">
        <f t="shared" si="116"/>
        <v>0</v>
      </c>
      <c r="Y91" s="93">
        <f t="shared" si="117"/>
        <v>0</v>
      </c>
      <c r="Z91" s="93">
        <f t="shared" si="118"/>
        <v>0</v>
      </c>
      <c r="AA91" s="93">
        <f t="shared" si="119"/>
        <v>0</v>
      </c>
      <c r="AB91" s="93">
        <f t="shared" si="120"/>
        <v>0</v>
      </c>
      <c r="AC91" s="93">
        <f t="shared" si="121"/>
        <v>0</v>
      </c>
      <c r="AD91" s="93">
        <f t="shared" si="122"/>
        <v>0</v>
      </c>
      <c r="AE91" s="93">
        <f t="shared" si="137"/>
        <v>0</v>
      </c>
      <c r="AF91" s="54">
        <f>AE91+'04.02'!AF91</f>
        <v>0</v>
      </c>
      <c r="AG91" s="94">
        <f t="shared" si="163"/>
        <v>0</v>
      </c>
      <c r="AH91" s="56">
        <f t="shared" si="138"/>
        <v>0</v>
      </c>
      <c r="AI91" s="93"/>
      <c r="AJ91" s="93">
        <f t="shared" si="164"/>
        <v>0</v>
      </c>
      <c r="AK91" s="95">
        <f t="shared" si="139"/>
        <v>1</v>
      </c>
      <c r="AL91" s="58">
        <f t="shared" si="175"/>
        <v>0</v>
      </c>
      <c r="AM91" s="55">
        <f t="shared" si="165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40"/>
        <v>0</v>
      </c>
      <c r="AV91" s="96">
        <f t="shared" si="140"/>
        <v>0</v>
      </c>
      <c r="AW91" s="96">
        <f t="shared" si="141"/>
        <v>0</v>
      </c>
      <c r="AX91" s="96">
        <f t="shared" si="142"/>
        <v>0</v>
      </c>
      <c r="AY91" s="94">
        <f t="shared" si="166"/>
        <v>0</v>
      </c>
      <c r="AZ91" s="94">
        <f t="shared" si="143"/>
        <v>0</v>
      </c>
      <c r="BA91" s="94">
        <f t="shared" si="172"/>
        <v>0</v>
      </c>
      <c r="BB91" s="97">
        <f t="shared" si="173"/>
        <v>0</v>
      </c>
      <c r="BC91" s="93"/>
      <c r="BD91" s="93">
        <f t="shared" si="144"/>
        <v>0</v>
      </c>
      <c r="BE91" s="95">
        <f t="shared" si="145"/>
        <v>1</v>
      </c>
      <c r="BF91" s="58">
        <f t="shared" si="176"/>
        <v>0</v>
      </c>
      <c r="BG91" s="94">
        <f t="shared" si="146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7"/>
        <v>0</v>
      </c>
      <c r="BP91" s="92">
        <f t="shared" si="167"/>
        <v>0</v>
      </c>
      <c r="BQ91" s="96">
        <f t="shared" si="147"/>
        <v>0</v>
      </c>
      <c r="BR91" s="96">
        <f t="shared" si="148"/>
        <v>0</v>
      </c>
      <c r="BS91" s="96">
        <f t="shared" si="168"/>
        <v>0</v>
      </c>
      <c r="BT91" s="96">
        <f t="shared" si="149"/>
        <v>0</v>
      </c>
      <c r="BU91" s="92">
        <f t="shared" si="123"/>
        <v>0</v>
      </c>
      <c r="BV91" s="98">
        <f t="shared" si="169"/>
        <v>0</v>
      </c>
      <c r="BW91" s="92">
        <f t="shared" si="124"/>
        <v>0</v>
      </c>
      <c r="BX91" s="98">
        <f t="shared" si="150"/>
        <v>0</v>
      </c>
      <c r="BY91" s="61">
        <f t="shared" si="174"/>
        <v>0</v>
      </c>
      <c r="BZ91" s="62">
        <f t="shared" si="151"/>
        <v>0</v>
      </c>
      <c r="CA91" s="98">
        <f t="shared" si="152"/>
        <v>0</v>
      </c>
      <c r="CB91" s="92">
        <f t="shared" si="125"/>
        <v>0</v>
      </c>
      <c r="CC91" s="92">
        <f t="shared" si="125"/>
        <v>0</v>
      </c>
      <c r="CD91" s="92">
        <f t="shared" si="125"/>
        <v>0</v>
      </c>
      <c r="CE91" s="99"/>
      <c r="CF91" s="99"/>
      <c r="CG91" s="51">
        <f t="shared" si="153"/>
        <v>0</v>
      </c>
      <c r="CH91" s="62">
        <f t="shared" si="154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102"/>
        <v>0</v>
      </c>
      <c r="CR91" s="102">
        <f t="shared" si="102"/>
        <v>0</v>
      </c>
      <c r="CS91" s="102">
        <f t="shared" si="102"/>
        <v>0</v>
      </c>
      <c r="CT91" s="92">
        <f t="shared" si="155"/>
        <v>0</v>
      </c>
      <c r="CU91" s="92">
        <f t="shared" si="103"/>
        <v>0</v>
      </c>
      <c r="CV91" s="103">
        <f t="shared" si="103"/>
        <v>0</v>
      </c>
      <c r="CW91" s="104"/>
      <c r="CX91" s="105">
        <v>56</v>
      </c>
      <c r="CY91" s="106">
        <f t="shared" si="156"/>
        <v>744</v>
      </c>
      <c r="CZ91" s="106">
        <f t="shared" si="157"/>
        <v>453.6</v>
      </c>
      <c r="DA91" s="106"/>
      <c r="DB91" s="106"/>
      <c r="DC91" s="105"/>
      <c r="DD91" s="107"/>
      <c r="DE91" s="92">
        <f t="shared" si="126"/>
        <v>0</v>
      </c>
      <c r="DF91" s="108">
        <f t="shared" si="127"/>
        <v>0</v>
      </c>
      <c r="DG91" s="115">
        <f t="shared" si="128"/>
        <v>0</v>
      </c>
      <c r="DH91" s="110">
        <f t="shared" si="129"/>
        <v>0</v>
      </c>
      <c r="DI91" s="108">
        <f t="shared" si="130"/>
        <v>0</v>
      </c>
      <c r="DJ91" s="112">
        <f t="shared" si="131"/>
        <v>0</v>
      </c>
      <c r="DK91" s="110">
        <f t="shared" si="182"/>
        <v>0</v>
      </c>
      <c r="DL91" s="108">
        <f t="shared" si="182"/>
        <v>0</v>
      </c>
      <c r="DM91" s="111">
        <f t="shared" si="182"/>
        <v>0</v>
      </c>
      <c r="DN91" s="76">
        <f t="shared" si="183"/>
        <v>0</v>
      </c>
      <c r="DO91" s="76">
        <f t="shared" si="184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8"/>
        <v>0</v>
      </c>
      <c r="DX91" s="81">
        <f t="shared" si="132"/>
        <v>0</v>
      </c>
      <c r="DY91" s="80">
        <f t="shared" si="159"/>
        <v>0</v>
      </c>
      <c r="DZ91" s="82">
        <f t="shared" si="160"/>
        <v>0</v>
      </c>
      <c r="EA91" s="82">
        <f t="shared" si="161"/>
        <v>0</v>
      </c>
      <c r="EB91" s="82">
        <f t="shared" si="162"/>
        <v>0</v>
      </c>
      <c r="EC91" s="82">
        <f t="shared" si="179"/>
        <v>0</v>
      </c>
      <c r="EF91" s="83">
        <f t="shared" ref="EF91:EF101" si="185">DG91+DJ91</f>
        <v>0</v>
      </c>
    </row>
    <row r="92" spans="1:136" ht="15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3"/>
        <v>TVSUS303Cu-H15.87x2.5-H11B14</v>
      </c>
      <c r="H92" s="46" t="str">
        <f t="shared" si="134"/>
        <v>SUS303CuTV15.870HH11</v>
      </c>
      <c r="I92" s="46" t="str">
        <f t="shared" si="135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6"/>
        <v>18</v>
      </c>
      <c r="T92" s="51">
        <f>'04.02'!BG92</f>
        <v>0</v>
      </c>
      <c r="U92" s="92"/>
      <c r="V92" s="100">
        <v>27.35</v>
      </c>
      <c r="W92" s="93">
        <f t="shared" si="115"/>
        <v>0</v>
      </c>
      <c r="X92" s="93">
        <f t="shared" si="116"/>
        <v>0</v>
      </c>
      <c r="Y92" s="93">
        <f t="shared" si="117"/>
        <v>0</v>
      </c>
      <c r="Z92" s="93">
        <f t="shared" si="118"/>
        <v>0</v>
      </c>
      <c r="AA92" s="93">
        <f t="shared" si="119"/>
        <v>0</v>
      </c>
      <c r="AB92" s="93">
        <f t="shared" si="120"/>
        <v>0</v>
      </c>
      <c r="AC92" s="93">
        <f t="shared" si="121"/>
        <v>0</v>
      </c>
      <c r="AD92" s="93">
        <f t="shared" si="122"/>
        <v>0</v>
      </c>
      <c r="AE92" s="93">
        <f t="shared" si="137"/>
        <v>0</v>
      </c>
      <c r="AF92" s="54">
        <f>AE92+'04.02'!AF92</f>
        <v>0</v>
      </c>
      <c r="AG92" s="94">
        <f t="shared" si="163"/>
        <v>0</v>
      </c>
      <c r="AH92" s="56">
        <f t="shared" si="138"/>
        <v>0</v>
      </c>
      <c r="AI92" s="93"/>
      <c r="AJ92" s="93">
        <f t="shared" si="164"/>
        <v>0</v>
      </c>
      <c r="AK92" s="95">
        <f t="shared" si="139"/>
        <v>1</v>
      </c>
      <c r="AL92" s="58">
        <f t="shared" si="175"/>
        <v>0</v>
      </c>
      <c r="AM92" s="55">
        <f t="shared" si="165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40"/>
        <v>0</v>
      </c>
      <c r="AV92" s="96">
        <f t="shared" si="140"/>
        <v>0</v>
      </c>
      <c r="AW92" s="96">
        <f t="shared" si="141"/>
        <v>0</v>
      </c>
      <c r="AX92" s="96">
        <f t="shared" si="142"/>
        <v>0</v>
      </c>
      <c r="AY92" s="94">
        <f t="shared" si="166"/>
        <v>0</v>
      </c>
      <c r="AZ92" s="94">
        <f t="shared" si="143"/>
        <v>0</v>
      </c>
      <c r="BA92" s="94">
        <f t="shared" si="172"/>
        <v>0</v>
      </c>
      <c r="BB92" s="97">
        <f t="shared" si="173"/>
        <v>0</v>
      </c>
      <c r="BC92" s="93"/>
      <c r="BD92" s="93">
        <f t="shared" si="144"/>
        <v>0</v>
      </c>
      <c r="BE92" s="95">
        <f t="shared" si="145"/>
        <v>1</v>
      </c>
      <c r="BF92" s="58">
        <f t="shared" si="176"/>
        <v>0</v>
      </c>
      <c r="BG92" s="94">
        <f t="shared" si="146"/>
        <v>0</v>
      </c>
      <c r="BH92" s="89"/>
      <c r="BI92" s="92">
        <f t="shared" ref="BI92:BJ97" si="186">$CN92</f>
        <v>0</v>
      </c>
      <c r="BJ92" s="92"/>
      <c r="BK92" s="89"/>
      <c r="BL92" s="89"/>
      <c r="BM92" s="89"/>
      <c r="BN92" s="92"/>
      <c r="BO92" s="92">
        <f t="shared" si="167"/>
        <v>0</v>
      </c>
      <c r="BP92" s="92">
        <f t="shared" si="167"/>
        <v>0</v>
      </c>
      <c r="BQ92" s="96">
        <f t="shared" si="147"/>
        <v>0</v>
      </c>
      <c r="BR92" s="96">
        <f t="shared" si="148"/>
        <v>0</v>
      </c>
      <c r="BS92" s="96">
        <f t="shared" si="168"/>
        <v>0</v>
      </c>
      <c r="BT92" s="96">
        <f t="shared" si="149"/>
        <v>0</v>
      </c>
      <c r="BU92" s="92">
        <f t="shared" si="123"/>
        <v>0</v>
      </c>
      <c r="BV92" s="98">
        <f t="shared" si="169"/>
        <v>0</v>
      </c>
      <c r="BW92" s="92">
        <f t="shared" si="124"/>
        <v>0</v>
      </c>
      <c r="BX92" s="98">
        <f t="shared" si="150"/>
        <v>0</v>
      </c>
      <c r="BY92" s="61">
        <f t="shared" si="174"/>
        <v>0</v>
      </c>
      <c r="BZ92" s="62">
        <f t="shared" si="151"/>
        <v>0</v>
      </c>
      <c r="CA92" s="98">
        <f t="shared" si="152"/>
        <v>0</v>
      </c>
      <c r="CB92" s="92">
        <f t="shared" si="125"/>
        <v>0</v>
      </c>
      <c r="CC92" s="92">
        <f t="shared" si="125"/>
        <v>0</v>
      </c>
      <c r="CD92" s="92">
        <f t="shared" si="125"/>
        <v>0</v>
      </c>
      <c r="CE92" s="99"/>
      <c r="CF92" s="99"/>
      <c r="CG92" s="51">
        <f t="shared" si="153"/>
        <v>0</v>
      </c>
      <c r="CH92" s="62">
        <f t="shared" si="154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102"/>
        <v>0</v>
      </c>
      <c r="CR92" s="102">
        <f t="shared" si="102"/>
        <v>0</v>
      </c>
      <c r="CS92" s="102">
        <f t="shared" si="102"/>
        <v>0</v>
      </c>
      <c r="CT92" s="92">
        <f t="shared" si="155"/>
        <v>0</v>
      </c>
      <c r="CU92" s="92">
        <f t="shared" si="103"/>
        <v>0</v>
      </c>
      <c r="CV92" s="103">
        <f t="shared" si="103"/>
        <v>0</v>
      </c>
      <c r="CW92" s="104"/>
      <c r="CX92" s="105">
        <v>60</v>
      </c>
      <c r="CY92" s="106">
        <f t="shared" si="156"/>
        <v>670</v>
      </c>
      <c r="CZ92" s="106">
        <f t="shared" si="157"/>
        <v>486.00000000000006</v>
      </c>
      <c r="DA92" s="106"/>
      <c r="DB92" s="106"/>
      <c r="DC92" s="105"/>
      <c r="DD92" s="107"/>
      <c r="DE92" s="92">
        <f t="shared" si="126"/>
        <v>0</v>
      </c>
      <c r="DF92" s="108">
        <f t="shared" si="127"/>
        <v>0</v>
      </c>
      <c r="DG92" s="115">
        <f t="shared" si="128"/>
        <v>0</v>
      </c>
      <c r="DH92" s="110">
        <f t="shared" si="129"/>
        <v>0</v>
      </c>
      <c r="DI92" s="108">
        <f t="shared" si="130"/>
        <v>0</v>
      </c>
      <c r="DJ92" s="112">
        <f t="shared" si="131"/>
        <v>0</v>
      </c>
      <c r="DK92" s="110">
        <f t="shared" si="182"/>
        <v>0</v>
      </c>
      <c r="DL92" s="108">
        <f t="shared" si="182"/>
        <v>0</v>
      </c>
      <c r="DM92" s="111">
        <f t="shared" si="182"/>
        <v>0</v>
      </c>
      <c r="DN92" s="76">
        <f t="shared" si="183"/>
        <v>0</v>
      </c>
      <c r="DO92" s="76">
        <f t="shared" si="184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8"/>
        <v>0</v>
      </c>
      <c r="DX92" s="81">
        <f t="shared" si="132"/>
        <v>0</v>
      </c>
      <c r="DY92" s="80">
        <f t="shared" si="159"/>
        <v>0</v>
      </c>
      <c r="DZ92" s="82">
        <f t="shared" si="160"/>
        <v>0</v>
      </c>
      <c r="EA92" s="82">
        <f t="shared" si="161"/>
        <v>0</v>
      </c>
      <c r="EB92" s="82">
        <f t="shared" si="162"/>
        <v>0</v>
      </c>
      <c r="EC92" s="82">
        <f t="shared" si="179"/>
        <v>0</v>
      </c>
      <c r="EF92" s="83">
        <f t="shared" si="185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3"/>
        <v>GWA6061-T6-16x3-H9A15</v>
      </c>
      <c r="H93" s="46" t="str">
        <f t="shared" si="134"/>
        <v>A6061-T6GW160DH9</v>
      </c>
      <c r="I93" s="46" t="str">
        <f t="shared" si="135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6"/>
        <v>22</v>
      </c>
      <c r="T93" s="51">
        <f>'04.02'!BG93</f>
        <v>12</v>
      </c>
      <c r="U93" s="92">
        <v>20</v>
      </c>
      <c r="V93" s="100">
        <v>14.1</v>
      </c>
      <c r="W93" s="93">
        <f t="shared" si="115"/>
        <v>560</v>
      </c>
      <c r="X93" s="93">
        <f t="shared" si="116"/>
        <v>0</v>
      </c>
      <c r="Y93" s="93">
        <f t="shared" si="117"/>
        <v>0</v>
      </c>
      <c r="Z93" s="93">
        <f t="shared" si="118"/>
        <v>0</v>
      </c>
      <c r="AA93" s="93">
        <f t="shared" si="119"/>
        <v>0</v>
      </c>
      <c r="AB93" s="93">
        <f t="shared" si="120"/>
        <v>0</v>
      </c>
      <c r="AC93" s="93">
        <f t="shared" si="121"/>
        <v>0</v>
      </c>
      <c r="AD93" s="93">
        <f t="shared" si="122"/>
        <v>0</v>
      </c>
      <c r="AE93" s="93">
        <f t="shared" si="137"/>
        <v>560</v>
      </c>
      <c r="AF93" s="54">
        <f>AE93+'04.02'!AF93</f>
        <v>1424</v>
      </c>
      <c r="AG93" s="94">
        <f t="shared" si="163"/>
        <v>12</v>
      </c>
      <c r="AH93" s="56">
        <f t="shared" si="138"/>
        <v>0</v>
      </c>
      <c r="AI93" s="93">
        <v>9</v>
      </c>
      <c r="AJ93" s="93">
        <f t="shared" si="164"/>
        <v>0</v>
      </c>
      <c r="AK93" s="95">
        <f t="shared" si="139"/>
        <v>1</v>
      </c>
      <c r="AL93" s="58">
        <f t="shared" si="175"/>
        <v>9</v>
      </c>
      <c r="AM93" s="55">
        <f t="shared" si="165"/>
        <v>23</v>
      </c>
      <c r="AN93" s="93"/>
      <c r="AO93" s="96">
        <f>$CJ93</f>
        <v>4230</v>
      </c>
      <c r="AP93" s="96"/>
      <c r="AQ93" s="96"/>
      <c r="AR93" s="96"/>
      <c r="AS93" s="96"/>
      <c r="AT93" s="96"/>
      <c r="AU93" s="96">
        <f t="shared" si="140"/>
        <v>0</v>
      </c>
      <c r="AV93" s="96">
        <f t="shared" si="140"/>
        <v>0</v>
      </c>
      <c r="AW93" s="96">
        <f t="shared" si="141"/>
        <v>4230</v>
      </c>
      <c r="AX93" s="96">
        <f t="shared" si="142"/>
        <v>300</v>
      </c>
      <c r="AY93" s="94">
        <f t="shared" si="166"/>
        <v>42.300000000000182</v>
      </c>
      <c r="AZ93" s="94">
        <f t="shared" si="143"/>
        <v>3.0000000000000129</v>
      </c>
      <c r="BA93" s="94">
        <f t="shared" si="172"/>
        <v>23</v>
      </c>
      <c r="BB93" s="97">
        <f t="shared" si="173"/>
        <v>0</v>
      </c>
      <c r="BC93" s="93">
        <v>8</v>
      </c>
      <c r="BD93" s="93">
        <f t="shared" si="144"/>
        <v>0</v>
      </c>
      <c r="BE93" s="95">
        <f t="shared" si="145"/>
        <v>1</v>
      </c>
      <c r="BF93" s="58">
        <f t="shared" si="176"/>
        <v>8</v>
      </c>
      <c r="BG93" s="94">
        <f t="shared" si="146"/>
        <v>15</v>
      </c>
      <c r="BH93" s="89"/>
      <c r="BI93" s="92">
        <f t="shared" si="186"/>
        <v>3666</v>
      </c>
      <c r="BJ93" s="92"/>
      <c r="BK93" s="89"/>
      <c r="BL93" s="89"/>
      <c r="BM93" s="89"/>
      <c r="BN93" s="89"/>
      <c r="BO93" s="92">
        <f t="shared" si="167"/>
        <v>0</v>
      </c>
      <c r="BP93" s="92">
        <f t="shared" si="167"/>
        <v>0</v>
      </c>
      <c r="BQ93" s="96">
        <f t="shared" si="147"/>
        <v>3666</v>
      </c>
      <c r="BR93" s="96">
        <f t="shared" si="148"/>
        <v>260</v>
      </c>
      <c r="BS93" s="96">
        <f t="shared" si="168"/>
        <v>-56.400000000000091</v>
      </c>
      <c r="BT93" s="96">
        <f t="shared" si="149"/>
        <v>-4.0000000000000062</v>
      </c>
      <c r="BU93" s="92">
        <f t="shared" si="123"/>
        <v>560</v>
      </c>
      <c r="BV93" s="98">
        <f t="shared" si="169"/>
        <v>17</v>
      </c>
      <c r="BW93" s="92">
        <f t="shared" si="124"/>
        <v>-0.99999999999999334</v>
      </c>
      <c r="BX93" s="98">
        <f t="shared" si="150"/>
        <v>27.540000000000003</v>
      </c>
      <c r="BY93" s="61">
        <f>IFERROR(BF93+AL93,0)</f>
        <v>17</v>
      </c>
      <c r="BZ93" s="62">
        <f t="shared" si="151"/>
        <v>17</v>
      </c>
      <c r="CA93" s="98">
        <f t="shared" si="152"/>
        <v>7.8959999999999999</v>
      </c>
      <c r="CB93" s="92">
        <f t="shared" si="125"/>
        <v>560</v>
      </c>
      <c r="CC93" s="92">
        <f t="shared" si="125"/>
        <v>-14.099999999999909</v>
      </c>
      <c r="CD93" s="92">
        <f t="shared" si="125"/>
        <v>-0.99999999999999334</v>
      </c>
      <c r="CE93" s="99"/>
      <c r="CF93" s="99"/>
      <c r="CG93" s="51">
        <f t="shared" si="153"/>
        <v>19.644000000000002</v>
      </c>
      <c r="CH93" s="62">
        <f t="shared" si="154"/>
        <v>19.644000000000002</v>
      </c>
      <c r="CI93" s="89"/>
      <c r="CJ93" s="89">
        <f>300*14.1</f>
        <v>4230</v>
      </c>
      <c r="CK93" s="89"/>
      <c r="CL93" s="96"/>
      <c r="CM93" s="89"/>
      <c r="CN93" s="89">
        <f>260*14.1</f>
        <v>3666</v>
      </c>
      <c r="CO93" s="92"/>
      <c r="CP93" s="101"/>
      <c r="CQ93" s="102">
        <f t="shared" si="102"/>
        <v>300</v>
      </c>
      <c r="CR93" s="102">
        <f t="shared" si="102"/>
        <v>0</v>
      </c>
      <c r="CS93" s="102">
        <f t="shared" si="102"/>
        <v>0</v>
      </c>
      <c r="CT93" s="92">
        <f t="shared" si="155"/>
        <v>260</v>
      </c>
      <c r="CU93" s="92">
        <f t="shared" si="103"/>
        <v>0</v>
      </c>
      <c r="CV93" s="103">
        <f t="shared" si="103"/>
        <v>0</v>
      </c>
      <c r="CW93" s="104"/>
      <c r="CX93" s="105">
        <v>110</v>
      </c>
      <c r="CY93" s="106">
        <f t="shared" si="156"/>
        <v>360</v>
      </c>
      <c r="CZ93" s="106">
        <f t="shared" si="157"/>
        <v>891.00000000000011</v>
      </c>
      <c r="DA93" s="106"/>
      <c r="DB93" s="106"/>
      <c r="DC93" s="105"/>
      <c r="DD93" s="107"/>
      <c r="DE93" s="92">
        <f t="shared" si="126"/>
        <v>300</v>
      </c>
      <c r="DF93" s="108">
        <f t="shared" si="127"/>
        <v>9</v>
      </c>
      <c r="DG93" s="115">
        <f t="shared" si="128"/>
        <v>3.0000000000000129</v>
      </c>
      <c r="DH93" s="110">
        <f t="shared" si="129"/>
        <v>260</v>
      </c>
      <c r="DI93" s="108">
        <f t="shared" si="130"/>
        <v>8</v>
      </c>
      <c r="DJ93" s="115">
        <f t="shared" si="131"/>
        <v>-4.0000000000000062</v>
      </c>
      <c r="DK93" s="110">
        <f t="shared" si="182"/>
        <v>560</v>
      </c>
      <c r="DL93" s="108">
        <f t="shared" si="182"/>
        <v>17</v>
      </c>
      <c r="DM93" s="111">
        <f t="shared" si="182"/>
        <v>-0.99999999999999334</v>
      </c>
      <c r="DN93" s="76">
        <f t="shared" si="183"/>
        <v>12</v>
      </c>
      <c r="DO93" s="76">
        <v>20</v>
      </c>
      <c r="DP93" s="112"/>
      <c r="DQ93" s="112"/>
      <c r="DR93" s="113" t="s">
        <v>481</v>
      </c>
      <c r="DS93" s="112"/>
      <c r="DT93" s="112"/>
      <c r="DU93" s="111"/>
      <c r="DV93" s="114"/>
      <c r="DW93" s="80">
        <f t="shared" ref="DW93:DW94" si="187">IFERROR(AL93+BF93,"")</f>
        <v>17</v>
      </c>
      <c r="DX93" s="81">
        <f t="shared" si="132"/>
        <v>576</v>
      </c>
      <c r="DY93" s="80">
        <f t="shared" si="159"/>
        <v>560</v>
      </c>
      <c r="DZ93" s="82">
        <f t="shared" si="160"/>
        <v>0</v>
      </c>
      <c r="EA93" s="82">
        <f t="shared" si="161"/>
        <v>7.8959999999999999</v>
      </c>
      <c r="EB93" s="82">
        <f t="shared" si="162"/>
        <v>19.644000000000002</v>
      </c>
      <c r="EC93" s="82">
        <f>(BX93-CA93)+((AV93+BP93)/1000)</f>
        <v>19.644000000000002</v>
      </c>
      <c r="EF93" s="83">
        <f t="shared" si="185"/>
        <v>-0.99999999999999334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3"/>
        <v>GWA6061-T6-19.1x3-H9A14</v>
      </c>
      <c r="H94" s="46" t="str">
        <f t="shared" si="134"/>
        <v>A6061-T6GW19.10DH9</v>
      </c>
      <c r="I94" s="46" t="str">
        <f t="shared" si="135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6"/>
        <v>22</v>
      </c>
      <c r="T94" s="51">
        <f>'04.02'!BG94</f>
        <v>11</v>
      </c>
      <c r="U94" s="92">
        <v>20</v>
      </c>
      <c r="V94" s="100">
        <v>20.25</v>
      </c>
      <c r="W94" s="93">
        <f t="shared" si="115"/>
        <v>251</v>
      </c>
      <c r="X94" s="93">
        <f t="shared" si="116"/>
        <v>0</v>
      </c>
      <c r="Y94" s="93">
        <f t="shared" si="117"/>
        <v>0</v>
      </c>
      <c r="Z94" s="93">
        <f t="shared" si="118"/>
        <v>0</v>
      </c>
      <c r="AA94" s="93">
        <f t="shared" si="119"/>
        <v>0</v>
      </c>
      <c r="AB94" s="93">
        <f t="shared" si="120"/>
        <v>0</v>
      </c>
      <c r="AC94" s="93">
        <f t="shared" si="121"/>
        <v>0</v>
      </c>
      <c r="AD94" s="93">
        <f t="shared" si="122"/>
        <v>0</v>
      </c>
      <c r="AE94" s="93">
        <f t="shared" si="137"/>
        <v>251</v>
      </c>
      <c r="AF94" s="54">
        <f>AE94+'04.02'!AF94</f>
        <v>1553</v>
      </c>
      <c r="AG94" s="94">
        <f t="shared" si="163"/>
        <v>11</v>
      </c>
      <c r="AH94" s="56">
        <f t="shared" si="138"/>
        <v>0</v>
      </c>
      <c r="AI94" s="93">
        <v>7</v>
      </c>
      <c r="AJ94" s="93">
        <f t="shared" si="164"/>
        <v>0</v>
      </c>
      <c r="AK94" s="95">
        <f t="shared" si="139"/>
        <v>1</v>
      </c>
      <c r="AL94" s="58">
        <f t="shared" si="175"/>
        <v>7</v>
      </c>
      <c r="AM94" s="55">
        <f t="shared" si="165"/>
        <v>24</v>
      </c>
      <c r="AN94" s="93"/>
      <c r="AO94" s="96">
        <f>$CJ94</f>
        <v>3361.5</v>
      </c>
      <c r="AP94" s="96"/>
      <c r="AQ94" s="96"/>
      <c r="AR94" s="96"/>
      <c r="AS94" s="96"/>
      <c r="AT94" s="96"/>
      <c r="AU94" s="96">
        <f t="shared" si="140"/>
        <v>0</v>
      </c>
      <c r="AV94" s="96">
        <f t="shared" si="140"/>
        <v>0</v>
      </c>
      <c r="AW94" s="96">
        <f t="shared" si="141"/>
        <v>3361.5</v>
      </c>
      <c r="AX94" s="96">
        <f t="shared" si="142"/>
        <v>166</v>
      </c>
      <c r="AY94" s="94">
        <f t="shared" si="166"/>
        <v>-40.5</v>
      </c>
      <c r="AZ94" s="94">
        <f t="shared" si="143"/>
        <v>-2</v>
      </c>
      <c r="BA94" s="94">
        <f t="shared" si="172"/>
        <v>24</v>
      </c>
      <c r="BB94" s="97">
        <f t="shared" si="173"/>
        <v>0</v>
      </c>
      <c r="BC94" s="93">
        <v>5</v>
      </c>
      <c r="BD94" s="93">
        <f t="shared" si="144"/>
        <v>0</v>
      </c>
      <c r="BE94" s="95">
        <f t="shared" si="145"/>
        <v>1</v>
      </c>
      <c r="BF94" s="58">
        <f t="shared" si="176"/>
        <v>5</v>
      </c>
      <c r="BG94" s="94">
        <f t="shared" si="146"/>
        <v>19</v>
      </c>
      <c r="BH94" s="89"/>
      <c r="BI94" s="92">
        <f t="shared" si="186"/>
        <v>1721.25</v>
      </c>
      <c r="BJ94" s="92"/>
      <c r="BK94" s="89"/>
      <c r="BL94" s="89"/>
      <c r="BM94" s="89"/>
      <c r="BN94" s="89"/>
      <c r="BO94" s="92">
        <f t="shared" si="167"/>
        <v>0</v>
      </c>
      <c r="BP94" s="92">
        <f t="shared" si="167"/>
        <v>0</v>
      </c>
      <c r="BQ94" s="96">
        <f t="shared" si="147"/>
        <v>1721.25</v>
      </c>
      <c r="BR94" s="96">
        <f t="shared" si="148"/>
        <v>85</v>
      </c>
      <c r="BS94" s="96">
        <f t="shared" si="168"/>
        <v>-708.75</v>
      </c>
      <c r="BT94" s="96">
        <f t="shared" si="149"/>
        <v>-35</v>
      </c>
      <c r="BU94" s="92">
        <f t="shared" si="123"/>
        <v>251</v>
      </c>
      <c r="BV94" s="98">
        <f t="shared" si="169"/>
        <v>12</v>
      </c>
      <c r="BW94" s="92">
        <f t="shared" si="124"/>
        <v>-37</v>
      </c>
      <c r="BX94" s="98">
        <f t="shared" si="150"/>
        <v>27.768000000000001</v>
      </c>
      <c r="BY94" s="61">
        <f t="shared" si="174"/>
        <v>12</v>
      </c>
      <c r="BZ94" s="62">
        <f t="shared" si="151"/>
        <v>12</v>
      </c>
      <c r="CA94" s="98">
        <f t="shared" si="152"/>
        <v>5.0827499999999999</v>
      </c>
      <c r="CB94" s="92">
        <f t="shared" si="125"/>
        <v>251</v>
      </c>
      <c r="CC94" s="92">
        <f t="shared" si="125"/>
        <v>-749.25</v>
      </c>
      <c r="CD94" s="92">
        <f t="shared" si="125"/>
        <v>-37</v>
      </c>
      <c r="CE94" s="99"/>
      <c r="CF94" s="99"/>
      <c r="CG94" s="51">
        <f t="shared" si="153"/>
        <v>22.68525</v>
      </c>
      <c r="CH94" s="62">
        <f t="shared" si="154"/>
        <v>22.68525</v>
      </c>
      <c r="CI94" s="89"/>
      <c r="CJ94" s="89">
        <f>166*20.25</f>
        <v>3361.5</v>
      </c>
      <c r="CK94" s="89"/>
      <c r="CL94" s="96"/>
      <c r="CM94" s="89"/>
      <c r="CN94" s="89">
        <f>85*20.25</f>
        <v>1721.25</v>
      </c>
      <c r="CO94" s="92"/>
      <c r="CP94" s="101"/>
      <c r="CQ94" s="102">
        <f t="shared" si="102"/>
        <v>166</v>
      </c>
      <c r="CR94" s="102">
        <f t="shared" si="102"/>
        <v>0</v>
      </c>
      <c r="CS94" s="102">
        <f t="shared" si="102"/>
        <v>0</v>
      </c>
      <c r="CT94" s="92">
        <f t="shared" si="155"/>
        <v>85</v>
      </c>
      <c r="CU94" s="92">
        <f t="shared" si="103"/>
        <v>0</v>
      </c>
      <c r="CV94" s="103">
        <f t="shared" si="103"/>
        <v>0</v>
      </c>
      <c r="CW94" s="104"/>
      <c r="CX94" s="105">
        <v>150</v>
      </c>
      <c r="CY94" s="106">
        <f t="shared" si="156"/>
        <v>264</v>
      </c>
      <c r="CZ94" s="106">
        <f t="shared" si="157"/>
        <v>1215</v>
      </c>
      <c r="DA94" s="106"/>
      <c r="DB94" s="106"/>
      <c r="DC94" s="105"/>
      <c r="DD94" s="107"/>
      <c r="DE94" s="92">
        <f t="shared" si="126"/>
        <v>166</v>
      </c>
      <c r="DF94" s="108">
        <f t="shared" si="127"/>
        <v>7</v>
      </c>
      <c r="DG94" s="115">
        <f t="shared" si="128"/>
        <v>-2</v>
      </c>
      <c r="DH94" s="110">
        <f t="shared" si="129"/>
        <v>85</v>
      </c>
      <c r="DI94" s="108">
        <f t="shared" si="130"/>
        <v>5</v>
      </c>
      <c r="DJ94" s="115">
        <f t="shared" si="131"/>
        <v>-35</v>
      </c>
      <c r="DK94" s="110">
        <f t="shared" si="182"/>
        <v>251</v>
      </c>
      <c r="DL94" s="108">
        <f t="shared" si="182"/>
        <v>12</v>
      </c>
      <c r="DM94" s="111">
        <f t="shared" si="182"/>
        <v>-37</v>
      </c>
      <c r="DN94" s="76">
        <f t="shared" si="183"/>
        <v>11</v>
      </c>
      <c r="DO94" s="76">
        <f t="shared" si="184"/>
        <v>20</v>
      </c>
      <c r="DP94" s="112"/>
      <c r="DQ94" s="112"/>
      <c r="DR94" s="113" t="s">
        <v>474</v>
      </c>
      <c r="DS94" s="112"/>
      <c r="DT94" s="112"/>
      <c r="DU94" s="111"/>
      <c r="DV94" s="114"/>
      <c r="DW94" s="80">
        <f t="shared" si="187"/>
        <v>12</v>
      </c>
      <c r="DX94" s="81">
        <f t="shared" si="132"/>
        <v>226</v>
      </c>
      <c r="DY94" s="80">
        <f t="shared" si="159"/>
        <v>251</v>
      </c>
      <c r="DZ94" s="82">
        <f t="shared" si="160"/>
        <v>0</v>
      </c>
      <c r="EA94" s="82">
        <f t="shared" si="161"/>
        <v>5.0827499999999999</v>
      </c>
      <c r="EB94" s="82">
        <f t="shared" si="162"/>
        <v>22.68525</v>
      </c>
      <c r="EC94" s="82">
        <f t="shared" si="179"/>
        <v>22.68525</v>
      </c>
      <c r="EF94" s="83">
        <f t="shared" si="185"/>
        <v>-37</v>
      </c>
    </row>
    <row r="95" spans="1:136" ht="15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3"/>
        <v>TVSUS303-10x2.5-H7A14</v>
      </c>
      <c r="H95" s="46" t="str">
        <f t="shared" si="134"/>
        <v>SUS303TV100DH7</v>
      </c>
      <c r="I95" s="46" t="str">
        <f t="shared" si="135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6"/>
        <v>42</v>
      </c>
      <c r="T95" s="51">
        <f>'04.02'!BG95</f>
        <v>0</v>
      </c>
      <c r="U95" s="92"/>
      <c r="V95" s="100">
        <v>67.7</v>
      </c>
      <c r="W95" s="93">
        <f t="shared" si="115"/>
        <v>0</v>
      </c>
      <c r="X95" s="93">
        <f t="shared" si="116"/>
        <v>0</v>
      </c>
      <c r="Y95" s="93">
        <f t="shared" si="117"/>
        <v>0</v>
      </c>
      <c r="Z95" s="93">
        <f t="shared" si="118"/>
        <v>0</v>
      </c>
      <c r="AA95" s="93">
        <f t="shared" si="119"/>
        <v>0</v>
      </c>
      <c r="AB95" s="93">
        <f t="shared" si="120"/>
        <v>0</v>
      </c>
      <c r="AC95" s="93">
        <f t="shared" si="121"/>
        <v>0</v>
      </c>
      <c r="AD95" s="93">
        <f t="shared" si="122"/>
        <v>0</v>
      </c>
      <c r="AE95" s="93">
        <f t="shared" si="137"/>
        <v>0</v>
      </c>
      <c r="AF95" s="54">
        <f>AE95+'04.02'!AF95</f>
        <v>0</v>
      </c>
      <c r="AG95" s="94">
        <f t="shared" si="163"/>
        <v>0</v>
      </c>
      <c r="AH95" s="56">
        <f t="shared" si="138"/>
        <v>0</v>
      </c>
      <c r="AI95" s="93"/>
      <c r="AJ95" s="93">
        <f t="shared" si="164"/>
        <v>0</v>
      </c>
      <c r="AK95" s="95">
        <f t="shared" si="139"/>
        <v>1</v>
      </c>
      <c r="AL95" s="58">
        <f t="shared" si="175"/>
        <v>0</v>
      </c>
      <c r="AM95" s="55">
        <f t="shared" si="165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40"/>
        <v>0</v>
      </c>
      <c r="AV95" s="96">
        <f t="shared" si="140"/>
        <v>0</v>
      </c>
      <c r="AW95" s="96">
        <f t="shared" si="141"/>
        <v>0</v>
      </c>
      <c r="AX95" s="96">
        <f t="shared" si="142"/>
        <v>0</v>
      </c>
      <c r="AY95" s="94">
        <f t="shared" si="166"/>
        <v>0</v>
      </c>
      <c r="AZ95" s="94">
        <f t="shared" si="143"/>
        <v>0</v>
      </c>
      <c r="BA95" s="94">
        <f t="shared" si="172"/>
        <v>0</v>
      </c>
      <c r="BB95" s="97">
        <f t="shared" si="173"/>
        <v>0</v>
      </c>
      <c r="BC95" s="93"/>
      <c r="BD95" s="93">
        <f t="shared" si="144"/>
        <v>0</v>
      </c>
      <c r="BE95" s="95">
        <f t="shared" si="145"/>
        <v>1</v>
      </c>
      <c r="BF95" s="58">
        <f t="shared" si="176"/>
        <v>0</v>
      </c>
      <c r="BG95" s="94">
        <f t="shared" si="146"/>
        <v>0</v>
      </c>
      <c r="BH95" s="89"/>
      <c r="BI95" s="92">
        <f t="shared" si="186"/>
        <v>0</v>
      </c>
      <c r="BJ95" s="89"/>
      <c r="BK95" s="89"/>
      <c r="BL95" s="89"/>
      <c r="BM95" s="89"/>
      <c r="BN95" s="89"/>
      <c r="BO95" s="92">
        <f t="shared" si="167"/>
        <v>0</v>
      </c>
      <c r="BP95" s="92">
        <f t="shared" si="167"/>
        <v>0</v>
      </c>
      <c r="BQ95" s="96">
        <f t="shared" si="147"/>
        <v>0</v>
      </c>
      <c r="BR95" s="96">
        <f t="shared" si="148"/>
        <v>0</v>
      </c>
      <c r="BS95" s="96">
        <f t="shared" si="168"/>
        <v>0</v>
      </c>
      <c r="BT95" s="96">
        <f t="shared" si="149"/>
        <v>0</v>
      </c>
      <c r="BU95" s="92">
        <f t="shared" si="123"/>
        <v>0</v>
      </c>
      <c r="BV95" s="98">
        <f t="shared" si="169"/>
        <v>0</v>
      </c>
      <c r="BW95" s="92">
        <f t="shared" si="124"/>
        <v>0</v>
      </c>
      <c r="BX95" s="98">
        <f t="shared" si="150"/>
        <v>0</v>
      </c>
      <c r="BY95" s="61">
        <f t="shared" si="174"/>
        <v>0</v>
      </c>
      <c r="BZ95" s="62">
        <f t="shared" si="151"/>
        <v>0</v>
      </c>
      <c r="CA95" s="98">
        <f t="shared" si="152"/>
        <v>0</v>
      </c>
      <c r="CB95" s="92">
        <f t="shared" si="125"/>
        <v>0</v>
      </c>
      <c r="CC95" s="92">
        <f t="shared" si="125"/>
        <v>0</v>
      </c>
      <c r="CD95" s="92">
        <f t="shared" si="125"/>
        <v>0</v>
      </c>
      <c r="CE95" s="99"/>
      <c r="CF95" s="99"/>
      <c r="CG95" s="51">
        <f t="shared" si="153"/>
        <v>0</v>
      </c>
      <c r="CH95" s="62">
        <f t="shared" si="154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102"/>
        <v>0</v>
      </c>
      <c r="CR95" s="102">
        <f t="shared" si="102"/>
        <v>0</v>
      </c>
      <c r="CS95" s="102">
        <f t="shared" si="102"/>
        <v>0</v>
      </c>
      <c r="CT95" s="92">
        <f t="shared" si="155"/>
        <v>0</v>
      </c>
      <c r="CU95" s="92">
        <f t="shared" si="103"/>
        <v>0</v>
      </c>
      <c r="CV95" s="103">
        <f t="shared" si="103"/>
        <v>0</v>
      </c>
      <c r="CW95" s="104"/>
      <c r="CX95" s="105">
        <v>90</v>
      </c>
      <c r="CY95" s="106">
        <f t="shared" si="156"/>
        <v>393</v>
      </c>
      <c r="CZ95" s="106">
        <f t="shared" si="157"/>
        <v>729</v>
      </c>
      <c r="DA95" s="106"/>
      <c r="DB95" s="106"/>
      <c r="DC95" s="105"/>
      <c r="DD95" s="107"/>
      <c r="DE95" s="92">
        <f t="shared" si="126"/>
        <v>0</v>
      </c>
      <c r="DF95" s="108">
        <f t="shared" si="127"/>
        <v>0</v>
      </c>
      <c r="DG95" s="115">
        <f t="shared" si="128"/>
        <v>0</v>
      </c>
      <c r="DH95" s="110">
        <f t="shared" si="129"/>
        <v>0</v>
      </c>
      <c r="DI95" s="108">
        <f t="shared" si="130"/>
        <v>0</v>
      </c>
      <c r="DJ95" s="112">
        <f t="shared" si="131"/>
        <v>0</v>
      </c>
      <c r="DK95" s="110">
        <f t="shared" si="182"/>
        <v>0</v>
      </c>
      <c r="DL95" s="108">
        <f t="shared" si="182"/>
        <v>0</v>
      </c>
      <c r="DM95" s="111">
        <f t="shared" si="182"/>
        <v>0</v>
      </c>
      <c r="DN95" s="76">
        <f t="shared" si="183"/>
        <v>0</v>
      </c>
      <c r="DO95" s="76">
        <f t="shared" si="184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8"/>
        <v>0</v>
      </c>
      <c r="DX95" s="81">
        <f t="shared" si="132"/>
        <v>0</v>
      </c>
      <c r="DY95" s="80">
        <f t="shared" si="159"/>
        <v>0</v>
      </c>
      <c r="DZ95" s="82">
        <f t="shared" si="160"/>
        <v>0</v>
      </c>
      <c r="EA95" s="82">
        <f t="shared" si="161"/>
        <v>0</v>
      </c>
      <c r="EB95" s="82">
        <f t="shared" si="162"/>
        <v>0</v>
      </c>
      <c r="EC95" s="82">
        <f t="shared" si="179"/>
        <v>0</v>
      </c>
      <c r="EF95" s="83">
        <f t="shared" si="185"/>
        <v>0</v>
      </c>
    </row>
    <row r="96" spans="1:136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3"/>
        <v>TVSUS303-6x2.5-H9A14</v>
      </c>
      <c r="H96" s="46" t="str">
        <f t="shared" si="134"/>
        <v>SUS303TV60DH9</v>
      </c>
      <c r="I96" s="46" t="str">
        <f t="shared" si="135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6"/>
        <v>8</v>
      </c>
      <c r="T96" s="51">
        <f>'04.02'!BG96</f>
        <v>0</v>
      </c>
      <c r="U96" s="92"/>
      <c r="V96" s="100">
        <v>1.875</v>
      </c>
      <c r="W96" s="93">
        <f t="shared" si="115"/>
        <v>0</v>
      </c>
      <c r="X96" s="93">
        <f t="shared" si="116"/>
        <v>0</v>
      </c>
      <c r="Y96" s="93">
        <f t="shared" si="117"/>
        <v>0</v>
      </c>
      <c r="Z96" s="93">
        <f t="shared" si="118"/>
        <v>0</v>
      </c>
      <c r="AA96" s="93">
        <f t="shared" si="119"/>
        <v>0</v>
      </c>
      <c r="AB96" s="93">
        <f t="shared" si="120"/>
        <v>0</v>
      </c>
      <c r="AC96" s="93">
        <f t="shared" si="121"/>
        <v>0</v>
      </c>
      <c r="AD96" s="93">
        <f t="shared" si="122"/>
        <v>0</v>
      </c>
      <c r="AE96" s="93">
        <f t="shared" si="137"/>
        <v>0</v>
      </c>
      <c r="AF96" s="54">
        <f>AE96+'04.02'!AF96</f>
        <v>0</v>
      </c>
      <c r="AG96" s="94">
        <f t="shared" si="163"/>
        <v>0</v>
      </c>
      <c r="AH96" s="56">
        <f t="shared" si="138"/>
        <v>0</v>
      </c>
      <c r="AI96" s="93"/>
      <c r="AJ96" s="93">
        <f t="shared" si="164"/>
        <v>0</v>
      </c>
      <c r="AK96" s="95">
        <f t="shared" si="139"/>
        <v>1</v>
      </c>
      <c r="AL96" s="58">
        <f t="shared" si="175"/>
        <v>0</v>
      </c>
      <c r="AM96" s="55">
        <f t="shared" si="165"/>
        <v>0</v>
      </c>
      <c r="AN96" s="93"/>
      <c r="AO96" s="96"/>
      <c r="AP96" s="96">
        <f t="shared" ref="AP96" si="188">$CJ96</f>
        <v>0</v>
      </c>
      <c r="AQ96" s="96"/>
      <c r="AR96" s="96"/>
      <c r="AS96" s="96"/>
      <c r="AT96" s="96"/>
      <c r="AU96" s="96">
        <f t="shared" si="140"/>
        <v>0</v>
      </c>
      <c r="AV96" s="96">
        <f t="shared" si="140"/>
        <v>0</v>
      </c>
      <c r="AW96" s="96">
        <f t="shared" si="141"/>
        <v>0</v>
      </c>
      <c r="AX96" s="96">
        <f t="shared" si="142"/>
        <v>0</v>
      </c>
      <c r="AY96" s="94">
        <f t="shared" si="166"/>
        <v>0</v>
      </c>
      <c r="AZ96" s="94">
        <f t="shared" si="143"/>
        <v>0</v>
      </c>
      <c r="BA96" s="94">
        <f t="shared" si="172"/>
        <v>0</v>
      </c>
      <c r="BB96" s="97">
        <f t="shared" si="173"/>
        <v>0</v>
      </c>
      <c r="BC96" s="93"/>
      <c r="BD96" s="93">
        <f t="shared" si="144"/>
        <v>0</v>
      </c>
      <c r="BE96" s="95">
        <f t="shared" si="145"/>
        <v>1</v>
      </c>
      <c r="BF96" s="58">
        <f t="shared" si="176"/>
        <v>0</v>
      </c>
      <c r="BG96" s="94">
        <f t="shared" si="146"/>
        <v>0</v>
      </c>
      <c r="BH96" s="89"/>
      <c r="BI96" s="92"/>
      <c r="BJ96" s="92">
        <f t="shared" si="186"/>
        <v>0</v>
      </c>
      <c r="BK96" s="89"/>
      <c r="BL96" s="89"/>
      <c r="BM96" s="89"/>
      <c r="BN96" s="92"/>
      <c r="BO96" s="92">
        <f t="shared" si="167"/>
        <v>0</v>
      </c>
      <c r="BP96" s="92">
        <f t="shared" si="167"/>
        <v>0</v>
      </c>
      <c r="BQ96" s="96">
        <f t="shared" si="147"/>
        <v>0</v>
      </c>
      <c r="BR96" s="96">
        <f t="shared" si="148"/>
        <v>0</v>
      </c>
      <c r="BS96" s="96">
        <f t="shared" si="168"/>
        <v>0</v>
      </c>
      <c r="BT96" s="96">
        <f t="shared" si="149"/>
        <v>0</v>
      </c>
      <c r="BU96" s="92">
        <f t="shared" si="123"/>
        <v>0</v>
      </c>
      <c r="BV96" s="98">
        <f t="shared" si="169"/>
        <v>0</v>
      </c>
      <c r="BW96" s="92">
        <f t="shared" si="124"/>
        <v>0</v>
      </c>
      <c r="BX96" s="98">
        <f t="shared" si="150"/>
        <v>0</v>
      </c>
      <c r="BY96" s="61">
        <f t="shared" si="174"/>
        <v>0</v>
      </c>
      <c r="BZ96" s="62">
        <f t="shared" si="151"/>
        <v>0</v>
      </c>
      <c r="CA96" s="98">
        <f t="shared" si="152"/>
        <v>0</v>
      </c>
      <c r="CB96" s="92">
        <f t="shared" si="125"/>
        <v>0</v>
      </c>
      <c r="CC96" s="92">
        <f t="shared" si="125"/>
        <v>0</v>
      </c>
      <c r="CD96" s="92">
        <f t="shared" si="125"/>
        <v>0</v>
      </c>
      <c r="CE96" s="99"/>
      <c r="CF96" s="99"/>
      <c r="CG96" s="51">
        <f t="shared" si="153"/>
        <v>0</v>
      </c>
      <c r="CH96" s="62">
        <f t="shared" si="154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102"/>
        <v>0</v>
      </c>
      <c r="CR96" s="102">
        <f t="shared" si="102"/>
        <v>0</v>
      </c>
      <c r="CS96" s="102">
        <f t="shared" si="102"/>
        <v>0</v>
      </c>
      <c r="CT96" s="92">
        <f t="shared" si="155"/>
        <v>0</v>
      </c>
      <c r="CU96" s="92">
        <f t="shared" si="103"/>
        <v>0</v>
      </c>
      <c r="CV96" s="103">
        <f t="shared" si="103"/>
        <v>0</v>
      </c>
      <c r="CW96" s="104"/>
      <c r="CX96" s="105">
        <v>56</v>
      </c>
      <c r="CY96" s="106">
        <f t="shared" si="156"/>
        <v>744</v>
      </c>
      <c r="CZ96" s="106">
        <f t="shared" si="157"/>
        <v>453.6</v>
      </c>
      <c r="DA96" s="106"/>
      <c r="DB96" s="106"/>
      <c r="DC96" s="105"/>
      <c r="DD96" s="107"/>
      <c r="DE96" s="92">
        <f t="shared" si="126"/>
        <v>0</v>
      </c>
      <c r="DF96" s="108">
        <f t="shared" si="127"/>
        <v>0</v>
      </c>
      <c r="DG96" s="115">
        <f t="shared" si="128"/>
        <v>0</v>
      </c>
      <c r="DH96" s="110">
        <f t="shared" si="129"/>
        <v>0</v>
      </c>
      <c r="DI96" s="108">
        <f t="shared" si="130"/>
        <v>0</v>
      </c>
      <c r="DJ96" s="112">
        <f t="shared" si="131"/>
        <v>0</v>
      </c>
      <c r="DK96" s="110">
        <f t="shared" si="182"/>
        <v>0</v>
      </c>
      <c r="DL96" s="108">
        <f t="shared" si="182"/>
        <v>0</v>
      </c>
      <c r="DM96" s="111">
        <f t="shared" si="182"/>
        <v>0</v>
      </c>
      <c r="DN96" s="76">
        <f t="shared" si="183"/>
        <v>0</v>
      </c>
      <c r="DO96" s="76">
        <f t="shared" si="184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8"/>
        <v>0</v>
      </c>
      <c r="DX96" s="81">
        <f t="shared" si="132"/>
        <v>0</v>
      </c>
      <c r="DY96" s="80">
        <f t="shared" si="159"/>
        <v>0</v>
      </c>
      <c r="DZ96" s="82">
        <f t="shared" si="160"/>
        <v>0</v>
      </c>
      <c r="EA96" s="82">
        <f t="shared" si="161"/>
        <v>0</v>
      </c>
      <c r="EB96" s="82">
        <f t="shared" si="162"/>
        <v>0</v>
      </c>
      <c r="EC96" s="82">
        <f>(BX96-CA96)+((AV96+BP96)/1000)</f>
        <v>0</v>
      </c>
      <c r="EF96" s="83">
        <f t="shared" si="185"/>
        <v>0</v>
      </c>
    </row>
    <row r="97" spans="1:136" ht="15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3"/>
        <v>MESUS304-10x3-H7C14</v>
      </c>
      <c r="H97" s="46" t="str">
        <f t="shared" si="134"/>
        <v>SUS304ME100DH7</v>
      </c>
      <c r="I97" s="46" t="str">
        <f t="shared" si="135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6"/>
        <v>24</v>
      </c>
      <c r="T97" s="51">
        <f>'04.02'!BG97</f>
        <v>0</v>
      </c>
      <c r="U97" s="92"/>
      <c r="V97" s="100">
        <v>54.7</v>
      </c>
      <c r="W97" s="93">
        <f t="shared" si="115"/>
        <v>0</v>
      </c>
      <c r="X97" s="93">
        <f t="shared" si="116"/>
        <v>0</v>
      </c>
      <c r="Y97" s="93">
        <f t="shared" si="117"/>
        <v>0</v>
      </c>
      <c r="Z97" s="93">
        <f t="shared" si="118"/>
        <v>0</v>
      </c>
      <c r="AA97" s="93">
        <f t="shared" si="119"/>
        <v>0</v>
      </c>
      <c r="AB97" s="93">
        <f t="shared" si="120"/>
        <v>0</v>
      </c>
      <c r="AC97" s="93">
        <f t="shared" si="121"/>
        <v>0</v>
      </c>
      <c r="AD97" s="93">
        <f t="shared" si="122"/>
        <v>0</v>
      </c>
      <c r="AE97" s="93">
        <f t="shared" si="137"/>
        <v>0</v>
      </c>
      <c r="AF97" s="54">
        <f>AE97+'04.02'!AF97</f>
        <v>0</v>
      </c>
      <c r="AG97" s="94">
        <f t="shared" si="163"/>
        <v>0</v>
      </c>
      <c r="AH97" s="56">
        <f t="shared" si="138"/>
        <v>0</v>
      </c>
      <c r="AI97" s="93"/>
      <c r="AJ97" s="93">
        <f t="shared" si="164"/>
        <v>0</v>
      </c>
      <c r="AK97" s="95">
        <f t="shared" si="139"/>
        <v>1</v>
      </c>
      <c r="AL97" s="58">
        <f t="shared" si="175"/>
        <v>0</v>
      </c>
      <c r="AM97" s="55">
        <f t="shared" si="165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40"/>
        <v>0</v>
      </c>
      <c r="AV97" s="96">
        <f t="shared" si="140"/>
        <v>0</v>
      </c>
      <c r="AW97" s="96">
        <f t="shared" si="141"/>
        <v>0</v>
      </c>
      <c r="AX97" s="96">
        <f t="shared" si="142"/>
        <v>0</v>
      </c>
      <c r="AY97" s="94">
        <f t="shared" si="166"/>
        <v>0</v>
      </c>
      <c r="AZ97" s="94">
        <f t="shared" si="143"/>
        <v>0</v>
      </c>
      <c r="BA97" s="94">
        <f t="shared" si="172"/>
        <v>0</v>
      </c>
      <c r="BB97" s="97">
        <f t="shared" si="173"/>
        <v>0</v>
      </c>
      <c r="BC97" s="93"/>
      <c r="BD97" s="93">
        <f t="shared" si="144"/>
        <v>0</v>
      </c>
      <c r="BE97" s="95">
        <f t="shared" si="145"/>
        <v>1</v>
      </c>
      <c r="BF97" s="58">
        <f t="shared" si="176"/>
        <v>0</v>
      </c>
      <c r="BG97" s="94">
        <f t="shared" si="146"/>
        <v>0</v>
      </c>
      <c r="BH97" s="89"/>
      <c r="BI97" s="92">
        <f t="shared" si="186"/>
        <v>0</v>
      </c>
      <c r="BJ97" s="89"/>
      <c r="BK97" s="89"/>
      <c r="BL97" s="89"/>
      <c r="BM97" s="89"/>
      <c r="BN97" s="89"/>
      <c r="BO97" s="92">
        <f t="shared" si="167"/>
        <v>0</v>
      </c>
      <c r="BP97" s="92">
        <f t="shared" si="167"/>
        <v>0</v>
      </c>
      <c r="BQ97" s="96">
        <f t="shared" si="147"/>
        <v>0</v>
      </c>
      <c r="BR97" s="96">
        <f t="shared" si="148"/>
        <v>0</v>
      </c>
      <c r="BS97" s="96">
        <f t="shared" si="168"/>
        <v>0</v>
      </c>
      <c r="BT97" s="96">
        <f t="shared" si="149"/>
        <v>0</v>
      </c>
      <c r="BU97" s="92">
        <f t="shared" si="123"/>
        <v>0</v>
      </c>
      <c r="BV97" s="98">
        <f t="shared" si="169"/>
        <v>0</v>
      </c>
      <c r="BW97" s="92">
        <f t="shared" si="124"/>
        <v>0</v>
      </c>
      <c r="BX97" s="98">
        <f t="shared" si="150"/>
        <v>0</v>
      </c>
      <c r="BY97" s="61">
        <f t="shared" si="174"/>
        <v>0</v>
      </c>
      <c r="BZ97" s="62">
        <f t="shared" si="151"/>
        <v>0</v>
      </c>
      <c r="CA97" s="98">
        <f t="shared" si="152"/>
        <v>0</v>
      </c>
      <c r="CB97" s="92">
        <f t="shared" si="125"/>
        <v>0</v>
      </c>
      <c r="CC97" s="92">
        <f t="shared" si="125"/>
        <v>0</v>
      </c>
      <c r="CD97" s="92">
        <f t="shared" si="125"/>
        <v>0</v>
      </c>
      <c r="CE97" s="99"/>
      <c r="CF97" s="99"/>
      <c r="CG97" s="51">
        <f t="shared" si="153"/>
        <v>0</v>
      </c>
      <c r="CH97" s="62">
        <f t="shared" si="154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102"/>
        <v>0</v>
      </c>
      <c r="CR97" s="102">
        <f t="shared" si="102"/>
        <v>0</v>
      </c>
      <c r="CS97" s="102">
        <f t="shared" si="102"/>
        <v>0</v>
      </c>
      <c r="CT97" s="92">
        <f t="shared" si="155"/>
        <v>0</v>
      </c>
      <c r="CU97" s="92">
        <f t="shared" si="103"/>
        <v>0</v>
      </c>
      <c r="CV97" s="103">
        <f t="shared" si="103"/>
        <v>0</v>
      </c>
      <c r="CW97" s="104"/>
      <c r="CX97" s="105">
        <v>120</v>
      </c>
      <c r="CY97" s="106">
        <f t="shared" si="156"/>
        <v>325</v>
      </c>
      <c r="CZ97" s="106">
        <f t="shared" si="157"/>
        <v>972.00000000000011</v>
      </c>
      <c r="DA97" s="106"/>
      <c r="DB97" s="106"/>
      <c r="DC97" s="105"/>
      <c r="DD97" s="107"/>
      <c r="DE97" s="92">
        <f t="shared" si="126"/>
        <v>0</v>
      </c>
      <c r="DF97" s="108">
        <f t="shared" si="127"/>
        <v>0</v>
      </c>
      <c r="DG97" s="115">
        <f t="shared" si="128"/>
        <v>0</v>
      </c>
      <c r="DH97" s="110">
        <f t="shared" si="129"/>
        <v>0</v>
      </c>
      <c r="DI97" s="108">
        <f t="shared" si="130"/>
        <v>0</v>
      </c>
      <c r="DJ97" s="112">
        <f t="shared" si="131"/>
        <v>0</v>
      </c>
      <c r="DK97" s="110">
        <f t="shared" si="182"/>
        <v>0</v>
      </c>
      <c r="DL97" s="108">
        <f t="shared" si="182"/>
        <v>0</v>
      </c>
      <c r="DM97" s="111">
        <f t="shared" si="182"/>
        <v>0</v>
      </c>
      <c r="DN97" s="76">
        <f t="shared" si="183"/>
        <v>0</v>
      </c>
      <c r="DO97" s="76">
        <f t="shared" si="184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8"/>
        <v>0</v>
      </c>
      <c r="DX97" s="81">
        <f t="shared" si="132"/>
        <v>0</v>
      </c>
      <c r="DY97" s="80">
        <f t="shared" si="159"/>
        <v>0</v>
      </c>
      <c r="DZ97" s="82">
        <f t="shared" si="160"/>
        <v>0</v>
      </c>
      <c r="EA97" s="82">
        <f t="shared" si="161"/>
        <v>0</v>
      </c>
      <c r="EB97" s="82">
        <f t="shared" si="162"/>
        <v>0</v>
      </c>
      <c r="EC97" s="82">
        <f t="shared" si="179"/>
        <v>0</v>
      </c>
      <c r="EF97" s="83">
        <f t="shared" si="185"/>
        <v>0</v>
      </c>
    </row>
    <row r="98" spans="1:136" ht="15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3"/>
        <v>ORC17300-3.5x3-H9A14</v>
      </c>
      <c r="H98" s="46" t="str">
        <f t="shared" si="134"/>
        <v>C17300OR3.50DH9</v>
      </c>
      <c r="I98" s="46" t="str">
        <f t="shared" si="135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6"/>
        <v>4</v>
      </c>
      <c r="T98" s="51">
        <f>'04.02'!BG98</f>
        <v>0</v>
      </c>
      <c r="U98" s="92"/>
      <c r="V98" s="100">
        <v>0.06</v>
      </c>
      <c r="W98" s="93">
        <f t="shared" si="115"/>
        <v>0</v>
      </c>
      <c r="X98" s="93">
        <f t="shared" si="116"/>
        <v>0</v>
      </c>
      <c r="Y98" s="93">
        <f t="shared" si="117"/>
        <v>0</v>
      </c>
      <c r="Z98" s="93">
        <f t="shared" si="118"/>
        <v>0</v>
      </c>
      <c r="AA98" s="93">
        <f t="shared" si="119"/>
        <v>0</v>
      </c>
      <c r="AB98" s="93">
        <f t="shared" si="120"/>
        <v>0</v>
      </c>
      <c r="AC98" s="93">
        <f t="shared" si="121"/>
        <v>0</v>
      </c>
      <c r="AD98" s="93">
        <f t="shared" si="122"/>
        <v>0</v>
      </c>
      <c r="AE98" s="93">
        <f t="shared" si="137"/>
        <v>0</v>
      </c>
      <c r="AF98" s="54">
        <f>AE98+'04.02'!AF98</f>
        <v>0</v>
      </c>
      <c r="AG98" s="94">
        <f t="shared" si="163"/>
        <v>0</v>
      </c>
      <c r="AH98" s="56">
        <f t="shared" si="138"/>
        <v>0</v>
      </c>
      <c r="AI98" s="93"/>
      <c r="AJ98" s="93">
        <f t="shared" si="164"/>
        <v>0</v>
      </c>
      <c r="AK98" s="95">
        <f t="shared" si="139"/>
        <v>1</v>
      </c>
      <c r="AL98" s="58">
        <f t="shared" si="175"/>
        <v>0</v>
      </c>
      <c r="AM98" s="55">
        <f t="shared" si="165"/>
        <v>0</v>
      </c>
      <c r="AN98" s="93"/>
      <c r="AO98" s="96"/>
      <c r="AP98" s="96"/>
      <c r="AQ98" s="96"/>
      <c r="AR98" s="96"/>
      <c r="AS98" s="96"/>
      <c r="AT98" s="96">
        <f t="shared" ref="AT98:AT100" si="189">$CJ98</f>
        <v>0</v>
      </c>
      <c r="AU98" s="96">
        <f t="shared" si="140"/>
        <v>0</v>
      </c>
      <c r="AV98" s="96">
        <f t="shared" si="140"/>
        <v>0</v>
      </c>
      <c r="AW98" s="96">
        <f t="shared" si="141"/>
        <v>0</v>
      </c>
      <c r="AX98" s="96">
        <f t="shared" si="142"/>
        <v>0</v>
      </c>
      <c r="AY98" s="94">
        <f t="shared" si="166"/>
        <v>0</v>
      </c>
      <c r="AZ98" s="94">
        <f t="shared" si="143"/>
        <v>0</v>
      </c>
      <c r="BA98" s="94">
        <f t="shared" si="172"/>
        <v>0</v>
      </c>
      <c r="BB98" s="97">
        <f t="shared" si="173"/>
        <v>0</v>
      </c>
      <c r="BC98" s="93"/>
      <c r="BD98" s="93">
        <f t="shared" si="144"/>
        <v>0</v>
      </c>
      <c r="BE98" s="95">
        <f t="shared" si="145"/>
        <v>1</v>
      </c>
      <c r="BF98" s="58">
        <f t="shared" si="176"/>
        <v>0</v>
      </c>
      <c r="BG98" s="94">
        <f t="shared" si="146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7"/>
        <v>0</v>
      </c>
      <c r="BP98" s="92">
        <f t="shared" si="167"/>
        <v>0</v>
      </c>
      <c r="BQ98" s="96">
        <f t="shared" si="147"/>
        <v>0</v>
      </c>
      <c r="BR98" s="96">
        <f t="shared" si="148"/>
        <v>0</v>
      </c>
      <c r="BS98" s="96">
        <f t="shared" si="168"/>
        <v>0</v>
      </c>
      <c r="BT98" s="96">
        <f t="shared" si="149"/>
        <v>0</v>
      </c>
      <c r="BU98" s="92">
        <f t="shared" si="123"/>
        <v>0</v>
      </c>
      <c r="BV98" s="98">
        <f t="shared" si="169"/>
        <v>0</v>
      </c>
      <c r="BW98" s="92">
        <f t="shared" si="124"/>
        <v>0</v>
      </c>
      <c r="BX98" s="98">
        <f t="shared" si="150"/>
        <v>0</v>
      </c>
      <c r="BY98" s="61">
        <f>IFERROR(BF98+AL98,0)</f>
        <v>0</v>
      </c>
      <c r="BZ98" s="62">
        <f t="shared" si="151"/>
        <v>0</v>
      </c>
      <c r="CA98" s="98">
        <f t="shared" si="152"/>
        <v>0</v>
      </c>
      <c r="CB98" s="92">
        <f t="shared" si="125"/>
        <v>0</v>
      </c>
      <c r="CC98" s="92">
        <f t="shared" si="125"/>
        <v>0</v>
      </c>
      <c r="CD98" s="92">
        <f t="shared" si="125"/>
        <v>0</v>
      </c>
      <c r="CE98" s="99"/>
      <c r="CF98" s="99"/>
      <c r="CG98" s="51">
        <f t="shared" si="153"/>
        <v>0</v>
      </c>
      <c r="CH98" s="62">
        <f t="shared" si="154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102"/>
        <v>0</v>
      </c>
      <c r="CR98" s="102">
        <f t="shared" si="102"/>
        <v>0</v>
      </c>
      <c r="CS98" s="102">
        <f t="shared" si="102"/>
        <v>0</v>
      </c>
      <c r="CT98" s="92">
        <f t="shared" si="155"/>
        <v>0</v>
      </c>
      <c r="CU98" s="92">
        <f t="shared" si="103"/>
        <v>0</v>
      </c>
      <c r="CV98" s="103">
        <f t="shared" si="103"/>
        <v>0</v>
      </c>
      <c r="CW98" s="104"/>
      <c r="CX98" s="105">
        <v>60</v>
      </c>
      <c r="CY98" s="106">
        <f t="shared" si="156"/>
        <v>710</v>
      </c>
      <c r="CZ98" s="106">
        <f t="shared" si="157"/>
        <v>486.00000000000006</v>
      </c>
      <c r="DA98" s="106"/>
      <c r="DB98" s="106"/>
      <c r="DC98" s="105"/>
      <c r="DD98" s="107"/>
      <c r="DE98" s="92">
        <f t="shared" si="126"/>
        <v>0</v>
      </c>
      <c r="DF98" s="108">
        <f t="shared" si="127"/>
        <v>0</v>
      </c>
      <c r="DG98" s="115">
        <f t="shared" si="128"/>
        <v>0</v>
      </c>
      <c r="DH98" s="110">
        <f t="shared" si="129"/>
        <v>0</v>
      </c>
      <c r="DI98" s="108">
        <f t="shared" si="130"/>
        <v>0</v>
      </c>
      <c r="DJ98" s="112">
        <f t="shared" si="131"/>
        <v>0</v>
      </c>
      <c r="DK98" s="110">
        <f t="shared" si="182"/>
        <v>0</v>
      </c>
      <c r="DL98" s="108">
        <f t="shared" si="182"/>
        <v>0</v>
      </c>
      <c r="DM98" s="111">
        <f t="shared" si="182"/>
        <v>0</v>
      </c>
      <c r="DN98" s="76">
        <f t="shared" si="183"/>
        <v>0</v>
      </c>
      <c r="DO98" s="76">
        <f t="shared" si="184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32"/>
        <v>0</v>
      </c>
      <c r="DY98" s="80">
        <f t="shared" si="159"/>
        <v>0</v>
      </c>
      <c r="DZ98" s="82">
        <f t="shared" si="160"/>
        <v>0</v>
      </c>
      <c r="EA98" s="82">
        <f t="shared" si="161"/>
        <v>0</v>
      </c>
      <c r="EB98" s="82">
        <f t="shared" si="162"/>
        <v>0</v>
      </c>
      <c r="EC98" s="82">
        <f t="shared" si="179"/>
        <v>0</v>
      </c>
      <c r="EF98" s="83">
        <f t="shared" si="185"/>
        <v>0</v>
      </c>
    </row>
    <row r="99" spans="1:136" ht="14.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3"/>
        <v>TVSUS303-6x2.5-H9A14</v>
      </c>
      <c r="H99" s="46" t="str">
        <f t="shared" si="134"/>
        <v>SUS303TV60DH9</v>
      </c>
      <c r="I99" s="46" t="str">
        <f t="shared" si="135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6"/>
        <v>12</v>
      </c>
      <c r="T99" s="51">
        <f>'04.02'!BG99</f>
        <v>0</v>
      </c>
      <c r="U99" s="92"/>
      <c r="V99" s="100">
        <v>3.0150000000000001</v>
      </c>
      <c r="W99" s="93">
        <f t="shared" si="115"/>
        <v>0</v>
      </c>
      <c r="X99" s="93">
        <f t="shared" si="116"/>
        <v>0</v>
      </c>
      <c r="Y99" s="93">
        <f t="shared" si="117"/>
        <v>0</v>
      </c>
      <c r="Z99" s="93">
        <f t="shared" si="118"/>
        <v>0</v>
      </c>
      <c r="AA99" s="93">
        <f t="shared" si="119"/>
        <v>0</v>
      </c>
      <c r="AB99" s="93">
        <f t="shared" si="120"/>
        <v>0</v>
      </c>
      <c r="AC99" s="93">
        <f t="shared" si="121"/>
        <v>0</v>
      </c>
      <c r="AD99" s="93">
        <f t="shared" si="122"/>
        <v>0</v>
      </c>
      <c r="AE99" s="93">
        <f t="shared" si="137"/>
        <v>0</v>
      </c>
      <c r="AF99" s="54">
        <f>AE99+'04.02'!AF99</f>
        <v>0</v>
      </c>
      <c r="AG99" s="94">
        <f t="shared" si="163"/>
        <v>0</v>
      </c>
      <c r="AH99" s="56">
        <f t="shared" si="138"/>
        <v>0</v>
      </c>
      <c r="AI99" s="93"/>
      <c r="AJ99" s="93">
        <f t="shared" si="164"/>
        <v>0</v>
      </c>
      <c r="AK99" s="95">
        <f t="shared" si="139"/>
        <v>1</v>
      </c>
      <c r="AL99" s="58">
        <f t="shared" si="175"/>
        <v>0</v>
      </c>
      <c r="AM99" s="55">
        <f t="shared" si="165"/>
        <v>0</v>
      </c>
      <c r="AN99" s="93"/>
      <c r="AO99" s="96"/>
      <c r="AP99" s="96"/>
      <c r="AQ99" s="96"/>
      <c r="AR99" s="96"/>
      <c r="AS99" s="96"/>
      <c r="AT99" s="96">
        <f t="shared" si="189"/>
        <v>0</v>
      </c>
      <c r="AU99" s="96">
        <f t="shared" si="140"/>
        <v>0</v>
      </c>
      <c r="AV99" s="96">
        <f t="shared" si="140"/>
        <v>0</v>
      </c>
      <c r="AW99" s="96">
        <f t="shared" si="141"/>
        <v>0</v>
      </c>
      <c r="AX99" s="96">
        <f t="shared" si="142"/>
        <v>0</v>
      </c>
      <c r="AY99" s="94">
        <f t="shared" si="166"/>
        <v>0</v>
      </c>
      <c r="AZ99" s="94">
        <f t="shared" si="143"/>
        <v>0</v>
      </c>
      <c r="BA99" s="94">
        <f t="shared" si="172"/>
        <v>0</v>
      </c>
      <c r="BB99" s="97">
        <f t="shared" si="173"/>
        <v>0</v>
      </c>
      <c r="BC99" s="93"/>
      <c r="BD99" s="93">
        <f t="shared" si="144"/>
        <v>0</v>
      </c>
      <c r="BE99" s="95">
        <f t="shared" si="145"/>
        <v>1</v>
      </c>
      <c r="BF99" s="58">
        <f t="shared" si="176"/>
        <v>0</v>
      </c>
      <c r="BG99" s="94">
        <f t="shared" si="146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7"/>
        <v>0</v>
      </c>
      <c r="BP99" s="92">
        <f t="shared" si="167"/>
        <v>0</v>
      </c>
      <c r="BQ99" s="96">
        <f t="shared" si="147"/>
        <v>0</v>
      </c>
      <c r="BR99" s="96">
        <f t="shared" si="148"/>
        <v>0</v>
      </c>
      <c r="BS99" s="96">
        <f t="shared" si="168"/>
        <v>0</v>
      </c>
      <c r="BT99" s="96">
        <f t="shared" si="149"/>
        <v>0</v>
      </c>
      <c r="BU99" s="92">
        <f t="shared" si="123"/>
        <v>0</v>
      </c>
      <c r="BV99" s="98">
        <f t="shared" si="169"/>
        <v>0</v>
      </c>
      <c r="BW99" s="92">
        <f t="shared" si="124"/>
        <v>0</v>
      </c>
      <c r="BX99" s="98">
        <f t="shared" si="150"/>
        <v>0</v>
      </c>
      <c r="BY99" s="61">
        <f t="shared" si="174"/>
        <v>0</v>
      </c>
      <c r="BZ99" s="62">
        <f t="shared" si="151"/>
        <v>0</v>
      </c>
      <c r="CA99" s="98">
        <f t="shared" si="152"/>
        <v>0</v>
      </c>
      <c r="CB99" s="92">
        <f t="shared" si="125"/>
        <v>0</v>
      </c>
      <c r="CC99" s="92">
        <f t="shared" si="125"/>
        <v>0</v>
      </c>
      <c r="CD99" s="92">
        <f t="shared" si="125"/>
        <v>0</v>
      </c>
      <c r="CE99" s="99"/>
      <c r="CF99" s="99"/>
      <c r="CG99" s="51">
        <f t="shared" si="153"/>
        <v>0</v>
      </c>
      <c r="CH99" s="62">
        <f t="shared" si="154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90">INT(IFERROR( CJ99/$V99,0))</f>
        <v>0</v>
      </c>
      <c r="CR99" s="102">
        <f t="shared" si="190"/>
        <v>0</v>
      </c>
      <c r="CS99" s="102">
        <f t="shared" si="190"/>
        <v>0</v>
      </c>
      <c r="CT99" s="92">
        <f t="shared" si="155"/>
        <v>0</v>
      </c>
      <c r="CU99" s="92">
        <f t="shared" si="103"/>
        <v>0</v>
      </c>
      <c r="CV99" s="103">
        <f t="shared" si="103"/>
        <v>0</v>
      </c>
      <c r="CW99" s="104"/>
      <c r="CX99" s="105">
        <v>123</v>
      </c>
      <c r="CY99" s="106">
        <f t="shared" si="156"/>
        <v>336</v>
      </c>
      <c r="CZ99" s="106">
        <f t="shared" si="157"/>
        <v>996.30000000000007</v>
      </c>
      <c r="DA99" s="106"/>
      <c r="DB99" s="106"/>
      <c r="DC99" s="105"/>
      <c r="DD99" s="107"/>
      <c r="DE99" s="92">
        <f t="shared" si="126"/>
        <v>0</v>
      </c>
      <c r="DF99" s="108">
        <f t="shared" si="127"/>
        <v>0</v>
      </c>
      <c r="DG99" s="115">
        <f t="shared" si="128"/>
        <v>0</v>
      </c>
      <c r="DH99" s="110">
        <f t="shared" si="129"/>
        <v>0</v>
      </c>
      <c r="DI99" s="108">
        <f t="shared" si="130"/>
        <v>0</v>
      </c>
      <c r="DJ99" s="112">
        <f t="shared" si="131"/>
        <v>0</v>
      </c>
      <c r="DK99" s="110">
        <f t="shared" si="182"/>
        <v>0</v>
      </c>
      <c r="DL99" s="108">
        <f t="shared" si="182"/>
        <v>0</v>
      </c>
      <c r="DM99" s="111">
        <f t="shared" si="182"/>
        <v>0</v>
      </c>
      <c r="DN99" s="76">
        <f t="shared" si="183"/>
        <v>0</v>
      </c>
      <c r="DO99" s="76">
        <f t="shared" si="184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8"/>
        <v>0</v>
      </c>
      <c r="DX99" s="81">
        <f t="shared" si="132"/>
        <v>0</v>
      </c>
      <c r="DY99" s="80">
        <f t="shared" si="159"/>
        <v>0</v>
      </c>
      <c r="DZ99" s="82">
        <f t="shared" si="160"/>
        <v>0</v>
      </c>
      <c r="EA99" s="82">
        <f t="shared" si="161"/>
        <v>0</v>
      </c>
      <c r="EB99" s="82">
        <f t="shared" si="162"/>
        <v>0</v>
      </c>
      <c r="EC99" s="82">
        <f t="shared" si="179"/>
        <v>0</v>
      </c>
      <c r="EF99" s="83">
        <f t="shared" si="185"/>
        <v>0</v>
      </c>
    </row>
    <row r="100" spans="1:136" ht="14.1" customHeight="1">
      <c r="A100" s="84">
        <v>93</v>
      </c>
      <c r="B100" s="85" t="s">
        <v>391</v>
      </c>
      <c r="C100" s="86"/>
      <c r="D100" s="116" t="s">
        <v>478</v>
      </c>
      <c r="E100" s="88">
        <v>388</v>
      </c>
      <c r="F100" s="89" t="s">
        <v>128</v>
      </c>
      <c r="G100" s="45" t="str">
        <f t="shared" si="133"/>
        <v>WTA6061-T6-T17x7x3-H9B13</v>
      </c>
      <c r="H100" s="46" t="str">
        <f t="shared" si="134"/>
        <v>A6061-T6WT177TH9</v>
      </c>
      <c r="I100" s="46" t="str">
        <f t="shared" si="135"/>
        <v>A6061-T6WT177TH93B13</v>
      </c>
      <c r="J100" s="90" t="s">
        <v>374</v>
      </c>
      <c r="K100" s="90" t="s">
        <v>393</v>
      </c>
      <c r="L100" s="90">
        <v>17</v>
      </c>
      <c r="M100" s="90">
        <v>7</v>
      </c>
      <c r="N100" s="90" t="s">
        <v>157</v>
      </c>
      <c r="O100" s="90" t="s">
        <v>131</v>
      </c>
      <c r="P100" s="90">
        <v>3</v>
      </c>
      <c r="Q100" s="91">
        <v>1.522</v>
      </c>
      <c r="R100" s="49" t="s">
        <v>228</v>
      </c>
      <c r="S100" s="89">
        <f t="shared" si="136"/>
        <v>4</v>
      </c>
      <c r="T100" s="51">
        <f>'04.02'!BG100</f>
        <v>0</v>
      </c>
      <c r="U100" s="92"/>
      <c r="V100" s="100">
        <v>0.71699999999999997</v>
      </c>
      <c r="W100" s="93">
        <f t="shared" si="115"/>
        <v>0</v>
      </c>
      <c r="X100" s="93">
        <f t="shared" si="116"/>
        <v>0</v>
      </c>
      <c r="Y100" s="93">
        <f t="shared" si="117"/>
        <v>0</v>
      </c>
      <c r="Z100" s="93">
        <f t="shared" si="118"/>
        <v>0</v>
      </c>
      <c r="AA100" s="93">
        <f t="shared" si="119"/>
        <v>0</v>
      </c>
      <c r="AB100" s="93">
        <f t="shared" si="120"/>
        <v>0</v>
      </c>
      <c r="AC100" s="93">
        <f t="shared" si="121"/>
        <v>0</v>
      </c>
      <c r="AD100" s="93">
        <f t="shared" si="122"/>
        <v>0</v>
      </c>
      <c r="AE100" s="93">
        <f t="shared" si="137"/>
        <v>0</v>
      </c>
      <c r="AF100" s="54">
        <f>AE100+'04.02'!AF100</f>
        <v>286</v>
      </c>
      <c r="AG100" s="94">
        <f t="shared" si="163"/>
        <v>0</v>
      </c>
      <c r="AH100" s="56">
        <f t="shared" si="138"/>
        <v>0</v>
      </c>
      <c r="AI100" s="93"/>
      <c r="AJ100" s="93">
        <f t="shared" si="164"/>
        <v>0</v>
      </c>
      <c r="AK100" s="95">
        <f t="shared" si="139"/>
        <v>1</v>
      </c>
      <c r="AL100" s="58">
        <f t="shared" si="175"/>
        <v>0</v>
      </c>
      <c r="AM100" s="55">
        <f t="shared" si="165"/>
        <v>0</v>
      </c>
      <c r="AN100" s="93"/>
      <c r="AO100" s="96"/>
      <c r="AP100" s="96"/>
      <c r="AQ100" s="96"/>
      <c r="AR100" s="96"/>
      <c r="AS100" s="96"/>
      <c r="AT100" s="96">
        <f t="shared" si="189"/>
        <v>0</v>
      </c>
      <c r="AU100" s="96">
        <f t="shared" si="140"/>
        <v>0</v>
      </c>
      <c r="AV100" s="96">
        <f t="shared" si="140"/>
        <v>0</v>
      </c>
      <c r="AW100" s="96">
        <f t="shared" si="141"/>
        <v>0</v>
      </c>
      <c r="AX100" s="96">
        <f t="shared" si="142"/>
        <v>0</v>
      </c>
      <c r="AY100" s="94">
        <f t="shared" si="166"/>
        <v>0</v>
      </c>
      <c r="AZ100" s="94">
        <f t="shared" si="143"/>
        <v>0</v>
      </c>
      <c r="BA100" s="94">
        <f t="shared" si="172"/>
        <v>0</v>
      </c>
      <c r="BB100" s="97">
        <f t="shared" si="173"/>
        <v>0</v>
      </c>
      <c r="BC100" s="93"/>
      <c r="BD100" s="93">
        <f t="shared" si="144"/>
        <v>0</v>
      </c>
      <c r="BE100" s="95">
        <f t="shared" si="145"/>
        <v>1</v>
      </c>
      <c r="BF100" s="58">
        <f t="shared" si="176"/>
        <v>0</v>
      </c>
      <c r="BG100" s="94">
        <f t="shared" si="146"/>
        <v>0</v>
      </c>
      <c r="BH100" s="89"/>
      <c r="BI100" s="89"/>
      <c r="BJ100" s="89"/>
      <c r="BK100" s="89"/>
      <c r="BL100" s="89"/>
      <c r="BM100" s="89"/>
      <c r="BN100" s="92">
        <f>$CN100</f>
        <v>0</v>
      </c>
      <c r="BO100" s="92">
        <f t="shared" si="167"/>
        <v>0</v>
      </c>
      <c r="BP100" s="92">
        <f t="shared" si="167"/>
        <v>0</v>
      </c>
      <c r="BQ100" s="96">
        <f t="shared" si="147"/>
        <v>0</v>
      </c>
      <c r="BR100" s="96">
        <f t="shared" si="148"/>
        <v>0</v>
      </c>
      <c r="BS100" s="96">
        <f t="shared" si="168"/>
        <v>0</v>
      </c>
      <c r="BT100" s="96">
        <f t="shared" si="149"/>
        <v>0</v>
      </c>
      <c r="BU100" s="92">
        <f t="shared" si="123"/>
        <v>0</v>
      </c>
      <c r="BV100" s="98">
        <f t="shared" si="169"/>
        <v>0</v>
      </c>
      <c r="BW100" s="92">
        <f t="shared" si="124"/>
        <v>0</v>
      </c>
      <c r="BX100" s="98">
        <f t="shared" si="150"/>
        <v>0</v>
      </c>
      <c r="BY100" s="61">
        <f>IFERROR(BF100+AL100,0)</f>
        <v>0</v>
      </c>
      <c r="BZ100" s="62">
        <f t="shared" si="151"/>
        <v>0</v>
      </c>
      <c r="CA100" s="98">
        <f t="shared" si="152"/>
        <v>0</v>
      </c>
      <c r="CB100" s="92">
        <f t="shared" si="125"/>
        <v>0</v>
      </c>
      <c r="CC100" s="92">
        <f t="shared" si="125"/>
        <v>0</v>
      </c>
      <c r="CD100" s="92">
        <f t="shared" si="125"/>
        <v>0</v>
      </c>
      <c r="CE100" s="99"/>
      <c r="CF100" s="99"/>
      <c r="CG100" s="51">
        <f t="shared" si="153"/>
        <v>0</v>
      </c>
      <c r="CH100" s="62">
        <f t="shared" si="154"/>
        <v>0</v>
      </c>
      <c r="CI100" s="89"/>
      <c r="CJ100" s="89"/>
      <c r="CK100" s="89"/>
      <c r="CL100" s="96"/>
      <c r="CM100" s="89"/>
      <c r="CN100" s="89"/>
      <c r="CO100" s="92"/>
      <c r="CP100" s="101"/>
      <c r="CQ100" s="102">
        <f t="shared" si="190"/>
        <v>0</v>
      </c>
      <c r="CR100" s="102">
        <f t="shared" si="190"/>
        <v>0</v>
      </c>
      <c r="CS100" s="102">
        <f t="shared" si="190"/>
        <v>0</v>
      </c>
      <c r="CT100" s="92">
        <f t="shared" si="155"/>
        <v>0</v>
      </c>
      <c r="CU100" s="92">
        <f t="shared" si="103"/>
        <v>0</v>
      </c>
      <c r="CV100" s="103">
        <f t="shared" si="103"/>
        <v>0</v>
      </c>
      <c r="CW100" s="104"/>
      <c r="CX100" s="105">
        <v>60</v>
      </c>
      <c r="CY100" s="106">
        <f t="shared" si="156"/>
        <v>710</v>
      </c>
      <c r="CZ100" s="106">
        <f t="shared" si="157"/>
        <v>486.00000000000006</v>
      </c>
      <c r="DA100" s="106"/>
      <c r="DB100" s="106"/>
      <c r="DC100" s="105"/>
      <c r="DD100" s="107"/>
      <c r="DE100" s="92">
        <f t="shared" si="126"/>
        <v>0</v>
      </c>
      <c r="DF100" s="108">
        <f t="shared" si="127"/>
        <v>0</v>
      </c>
      <c r="DG100" s="115">
        <f t="shared" si="128"/>
        <v>0</v>
      </c>
      <c r="DH100" s="110">
        <f t="shared" si="129"/>
        <v>0</v>
      </c>
      <c r="DI100" s="108">
        <f t="shared" si="130"/>
        <v>0</v>
      </c>
      <c r="DJ100" s="112">
        <f t="shared" si="131"/>
        <v>0</v>
      </c>
      <c r="DK100" s="110">
        <f t="shared" si="182"/>
        <v>0</v>
      </c>
      <c r="DL100" s="108">
        <f t="shared" si="182"/>
        <v>0</v>
      </c>
      <c r="DM100" s="111">
        <f t="shared" si="182"/>
        <v>0</v>
      </c>
      <c r="DN100" s="76">
        <f t="shared" si="183"/>
        <v>0</v>
      </c>
      <c r="DO100" s="76">
        <f t="shared" si="184"/>
        <v>0</v>
      </c>
      <c r="DP100" s="112"/>
      <c r="DQ100" s="112"/>
      <c r="DR100" s="113"/>
      <c r="DS100" s="112"/>
      <c r="DT100" s="112"/>
      <c r="DU100" s="111"/>
      <c r="DV100" s="114"/>
      <c r="DW100" s="80">
        <f t="shared" si="158"/>
        <v>0</v>
      </c>
      <c r="DX100" s="81">
        <f t="shared" si="132"/>
        <v>0</v>
      </c>
      <c r="DY100" s="80">
        <f t="shared" si="159"/>
        <v>0</v>
      </c>
      <c r="DZ100" s="82">
        <f t="shared" si="160"/>
        <v>0</v>
      </c>
      <c r="EA100" s="82">
        <f t="shared" si="161"/>
        <v>0</v>
      </c>
      <c r="EB100" s="82">
        <f t="shared" si="162"/>
        <v>0</v>
      </c>
      <c r="EC100" s="82">
        <f t="shared" si="179"/>
        <v>0</v>
      </c>
      <c r="EF100" s="83">
        <f t="shared" si="185"/>
        <v>0</v>
      </c>
    </row>
    <row r="101" spans="1:136" ht="15" customHeight="1">
      <c r="A101" s="84">
        <v>94</v>
      </c>
      <c r="B101" s="85" t="s">
        <v>395</v>
      </c>
      <c r="C101" s="86"/>
      <c r="D101" s="165" t="s">
        <v>488</v>
      </c>
      <c r="E101" s="88">
        <v>101</v>
      </c>
      <c r="F101" s="89" t="s">
        <v>136</v>
      </c>
      <c r="G101" s="45" t="str">
        <f t="shared" si="133"/>
        <v>IBC3604-H7x3-H11C14</v>
      </c>
      <c r="H101" s="46" t="str">
        <f t="shared" si="134"/>
        <v>C3604IB70HH11</v>
      </c>
      <c r="I101" s="46" t="str">
        <f t="shared" si="135"/>
        <v>C3604IB70HH113C14</v>
      </c>
      <c r="J101" s="90" t="s">
        <v>148</v>
      </c>
      <c r="K101" s="90" t="s">
        <v>156</v>
      </c>
      <c r="L101" s="90">
        <v>7</v>
      </c>
      <c r="M101" s="90">
        <v>0</v>
      </c>
      <c r="N101" s="90" t="s">
        <v>160</v>
      </c>
      <c r="O101" s="90" t="s">
        <v>161</v>
      </c>
      <c r="P101" s="90">
        <v>3</v>
      </c>
      <c r="Q101" s="91">
        <v>1.08</v>
      </c>
      <c r="R101" s="90" t="s">
        <v>144</v>
      </c>
      <c r="S101" s="89">
        <f t="shared" si="136"/>
        <v>6</v>
      </c>
      <c r="T101" s="51">
        <f>'04.02'!BG101</f>
        <v>0</v>
      </c>
      <c r="U101" s="92"/>
      <c r="V101" s="100">
        <v>5.33</v>
      </c>
      <c r="W101" s="93">
        <f t="shared" si="115"/>
        <v>0</v>
      </c>
      <c r="X101" s="93">
        <f t="shared" si="116"/>
        <v>0</v>
      </c>
      <c r="Y101" s="93">
        <f t="shared" si="117"/>
        <v>0</v>
      </c>
      <c r="Z101" s="93">
        <f t="shared" si="118"/>
        <v>0</v>
      </c>
      <c r="AA101" s="93">
        <f t="shared" si="119"/>
        <v>0</v>
      </c>
      <c r="AB101" s="93">
        <f t="shared" si="120"/>
        <v>0</v>
      </c>
      <c r="AC101" s="93">
        <f t="shared" si="121"/>
        <v>0</v>
      </c>
      <c r="AD101" s="93">
        <f t="shared" si="122"/>
        <v>0</v>
      </c>
      <c r="AE101" s="93">
        <f t="shared" si="137"/>
        <v>0</v>
      </c>
      <c r="AF101" s="54">
        <f>AE101+'04.02'!AF101</f>
        <v>163</v>
      </c>
      <c r="AG101" s="94">
        <f t="shared" si="163"/>
        <v>0</v>
      </c>
      <c r="AH101" s="56">
        <f t="shared" si="138"/>
        <v>0</v>
      </c>
      <c r="AI101" s="93"/>
      <c r="AJ101" s="93">
        <f t="shared" si="164"/>
        <v>0</v>
      </c>
      <c r="AK101" s="95">
        <f t="shared" si="139"/>
        <v>1</v>
      </c>
      <c r="AL101" s="58">
        <f t="shared" si="175"/>
        <v>0</v>
      </c>
      <c r="AM101" s="55">
        <f t="shared" si="165"/>
        <v>0</v>
      </c>
      <c r="AN101" s="93"/>
      <c r="AO101" s="96"/>
      <c r="AP101" s="96"/>
      <c r="AQ101" s="96"/>
      <c r="AR101" s="96"/>
      <c r="AS101" s="96"/>
      <c r="AT101" s="96">
        <f>$CJ101</f>
        <v>0</v>
      </c>
      <c r="AU101" s="96">
        <f t="shared" si="140"/>
        <v>0</v>
      </c>
      <c r="AV101" s="96">
        <f t="shared" si="140"/>
        <v>0</v>
      </c>
      <c r="AW101" s="96">
        <f t="shared" si="141"/>
        <v>0</v>
      </c>
      <c r="AX101" s="96">
        <f t="shared" si="142"/>
        <v>0</v>
      </c>
      <c r="AY101" s="94">
        <f t="shared" si="166"/>
        <v>0</v>
      </c>
      <c r="AZ101" s="94">
        <f t="shared" si="143"/>
        <v>0</v>
      </c>
      <c r="BA101" s="94">
        <f t="shared" si="172"/>
        <v>0</v>
      </c>
      <c r="BB101" s="97">
        <f t="shared" si="173"/>
        <v>0</v>
      </c>
      <c r="BC101" s="93"/>
      <c r="BD101" s="93">
        <f t="shared" si="144"/>
        <v>0</v>
      </c>
      <c r="BE101" s="95">
        <f t="shared" si="145"/>
        <v>1</v>
      </c>
      <c r="BF101" s="58">
        <f t="shared" si="176"/>
        <v>0</v>
      </c>
      <c r="BG101" s="94">
        <f t="shared" si="146"/>
        <v>0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7"/>
        <v>0</v>
      </c>
      <c r="BP101" s="92">
        <f t="shared" si="167"/>
        <v>0</v>
      </c>
      <c r="BQ101" s="96">
        <f t="shared" si="147"/>
        <v>0</v>
      </c>
      <c r="BR101" s="96">
        <f t="shared" si="148"/>
        <v>0</v>
      </c>
      <c r="BS101" s="96">
        <f t="shared" si="168"/>
        <v>0</v>
      </c>
      <c r="BT101" s="96">
        <f t="shared" si="149"/>
        <v>0</v>
      </c>
      <c r="BU101" s="92">
        <f t="shared" si="123"/>
        <v>0</v>
      </c>
      <c r="BV101" s="98">
        <f t="shared" si="169"/>
        <v>0</v>
      </c>
      <c r="BW101" s="92">
        <f t="shared" si="124"/>
        <v>0</v>
      </c>
      <c r="BX101" s="98">
        <f t="shared" si="150"/>
        <v>0</v>
      </c>
      <c r="BY101" s="61">
        <f t="shared" si="174"/>
        <v>0</v>
      </c>
      <c r="BZ101" s="62">
        <f t="shared" si="151"/>
        <v>0</v>
      </c>
      <c r="CA101" s="98">
        <f t="shared" si="152"/>
        <v>0</v>
      </c>
      <c r="CB101" s="92">
        <f t="shared" si="125"/>
        <v>0</v>
      </c>
      <c r="CC101" s="92">
        <f t="shared" si="125"/>
        <v>0</v>
      </c>
      <c r="CD101" s="92">
        <f t="shared" si="125"/>
        <v>0</v>
      </c>
      <c r="CE101" s="99"/>
      <c r="CF101" s="99"/>
      <c r="CG101" s="51">
        <f t="shared" si="153"/>
        <v>0</v>
      </c>
      <c r="CH101" s="62">
        <f t="shared" si="154"/>
        <v>0</v>
      </c>
      <c r="CI101" s="89"/>
      <c r="CJ101" s="89"/>
      <c r="CK101" s="89"/>
      <c r="CL101" s="96"/>
      <c r="CM101" s="89"/>
      <c r="CN101" s="89"/>
      <c r="CO101" s="92"/>
      <c r="CP101" s="101"/>
      <c r="CQ101" s="102">
        <f t="shared" si="190"/>
        <v>0</v>
      </c>
      <c r="CR101" s="102">
        <f t="shared" si="190"/>
        <v>0</v>
      </c>
      <c r="CS101" s="102">
        <f t="shared" si="190"/>
        <v>0</v>
      </c>
      <c r="CT101" s="92">
        <f t="shared" si="155"/>
        <v>0</v>
      </c>
      <c r="CU101" s="92">
        <f t="shared" si="103"/>
        <v>0</v>
      </c>
      <c r="CV101" s="103">
        <f t="shared" si="103"/>
        <v>0</v>
      </c>
      <c r="CW101" s="104"/>
      <c r="CX101" s="105">
        <v>128</v>
      </c>
      <c r="CY101" s="106">
        <f t="shared" si="156"/>
        <v>328</v>
      </c>
      <c r="CZ101" s="106">
        <f t="shared" si="157"/>
        <v>1036.8000000000002</v>
      </c>
      <c r="DA101" s="106"/>
      <c r="DB101" s="106"/>
      <c r="DC101" s="105"/>
      <c r="DD101" s="107"/>
      <c r="DE101" s="92">
        <f t="shared" si="126"/>
        <v>0</v>
      </c>
      <c r="DF101" s="108">
        <f t="shared" si="127"/>
        <v>0</v>
      </c>
      <c r="DG101" s="115">
        <f t="shared" si="128"/>
        <v>0</v>
      </c>
      <c r="DH101" s="110">
        <f t="shared" si="129"/>
        <v>0</v>
      </c>
      <c r="DI101" s="108">
        <f t="shared" si="130"/>
        <v>0</v>
      </c>
      <c r="DJ101" s="112">
        <f t="shared" si="131"/>
        <v>0</v>
      </c>
      <c r="DK101" s="110">
        <f t="shared" si="182"/>
        <v>0</v>
      </c>
      <c r="DL101" s="108">
        <f t="shared" si="182"/>
        <v>0</v>
      </c>
      <c r="DM101" s="111">
        <f t="shared" si="182"/>
        <v>0</v>
      </c>
      <c r="DN101" s="76">
        <f t="shared" si="183"/>
        <v>0</v>
      </c>
      <c r="DO101" s="76">
        <f t="shared" si="184"/>
        <v>0</v>
      </c>
      <c r="DP101" s="112"/>
      <c r="DQ101" s="112"/>
      <c r="DR101" s="113"/>
      <c r="DS101" s="112"/>
      <c r="DT101" s="112"/>
      <c r="DU101" s="111"/>
      <c r="DV101" s="114"/>
      <c r="DW101" s="80">
        <f t="shared" si="158"/>
        <v>0</v>
      </c>
      <c r="DX101" s="81">
        <f t="shared" si="132"/>
        <v>0</v>
      </c>
      <c r="DY101" s="80">
        <f t="shared" si="159"/>
        <v>0</v>
      </c>
      <c r="DZ101" s="82">
        <f t="shared" si="160"/>
        <v>0</v>
      </c>
      <c r="EA101" s="82">
        <f t="shared" si="161"/>
        <v>0</v>
      </c>
      <c r="EB101" s="82">
        <f t="shared" si="162"/>
        <v>0</v>
      </c>
      <c r="EC101" s="82">
        <f t="shared" si="179"/>
        <v>0</v>
      </c>
      <c r="EF101" s="83">
        <f t="shared" si="185"/>
        <v>0</v>
      </c>
    </row>
    <row r="102" spans="1:136" ht="15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3"/>
        <v>-xx-</v>
      </c>
      <c r="H102" s="46" t="str">
        <f t="shared" si="134"/>
        <v/>
      </c>
      <c r="I102" s="46" t="str">
        <f t="shared" si="135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6"/>
        <v>#DIV/0!</v>
      </c>
      <c r="T102" s="51">
        <f>'04.02'!BG102</f>
        <v>0</v>
      </c>
      <c r="U102" s="92"/>
      <c r="V102" s="100">
        <v>1</v>
      </c>
      <c r="W102" s="93">
        <f t="shared" si="115"/>
        <v>0</v>
      </c>
      <c r="X102" s="93">
        <f t="shared" si="116"/>
        <v>0</v>
      </c>
      <c r="Y102" s="93">
        <f t="shared" si="117"/>
        <v>0</v>
      </c>
      <c r="Z102" s="93">
        <f t="shared" si="118"/>
        <v>0</v>
      </c>
      <c r="AA102" s="93">
        <f t="shared" si="119"/>
        <v>0</v>
      </c>
      <c r="AB102" s="93">
        <f t="shared" si="120"/>
        <v>0</v>
      </c>
      <c r="AC102" s="93">
        <f t="shared" si="121"/>
        <v>0</v>
      </c>
      <c r="AD102" s="93">
        <f t="shared" si="122"/>
        <v>0</v>
      </c>
      <c r="AE102" s="93">
        <f t="shared" si="137"/>
        <v>0</v>
      </c>
      <c r="AF102" s="54">
        <f>AE102+'04.02'!AF102</f>
        <v>0</v>
      </c>
      <c r="AG102" s="94">
        <f t="shared" si="163"/>
        <v>0</v>
      </c>
      <c r="AH102" s="56">
        <f t="shared" si="138"/>
        <v>0</v>
      </c>
      <c r="AI102" s="93"/>
      <c r="AJ102" s="93">
        <f t="shared" si="164"/>
        <v>0</v>
      </c>
      <c r="AK102" s="95">
        <f>IF(V102="","",IF(AJ102=0,1,AJ102/$V102/$E102))</f>
        <v>1</v>
      </c>
      <c r="AL102" s="58">
        <f t="shared" si="175"/>
        <v>0</v>
      </c>
      <c r="AM102" s="55">
        <f t="shared" si="165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40"/>
        <v>0</v>
      </c>
      <c r="AV102" s="96">
        <f t="shared" si="140"/>
        <v>0</v>
      </c>
      <c r="AW102" s="96">
        <f t="shared" si="141"/>
        <v>0</v>
      </c>
      <c r="AX102" s="96">
        <f t="shared" si="142"/>
        <v>0</v>
      </c>
      <c r="AY102" s="94">
        <f t="shared" si="166"/>
        <v>0</v>
      </c>
      <c r="AZ102" s="94">
        <f t="shared" si="143"/>
        <v>0</v>
      </c>
      <c r="BA102" s="94">
        <f t="shared" si="172"/>
        <v>0</v>
      </c>
      <c r="BB102" s="97">
        <f t="shared" si="173"/>
        <v>0</v>
      </c>
      <c r="BC102" s="93"/>
      <c r="BD102" s="93">
        <f t="shared" si="144"/>
        <v>0</v>
      </c>
      <c r="BE102" s="95">
        <f t="shared" si="145"/>
        <v>1</v>
      </c>
      <c r="BF102" s="58">
        <f t="shared" si="176"/>
        <v>0</v>
      </c>
      <c r="BG102" s="94">
        <f t="shared" si="146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7"/>
        <v>0</v>
      </c>
      <c r="BP102" s="92">
        <f t="shared" si="167"/>
        <v>0</v>
      </c>
      <c r="BQ102" s="96">
        <f t="shared" si="147"/>
        <v>0</v>
      </c>
      <c r="BR102" s="96">
        <f t="shared" si="148"/>
        <v>0</v>
      </c>
      <c r="BS102" s="96">
        <f t="shared" si="168"/>
        <v>0</v>
      </c>
      <c r="BT102" s="96">
        <f t="shared" si="149"/>
        <v>0</v>
      </c>
      <c r="BU102" s="92">
        <f t="shared" si="123"/>
        <v>0</v>
      </c>
      <c r="BV102" s="98">
        <f t="shared" si="169"/>
        <v>0</v>
      </c>
      <c r="BW102" s="92">
        <f t="shared" si="124"/>
        <v>0</v>
      </c>
      <c r="BX102" s="98" t="str">
        <f t="shared" si="150"/>
        <v/>
      </c>
      <c r="BY102" s="61">
        <f t="shared" si="174"/>
        <v>0</v>
      </c>
      <c r="BZ102" s="62">
        <f t="shared" si="151"/>
        <v>0</v>
      </c>
      <c r="CA102" s="98">
        <f t="shared" si="152"/>
        <v>0</v>
      </c>
      <c r="CB102" s="92">
        <f t="shared" si="125"/>
        <v>0</v>
      </c>
      <c r="CC102" s="92">
        <f t="shared" si="125"/>
        <v>0</v>
      </c>
      <c r="CD102" s="92">
        <f t="shared" si="125"/>
        <v>0</v>
      </c>
      <c r="CE102" s="99"/>
      <c r="CF102" s="99"/>
      <c r="CG102" s="51">
        <f t="shared" si="153"/>
        <v>0</v>
      </c>
      <c r="CH102" s="62">
        <f t="shared" si="154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90"/>
        <v>0</v>
      </c>
      <c r="CR102" s="102">
        <f t="shared" si="190"/>
        <v>0</v>
      </c>
      <c r="CS102" s="102">
        <f t="shared" si="190"/>
        <v>0</v>
      </c>
      <c r="CT102" s="92">
        <f t="shared" si="155"/>
        <v>0</v>
      </c>
      <c r="CU102" s="92">
        <f t="shared" si="103"/>
        <v>0</v>
      </c>
      <c r="CV102" s="103">
        <f t="shared" si="103"/>
        <v>0</v>
      </c>
      <c r="CW102" s="104"/>
      <c r="CX102" s="105"/>
      <c r="CY102" s="106" t="e">
        <f t="shared" si="156"/>
        <v>#DIV/0!</v>
      </c>
      <c r="CZ102" s="106">
        <f t="shared" si="157"/>
        <v>0</v>
      </c>
      <c r="DA102" s="106"/>
      <c r="DB102" s="106"/>
      <c r="DC102" s="105"/>
      <c r="DD102" s="107"/>
      <c r="DE102" s="92">
        <f t="shared" si="126"/>
        <v>0</v>
      </c>
      <c r="DF102" s="108">
        <f t="shared" si="127"/>
        <v>0</v>
      </c>
      <c r="DG102" s="115">
        <f t="shared" si="128"/>
        <v>0</v>
      </c>
      <c r="DH102" s="110">
        <f t="shared" si="129"/>
        <v>0</v>
      </c>
      <c r="DI102" s="108">
        <f t="shared" si="130"/>
        <v>0</v>
      </c>
      <c r="DJ102" s="112">
        <f t="shared" si="131"/>
        <v>0</v>
      </c>
      <c r="DK102" s="110">
        <f t="shared" si="182"/>
        <v>0</v>
      </c>
      <c r="DL102" s="108">
        <f t="shared" si="182"/>
        <v>0</v>
      </c>
      <c r="DM102" s="111">
        <f t="shared" si="182"/>
        <v>0</v>
      </c>
      <c r="DN102" s="76">
        <f t="shared" si="183"/>
        <v>0</v>
      </c>
      <c r="DO102" s="76">
        <f t="shared" si="184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8"/>
        <v>0</v>
      </c>
      <c r="DX102" s="81">
        <f t="shared" si="132"/>
        <v>0</v>
      </c>
      <c r="DY102" s="80">
        <f t="shared" si="159"/>
        <v>0</v>
      </c>
      <c r="DZ102" s="82">
        <f t="shared" si="160"/>
        <v>0</v>
      </c>
      <c r="EA102" s="82">
        <f t="shared" si="161"/>
        <v>0</v>
      </c>
      <c r="EB102" s="82" t="e">
        <f t="shared" si="162"/>
        <v>#VALUE!</v>
      </c>
      <c r="EC102" s="82" t="e">
        <f t="shared" si="179"/>
        <v>#VALUE!</v>
      </c>
    </row>
    <row r="103" spans="1:136" ht="15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3"/>
        <v>TVSUS303-5x3-H7B13</v>
      </c>
      <c r="H103" s="46" t="str">
        <f t="shared" si="134"/>
        <v>SUS303TV50DH7</v>
      </c>
      <c r="I103" s="46" t="str">
        <f t="shared" si="135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6"/>
        <v>2</v>
      </c>
      <c r="T103" s="51">
        <f>'04.02'!BG103</f>
        <v>0</v>
      </c>
      <c r="U103" s="92"/>
      <c r="V103" s="100">
        <v>0.1</v>
      </c>
      <c r="W103" s="93">
        <f t="shared" si="115"/>
        <v>0</v>
      </c>
      <c r="X103" s="93">
        <f t="shared" si="116"/>
        <v>0</v>
      </c>
      <c r="Y103" s="93">
        <f t="shared" si="117"/>
        <v>0</v>
      </c>
      <c r="Z103" s="93">
        <f t="shared" si="118"/>
        <v>0</v>
      </c>
      <c r="AA103" s="93">
        <f t="shared" si="119"/>
        <v>0</v>
      </c>
      <c r="AB103" s="93">
        <f t="shared" si="120"/>
        <v>0</v>
      </c>
      <c r="AC103" s="93">
        <f t="shared" si="121"/>
        <v>0</v>
      </c>
      <c r="AD103" s="93">
        <f t="shared" si="122"/>
        <v>0</v>
      </c>
      <c r="AE103" s="93">
        <f t="shared" si="137"/>
        <v>0</v>
      </c>
      <c r="AF103" s="54">
        <f>AE103+'04.02'!AF103</f>
        <v>0</v>
      </c>
      <c r="AG103" s="94">
        <f t="shared" si="163"/>
        <v>0</v>
      </c>
      <c r="AH103" s="56">
        <f t="shared" si="138"/>
        <v>0</v>
      </c>
      <c r="AI103" s="93"/>
      <c r="AJ103" s="93">
        <f t="shared" si="164"/>
        <v>0</v>
      </c>
      <c r="AK103" s="95">
        <f t="shared" ref="AK103:AK106" si="191">IF(V103="","",IF(AJ103=0,1,AJ103/$V103/$E103))</f>
        <v>1</v>
      </c>
      <c r="AL103" s="58">
        <f t="shared" si="175"/>
        <v>0</v>
      </c>
      <c r="AM103" s="55">
        <f t="shared" si="165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40"/>
        <v>0</v>
      </c>
      <c r="AV103" s="96">
        <f t="shared" si="140"/>
        <v>0</v>
      </c>
      <c r="AW103" s="96">
        <f t="shared" si="141"/>
        <v>0</v>
      </c>
      <c r="AX103" s="96">
        <f t="shared" si="142"/>
        <v>0</v>
      </c>
      <c r="AY103" s="94">
        <f t="shared" si="166"/>
        <v>0</v>
      </c>
      <c r="AZ103" s="94">
        <f t="shared" si="143"/>
        <v>0</v>
      </c>
      <c r="BA103" s="94">
        <f t="shared" si="172"/>
        <v>0</v>
      </c>
      <c r="BB103" s="97">
        <f t="shared" si="173"/>
        <v>0</v>
      </c>
      <c r="BC103" s="93"/>
      <c r="BD103" s="93">
        <f t="shared" si="144"/>
        <v>0</v>
      </c>
      <c r="BE103" s="95">
        <f t="shared" si="145"/>
        <v>1</v>
      </c>
      <c r="BF103" s="58">
        <f t="shared" si="176"/>
        <v>0</v>
      </c>
      <c r="BG103" s="94">
        <f t="shared" si="146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7"/>
        <v>0</v>
      </c>
      <c r="BP103" s="92">
        <f t="shared" si="167"/>
        <v>0</v>
      </c>
      <c r="BQ103" s="96">
        <f t="shared" si="147"/>
        <v>0</v>
      </c>
      <c r="BR103" s="96">
        <f t="shared" si="148"/>
        <v>0</v>
      </c>
      <c r="BS103" s="96">
        <f t="shared" si="168"/>
        <v>0</v>
      </c>
      <c r="BT103" s="96">
        <f t="shared" si="149"/>
        <v>0</v>
      </c>
      <c r="BU103" s="92">
        <f t="shared" si="123"/>
        <v>0</v>
      </c>
      <c r="BV103" s="98">
        <f t="shared" si="169"/>
        <v>0</v>
      </c>
      <c r="BW103" s="92">
        <f t="shared" si="124"/>
        <v>0</v>
      </c>
      <c r="BX103" s="98">
        <f t="shared" si="150"/>
        <v>0</v>
      </c>
      <c r="BY103" s="61">
        <f t="shared" si="174"/>
        <v>0</v>
      </c>
      <c r="BZ103" s="62">
        <f t="shared" si="151"/>
        <v>0</v>
      </c>
      <c r="CA103" s="98">
        <f t="shared" si="152"/>
        <v>0</v>
      </c>
      <c r="CB103" s="92">
        <f t="shared" si="125"/>
        <v>0</v>
      </c>
      <c r="CC103" s="92">
        <f t="shared" si="125"/>
        <v>0</v>
      </c>
      <c r="CD103" s="92">
        <f t="shared" si="125"/>
        <v>0</v>
      </c>
      <c r="CE103" s="99"/>
      <c r="CF103" s="99"/>
      <c r="CG103" s="51">
        <f t="shared" si="153"/>
        <v>0</v>
      </c>
      <c r="CH103" s="62">
        <f t="shared" si="154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90"/>
        <v>0</v>
      </c>
      <c r="CR103" s="102">
        <f t="shared" si="190"/>
        <v>0</v>
      </c>
      <c r="CS103" s="102">
        <f t="shared" si="190"/>
        <v>0</v>
      </c>
      <c r="CT103" s="92">
        <f t="shared" si="155"/>
        <v>0</v>
      </c>
      <c r="CU103" s="92">
        <f t="shared" si="103"/>
        <v>0</v>
      </c>
      <c r="CV103" s="103">
        <f t="shared" si="103"/>
        <v>0</v>
      </c>
      <c r="CW103" s="104"/>
      <c r="CX103" s="105">
        <v>90</v>
      </c>
      <c r="CY103" s="106">
        <f t="shared" si="156"/>
        <v>476</v>
      </c>
      <c r="CZ103" s="106">
        <f t="shared" si="157"/>
        <v>729</v>
      </c>
      <c r="DA103" s="106"/>
      <c r="DB103" s="106"/>
      <c r="DC103" s="105"/>
      <c r="DD103" s="107"/>
      <c r="DE103" s="92">
        <f t="shared" si="126"/>
        <v>0</v>
      </c>
      <c r="DF103" s="108">
        <f t="shared" si="127"/>
        <v>0</v>
      </c>
      <c r="DG103" s="115">
        <f t="shared" si="128"/>
        <v>0</v>
      </c>
      <c r="DH103" s="110">
        <f t="shared" si="129"/>
        <v>0</v>
      </c>
      <c r="DI103" s="108">
        <f t="shared" si="130"/>
        <v>0</v>
      </c>
      <c r="DJ103" s="112">
        <f t="shared" si="131"/>
        <v>0</v>
      </c>
      <c r="DK103" s="110">
        <f t="shared" si="182"/>
        <v>0</v>
      </c>
      <c r="DL103" s="108">
        <f t="shared" si="182"/>
        <v>0</v>
      </c>
      <c r="DM103" s="111">
        <f t="shared" si="182"/>
        <v>0</v>
      </c>
      <c r="DN103" s="76">
        <f t="shared" si="183"/>
        <v>0</v>
      </c>
      <c r="DO103" s="76">
        <f t="shared" si="184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8"/>
        <v>0</v>
      </c>
      <c r="DX103" s="81">
        <f t="shared" si="132"/>
        <v>0</v>
      </c>
      <c r="DY103" s="80">
        <f t="shared" si="159"/>
        <v>0</v>
      </c>
      <c r="DZ103" s="82">
        <f t="shared" si="160"/>
        <v>0</v>
      </c>
      <c r="EA103" s="82">
        <f t="shared" si="161"/>
        <v>0</v>
      </c>
      <c r="EB103" s="82">
        <f t="shared" si="162"/>
        <v>0</v>
      </c>
      <c r="EC103" s="82">
        <f t="shared" si="179"/>
        <v>0</v>
      </c>
      <c r="EF103" s="83">
        <f t="shared" ref="EF103:EF106" si="192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3"/>
        <v>TVSUS303-6x2.5-H9A14</v>
      </c>
      <c r="H104" s="46" t="str">
        <f t="shared" si="134"/>
        <v>SUS303TV60DH9</v>
      </c>
      <c r="I104" s="46" t="str">
        <f t="shared" si="135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6"/>
        <v>20</v>
      </c>
      <c r="T104" s="51">
        <f>'04.02'!BG104</f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6"/>
        <v>0</v>
      </c>
      <c r="Y104" s="93">
        <f t="shared" si="117"/>
        <v>0</v>
      </c>
      <c r="Z104" s="93">
        <f t="shared" si="118"/>
        <v>0</v>
      </c>
      <c r="AA104" s="93">
        <f t="shared" si="119"/>
        <v>0</v>
      </c>
      <c r="AB104" s="93">
        <f t="shared" si="120"/>
        <v>0</v>
      </c>
      <c r="AC104" s="93">
        <f t="shared" si="121"/>
        <v>0</v>
      </c>
      <c r="AD104" s="93">
        <f t="shared" si="122"/>
        <v>0</v>
      </c>
      <c r="AE104" s="93">
        <f t="shared" si="137"/>
        <v>0</v>
      </c>
      <c r="AF104" s="54">
        <f>AE104+'04.02'!AF104</f>
        <v>0</v>
      </c>
      <c r="AG104" s="94">
        <f t="shared" si="163"/>
        <v>18</v>
      </c>
      <c r="AH104" s="56">
        <f t="shared" si="138"/>
        <v>0</v>
      </c>
      <c r="AI104" s="93"/>
      <c r="AJ104" s="93">
        <f t="shared" si="164"/>
        <v>0</v>
      </c>
      <c r="AK104" s="95">
        <f t="shared" si="191"/>
        <v>1</v>
      </c>
      <c r="AL104" s="58">
        <f t="shared" si="175"/>
        <v>0</v>
      </c>
      <c r="AM104" s="55">
        <f t="shared" si="165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40"/>
        <v>0</v>
      </c>
      <c r="AV104" s="96">
        <f t="shared" si="140"/>
        <v>0</v>
      </c>
      <c r="AW104" s="96">
        <f t="shared" si="141"/>
        <v>0</v>
      </c>
      <c r="AX104" s="96">
        <f t="shared" si="142"/>
        <v>0</v>
      </c>
      <c r="AY104" s="94">
        <f t="shared" si="166"/>
        <v>0</v>
      </c>
      <c r="AZ104" s="94">
        <f t="shared" si="143"/>
        <v>0</v>
      </c>
      <c r="BA104" s="94">
        <f t="shared" si="172"/>
        <v>18</v>
      </c>
      <c r="BB104" s="97">
        <f t="shared" si="173"/>
        <v>0</v>
      </c>
      <c r="BC104" s="93"/>
      <c r="BD104" s="93">
        <f t="shared" si="144"/>
        <v>0</v>
      </c>
      <c r="BE104" s="95">
        <f t="shared" si="145"/>
        <v>1</v>
      </c>
      <c r="BF104" s="58">
        <f t="shared" si="176"/>
        <v>0</v>
      </c>
      <c r="BG104" s="94">
        <f t="shared" si="146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93">CO104</f>
        <v>0</v>
      </c>
      <c r="BP104" s="92">
        <f t="shared" si="193"/>
        <v>0</v>
      </c>
      <c r="BQ104" s="96">
        <f t="shared" si="147"/>
        <v>0</v>
      </c>
      <c r="BR104" s="96">
        <f t="shared" si="148"/>
        <v>0</v>
      </c>
      <c r="BS104" s="96">
        <f t="shared" si="168"/>
        <v>0</v>
      </c>
      <c r="BT104" s="96">
        <f t="shared" si="149"/>
        <v>0</v>
      </c>
      <c r="BU104" s="92">
        <f t="shared" si="123"/>
        <v>0</v>
      </c>
      <c r="BV104" s="98">
        <f t="shared" si="169"/>
        <v>0</v>
      </c>
      <c r="BW104" s="92">
        <f t="shared" si="124"/>
        <v>0</v>
      </c>
      <c r="BX104" s="98">
        <f t="shared" si="150"/>
        <v>0</v>
      </c>
      <c r="BY104" s="61">
        <f t="shared" si="174"/>
        <v>0</v>
      </c>
      <c r="BZ104" s="62">
        <f t="shared" si="151"/>
        <v>0</v>
      </c>
      <c r="CA104" s="98">
        <f t="shared" si="152"/>
        <v>0</v>
      </c>
      <c r="CB104" s="92">
        <f t="shared" si="125"/>
        <v>0</v>
      </c>
      <c r="CC104" s="92">
        <f t="shared" si="125"/>
        <v>0</v>
      </c>
      <c r="CD104" s="92">
        <f t="shared" si="125"/>
        <v>0</v>
      </c>
      <c r="CE104" s="99"/>
      <c r="CF104" s="99"/>
      <c r="CG104" s="51">
        <f t="shared" si="153"/>
        <v>0</v>
      </c>
      <c r="CH104" s="62">
        <f t="shared" si="154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90"/>
        <v>0</v>
      </c>
      <c r="CR104" s="102">
        <f t="shared" si="190"/>
        <v>0</v>
      </c>
      <c r="CS104" s="102">
        <f t="shared" si="190"/>
        <v>0</v>
      </c>
      <c r="CT104" s="92">
        <f t="shared" si="155"/>
        <v>0</v>
      </c>
      <c r="CU104" s="92">
        <f t="shared" ref="CU104:CV106" si="194">INT(IFERROR( AC104-CR104,0))</f>
        <v>0</v>
      </c>
      <c r="CV104" s="103">
        <f t="shared" si="194"/>
        <v>0</v>
      </c>
      <c r="CW104" s="178"/>
      <c r="CX104" s="179">
        <v>70</v>
      </c>
      <c r="CY104" s="180">
        <f t="shared" si="156"/>
        <v>570</v>
      </c>
      <c r="CZ104" s="180">
        <f t="shared" si="157"/>
        <v>567</v>
      </c>
      <c r="DA104" s="181"/>
      <c r="DB104" s="181"/>
      <c r="DC104" s="179"/>
      <c r="DD104" s="182"/>
      <c r="DE104" s="92">
        <f t="shared" si="126"/>
        <v>0</v>
      </c>
      <c r="DF104" s="108">
        <f t="shared" si="127"/>
        <v>0</v>
      </c>
      <c r="DG104" s="115">
        <f t="shared" si="128"/>
        <v>0</v>
      </c>
      <c r="DH104" s="110">
        <f t="shared" si="129"/>
        <v>0</v>
      </c>
      <c r="DI104" s="108">
        <f t="shared" si="130"/>
        <v>0</v>
      </c>
      <c r="DJ104" s="112">
        <f t="shared" si="131"/>
        <v>0</v>
      </c>
      <c r="DK104" s="110">
        <f t="shared" si="182"/>
        <v>0</v>
      </c>
      <c r="DL104" s="108">
        <f t="shared" si="182"/>
        <v>0</v>
      </c>
      <c r="DM104" s="111">
        <f t="shared" si="182"/>
        <v>0</v>
      </c>
      <c r="DN104" s="76">
        <f t="shared" si="183"/>
        <v>18</v>
      </c>
      <c r="DO104" s="76">
        <f t="shared" si="184"/>
        <v>0</v>
      </c>
      <c r="DP104" s="183"/>
      <c r="DQ104" s="183"/>
      <c r="DR104" s="184" t="s">
        <v>477</v>
      </c>
      <c r="DS104" s="183"/>
      <c r="DT104" s="183"/>
      <c r="DU104" s="185"/>
      <c r="DV104" s="186"/>
      <c r="DW104" s="80">
        <f t="shared" si="158"/>
        <v>0</v>
      </c>
      <c r="DX104" s="81">
        <f t="shared" si="132"/>
        <v>0</v>
      </c>
      <c r="DY104" s="80">
        <f t="shared" si="159"/>
        <v>0</v>
      </c>
      <c r="DZ104" s="82">
        <f t="shared" si="160"/>
        <v>0</v>
      </c>
      <c r="EA104" s="82">
        <f t="shared" si="161"/>
        <v>0</v>
      </c>
      <c r="EB104" s="82">
        <f t="shared" si="162"/>
        <v>0</v>
      </c>
      <c r="EC104" s="82">
        <f t="shared" si="179"/>
        <v>0</v>
      </c>
      <c r="EF104" s="83">
        <f t="shared" si="192"/>
        <v>0</v>
      </c>
    </row>
    <row r="105" spans="1:136" ht="14.1" customHeight="1">
      <c r="A105" s="84">
        <v>98</v>
      </c>
      <c r="B105" s="187" t="s">
        <v>402</v>
      </c>
      <c r="C105" s="86"/>
      <c r="D105" s="244" t="s">
        <v>403</v>
      </c>
      <c r="E105" s="189">
        <v>66</v>
      </c>
      <c r="F105" s="190" t="s">
        <v>147</v>
      </c>
      <c r="G105" s="191" t="str">
        <f t="shared" si="133"/>
        <v>TV12L14-H17x3-H11A14</v>
      </c>
      <c r="H105" s="191" t="str">
        <f t="shared" si="134"/>
        <v>12L14TV170HH11</v>
      </c>
      <c r="I105" s="191" t="str">
        <f t="shared" si="135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6"/>
        <v>16</v>
      </c>
      <c r="T105" s="51">
        <f>'04.02'!BG105</f>
        <v>10</v>
      </c>
      <c r="U105" s="194"/>
      <c r="V105" s="195">
        <v>60.8</v>
      </c>
      <c r="W105" s="196">
        <f>IF(V105="","",INT((AO105+BI105)/$V105))</f>
        <v>0</v>
      </c>
      <c r="X105" s="196">
        <f t="shared" si="116"/>
        <v>0</v>
      </c>
      <c r="Y105" s="196">
        <f t="shared" si="117"/>
        <v>0</v>
      </c>
      <c r="Z105" s="196">
        <f t="shared" si="118"/>
        <v>0</v>
      </c>
      <c r="AA105" s="196">
        <f t="shared" si="119"/>
        <v>0</v>
      </c>
      <c r="AB105" s="196">
        <f t="shared" si="120"/>
        <v>474</v>
      </c>
      <c r="AC105" s="196">
        <f t="shared" si="121"/>
        <v>0</v>
      </c>
      <c r="AD105" s="196">
        <f t="shared" si="122"/>
        <v>0</v>
      </c>
      <c r="AE105" s="196">
        <f t="shared" si="137"/>
        <v>474</v>
      </c>
      <c r="AF105" s="54">
        <f>AE105+'04.02'!AF105</f>
        <v>1223</v>
      </c>
      <c r="AG105" s="94">
        <f t="shared" si="163"/>
        <v>10</v>
      </c>
      <c r="AH105" s="56">
        <f t="shared" si="138"/>
        <v>0</v>
      </c>
      <c r="AI105" s="196">
        <v>3</v>
      </c>
      <c r="AJ105" s="93">
        <f t="shared" si="164"/>
        <v>0</v>
      </c>
      <c r="AK105" s="197">
        <f t="shared" si="191"/>
        <v>1</v>
      </c>
      <c r="AL105" s="58">
        <f t="shared" si="175"/>
        <v>3</v>
      </c>
      <c r="AM105" s="55">
        <f t="shared" si="165"/>
        <v>7</v>
      </c>
      <c r="AN105" s="196"/>
      <c r="AO105" s="198"/>
      <c r="AP105" s="198"/>
      <c r="AQ105" s="198"/>
      <c r="AR105" s="198"/>
      <c r="AS105" s="198"/>
      <c r="AT105" s="198">
        <f>$CJ105</f>
        <v>11369.6</v>
      </c>
      <c r="AU105" s="198">
        <f t="shared" si="140"/>
        <v>0</v>
      </c>
      <c r="AV105" s="198">
        <f t="shared" si="140"/>
        <v>0</v>
      </c>
      <c r="AW105" s="198">
        <f t="shared" si="141"/>
        <v>11369.6</v>
      </c>
      <c r="AX105" s="198">
        <f t="shared" si="142"/>
        <v>187</v>
      </c>
      <c r="AY105" s="199">
        <f t="shared" si="166"/>
        <v>-668.79999999999927</v>
      </c>
      <c r="AZ105" s="199">
        <f t="shared" si="143"/>
        <v>-10.999999999999989</v>
      </c>
      <c r="BA105" s="94">
        <f t="shared" si="172"/>
        <v>7</v>
      </c>
      <c r="BB105" s="200">
        <f t="shared" si="173"/>
        <v>0</v>
      </c>
      <c r="BC105" s="196">
        <v>5</v>
      </c>
      <c r="BD105" s="93">
        <f t="shared" si="144"/>
        <v>0</v>
      </c>
      <c r="BE105" s="197">
        <f t="shared" si="145"/>
        <v>1</v>
      </c>
      <c r="BF105" s="58">
        <f t="shared" si="176"/>
        <v>5</v>
      </c>
      <c r="BG105" s="94">
        <f t="shared" si="146"/>
        <v>2</v>
      </c>
      <c r="BH105" s="190"/>
      <c r="BI105" s="194"/>
      <c r="BJ105" s="194"/>
      <c r="BK105" s="190"/>
      <c r="BL105" s="190"/>
      <c r="BM105" s="190"/>
      <c r="BN105" s="194">
        <f>$CN105</f>
        <v>17500</v>
      </c>
      <c r="BO105" s="194">
        <f t="shared" si="193"/>
        <v>0</v>
      </c>
      <c r="BP105" s="194">
        <f t="shared" si="193"/>
        <v>0</v>
      </c>
      <c r="BQ105" s="198">
        <f t="shared" si="147"/>
        <v>17500</v>
      </c>
      <c r="BR105" s="198">
        <f t="shared" si="148"/>
        <v>287</v>
      </c>
      <c r="BS105" s="198">
        <f t="shared" si="168"/>
        <v>-2564</v>
      </c>
      <c r="BT105" s="198">
        <f t="shared" si="149"/>
        <v>-42.171052631578952</v>
      </c>
      <c r="BU105" s="194">
        <f t="shared" si="123"/>
        <v>474</v>
      </c>
      <c r="BV105" s="201">
        <f t="shared" si="169"/>
        <v>8</v>
      </c>
      <c r="BW105" s="194">
        <f t="shared" si="124"/>
        <v>-53.171052631578945</v>
      </c>
      <c r="BX105" s="201">
        <f t="shared" si="150"/>
        <v>46.4</v>
      </c>
      <c r="BY105" s="51">
        <f t="shared" si="174"/>
        <v>8</v>
      </c>
      <c r="BZ105" s="62">
        <f t="shared" si="151"/>
        <v>8</v>
      </c>
      <c r="CA105" s="201">
        <f t="shared" si="152"/>
        <v>28.869599999999998</v>
      </c>
      <c r="CB105" s="194">
        <f t="shared" si="125"/>
        <v>474</v>
      </c>
      <c r="CC105" s="194">
        <f t="shared" si="125"/>
        <v>-3232.7999999999993</v>
      </c>
      <c r="CD105" s="194">
        <f t="shared" si="125"/>
        <v>-53.171052631578945</v>
      </c>
      <c r="CE105" s="202"/>
      <c r="CF105" s="202"/>
      <c r="CG105" s="51">
        <f t="shared" si="153"/>
        <v>17.5304</v>
      </c>
      <c r="CH105" s="62">
        <f t="shared" si="154"/>
        <v>17.5304</v>
      </c>
      <c r="CI105" s="190"/>
      <c r="CJ105" s="190">
        <f>187*60.8</f>
        <v>11369.6</v>
      </c>
      <c r="CK105" s="190"/>
      <c r="CL105" s="198"/>
      <c r="CM105" s="190"/>
      <c r="CN105" s="190">
        <v>17500</v>
      </c>
      <c r="CO105" s="190"/>
      <c r="CP105" s="190"/>
      <c r="CQ105" s="203">
        <f t="shared" si="190"/>
        <v>187</v>
      </c>
      <c r="CR105" s="203">
        <f t="shared" si="190"/>
        <v>0</v>
      </c>
      <c r="CS105" s="203">
        <f t="shared" si="190"/>
        <v>0</v>
      </c>
      <c r="CT105" s="194">
        <f t="shared" si="155"/>
        <v>287</v>
      </c>
      <c r="CU105" s="194">
        <f t="shared" si="194"/>
        <v>0</v>
      </c>
      <c r="CV105" s="204">
        <f t="shared" si="194"/>
        <v>0</v>
      </c>
      <c r="CW105" s="205"/>
      <c r="CX105" s="206">
        <v>81</v>
      </c>
      <c r="CY105" s="207">
        <f t="shared" si="156"/>
        <v>500</v>
      </c>
      <c r="CZ105" s="207">
        <f t="shared" si="157"/>
        <v>656.1</v>
      </c>
      <c r="DA105" s="207"/>
      <c r="DB105" s="207"/>
      <c r="DC105" s="206"/>
      <c r="DD105" s="208"/>
      <c r="DE105" s="194">
        <f t="shared" si="126"/>
        <v>187</v>
      </c>
      <c r="DF105" s="209">
        <f t="shared" si="127"/>
        <v>3</v>
      </c>
      <c r="DG105" s="115">
        <f t="shared" si="128"/>
        <v>-10.999999999999989</v>
      </c>
      <c r="DH105" s="210">
        <f t="shared" si="129"/>
        <v>287</v>
      </c>
      <c r="DI105" s="209">
        <f t="shared" si="130"/>
        <v>5</v>
      </c>
      <c r="DJ105" s="76">
        <f t="shared" si="131"/>
        <v>-42.171052631578952</v>
      </c>
      <c r="DK105" s="210">
        <f t="shared" si="182"/>
        <v>474</v>
      </c>
      <c r="DL105" s="209">
        <f t="shared" si="182"/>
        <v>8</v>
      </c>
      <c r="DM105" s="211">
        <f t="shared" si="182"/>
        <v>-53.171052631578945</v>
      </c>
      <c r="DN105" s="76">
        <f t="shared" si="183"/>
        <v>10</v>
      </c>
      <c r="DO105" s="212">
        <f t="shared" si="184"/>
        <v>0</v>
      </c>
      <c r="DP105" s="212"/>
      <c r="DQ105" s="212"/>
      <c r="DR105" s="213" t="s">
        <v>480</v>
      </c>
      <c r="DS105" s="212"/>
      <c r="DT105" s="212"/>
      <c r="DU105" s="214"/>
      <c r="DV105" s="215"/>
      <c r="DW105" s="80">
        <f t="shared" si="158"/>
        <v>482</v>
      </c>
      <c r="DX105" s="81">
        <f t="shared" si="132"/>
        <v>428.82894736842104</v>
      </c>
      <c r="DY105" s="80">
        <f t="shared" si="159"/>
        <v>474</v>
      </c>
      <c r="DZ105" s="82">
        <f t="shared" si="160"/>
        <v>0</v>
      </c>
      <c r="EA105" s="82">
        <f t="shared" si="161"/>
        <v>28.819199999999999</v>
      </c>
      <c r="EB105" s="82">
        <f t="shared" si="162"/>
        <v>17.5808</v>
      </c>
      <c r="EC105" s="82">
        <f t="shared" si="179"/>
        <v>17.5808</v>
      </c>
      <c r="EF105" s="83">
        <f t="shared" si="192"/>
        <v>-53.171052631578945</v>
      </c>
    </row>
    <row r="106" spans="1:136" ht="14.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3"/>
        <v>SSSUS316L-T2.2x0.78x2.5-H9A08</v>
      </c>
      <c r="H106" s="219" t="str">
        <f t="shared" si="134"/>
        <v>SUS316LSS2.20.78TH9</v>
      </c>
      <c r="I106" s="219" t="str">
        <f t="shared" si="135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6"/>
        <v>10</v>
      </c>
      <c r="T106" s="51">
        <f>'04.02'!BG106</f>
        <v>0</v>
      </c>
      <c r="U106" s="222">
        <v>10</v>
      </c>
      <c r="V106" s="223">
        <v>7.2999999999999995E-2</v>
      </c>
      <c r="W106" s="224">
        <f>IF(V106="","",INT((AO106+BI106)/$V106))</f>
        <v>0</v>
      </c>
      <c r="X106" s="224">
        <f t="shared" si="116"/>
        <v>0</v>
      </c>
      <c r="Y106" s="224">
        <f t="shared" si="117"/>
        <v>0</v>
      </c>
      <c r="Z106" s="224">
        <f t="shared" si="118"/>
        <v>0</v>
      </c>
      <c r="AA106" s="224">
        <f t="shared" si="119"/>
        <v>0</v>
      </c>
      <c r="AB106" s="224">
        <f t="shared" si="120"/>
        <v>0</v>
      </c>
      <c r="AC106" s="224">
        <f t="shared" si="121"/>
        <v>0</v>
      </c>
      <c r="AD106" s="224">
        <f t="shared" si="122"/>
        <v>0</v>
      </c>
      <c r="AE106" s="224">
        <f t="shared" si="137"/>
        <v>0</v>
      </c>
      <c r="AF106" s="54">
        <f>AE106+'04.02'!AF106</f>
        <v>0</v>
      </c>
      <c r="AG106" s="94">
        <f t="shared" si="163"/>
        <v>0</v>
      </c>
      <c r="AH106" s="56">
        <f t="shared" si="138"/>
        <v>0</v>
      </c>
      <c r="AI106" s="224"/>
      <c r="AJ106" s="93">
        <f t="shared" si="164"/>
        <v>0</v>
      </c>
      <c r="AK106" s="225">
        <f t="shared" si="191"/>
        <v>1</v>
      </c>
      <c r="AL106" s="58">
        <f t="shared" si="175"/>
        <v>0</v>
      </c>
      <c r="AM106" s="55">
        <f t="shared" si="165"/>
        <v>10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40"/>
        <v>0</v>
      </c>
      <c r="AV106" s="226">
        <f t="shared" si="140"/>
        <v>0</v>
      </c>
      <c r="AW106" s="226">
        <f t="shared" si="141"/>
        <v>0</v>
      </c>
      <c r="AX106" s="226">
        <f t="shared" si="142"/>
        <v>0</v>
      </c>
      <c r="AY106" s="227">
        <f t="shared" si="166"/>
        <v>0</v>
      </c>
      <c r="AZ106" s="227">
        <f t="shared" si="143"/>
        <v>0</v>
      </c>
      <c r="BA106" s="94">
        <f t="shared" si="172"/>
        <v>10</v>
      </c>
      <c r="BB106" s="228">
        <f t="shared" si="173"/>
        <v>0</v>
      </c>
      <c r="BC106" s="224"/>
      <c r="BD106" s="93">
        <f t="shared" si="144"/>
        <v>0</v>
      </c>
      <c r="BE106" s="225">
        <f t="shared" si="145"/>
        <v>1</v>
      </c>
      <c r="BF106" s="58">
        <f t="shared" si="176"/>
        <v>0</v>
      </c>
      <c r="BG106" s="94">
        <f t="shared" si="146"/>
        <v>10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93"/>
        <v>0</v>
      </c>
      <c r="BP106" s="222">
        <f t="shared" si="193"/>
        <v>0</v>
      </c>
      <c r="BQ106" s="226">
        <f t="shared" si="147"/>
        <v>0</v>
      </c>
      <c r="BR106" s="226">
        <f t="shared" si="148"/>
        <v>0</v>
      </c>
      <c r="BS106" s="226">
        <f t="shared" si="168"/>
        <v>0</v>
      </c>
      <c r="BT106" s="226">
        <f t="shared" si="149"/>
        <v>0</v>
      </c>
      <c r="BU106" s="222">
        <f t="shared" si="123"/>
        <v>0</v>
      </c>
      <c r="BV106" s="229">
        <f t="shared" si="169"/>
        <v>0</v>
      </c>
      <c r="BW106" s="222">
        <f t="shared" si="124"/>
        <v>0</v>
      </c>
      <c r="BX106" s="229" t="str">
        <f t="shared" si="150"/>
        <v/>
      </c>
      <c r="BY106" s="229">
        <f t="shared" si="174"/>
        <v>0</v>
      </c>
      <c r="BZ106" s="62">
        <f t="shared" si="151"/>
        <v>0</v>
      </c>
      <c r="CA106" s="229">
        <f t="shared" si="152"/>
        <v>0</v>
      </c>
      <c r="CB106" s="222">
        <f t="shared" si="125"/>
        <v>0</v>
      </c>
      <c r="CC106" s="222">
        <f t="shared" si="125"/>
        <v>0</v>
      </c>
      <c r="CD106" s="222">
        <f t="shared" si="125"/>
        <v>0</v>
      </c>
      <c r="CE106" s="230"/>
      <c r="CF106" s="230"/>
      <c r="CG106" s="229">
        <f t="shared" si="153"/>
        <v>0</v>
      </c>
      <c r="CH106" s="62">
        <f t="shared" si="154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90"/>
        <v>0</v>
      </c>
      <c r="CR106" s="222">
        <f t="shared" si="190"/>
        <v>0</v>
      </c>
      <c r="CS106" s="222">
        <f t="shared" si="190"/>
        <v>0</v>
      </c>
      <c r="CT106" s="222">
        <f t="shared" si="155"/>
        <v>0</v>
      </c>
      <c r="CU106" s="222">
        <f t="shared" si="194"/>
        <v>0</v>
      </c>
      <c r="CV106" s="222">
        <f t="shared" si="194"/>
        <v>0</v>
      </c>
      <c r="CW106" s="218"/>
      <c r="CX106" s="218">
        <v>43</v>
      </c>
      <c r="CY106" s="222">
        <f t="shared" si="156"/>
        <v>962</v>
      </c>
      <c r="CZ106" s="222">
        <f t="shared" si="157"/>
        <v>348.3</v>
      </c>
      <c r="DA106" s="222"/>
      <c r="DB106" s="222"/>
      <c r="DC106" s="218"/>
      <c r="DD106" s="218"/>
      <c r="DE106" s="222">
        <f t="shared" si="126"/>
        <v>0</v>
      </c>
      <c r="DF106" s="231">
        <f t="shared" si="127"/>
        <v>0</v>
      </c>
      <c r="DG106" s="115">
        <f t="shared" si="128"/>
        <v>0</v>
      </c>
      <c r="DH106" s="232">
        <f t="shared" si="129"/>
        <v>0</v>
      </c>
      <c r="DI106" s="231">
        <f t="shared" si="130"/>
        <v>0</v>
      </c>
      <c r="DJ106" s="183">
        <f t="shared" si="131"/>
        <v>0</v>
      </c>
      <c r="DK106" s="232">
        <f t="shared" si="182"/>
        <v>0</v>
      </c>
      <c r="DL106" s="231">
        <f t="shared" si="182"/>
        <v>0</v>
      </c>
      <c r="DM106" s="183">
        <f t="shared" si="182"/>
        <v>0</v>
      </c>
      <c r="DN106" s="76">
        <f t="shared" si="183"/>
        <v>0</v>
      </c>
      <c r="DO106" s="76">
        <f t="shared" si="184"/>
        <v>10</v>
      </c>
      <c r="DP106" s="183"/>
      <c r="DQ106" s="183"/>
      <c r="DR106" s="184"/>
      <c r="DS106" s="183"/>
      <c r="DT106" s="183"/>
      <c r="DU106" s="183"/>
      <c r="DV106" s="186"/>
      <c r="DW106" s="80">
        <f t="shared" si="158"/>
        <v>0</v>
      </c>
      <c r="DX106" s="81">
        <f t="shared" si="132"/>
        <v>0</v>
      </c>
      <c r="DY106" s="80">
        <f t="shared" si="159"/>
        <v>0</v>
      </c>
      <c r="DZ106" s="82">
        <f t="shared" si="160"/>
        <v>0</v>
      </c>
      <c r="EA106" s="82">
        <f t="shared" si="161"/>
        <v>0</v>
      </c>
      <c r="EB106" s="82" t="e">
        <f t="shared" si="162"/>
        <v>#VALUE!</v>
      </c>
      <c r="EC106" s="82" t="e">
        <f t="shared" si="179"/>
        <v>#VALUE!</v>
      </c>
      <c r="EF106" s="83">
        <f t="shared" si="192"/>
        <v>0</v>
      </c>
    </row>
    <row r="107" spans="1:136" ht="15" customHeight="1">
      <c r="A107" s="301" t="s">
        <v>407</v>
      </c>
      <c r="B107" s="301"/>
      <c r="C107" s="301"/>
      <c r="D107" s="302"/>
      <c r="AF107" s="54">
        <f>AE107+'04.02'!AF107</f>
        <v>0</v>
      </c>
      <c r="AK107" s="233" t="str">
        <f t="shared" si="139"/>
        <v/>
      </c>
      <c r="AL107" s="58" t="str">
        <f t="shared" si="175"/>
        <v/>
      </c>
      <c r="BZ107" s="62">
        <f t="shared" si="151"/>
        <v>0</v>
      </c>
      <c r="CH107" s="62">
        <f t="shared" si="154"/>
        <v>0</v>
      </c>
    </row>
    <row r="108" spans="1:136" ht="0.75" customHeight="1">
      <c r="X108" s="234"/>
      <c r="AF108" s="54">
        <f>AE108+'04.02'!AF108</f>
        <v>0</v>
      </c>
      <c r="AL108" s="58" t="str">
        <f t="shared" si="175"/>
        <v/>
      </c>
      <c r="BZ108" s="62">
        <f t="shared" si="151"/>
        <v>0</v>
      </c>
      <c r="CH108" s="62">
        <f t="shared" si="154"/>
        <v>0</v>
      </c>
    </row>
    <row r="109" spans="1:136">
      <c r="AF109" s="235"/>
      <c r="BZ109" s="62"/>
      <c r="CH109" s="62"/>
    </row>
    <row r="110" spans="1:136">
      <c r="A110">
        <v>37</v>
      </c>
      <c r="B110" t="s">
        <v>244</v>
      </c>
      <c r="D110" s="143" t="s">
        <v>245</v>
      </c>
      <c r="E110">
        <v>172</v>
      </c>
      <c r="F110" t="s">
        <v>136</v>
      </c>
      <c r="G110" t="s">
        <v>482</v>
      </c>
      <c r="H110" t="s">
        <v>483</v>
      </c>
      <c r="I110" t="s">
        <v>484</v>
      </c>
      <c r="J110" t="s">
        <v>226</v>
      </c>
      <c r="K110" t="s">
        <v>227</v>
      </c>
      <c r="L110">
        <v>4</v>
      </c>
      <c r="M110">
        <v>0</v>
      </c>
      <c r="N110" t="s">
        <v>128</v>
      </c>
      <c r="O110" t="s">
        <v>131</v>
      </c>
      <c r="P110">
        <v>3</v>
      </c>
      <c r="Q110">
        <v>0.29599999999999999</v>
      </c>
      <c r="R110" t="s">
        <v>246</v>
      </c>
      <c r="S110">
        <v>38</v>
      </c>
      <c r="T110">
        <v>24</v>
      </c>
      <c r="V110">
        <v>0.82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s="54">
        <v>4849</v>
      </c>
      <c r="AG110">
        <v>24</v>
      </c>
      <c r="AH110">
        <v>0</v>
      </c>
      <c r="AJ110">
        <v>0</v>
      </c>
      <c r="AK110">
        <v>1</v>
      </c>
      <c r="AL110">
        <v>0</v>
      </c>
      <c r="AM110">
        <v>24</v>
      </c>
      <c r="AP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24</v>
      </c>
      <c r="BB110">
        <v>0</v>
      </c>
      <c r="BD110">
        <v>0</v>
      </c>
      <c r="BE110">
        <v>1</v>
      </c>
      <c r="BF110">
        <v>0</v>
      </c>
      <c r="BG110">
        <v>24</v>
      </c>
      <c r="BJ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H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147</v>
      </c>
      <c r="CX110">
        <v>12</v>
      </c>
      <c r="CY110">
        <v>3285</v>
      </c>
      <c r="CZ110">
        <v>48.6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24</v>
      </c>
      <c r="DO110">
        <v>0</v>
      </c>
      <c r="DR110" t="s">
        <v>441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F110">
        <v>0</v>
      </c>
    </row>
    <row r="111" spans="1:136">
      <c r="A111">
        <v>37</v>
      </c>
      <c r="B111" t="s">
        <v>244</v>
      </c>
      <c r="D111" s="143" t="s">
        <v>213</v>
      </c>
      <c r="E111">
        <v>189</v>
      </c>
      <c r="F111" t="s">
        <v>136</v>
      </c>
      <c r="G111" t="s">
        <v>492</v>
      </c>
      <c r="H111" t="s">
        <v>493</v>
      </c>
      <c r="I111" t="s">
        <v>494</v>
      </c>
      <c r="J111" t="s">
        <v>214</v>
      </c>
      <c r="K111" t="s">
        <v>215</v>
      </c>
      <c r="L111">
        <v>4</v>
      </c>
      <c r="M111">
        <v>0</v>
      </c>
      <c r="N111" t="s">
        <v>128</v>
      </c>
      <c r="O111" t="s">
        <v>131</v>
      </c>
      <c r="P111">
        <v>3</v>
      </c>
      <c r="Q111">
        <v>0.29599999999999999</v>
      </c>
      <c r="R111" t="s">
        <v>246</v>
      </c>
      <c r="S111">
        <v>34</v>
      </c>
      <c r="T111">
        <v>0</v>
      </c>
      <c r="U111">
        <v>15</v>
      </c>
      <c r="V111">
        <v>0.45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s="54">
        <v>235</v>
      </c>
      <c r="AG111">
        <v>0</v>
      </c>
      <c r="AH111">
        <v>0</v>
      </c>
      <c r="AJ111">
        <v>0</v>
      </c>
      <c r="AK111">
        <v>1</v>
      </c>
      <c r="AL111">
        <v>0</v>
      </c>
      <c r="AM111">
        <v>15</v>
      </c>
      <c r="AP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</v>
      </c>
      <c r="BB111">
        <v>0</v>
      </c>
      <c r="BD111">
        <v>0</v>
      </c>
      <c r="BE111">
        <v>1</v>
      </c>
      <c r="BF111">
        <v>0</v>
      </c>
      <c r="BG111">
        <v>15</v>
      </c>
      <c r="BJ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G111">
        <v>0</v>
      </c>
      <c r="CH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B111">
        <v>0</v>
      </c>
    </row>
    <row r="112" spans="1:136">
      <c r="F112" s="218"/>
      <c r="G112" s="219"/>
      <c r="H112" s="219"/>
      <c r="I112" s="219"/>
      <c r="J112" s="220"/>
      <c r="K112" s="220"/>
      <c r="L112" s="220"/>
      <c r="M112" s="220"/>
      <c r="N112" s="220"/>
      <c r="O112" s="220"/>
      <c r="P112" s="220"/>
      <c r="Q112" s="221"/>
      <c r="R112" s="220"/>
    </row>
    <row r="113" spans="6:18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1421</v>
      </c>
      <c r="DO160" s="83">
        <f>SUM(DO8:DO106)</f>
        <v>962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8"/>
    <filterColumn colId="123"/>
    <filterColumn colId="132"/>
  </autoFilter>
  <mergeCells count="162"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A1:D1"/>
    <mergeCell ref="J1:DT1"/>
    <mergeCell ref="DU1:DV1"/>
    <mergeCell ref="A2:D2"/>
    <mergeCell ref="E2:U2"/>
    <mergeCell ref="CW2:DD2"/>
    <mergeCell ref="DE2:DG2"/>
    <mergeCell ref="DH2:DJ2"/>
    <mergeCell ref="DK2:DM2"/>
  </mergeCells>
  <conditionalFormatting sqref="AL8:AL985">
    <cfRule type="cellIs" dxfId="19" priority="3" operator="greaterThan">
      <formula>0</formula>
    </cfRule>
  </conditionalFormatting>
  <conditionalFormatting sqref="BF8:BF985">
    <cfRule type="cellIs" dxfId="18" priority="2" operator="greaterThan">
      <formula>0</formula>
    </cfRule>
  </conditionalFormatting>
  <conditionalFormatting sqref="CI8:CP985">
    <cfRule type="cellIs" dxfId="17" priority="1" operator="greaterThan">
      <formula>0</formula>
    </cfRule>
  </conditionalFormatting>
  <pageMargins left="0.33" right="0.22" top="0.38" bottom="0.4" header="0.31496062992126" footer="0.31496062992126"/>
  <pageSetup paperSize="9" orientation="portrait" verticalDpi="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F163"/>
  <sheetViews>
    <sheetView workbookViewId="0">
      <pane xSplit="4" ySplit="7" topLeftCell="N11" activePane="bottomRight" state="frozen"/>
      <selection pane="topRight" activeCell="E1" sqref="E1"/>
      <selection pane="bottomLeft" activeCell="A8" sqref="A8"/>
      <selection pane="bottomRight" activeCell="D7" sqref="D1:D1048576"/>
    </sheetView>
  </sheetViews>
  <sheetFormatPr defaultRowHeight="15"/>
  <cols>
    <col min="1" max="1" width="4.140625" customWidth="1"/>
    <col min="2" max="2" width="6.5703125" customWidth="1"/>
    <col min="3" max="3" width="9.140625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108" width="9.140625" customWidth="1"/>
    <col min="109" max="117" width="9" customWidth="1"/>
    <col min="118" max="118" width="7" customWidth="1"/>
    <col min="119" max="120" width="6.7109375" customWidth="1"/>
    <col min="121" max="121" width="7.42578125" customWidth="1"/>
    <col min="122" max="122" width="12.28515625" customWidth="1"/>
    <col min="123" max="123" width="6.7109375" customWidth="1"/>
    <col min="124" max="124" width="9.140625" customWidth="1"/>
    <col min="125" max="125" width="13.7109375" customWidth="1"/>
    <col min="126" max="126" width="10.7109375" customWidth="1"/>
    <col min="127" max="152" width="9.140625" customWidth="1"/>
  </cols>
  <sheetData>
    <row r="1" spans="1:136" s="3" customFormat="1" ht="27" customHeight="1" thickBot="1">
      <c r="A1" s="402" t="s">
        <v>501</v>
      </c>
      <c r="B1" s="402"/>
      <c r="C1" s="402"/>
      <c r="D1" s="402"/>
      <c r="E1" s="248"/>
      <c r="F1" s="248"/>
      <c r="G1" s="248"/>
      <c r="H1" s="248"/>
      <c r="I1" s="248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50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49" t="s">
        <v>124</v>
      </c>
      <c r="AK6" s="249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49" t="s">
        <v>124</v>
      </c>
      <c r="BE6" s="249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144315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customHeight="1" thickBot="1">
      <c r="A7" s="30"/>
      <c r="D7" s="32"/>
      <c r="Q7" s="33"/>
      <c r="S7" s="31">
        <f>SUMIF(S8:S106,"&gt;0")</f>
        <v>2790</v>
      </c>
      <c r="T7" s="31">
        <f>SUM(T8:T106)</f>
        <v>1279.25</v>
      </c>
      <c r="U7" s="31">
        <f>SUM(U8:U106)</f>
        <v>2729</v>
      </c>
      <c r="W7" s="31">
        <f t="shared" ref="W7:AD7" si="0">SUM(W8:W777)</f>
        <v>2531</v>
      </c>
      <c r="X7" s="31">
        <f t="shared" si="0"/>
        <v>53239</v>
      </c>
      <c r="Y7" s="31">
        <f t="shared" si="0"/>
        <v>6343</v>
      </c>
      <c r="Z7" s="31">
        <f t="shared" si="0"/>
        <v>13258</v>
      </c>
      <c r="AA7" s="31">
        <f t="shared" si="0"/>
        <v>3392</v>
      </c>
      <c r="AB7" s="31">
        <f t="shared" si="0"/>
        <v>65552</v>
      </c>
      <c r="AC7" s="31">
        <f t="shared" si="0"/>
        <v>0</v>
      </c>
      <c r="AD7" s="31">
        <f t="shared" si="0"/>
        <v>1621</v>
      </c>
      <c r="AE7" s="31">
        <f>SUM(AE8:AE777)</f>
        <v>144315</v>
      </c>
      <c r="AF7" s="31">
        <f>SUM(AF8:AF249)</f>
        <v>802399</v>
      </c>
      <c r="AG7" s="31">
        <f t="shared" ref="AG7:CP7" si="1">SUM(AG8:AG285)</f>
        <v>1303.25</v>
      </c>
      <c r="AH7" s="31">
        <f t="shared" si="1"/>
        <v>2.2500000000000071</v>
      </c>
      <c r="AI7" s="31">
        <f t="shared" si="1"/>
        <v>538</v>
      </c>
      <c r="AJ7" s="31">
        <f t="shared" si="1"/>
        <v>1079</v>
      </c>
      <c r="AK7" s="31">
        <f t="shared" si="1"/>
        <v>96.670603681182314</v>
      </c>
      <c r="AL7" s="34">
        <f>SUM(AL8:AL285)</f>
        <v>535.99</v>
      </c>
      <c r="AM7" s="31">
        <f t="shared" si="1"/>
        <v>3511.26</v>
      </c>
      <c r="AN7" s="31">
        <f t="shared" si="1"/>
        <v>0</v>
      </c>
      <c r="AO7" s="31">
        <f t="shared" si="1"/>
        <v>23279.55</v>
      </c>
      <c r="AP7" s="31">
        <f t="shared" si="1"/>
        <v>131469.04999999999</v>
      </c>
      <c r="AQ7" s="31">
        <f t="shared" si="1"/>
        <v>3856</v>
      </c>
      <c r="AR7" s="31">
        <f t="shared" si="1"/>
        <v>543</v>
      </c>
      <c r="AS7" s="31">
        <f t="shared" si="1"/>
        <v>3244</v>
      </c>
      <c r="AT7" s="31">
        <f t="shared" si="1"/>
        <v>19809.400000000001</v>
      </c>
      <c r="AU7" s="31">
        <f t="shared" si="1"/>
        <v>0</v>
      </c>
      <c r="AV7" s="31">
        <f t="shared" si="1"/>
        <v>4297.45</v>
      </c>
      <c r="AW7" s="31">
        <f t="shared" si="1"/>
        <v>186498.44999999998</v>
      </c>
      <c r="AX7" s="31">
        <f t="shared" si="1"/>
        <v>77679</v>
      </c>
      <c r="AY7" s="31">
        <f t="shared" si="1"/>
        <v>-1278.9287999999949</v>
      </c>
      <c r="AZ7" s="31">
        <f t="shared" si="1"/>
        <v>635.06708607981443</v>
      </c>
      <c r="BA7" s="31">
        <f t="shared" si="1"/>
        <v>3511.26</v>
      </c>
      <c r="BB7" s="31">
        <f t="shared" si="1"/>
        <v>6.26</v>
      </c>
      <c r="BC7" s="31">
        <f t="shared" si="1"/>
        <v>344</v>
      </c>
      <c r="BD7" s="31">
        <f t="shared" si="1"/>
        <v>1120</v>
      </c>
      <c r="BE7" s="31">
        <f t="shared" si="1"/>
        <v>99.397766646313912</v>
      </c>
      <c r="BF7" s="34">
        <f t="shared" si="1"/>
        <v>347.26</v>
      </c>
      <c r="BG7" s="31">
        <f t="shared" si="1"/>
        <v>3164</v>
      </c>
      <c r="BH7" s="31">
        <f t="shared" si="1"/>
        <v>0</v>
      </c>
      <c r="BI7" s="31">
        <f t="shared" si="1"/>
        <v>20360.099999999999</v>
      </c>
      <c r="BJ7" s="31">
        <f t="shared" si="1"/>
        <v>62098.049999999996</v>
      </c>
      <c r="BK7" s="31">
        <f t="shared" si="1"/>
        <v>3947</v>
      </c>
      <c r="BL7" s="31">
        <f t="shared" si="1"/>
        <v>844</v>
      </c>
      <c r="BM7" s="31">
        <f t="shared" si="1"/>
        <v>4388</v>
      </c>
      <c r="BN7" s="31">
        <f t="shared" si="1"/>
        <v>11531</v>
      </c>
      <c r="BO7" s="31">
        <f t="shared" si="1"/>
        <v>0</v>
      </c>
      <c r="BP7" s="31">
        <f t="shared" si="1"/>
        <v>3413</v>
      </c>
      <c r="BQ7" s="31">
        <f t="shared" si="1"/>
        <v>106581.15</v>
      </c>
      <c r="BR7" s="31">
        <f t="shared" si="1"/>
        <v>68255</v>
      </c>
      <c r="BS7" s="31">
        <f t="shared" si="1"/>
        <v>-1089.5946999999987</v>
      </c>
      <c r="BT7" s="31">
        <f t="shared" si="1"/>
        <v>-355.18927842790805</v>
      </c>
      <c r="BU7" s="31">
        <f t="shared" si="1"/>
        <v>144315</v>
      </c>
      <c r="BV7" s="34">
        <f t="shared" si="1"/>
        <v>883.25</v>
      </c>
      <c r="BW7" s="31">
        <f t="shared" si="1"/>
        <v>279.87780765190644</v>
      </c>
      <c r="BX7" s="31">
        <f t="shared" si="1"/>
        <v>642.31849</v>
      </c>
      <c r="BY7" s="34">
        <f t="shared" si="1"/>
        <v>883.25</v>
      </c>
      <c r="BZ7" s="35">
        <f t="shared" si="1"/>
        <v>883.25</v>
      </c>
      <c r="CA7" s="31">
        <f t="shared" si="1"/>
        <v>293.07960000000008</v>
      </c>
      <c r="CB7" s="31">
        <f t="shared" si="1"/>
        <v>145934</v>
      </c>
      <c r="CC7" s="31">
        <f t="shared" si="1"/>
        <v>-2368.5234999999943</v>
      </c>
      <c r="CD7" s="31">
        <f t="shared" si="1"/>
        <v>279.87780765190644</v>
      </c>
      <c r="CE7" s="36">
        <f t="shared" si="1"/>
        <v>0</v>
      </c>
      <c r="CF7" s="36">
        <f t="shared" si="1"/>
        <v>0</v>
      </c>
      <c r="CG7" s="34">
        <f t="shared" si="1"/>
        <v>381.06433999999996</v>
      </c>
      <c r="CH7" s="35">
        <f t="shared" si="1"/>
        <v>381.06433999999996</v>
      </c>
      <c r="CI7" s="31">
        <f t="shared" si="1"/>
        <v>1079</v>
      </c>
      <c r="CJ7" s="31">
        <f t="shared" si="1"/>
        <v>182200.99999999997</v>
      </c>
      <c r="CK7" s="31">
        <f t="shared" si="1"/>
        <v>0</v>
      </c>
      <c r="CL7" s="31">
        <f t="shared" si="1"/>
        <v>4297.45</v>
      </c>
      <c r="CM7" s="31">
        <f t="shared" si="1"/>
        <v>1120</v>
      </c>
      <c r="CN7" s="31">
        <f t="shared" si="1"/>
        <v>103168.15</v>
      </c>
      <c r="CO7" s="31">
        <f t="shared" si="1"/>
        <v>0</v>
      </c>
      <c r="CP7" s="31">
        <f t="shared" si="1"/>
        <v>3413</v>
      </c>
      <c r="CQ7" s="31">
        <f t="shared" ref="CQ7:CV7" si="2">SUM(CQ8:CQ777)</f>
        <v>76930</v>
      </c>
      <c r="CR7" s="31">
        <f t="shared" si="2"/>
        <v>0</v>
      </c>
      <c r="CS7" s="31">
        <f t="shared" si="2"/>
        <v>743</v>
      </c>
      <c r="CT7" s="31">
        <f t="shared" si="2"/>
        <v>67385</v>
      </c>
      <c r="CU7" s="31">
        <f t="shared" si="2"/>
        <v>0</v>
      </c>
      <c r="CV7" s="31">
        <f t="shared" si="2"/>
        <v>878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76930</v>
      </c>
      <c r="DF7" s="38">
        <f t="shared" si="4"/>
        <v>535.99</v>
      </c>
      <c r="DG7" s="37">
        <f t="shared" si="4"/>
        <v>635.06708607981443</v>
      </c>
      <c r="DH7" s="37">
        <f t="shared" si="4"/>
        <v>67385</v>
      </c>
      <c r="DI7" s="38">
        <f t="shared" si="4"/>
        <v>347.26</v>
      </c>
      <c r="DJ7" s="37">
        <f t="shared" si="4"/>
        <v>-355.18927842790805</v>
      </c>
      <c r="DK7" s="37">
        <f t="shared" si="4"/>
        <v>144315</v>
      </c>
      <c r="DL7" s="38">
        <f t="shared" si="4"/>
        <v>883.25</v>
      </c>
      <c r="DM7" s="37">
        <f t="shared" si="4"/>
        <v>279.87780765190644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f>'05.02'!BG8</f>
        <v>15</v>
      </c>
      <c r="U8" s="52">
        <v>10</v>
      </c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0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0</v>
      </c>
      <c r="AE8" s="53">
        <f>IF(V8="","",SUM(W8:AC8))</f>
        <v>0</v>
      </c>
      <c r="AF8" s="54">
        <f>AE8+'05.02'!AF8</f>
        <v>148</v>
      </c>
      <c r="AG8" s="55">
        <f>T8</f>
        <v>15</v>
      </c>
      <c r="AH8" s="56">
        <f t="shared" ref="AH8:AH72" si="13">IFERROR(VALUE("0"&amp;RIGHT(AG8,(LEN(AG8)-LEN(TRUNC(AG8))))),"")</f>
        <v>0</v>
      </c>
      <c r="AI8" s="53"/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0</v>
      </c>
      <c r="AM8" s="55">
        <f>IF(V8="","",AG8+U8-AL8)</f>
        <v>25</v>
      </c>
      <c r="AN8" s="53"/>
      <c r="AO8" s="59"/>
      <c r="AP8" s="59">
        <f t="shared" ref="AP8:AP13" si="14">$CJ8</f>
        <v>0</v>
      </c>
      <c r="AQ8" s="59"/>
      <c r="AR8" s="59"/>
      <c r="AS8" s="59"/>
      <c r="AT8" s="59"/>
      <c r="AU8" s="59">
        <f>CK8</f>
        <v>0</v>
      </c>
      <c r="AV8" s="59">
        <f>CL8</f>
        <v>0</v>
      </c>
      <c r="AW8" s="59">
        <f>SUM(AO8:AV8)</f>
        <v>0</v>
      </c>
      <c r="AX8" s="59">
        <f>IF(V8="","",INT(AW8/$V8))</f>
        <v>0</v>
      </c>
      <c r="AY8" s="55">
        <f>IF(V8="","",AW8-AL8*$E8*$V8)</f>
        <v>0</v>
      </c>
      <c r="AZ8" s="59">
        <f>IF($V8="","",AY8/$V8)</f>
        <v>0</v>
      </c>
      <c r="BA8" s="55">
        <f>AM8</f>
        <v>25</v>
      </c>
      <c r="BB8" s="60">
        <f>VALUE("0"&amp;RIGHT(BA8,(LEN(BA8)-LEN(TRUNC(BA8)))))</f>
        <v>0</v>
      </c>
      <c r="BC8" s="53"/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0</v>
      </c>
      <c r="BG8" s="55">
        <f>IF(AA8="","",BA8-BF8)</f>
        <v>25</v>
      </c>
      <c r="BH8" s="44"/>
      <c r="BI8" s="44"/>
      <c r="BJ8" s="52">
        <f t="shared" ref="BJ8:BJ13" si="15">$CN8</f>
        <v>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0</v>
      </c>
      <c r="BR8" s="59">
        <f>IF(AA8="","",INT(BQ8/$V8))</f>
        <v>0</v>
      </c>
      <c r="BS8" s="59">
        <f>IF(AA8="","",-BF8*$E8*$V8+BQ8)</f>
        <v>0</v>
      </c>
      <c r="BT8" s="59">
        <f>IF($V8="","",BS8/$V8)</f>
        <v>0</v>
      </c>
      <c r="BU8" s="52">
        <f t="shared" ref="BU8:BU71" si="16">IFERROR(AE8,"")</f>
        <v>0</v>
      </c>
      <c r="BV8" s="61">
        <f t="shared" ref="BV8:BV73" si="17">IFERROR(BF8+AL8,"")</f>
        <v>0</v>
      </c>
      <c r="BW8" s="52">
        <f t="shared" ref="BW8:BW71" si="18">IFERROR(BT8+AZ8,"")</f>
        <v>0</v>
      </c>
      <c r="BX8" s="61">
        <f>IF($Q8="","",(BF8+AL8)*$Q8)</f>
        <v>0</v>
      </c>
      <c r="BY8" s="61">
        <f>IFERROR(BF8+AL8,0)</f>
        <v>0</v>
      </c>
      <c r="BZ8" s="62">
        <f>BY8</f>
        <v>0</v>
      </c>
      <c r="CA8" s="51">
        <f>IFERROR((BQ8+AW8)/1000,"")</f>
        <v>0</v>
      </c>
      <c r="CB8" s="63">
        <f t="shared" ref="CB8:CD39" si="19">IFERROR(BR8+AX8,"")</f>
        <v>0</v>
      </c>
      <c r="CC8" s="63">
        <f t="shared" si="19"/>
        <v>0</v>
      </c>
      <c r="CD8" s="63">
        <f t="shared" si="19"/>
        <v>0</v>
      </c>
      <c r="CE8" s="64"/>
      <c r="CF8" s="64"/>
      <c r="CG8" s="51">
        <f>IF(BX8="",0,(BX8-CA8)+((AV8+BP8)/1000))</f>
        <v>0</v>
      </c>
      <c r="CH8" s="62">
        <f>CG8</f>
        <v>0</v>
      </c>
      <c r="CI8" s="44"/>
      <c r="CJ8" s="44"/>
      <c r="CK8" s="44"/>
      <c r="CL8" s="59"/>
      <c r="CM8" s="44"/>
      <c r="CN8" s="44"/>
      <c r="CO8" s="52"/>
      <c r="CP8" s="65"/>
      <c r="CQ8" s="66">
        <f>INT(IFERROR( CJ8/$V8,0))</f>
        <v>0</v>
      </c>
      <c r="CR8" s="66">
        <f t="shared" ref="CR8:CS23" si="20">INT(IFERROR( CK8/$V8,0))</f>
        <v>0</v>
      </c>
      <c r="CS8" s="66">
        <f t="shared" si="20"/>
        <v>0</v>
      </c>
      <c r="CT8" s="63">
        <f>INT(IFERROR( AE8-CQ8-CU8-CR8,0))</f>
        <v>0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0</v>
      </c>
      <c r="DF8" s="72">
        <f t="shared" ref="DF8:DF71" si="22">IFERROR(AL8,"")</f>
        <v>0</v>
      </c>
      <c r="DG8" s="73">
        <f t="shared" ref="DG8:DG71" si="23">IFERROR(AZ8,"")</f>
        <v>0</v>
      </c>
      <c r="DH8" s="74">
        <f t="shared" ref="DH8:DH71" si="24">IFERROR(CT8+CU8,"")</f>
        <v>0</v>
      </c>
      <c r="DI8" s="72">
        <f t="shared" ref="DI8:DI71" si="25">IFERROR(BF8,"")</f>
        <v>0</v>
      </c>
      <c r="DJ8" s="73">
        <f t="shared" ref="DJ8:DJ71" si="26">IFERROR(BT8,"")</f>
        <v>0</v>
      </c>
      <c r="DK8" s="74">
        <f t="shared" ref="DK8:DM23" si="27">IFERROR(DE8+DH8,"")</f>
        <v>0</v>
      </c>
      <c r="DL8" s="72">
        <f t="shared" si="27"/>
        <v>0</v>
      </c>
      <c r="DM8" s="75">
        <f t="shared" si="27"/>
        <v>0</v>
      </c>
      <c r="DN8" s="76">
        <f t="shared" ref="DN8:DO25" si="28">T8</f>
        <v>15</v>
      </c>
      <c r="DO8" s="73">
        <f>U8</f>
        <v>10</v>
      </c>
      <c r="DP8" s="77"/>
      <c r="DQ8" s="77"/>
      <c r="DR8" s="78" t="s">
        <v>417</v>
      </c>
      <c r="DS8" s="77"/>
      <c r="DT8" s="77"/>
      <c r="DU8" s="75"/>
      <c r="DV8" s="79"/>
      <c r="DW8" s="80">
        <f>IFERROR(AL8+BC8,"")</f>
        <v>0</v>
      </c>
      <c r="DX8" s="81">
        <f t="shared" ref="DX8:DX71" si="29">IFERROR(DK8+DL8+DM8,"")</f>
        <v>0</v>
      </c>
      <c r="DY8" s="80">
        <f>CQ8+CR8+CS8+CT8+CU8+CV8</f>
        <v>0</v>
      </c>
      <c r="DZ8">
        <f>IFERROR((AD8*V8/1000),0)</f>
        <v>0</v>
      </c>
      <c r="EA8" s="82">
        <f>IFERROR((AE8*V8/1000),0)</f>
        <v>0</v>
      </c>
      <c r="EB8" s="82">
        <f>BX8-EA8</f>
        <v>0</v>
      </c>
      <c r="EC8" s="82">
        <f t="shared" ref="EC8:EC13" si="30">(BX8-CA8)+((AV8+BP8)/1000)</f>
        <v>0</v>
      </c>
      <c r="EF8" s="83">
        <f>DG8+DJ8</f>
        <v>0</v>
      </c>
    </row>
    <row r="9" spans="1:136" ht="15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1">CONCATENATE(K9,J9,"-",IF(N9="D",L9,IF(N9="H",CONCATENATE(N9,L9),CONCATENATE(N9,L9,"x",M9))),"x",P9,"-",O9,R9)</f>
        <v>TV12L14-10x2.5-H9A14</v>
      </c>
      <c r="H9" s="46" t="str">
        <f t="shared" ref="H9:H72" si="32">CONCATENATE(J9,,K9,L9,M9,N9,O9)</f>
        <v>12L14TV100DH9</v>
      </c>
      <c r="I9" s="46" t="str">
        <f t="shared" ref="I9:I72" si="33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4">ROUND(CY9/E9,0)*2</f>
        <v>70</v>
      </c>
      <c r="T9" s="51">
        <f>'05.02'!BG9</f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5">IF(V9="","",SUM(W9:AC9))</f>
        <v>0</v>
      </c>
      <c r="AF9" s="54">
        <f>AE9+'05.02'!AF9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6">IF(V9="","",IF(AJ9=0,1,AJ9/$V9/$E9))</f>
        <v>1</v>
      </c>
      <c r="AL9" s="58">
        <f t="shared" ref="AL9:AL75" si="37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8">CL9</f>
        <v>0</v>
      </c>
      <c r="AW9" s="96">
        <f t="shared" ref="AW9:AW72" si="39">SUM(AO9:AV9)</f>
        <v>0</v>
      </c>
      <c r="AX9" s="96">
        <f t="shared" ref="AX9:AX72" si="40">IF(V9="","",INT(AW9/$V9))</f>
        <v>0</v>
      </c>
      <c r="AY9" s="94">
        <f>IF(V9="","",AW9-AL9*$E9*$V9)</f>
        <v>0</v>
      </c>
      <c r="AZ9" s="94">
        <f t="shared" ref="AZ9:AZ72" si="41">IF($V9="","",AY9/$V9)</f>
        <v>0</v>
      </c>
      <c r="BA9" s="94">
        <f t="shared" ref="BA9:BA74" si="42">AM9</f>
        <v>0</v>
      </c>
      <c r="BB9" s="97">
        <f t="shared" ref="BB9:BB74" si="43">VALUE("0"&amp;RIGHT(BA9,(LEN(BA9)-LEN(TRUNC(BA9)))))</f>
        <v>0</v>
      </c>
      <c r="BC9" s="93"/>
      <c r="BD9" s="93">
        <f t="shared" ref="BD9:BD72" si="44">$CM9</f>
        <v>0</v>
      </c>
      <c r="BE9" s="95">
        <f t="shared" ref="BE9:BE72" si="45">IF(AA9="","",IF(BD9=0,1,BD9/$V9/$E9))</f>
        <v>1</v>
      </c>
      <c r="BF9" s="58">
        <f t="shared" ref="BF9:BF76" si="46">IF(V9="","",MAX(ROUNDUP((IF(BC9+BD9=0,0,BB9)+BC9+BE9-1),2),0))</f>
        <v>0</v>
      </c>
      <c r="BG9" s="94">
        <f t="shared" ref="BG9:BG72" si="47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8">SUM(BI9:BP9)</f>
        <v>0</v>
      </c>
      <c r="BR9" s="96">
        <f t="shared" ref="BR9:BR72" si="49">IF(AA9="","",INT(BQ9/$V9))</f>
        <v>0</v>
      </c>
      <c r="BS9" s="96">
        <f>IF(AA9="","",-BF9*$E9*$V9+BQ9)</f>
        <v>0</v>
      </c>
      <c r="BT9" s="96">
        <f t="shared" ref="BT9:BT72" si="50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1">IF($Q9="","",(BF9+AL9)*$Q9)</f>
        <v>0</v>
      </c>
      <c r="BY9" s="61">
        <f>IFERROR(BF9+AL9,0)</f>
        <v>0</v>
      </c>
      <c r="BZ9" s="62">
        <f t="shared" ref="BZ9:BZ72" si="52">BY9</f>
        <v>0</v>
      </c>
      <c r="CA9" s="98">
        <f t="shared" ref="CA9:CA72" si="53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4">IF(BX9="",0,(BX9-CA9)+((AV9+BP9)/1000))</f>
        <v>0</v>
      </c>
      <c r="CH9" s="62">
        <f t="shared" ref="CH9:CH72" si="55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6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7">INT(IFERROR( AE9-CQ9-CU9-CR9,0))</f>
        <v>0</v>
      </c>
      <c r="CU9" s="92">
        <f t="shared" ref="CU9:CV24" si="58">INT(IFERROR( AC9-CR9,0))</f>
        <v>0</v>
      </c>
      <c r="CV9" s="103">
        <f t="shared" si="58"/>
        <v>0</v>
      </c>
      <c r="CW9" s="104"/>
      <c r="CX9" s="105">
        <v>67</v>
      </c>
      <c r="CY9" s="106">
        <f t="shared" ref="CY9:CY72" si="59">INT(60/CX9*60*(12-(CEILING((60/CX9*60*12)/E9,1)*IF(CW9="T",0.45,IF(CW9="",5,3))/60)))</f>
        <v>282</v>
      </c>
      <c r="CZ9" s="106">
        <f t="shared" ref="CZ9:CZ72" si="60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si="28"/>
        <v>0</v>
      </c>
      <c r="DO9" s="76">
        <f t="shared" si="28"/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1">IFERROR(BU9+BV9,"")</f>
        <v>0</v>
      </c>
      <c r="DX9" s="81">
        <f t="shared" si="29"/>
        <v>0</v>
      </c>
      <c r="DY9" s="80">
        <f t="shared" ref="DY9:DY72" si="62">CQ9+CR9+CS9+CT9+CU9+CV9</f>
        <v>0</v>
      </c>
      <c r="DZ9">
        <f t="shared" ref="DZ9:DZ72" si="63">IFERROR((AD9*V9/1000),0)</f>
        <v>0</v>
      </c>
      <c r="EA9" s="82">
        <f t="shared" ref="EA9:EA72" si="64">IFERROR((AE9*V9/1000),0)</f>
        <v>0</v>
      </c>
      <c r="EB9" s="82">
        <f t="shared" ref="EB9:EB72" si="65">BX9-EA9</f>
        <v>0</v>
      </c>
      <c r="EC9" s="82">
        <f t="shared" si="30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1"/>
        <v>GWA6063-T5-17x3-H9B15</v>
      </c>
      <c r="H10" s="46" t="str">
        <f t="shared" si="32"/>
        <v>A6063-T5GW170DH9</v>
      </c>
      <c r="I10" s="46" t="str">
        <f t="shared" si="33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4"/>
        <v>22</v>
      </c>
      <c r="T10" s="51">
        <v>7</v>
      </c>
      <c r="U10" s="92">
        <v>40</v>
      </c>
      <c r="V10" s="89">
        <v>10.1</v>
      </c>
      <c r="W10" s="93">
        <f t="shared" si="5"/>
        <v>0</v>
      </c>
      <c r="X10" s="93">
        <f t="shared" si="6"/>
        <v>910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13</v>
      </c>
      <c r="AE10" s="93">
        <f t="shared" si="35"/>
        <v>910</v>
      </c>
      <c r="AF10" s="54">
        <f>AE10+'05.02'!AF10</f>
        <v>6948</v>
      </c>
      <c r="AG10" s="94">
        <f t="shared" ref="AG10:AG73" si="66">T10</f>
        <v>7</v>
      </c>
      <c r="AH10" s="56">
        <f t="shared" si="13"/>
        <v>0</v>
      </c>
      <c r="AI10" s="89">
        <v>6</v>
      </c>
      <c r="AJ10" s="93">
        <f t="shared" ref="AJ10:AJ73" si="67">$CI10</f>
        <v>0</v>
      </c>
      <c r="AK10" s="95">
        <f t="shared" si="36"/>
        <v>1</v>
      </c>
      <c r="AL10" s="58">
        <f t="shared" si="37"/>
        <v>6</v>
      </c>
      <c r="AM10" s="55">
        <f t="shared" ref="AM10:AM73" si="68">IF(V10="","",AG10+U10-AL10)</f>
        <v>41</v>
      </c>
      <c r="AN10" s="93"/>
      <c r="AO10" s="96"/>
      <c r="AP10" s="96">
        <f t="shared" si="14"/>
        <v>3800</v>
      </c>
      <c r="AQ10" s="96"/>
      <c r="AR10" s="96"/>
      <c r="AS10" s="96"/>
      <c r="AT10" s="96"/>
      <c r="AU10" s="96">
        <f t="shared" si="38"/>
        <v>0</v>
      </c>
      <c r="AV10" s="96">
        <f t="shared" si="38"/>
        <v>106</v>
      </c>
      <c r="AW10" s="96">
        <f t="shared" si="39"/>
        <v>3906</v>
      </c>
      <c r="AX10" s="96">
        <f t="shared" si="40"/>
        <v>386</v>
      </c>
      <c r="AY10" s="94">
        <f t="shared" ref="AY10:AY73" si="69">IF(V10="","",AW10-AL10*$E10*$V10)</f>
        <v>-336</v>
      </c>
      <c r="AZ10" s="94">
        <f t="shared" si="41"/>
        <v>-33.267326732673268</v>
      </c>
      <c r="BA10" s="94">
        <f t="shared" si="42"/>
        <v>41</v>
      </c>
      <c r="BB10" s="97">
        <f t="shared" si="43"/>
        <v>0</v>
      </c>
      <c r="BC10" s="93">
        <v>8</v>
      </c>
      <c r="BD10" s="93">
        <f t="shared" si="44"/>
        <v>0</v>
      </c>
      <c r="BE10" s="95">
        <f t="shared" si="45"/>
        <v>1</v>
      </c>
      <c r="BF10" s="58">
        <f t="shared" si="46"/>
        <v>8</v>
      </c>
      <c r="BG10" s="94">
        <f t="shared" si="47"/>
        <v>33</v>
      </c>
      <c r="BH10" s="89"/>
      <c r="BI10" s="89"/>
      <c r="BJ10" s="92">
        <f t="shared" si="15"/>
        <v>5400</v>
      </c>
      <c r="BK10" s="89"/>
      <c r="BL10" s="89"/>
      <c r="BM10" s="89"/>
      <c r="BN10" s="89"/>
      <c r="BO10" s="92">
        <f t="shared" ref="BO10:BP73" si="70">CO10</f>
        <v>0</v>
      </c>
      <c r="BP10" s="92">
        <f t="shared" si="70"/>
        <v>28</v>
      </c>
      <c r="BQ10" s="96">
        <f t="shared" si="48"/>
        <v>5428</v>
      </c>
      <c r="BR10" s="96">
        <f t="shared" si="49"/>
        <v>537</v>
      </c>
      <c r="BS10" s="96">
        <f t="shared" ref="BS10:BS73" si="71">IF(AA10="","",-BF10*$E10*$V10+BQ10)</f>
        <v>-228</v>
      </c>
      <c r="BT10" s="96">
        <f t="shared" si="50"/>
        <v>-22.574257425742577</v>
      </c>
      <c r="BU10" s="92">
        <f t="shared" si="16"/>
        <v>910</v>
      </c>
      <c r="BV10" s="98">
        <f t="shared" si="17"/>
        <v>14</v>
      </c>
      <c r="BW10" s="92">
        <f t="shared" si="18"/>
        <v>-55.841584158415841</v>
      </c>
      <c r="BX10" s="61">
        <f t="shared" si="51"/>
        <v>25.648</v>
      </c>
      <c r="BY10" s="61">
        <f>IFERROR(BF10+AL10,0)</f>
        <v>14</v>
      </c>
      <c r="BZ10" s="62">
        <f t="shared" si="52"/>
        <v>14</v>
      </c>
      <c r="CA10" s="98">
        <f t="shared" si="53"/>
        <v>9.3339999999999996</v>
      </c>
      <c r="CB10" s="92">
        <f t="shared" si="19"/>
        <v>923</v>
      </c>
      <c r="CC10" s="92">
        <f t="shared" si="19"/>
        <v>-564</v>
      </c>
      <c r="CD10" s="92">
        <f t="shared" si="19"/>
        <v>-55.841584158415841</v>
      </c>
      <c r="CE10" s="99"/>
      <c r="CF10" s="99"/>
      <c r="CG10" s="51">
        <f t="shared" si="54"/>
        <v>16.448</v>
      </c>
      <c r="CH10" s="62">
        <f t="shared" si="55"/>
        <v>16.448</v>
      </c>
      <c r="CI10" s="89"/>
      <c r="CJ10" s="89">
        <v>3800</v>
      </c>
      <c r="CK10" s="89"/>
      <c r="CL10" s="96">
        <v>106</v>
      </c>
      <c r="CM10" s="89"/>
      <c r="CN10" s="89">
        <v>5400</v>
      </c>
      <c r="CO10" s="92"/>
      <c r="CP10" s="101">
        <v>28</v>
      </c>
      <c r="CQ10" s="102">
        <f t="shared" si="56"/>
        <v>376</v>
      </c>
      <c r="CR10" s="102">
        <f t="shared" si="20"/>
        <v>0</v>
      </c>
      <c r="CS10" s="102">
        <f t="shared" si="20"/>
        <v>10</v>
      </c>
      <c r="CT10" s="92">
        <f t="shared" si="57"/>
        <v>534</v>
      </c>
      <c r="CU10" s="92">
        <f t="shared" si="58"/>
        <v>0</v>
      </c>
      <c r="CV10" s="103">
        <f t="shared" si="58"/>
        <v>3</v>
      </c>
      <c r="CW10" s="104"/>
      <c r="CX10" s="105">
        <v>51</v>
      </c>
      <c r="CY10" s="106">
        <f t="shared" si="59"/>
        <v>770</v>
      </c>
      <c r="CZ10" s="106">
        <f t="shared" si="60"/>
        <v>413.1</v>
      </c>
      <c r="DA10" s="106"/>
      <c r="DB10" s="106"/>
      <c r="DC10" s="105"/>
      <c r="DD10" s="107"/>
      <c r="DE10" s="92">
        <f t="shared" si="21"/>
        <v>376</v>
      </c>
      <c r="DF10" s="108">
        <f t="shared" si="22"/>
        <v>6</v>
      </c>
      <c r="DG10" s="112">
        <f t="shared" si="23"/>
        <v>-33.267326732673268</v>
      </c>
      <c r="DH10" s="110">
        <f t="shared" si="24"/>
        <v>534</v>
      </c>
      <c r="DI10" s="108">
        <f t="shared" si="25"/>
        <v>8</v>
      </c>
      <c r="DJ10" s="115">
        <f t="shared" si="26"/>
        <v>-22.574257425742577</v>
      </c>
      <c r="DK10" s="110">
        <f t="shared" si="27"/>
        <v>910</v>
      </c>
      <c r="DL10" s="108">
        <f t="shared" si="27"/>
        <v>14</v>
      </c>
      <c r="DM10" s="111">
        <f t="shared" si="27"/>
        <v>-55.841584158415841</v>
      </c>
      <c r="DN10" s="76">
        <f t="shared" si="28"/>
        <v>7</v>
      </c>
      <c r="DO10" s="76">
        <f t="shared" si="28"/>
        <v>40</v>
      </c>
      <c r="DP10" s="112"/>
      <c r="DQ10" s="112"/>
      <c r="DR10" s="113" t="s">
        <v>418</v>
      </c>
      <c r="DS10" s="112"/>
      <c r="DT10" s="112"/>
      <c r="DU10" s="111"/>
      <c r="DV10" s="114"/>
      <c r="DW10" s="80">
        <f>IFERROR(AL10+BF10,"")</f>
        <v>14</v>
      </c>
      <c r="DX10" s="81">
        <f t="shared" si="29"/>
        <v>868.1584158415842</v>
      </c>
      <c r="DY10" s="80">
        <f t="shared" si="62"/>
        <v>923</v>
      </c>
      <c r="DZ10">
        <f t="shared" si="63"/>
        <v>0.13129999999999997</v>
      </c>
      <c r="EA10" s="82">
        <f t="shared" si="64"/>
        <v>9.1910000000000007</v>
      </c>
      <c r="EB10" s="82">
        <f t="shared" si="65"/>
        <v>16.457000000000001</v>
      </c>
      <c r="EC10" s="82">
        <f t="shared" si="30"/>
        <v>16.448</v>
      </c>
      <c r="EF10" s="83">
        <f t="shared" ref="EF10:EF11" si="72">DG10+DJ10</f>
        <v>-55.841584158415841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1"/>
        <v>TV12L14-11x2.5-H9C14</v>
      </c>
      <c r="H11" s="46" t="str">
        <f t="shared" si="32"/>
        <v>12L14TV110DH9</v>
      </c>
      <c r="I11" s="46" t="str">
        <f t="shared" si="33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4"/>
        <v>12</v>
      </c>
      <c r="T11" s="51">
        <f>'05.02'!BG11</f>
        <v>4</v>
      </c>
      <c r="U11" s="92">
        <v>31</v>
      </c>
      <c r="V11" s="89">
        <v>2</v>
      </c>
      <c r="W11" s="93">
        <f t="shared" si="5"/>
        <v>0</v>
      </c>
      <c r="X11" s="93">
        <f t="shared" si="6"/>
        <v>3567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103</v>
      </c>
      <c r="AE11" s="93">
        <f t="shared" si="35"/>
        <v>3567</v>
      </c>
      <c r="AF11" s="54">
        <f>AE11+'05.02'!AF11</f>
        <v>20312</v>
      </c>
      <c r="AG11" s="94">
        <f t="shared" si="66"/>
        <v>4</v>
      </c>
      <c r="AH11" s="56">
        <f t="shared" si="13"/>
        <v>0</v>
      </c>
      <c r="AI11" s="89">
        <v>7</v>
      </c>
      <c r="AJ11" s="93">
        <f t="shared" si="67"/>
        <v>0</v>
      </c>
      <c r="AK11" s="95">
        <f t="shared" si="36"/>
        <v>1</v>
      </c>
      <c r="AL11" s="58">
        <f t="shared" si="37"/>
        <v>7</v>
      </c>
      <c r="AM11" s="55">
        <f t="shared" si="68"/>
        <v>28</v>
      </c>
      <c r="AN11" s="93"/>
      <c r="AO11" s="96"/>
      <c r="AP11" s="96">
        <f t="shared" si="14"/>
        <v>3706</v>
      </c>
      <c r="AQ11" s="96"/>
      <c r="AR11" s="96"/>
      <c r="AS11" s="96"/>
      <c r="AT11" s="96"/>
      <c r="AU11" s="96">
        <f t="shared" si="38"/>
        <v>0</v>
      </c>
      <c r="AV11" s="96">
        <f t="shared" si="38"/>
        <v>106</v>
      </c>
      <c r="AW11" s="96">
        <f t="shared" si="39"/>
        <v>3812</v>
      </c>
      <c r="AX11" s="96">
        <f t="shared" si="40"/>
        <v>1906</v>
      </c>
      <c r="AY11" s="94">
        <f t="shared" si="69"/>
        <v>-150</v>
      </c>
      <c r="AZ11" s="94">
        <f t="shared" si="41"/>
        <v>-75</v>
      </c>
      <c r="BA11" s="94">
        <f t="shared" si="42"/>
        <v>28</v>
      </c>
      <c r="BB11" s="97">
        <f t="shared" si="43"/>
        <v>0</v>
      </c>
      <c r="BC11" s="93">
        <v>7</v>
      </c>
      <c r="BD11" s="93">
        <f t="shared" si="44"/>
        <v>250</v>
      </c>
      <c r="BE11" s="95">
        <f t="shared" si="45"/>
        <v>0.44169611307420492</v>
      </c>
      <c r="BF11" s="58">
        <f t="shared" si="46"/>
        <v>6.45</v>
      </c>
      <c r="BG11" s="94">
        <f t="shared" si="47"/>
        <v>21.55</v>
      </c>
      <c r="BH11" s="89"/>
      <c r="BI11" s="89"/>
      <c r="BJ11" s="92">
        <f t="shared" si="15"/>
        <v>3429</v>
      </c>
      <c r="BK11" s="89"/>
      <c r="BL11" s="89"/>
      <c r="BM11" s="89"/>
      <c r="BN11" s="89"/>
      <c r="BO11" s="92">
        <f t="shared" si="70"/>
        <v>0</v>
      </c>
      <c r="BP11" s="92">
        <f t="shared" si="70"/>
        <v>100</v>
      </c>
      <c r="BQ11" s="96">
        <f t="shared" si="48"/>
        <v>3529</v>
      </c>
      <c r="BR11" s="96">
        <f t="shared" si="49"/>
        <v>1764</v>
      </c>
      <c r="BS11" s="96">
        <f t="shared" si="71"/>
        <v>-121.70000000000027</v>
      </c>
      <c r="BT11" s="96">
        <f t="shared" si="50"/>
        <v>-60.850000000000136</v>
      </c>
      <c r="BU11" s="92">
        <f t="shared" si="16"/>
        <v>3567</v>
      </c>
      <c r="BV11" s="98">
        <f t="shared" si="17"/>
        <v>13.45</v>
      </c>
      <c r="BW11" s="92">
        <f t="shared" si="18"/>
        <v>-135.85000000000014</v>
      </c>
      <c r="BX11" s="98" t="str">
        <f t="shared" si="51"/>
        <v/>
      </c>
      <c r="BY11" s="61">
        <f t="shared" ref="BY11:BY73" si="73">IFERROR(BF11+AL11,0)</f>
        <v>13.45</v>
      </c>
      <c r="BZ11" s="62">
        <f t="shared" si="52"/>
        <v>13.45</v>
      </c>
      <c r="CA11" s="98">
        <f t="shared" si="53"/>
        <v>7.3410000000000002</v>
      </c>
      <c r="CB11" s="92">
        <f t="shared" si="19"/>
        <v>3670</v>
      </c>
      <c r="CC11" s="92">
        <f t="shared" si="19"/>
        <v>-271.70000000000027</v>
      </c>
      <c r="CD11" s="92">
        <f t="shared" si="19"/>
        <v>-135.85000000000014</v>
      </c>
      <c r="CE11" s="99"/>
      <c r="CF11" s="99"/>
      <c r="CG11" s="51">
        <f t="shared" si="54"/>
        <v>0</v>
      </c>
      <c r="CH11" s="62">
        <f t="shared" si="55"/>
        <v>0</v>
      </c>
      <c r="CI11" s="89"/>
      <c r="CJ11" s="89">
        <v>3706</v>
      </c>
      <c r="CK11" s="89"/>
      <c r="CL11" s="96">
        <v>106</v>
      </c>
      <c r="CM11" s="89">
        <v>250</v>
      </c>
      <c r="CN11" s="89">
        <v>3429</v>
      </c>
      <c r="CO11" s="92"/>
      <c r="CP11" s="101">
        <v>100</v>
      </c>
      <c r="CQ11" s="102">
        <f t="shared" si="56"/>
        <v>1853</v>
      </c>
      <c r="CR11" s="102">
        <f t="shared" si="20"/>
        <v>0</v>
      </c>
      <c r="CS11" s="102">
        <f t="shared" si="20"/>
        <v>53</v>
      </c>
      <c r="CT11" s="92">
        <f t="shared" si="57"/>
        <v>1714</v>
      </c>
      <c r="CU11" s="92">
        <f t="shared" si="58"/>
        <v>0</v>
      </c>
      <c r="CV11" s="103">
        <f t="shared" si="58"/>
        <v>50</v>
      </c>
      <c r="CW11" s="104"/>
      <c r="CX11" s="105">
        <v>25</v>
      </c>
      <c r="CY11" s="106">
        <f t="shared" si="59"/>
        <v>1644</v>
      </c>
      <c r="CZ11" s="106">
        <f t="shared" si="60"/>
        <v>202.5</v>
      </c>
      <c r="DA11" s="106"/>
      <c r="DB11" s="106"/>
      <c r="DC11" s="105"/>
      <c r="DD11" s="107"/>
      <c r="DE11" s="92">
        <f t="shared" si="21"/>
        <v>1853</v>
      </c>
      <c r="DF11" s="108">
        <f t="shared" si="22"/>
        <v>7</v>
      </c>
      <c r="DG11" s="112">
        <f t="shared" si="23"/>
        <v>-75</v>
      </c>
      <c r="DH11" s="110">
        <f t="shared" si="24"/>
        <v>1714</v>
      </c>
      <c r="DI11" s="108">
        <f t="shared" si="25"/>
        <v>6.45</v>
      </c>
      <c r="DJ11" s="112">
        <f t="shared" si="26"/>
        <v>-60.850000000000136</v>
      </c>
      <c r="DK11" s="110">
        <f t="shared" si="27"/>
        <v>3567</v>
      </c>
      <c r="DL11" s="108">
        <f t="shared" si="27"/>
        <v>13.45</v>
      </c>
      <c r="DM11" s="111">
        <f t="shared" si="27"/>
        <v>-135.85000000000014</v>
      </c>
      <c r="DN11" s="76">
        <f t="shared" si="28"/>
        <v>4</v>
      </c>
      <c r="DO11" s="76">
        <f t="shared" si="28"/>
        <v>31</v>
      </c>
      <c r="DP11" s="112"/>
      <c r="DQ11" s="112"/>
      <c r="DR11" s="113" t="s">
        <v>419</v>
      </c>
      <c r="DS11" s="112"/>
      <c r="DT11" s="112"/>
      <c r="DU11" s="111"/>
      <c r="DV11" s="114"/>
      <c r="DW11" s="80">
        <f t="shared" si="61"/>
        <v>3580.45</v>
      </c>
      <c r="DX11" s="81">
        <f t="shared" si="29"/>
        <v>3444.5999999999995</v>
      </c>
      <c r="DY11" s="80">
        <f t="shared" si="62"/>
        <v>3670</v>
      </c>
      <c r="DZ11" s="82">
        <f t="shared" si="63"/>
        <v>0.20599999999999999</v>
      </c>
      <c r="EA11" s="82">
        <f t="shared" si="64"/>
        <v>7.1340000000000003</v>
      </c>
      <c r="EB11" s="82" t="e">
        <f t="shared" si="65"/>
        <v>#VALUE!</v>
      </c>
      <c r="EC11" s="82" t="e">
        <f t="shared" si="30"/>
        <v>#VALUE!</v>
      </c>
      <c r="EF11" s="83">
        <f t="shared" si="72"/>
        <v>-135.85000000000014</v>
      </c>
    </row>
    <row r="12" spans="1:136" ht="15" customHeight="1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1"/>
        <v>DCC3604-10x3-H9B12</v>
      </c>
      <c r="H12" s="46" t="str">
        <f t="shared" si="32"/>
        <v>C3604DC100DH9</v>
      </c>
      <c r="I12" s="46" t="str">
        <f t="shared" si="33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4"/>
        <v>26</v>
      </c>
      <c r="T12" s="51">
        <f>'05.02'!BG12</f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5"/>
        <v>0</v>
      </c>
      <c r="AF12" s="54">
        <f>AE12+'05.02'!AF12</f>
        <v>0</v>
      </c>
      <c r="AG12" s="94">
        <f t="shared" si="66"/>
        <v>0</v>
      </c>
      <c r="AH12" s="56">
        <f t="shared" si="13"/>
        <v>0</v>
      </c>
      <c r="AI12" s="89"/>
      <c r="AJ12" s="93">
        <f t="shared" si="67"/>
        <v>0</v>
      </c>
      <c r="AK12" s="95">
        <f t="shared" si="36"/>
        <v>1</v>
      </c>
      <c r="AL12" s="58">
        <f t="shared" si="37"/>
        <v>0</v>
      </c>
      <c r="AM12" s="55">
        <f t="shared" si="68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8"/>
        <v>0</v>
      </c>
      <c r="AV12" s="96">
        <f t="shared" si="38"/>
        <v>0</v>
      </c>
      <c r="AW12" s="96">
        <f t="shared" si="39"/>
        <v>0</v>
      </c>
      <c r="AX12" s="96">
        <f t="shared" si="40"/>
        <v>0</v>
      </c>
      <c r="AY12" s="94">
        <f t="shared" si="69"/>
        <v>0</v>
      </c>
      <c r="AZ12" s="94">
        <f t="shared" si="41"/>
        <v>0</v>
      </c>
      <c r="BA12" s="94">
        <f t="shared" si="42"/>
        <v>0</v>
      </c>
      <c r="BB12" s="97">
        <f t="shared" si="43"/>
        <v>0</v>
      </c>
      <c r="BC12" s="93"/>
      <c r="BD12" s="93">
        <f t="shared" si="44"/>
        <v>0</v>
      </c>
      <c r="BE12" s="95">
        <f t="shared" si="45"/>
        <v>1</v>
      </c>
      <c r="BF12" s="58">
        <f t="shared" si="46"/>
        <v>0</v>
      </c>
      <c r="BG12" s="94">
        <f t="shared" si="47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0"/>
        <v>0</v>
      </c>
      <c r="BP12" s="92">
        <f t="shared" si="70"/>
        <v>0</v>
      </c>
      <c r="BQ12" s="96">
        <f t="shared" si="48"/>
        <v>0</v>
      </c>
      <c r="BR12" s="96">
        <f t="shared" si="49"/>
        <v>0</v>
      </c>
      <c r="BS12" s="96">
        <f t="shared" si="71"/>
        <v>0</v>
      </c>
      <c r="BT12" s="96">
        <f t="shared" si="50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1"/>
        <v>0</v>
      </c>
      <c r="BY12" s="61">
        <f>IFERROR(BF12+AL12,0)</f>
        <v>0</v>
      </c>
      <c r="BZ12" s="62">
        <f t="shared" si="52"/>
        <v>0</v>
      </c>
      <c r="CA12" s="98">
        <f t="shared" si="53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4"/>
        <v>0</v>
      </c>
      <c r="CH12" s="62">
        <f t="shared" si="55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6"/>
        <v>0</v>
      </c>
      <c r="CR12" s="102">
        <f t="shared" si="20"/>
        <v>0</v>
      </c>
      <c r="CS12" s="102">
        <f t="shared" si="20"/>
        <v>0</v>
      </c>
      <c r="CT12" s="92">
        <f t="shared" si="57"/>
        <v>0</v>
      </c>
      <c r="CU12" s="92">
        <f t="shared" si="58"/>
        <v>0</v>
      </c>
      <c r="CV12" s="103">
        <f t="shared" si="58"/>
        <v>0</v>
      </c>
      <c r="CW12" s="104"/>
      <c r="CX12" s="105">
        <v>24</v>
      </c>
      <c r="CY12" s="106">
        <f t="shared" si="59"/>
        <v>1612</v>
      </c>
      <c r="CZ12" s="106">
        <f t="shared" si="60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28"/>
        <v>0</v>
      </c>
      <c r="DO12" s="76">
        <f t="shared" si="28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1"/>
        <v>0</v>
      </c>
      <c r="DX12" s="81">
        <f t="shared" si="29"/>
        <v>0</v>
      </c>
      <c r="DY12" s="80">
        <f t="shared" si="62"/>
        <v>0</v>
      </c>
      <c r="DZ12" s="82">
        <f t="shared" si="63"/>
        <v>0</v>
      </c>
      <c r="EA12" s="82">
        <f t="shared" si="64"/>
        <v>0</v>
      </c>
      <c r="EB12" s="82">
        <f t="shared" si="65"/>
        <v>0</v>
      </c>
      <c r="EC12" s="82">
        <f t="shared" si="30"/>
        <v>0</v>
      </c>
    </row>
    <row r="13" spans="1:136" ht="15" customHeight="1">
      <c r="A13" s="84">
        <v>6</v>
      </c>
      <c r="B13" s="85" t="s">
        <v>151</v>
      </c>
      <c r="C13" s="86"/>
      <c r="D13" s="117">
        <v>10620</v>
      </c>
      <c r="E13" s="88">
        <v>127</v>
      </c>
      <c r="F13" s="89" t="s">
        <v>128</v>
      </c>
      <c r="G13" s="45" t="str">
        <f t="shared" si="31"/>
        <v>DCC3604-10x3-H9B12</v>
      </c>
      <c r="H13" s="46" t="str">
        <f t="shared" si="32"/>
        <v>C3604DC100DH9</v>
      </c>
      <c r="I13" s="46" t="str">
        <f t="shared" si="33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4"/>
        <v>40</v>
      </c>
      <c r="T13" s="51">
        <v>16</v>
      </c>
      <c r="U13" s="92">
        <v>44</v>
      </c>
      <c r="V13" s="89">
        <v>7.64</v>
      </c>
      <c r="W13" s="93">
        <f t="shared" si="5"/>
        <v>0</v>
      </c>
      <c r="X13" s="93">
        <f t="shared" si="6"/>
        <v>2005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91</v>
      </c>
      <c r="AE13" s="93">
        <f t="shared" si="35"/>
        <v>2005</v>
      </c>
      <c r="AF13" s="54">
        <f>AE13+'05.02'!AF13</f>
        <v>11415</v>
      </c>
      <c r="AG13" s="94">
        <f t="shared" si="66"/>
        <v>16</v>
      </c>
      <c r="AH13" s="56">
        <f t="shared" si="13"/>
        <v>0</v>
      </c>
      <c r="AI13" s="89">
        <v>14</v>
      </c>
      <c r="AJ13" s="93">
        <f t="shared" si="67"/>
        <v>0</v>
      </c>
      <c r="AK13" s="95">
        <f t="shared" si="36"/>
        <v>1</v>
      </c>
      <c r="AL13" s="58">
        <f t="shared" si="37"/>
        <v>14</v>
      </c>
      <c r="AM13" s="55">
        <f t="shared" si="68"/>
        <v>46</v>
      </c>
      <c r="AN13" s="93"/>
      <c r="AO13" s="96"/>
      <c r="AP13" s="96">
        <f t="shared" si="14"/>
        <v>12888</v>
      </c>
      <c r="AQ13" s="96"/>
      <c r="AR13" s="96"/>
      <c r="AS13" s="96"/>
      <c r="AT13" s="96"/>
      <c r="AU13" s="96">
        <f t="shared" si="38"/>
        <v>0</v>
      </c>
      <c r="AV13" s="96">
        <f t="shared" si="38"/>
        <v>120</v>
      </c>
      <c r="AW13" s="96">
        <f t="shared" si="39"/>
        <v>13008</v>
      </c>
      <c r="AX13" s="96">
        <f t="shared" si="40"/>
        <v>1702</v>
      </c>
      <c r="AY13" s="94">
        <f t="shared" si="69"/>
        <v>-575.92000000000007</v>
      </c>
      <c r="AZ13" s="94">
        <f t="shared" si="41"/>
        <v>-75.382198952879591</v>
      </c>
      <c r="BA13" s="94">
        <f t="shared" si="42"/>
        <v>46</v>
      </c>
      <c r="BB13" s="97">
        <f t="shared" si="43"/>
        <v>0</v>
      </c>
      <c r="BC13" s="93">
        <v>3</v>
      </c>
      <c r="BD13" s="93">
        <f t="shared" si="44"/>
        <v>0</v>
      </c>
      <c r="BE13" s="95">
        <f t="shared" si="45"/>
        <v>1</v>
      </c>
      <c r="BF13" s="58">
        <f t="shared" si="46"/>
        <v>3</v>
      </c>
      <c r="BG13" s="94">
        <f t="shared" si="47"/>
        <v>43</v>
      </c>
      <c r="BH13" s="89"/>
      <c r="BI13" s="89"/>
      <c r="BJ13" s="92">
        <f t="shared" si="15"/>
        <v>2432</v>
      </c>
      <c r="BK13" s="89"/>
      <c r="BL13" s="89"/>
      <c r="BM13" s="89"/>
      <c r="BN13" s="89"/>
      <c r="BO13" s="92">
        <f t="shared" si="70"/>
        <v>0</v>
      </c>
      <c r="BP13" s="92">
        <f t="shared" si="70"/>
        <v>580</v>
      </c>
      <c r="BQ13" s="96">
        <f t="shared" si="48"/>
        <v>3012</v>
      </c>
      <c r="BR13" s="96">
        <f t="shared" si="49"/>
        <v>394</v>
      </c>
      <c r="BS13" s="96">
        <f t="shared" si="71"/>
        <v>101.16000000000031</v>
      </c>
      <c r="BT13" s="96">
        <f t="shared" si="50"/>
        <v>13.24083769633512</v>
      </c>
      <c r="BU13" s="92">
        <f t="shared" si="16"/>
        <v>2005</v>
      </c>
      <c r="BV13" s="98">
        <f t="shared" si="17"/>
        <v>17</v>
      </c>
      <c r="BW13" s="92">
        <f t="shared" si="18"/>
        <v>-62.141361256544471</v>
      </c>
      <c r="BX13" s="98">
        <f t="shared" si="51"/>
        <v>34</v>
      </c>
      <c r="BY13" s="61">
        <f t="shared" si="73"/>
        <v>17</v>
      </c>
      <c r="BZ13" s="62">
        <f t="shared" si="52"/>
        <v>17</v>
      </c>
      <c r="CA13" s="98">
        <f t="shared" si="53"/>
        <v>16.02</v>
      </c>
      <c r="CB13" s="92">
        <f t="shared" si="19"/>
        <v>2096</v>
      </c>
      <c r="CC13" s="92">
        <f t="shared" si="19"/>
        <v>-474.75999999999976</v>
      </c>
      <c r="CD13" s="92">
        <f t="shared" si="19"/>
        <v>-62.141361256544471</v>
      </c>
      <c r="CE13" s="99"/>
      <c r="CF13" s="99"/>
      <c r="CG13" s="51">
        <f t="shared" si="54"/>
        <v>18.68</v>
      </c>
      <c r="CH13" s="62">
        <f t="shared" si="55"/>
        <v>18.68</v>
      </c>
      <c r="CI13" s="89"/>
      <c r="CJ13" s="89">
        <v>12888</v>
      </c>
      <c r="CK13" s="89"/>
      <c r="CL13" s="96">
        <v>120</v>
      </c>
      <c r="CM13" s="89"/>
      <c r="CN13" s="89">
        <v>2432</v>
      </c>
      <c r="CO13" s="92"/>
      <c r="CP13" s="101">
        <v>580</v>
      </c>
      <c r="CQ13" s="102">
        <f t="shared" si="56"/>
        <v>1686</v>
      </c>
      <c r="CR13" s="102">
        <f t="shared" si="20"/>
        <v>0</v>
      </c>
      <c r="CS13" s="102">
        <f t="shared" si="20"/>
        <v>15</v>
      </c>
      <c r="CT13" s="92">
        <f t="shared" si="57"/>
        <v>319</v>
      </c>
      <c r="CU13" s="92">
        <f t="shared" si="58"/>
        <v>0</v>
      </c>
      <c r="CV13" s="103">
        <f t="shared" si="58"/>
        <v>76</v>
      </c>
      <c r="CW13" s="104"/>
      <c r="CX13" s="105">
        <v>14</v>
      </c>
      <c r="CY13" s="106">
        <f t="shared" si="59"/>
        <v>2550</v>
      </c>
      <c r="CZ13" s="106">
        <f t="shared" si="60"/>
        <v>113.4</v>
      </c>
      <c r="DA13" s="106"/>
      <c r="DB13" s="106"/>
      <c r="DC13" s="105"/>
      <c r="DD13" s="107"/>
      <c r="DE13" s="92">
        <f t="shared" si="21"/>
        <v>1686</v>
      </c>
      <c r="DF13" s="108">
        <f t="shared" si="22"/>
        <v>14</v>
      </c>
      <c r="DG13" s="112">
        <f t="shared" si="23"/>
        <v>-75.382198952879591</v>
      </c>
      <c r="DH13" s="110">
        <f t="shared" si="24"/>
        <v>319</v>
      </c>
      <c r="DI13" s="108">
        <f t="shared" si="25"/>
        <v>3</v>
      </c>
      <c r="DJ13" s="112">
        <f t="shared" si="26"/>
        <v>13.24083769633512</v>
      </c>
      <c r="DK13" s="110">
        <f t="shared" si="27"/>
        <v>2005</v>
      </c>
      <c r="DL13" s="108">
        <f t="shared" si="27"/>
        <v>17</v>
      </c>
      <c r="DM13" s="111">
        <f t="shared" si="27"/>
        <v>-62.141361256544471</v>
      </c>
      <c r="DN13" s="76">
        <f t="shared" si="28"/>
        <v>16</v>
      </c>
      <c r="DO13" s="76">
        <f t="shared" si="28"/>
        <v>44</v>
      </c>
      <c r="DP13" s="112"/>
      <c r="DQ13" s="112"/>
      <c r="DR13" s="113" t="s">
        <v>420</v>
      </c>
      <c r="DS13" s="112"/>
      <c r="DT13" s="112"/>
      <c r="DU13" s="111"/>
      <c r="DV13" s="114"/>
      <c r="DW13" s="80">
        <f t="shared" si="61"/>
        <v>2022</v>
      </c>
      <c r="DX13" s="81">
        <f t="shared" si="29"/>
        <v>1959.8586387434555</v>
      </c>
      <c r="DY13" s="80">
        <f t="shared" si="62"/>
        <v>2096</v>
      </c>
      <c r="DZ13" s="82">
        <f t="shared" si="63"/>
        <v>0.69523999999999997</v>
      </c>
      <c r="EA13" s="82">
        <f t="shared" si="64"/>
        <v>15.318199999999999</v>
      </c>
      <c r="EB13" s="82">
        <f t="shared" si="65"/>
        <v>18.681800000000003</v>
      </c>
      <c r="EC13" s="82">
        <f t="shared" si="30"/>
        <v>18.68</v>
      </c>
    </row>
    <row r="14" spans="1:136" ht="15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1"/>
        <v>IBC3602-7.5x3-H9A14</v>
      </c>
      <c r="H14" s="46" t="str">
        <f t="shared" si="32"/>
        <v>C3602IB7.50DH9</v>
      </c>
      <c r="I14" s="46" t="str">
        <f t="shared" si="33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4"/>
        <v>100</v>
      </c>
      <c r="T14" s="51">
        <f>'05.02'!BG14</f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5"/>
        <v>0</v>
      </c>
      <c r="AF14" s="54">
        <f>AE14+'05.02'!AF14</f>
        <v>0</v>
      </c>
      <c r="AG14" s="94">
        <f t="shared" si="66"/>
        <v>0</v>
      </c>
      <c r="AH14" s="56">
        <f t="shared" si="13"/>
        <v>0</v>
      </c>
      <c r="AI14" s="89"/>
      <c r="AJ14" s="93">
        <f t="shared" si="67"/>
        <v>0</v>
      </c>
      <c r="AK14" s="95">
        <f t="shared" si="36"/>
        <v>1</v>
      </c>
      <c r="AL14" s="58">
        <f t="shared" si="37"/>
        <v>0</v>
      </c>
      <c r="AM14" s="55">
        <f t="shared" si="68"/>
        <v>0</v>
      </c>
      <c r="AN14" s="93"/>
      <c r="AO14" s="96"/>
      <c r="AP14" s="96"/>
      <c r="AQ14" s="96"/>
      <c r="AR14" s="96"/>
      <c r="AS14" s="96"/>
      <c r="AT14" s="96">
        <f t="shared" ref="AT14" si="74">$CJ14</f>
        <v>0</v>
      </c>
      <c r="AU14" s="96">
        <f t="shared" si="38"/>
        <v>0</v>
      </c>
      <c r="AV14" s="96">
        <f t="shared" si="38"/>
        <v>0</v>
      </c>
      <c r="AW14" s="96">
        <f t="shared" si="39"/>
        <v>0</v>
      </c>
      <c r="AX14" s="96">
        <f t="shared" si="40"/>
        <v>0</v>
      </c>
      <c r="AY14" s="94">
        <f t="shared" si="69"/>
        <v>0</v>
      </c>
      <c r="AZ14" s="94">
        <f t="shared" si="41"/>
        <v>0</v>
      </c>
      <c r="BA14" s="94">
        <f t="shared" si="42"/>
        <v>0</v>
      </c>
      <c r="BB14" s="97">
        <f t="shared" si="43"/>
        <v>0</v>
      </c>
      <c r="BC14" s="93"/>
      <c r="BD14" s="93">
        <f t="shared" si="44"/>
        <v>0</v>
      </c>
      <c r="BE14" s="95">
        <f t="shared" si="45"/>
        <v>1</v>
      </c>
      <c r="BF14" s="58">
        <f t="shared" si="46"/>
        <v>0</v>
      </c>
      <c r="BG14" s="94">
        <f t="shared" si="47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0"/>
        <v>0</v>
      </c>
      <c r="BP14" s="92">
        <f t="shared" si="70"/>
        <v>0</v>
      </c>
      <c r="BQ14" s="96">
        <f t="shared" si="48"/>
        <v>0</v>
      </c>
      <c r="BR14" s="96">
        <f t="shared" si="49"/>
        <v>0</v>
      </c>
      <c r="BS14" s="96">
        <f t="shared" si="71"/>
        <v>0</v>
      </c>
      <c r="BT14" s="96">
        <f t="shared" si="50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1"/>
        <v>0</v>
      </c>
      <c r="BY14" s="61">
        <f t="shared" si="73"/>
        <v>0</v>
      </c>
      <c r="BZ14" s="62">
        <f t="shared" si="52"/>
        <v>0</v>
      </c>
      <c r="CA14" s="98">
        <f t="shared" si="53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4"/>
        <v>0</v>
      </c>
      <c r="CH14" s="62">
        <f t="shared" si="55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6"/>
        <v>0</v>
      </c>
      <c r="CR14" s="102">
        <f t="shared" si="20"/>
        <v>0</v>
      </c>
      <c r="CS14" s="102">
        <f t="shared" si="20"/>
        <v>0</v>
      </c>
      <c r="CT14" s="92">
        <f t="shared" si="57"/>
        <v>0</v>
      </c>
      <c r="CU14" s="92">
        <f t="shared" si="58"/>
        <v>0</v>
      </c>
      <c r="CV14" s="103">
        <f t="shared" si="58"/>
        <v>0</v>
      </c>
      <c r="CW14" s="104" t="s">
        <v>157</v>
      </c>
      <c r="CX14" s="105">
        <v>14</v>
      </c>
      <c r="CY14" s="106">
        <f t="shared" si="59"/>
        <v>2985</v>
      </c>
      <c r="CZ14" s="106">
        <f t="shared" si="60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28"/>
        <v>0</v>
      </c>
      <c r="DO14" s="76">
        <f t="shared" si="28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1"/>
        <v>0</v>
      </c>
      <c r="DX14" s="81">
        <f t="shared" si="29"/>
        <v>0</v>
      </c>
      <c r="DY14" s="80">
        <f t="shared" si="62"/>
        <v>0</v>
      </c>
      <c r="DZ14" s="82">
        <f t="shared" si="63"/>
        <v>0</v>
      </c>
      <c r="EA14" s="82">
        <f t="shared" si="64"/>
        <v>0</v>
      </c>
      <c r="EB14" s="82">
        <f t="shared" si="65"/>
        <v>0</v>
      </c>
      <c r="EC14" s="82">
        <f>(BX14-CA14)+((AV14+BP14)/1000)</f>
        <v>0</v>
      </c>
    </row>
    <row r="15" spans="1:136">
      <c r="A15" s="84">
        <v>8</v>
      </c>
      <c r="B15" s="85" t="s">
        <v>158</v>
      </c>
      <c r="C15" s="86"/>
      <c r="D15" s="87" t="s">
        <v>159</v>
      </c>
      <c r="E15" s="88">
        <v>30</v>
      </c>
      <c r="F15" s="89" t="s">
        <v>136</v>
      </c>
      <c r="G15" s="45" t="str">
        <f t="shared" si="31"/>
        <v>TV12L14-H6x2.5-H11A14</v>
      </c>
      <c r="H15" s="46" t="str">
        <f t="shared" si="32"/>
        <v>12L14TV60HH11</v>
      </c>
      <c r="I15" s="46" t="str">
        <f t="shared" si="33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4"/>
        <v>50</v>
      </c>
      <c r="T15" s="51">
        <f>'05.02'!BG15</f>
        <v>26</v>
      </c>
      <c r="U15" s="92">
        <v>124</v>
      </c>
      <c r="V15" s="89">
        <v>16.149999999999999</v>
      </c>
      <c r="W15" s="93">
        <f t="shared" si="5"/>
        <v>1618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58</v>
      </c>
      <c r="AE15" s="93">
        <f t="shared" si="35"/>
        <v>1618</v>
      </c>
      <c r="AF15" s="54">
        <f>AE15+'05.02'!AF15</f>
        <v>3499</v>
      </c>
      <c r="AG15" s="94">
        <f t="shared" si="66"/>
        <v>26</v>
      </c>
      <c r="AH15" s="56">
        <f t="shared" si="13"/>
        <v>0</v>
      </c>
      <c r="AI15" s="89">
        <v>28</v>
      </c>
      <c r="AJ15" s="93">
        <f t="shared" si="67"/>
        <v>0</v>
      </c>
      <c r="AK15" s="95">
        <f t="shared" si="36"/>
        <v>1</v>
      </c>
      <c r="AL15" s="58">
        <f t="shared" si="37"/>
        <v>28</v>
      </c>
      <c r="AM15" s="55">
        <f t="shared" si="68"/>
        <v>122</v>
      </c>
      <c r="AN15" s="93"/>
      <c r="AO15" s="96">
        <f>$CJ15</f>
        <v>13117</v>
      </c>
      <c r="AP15" s="96"/>
      <c r="AQ15" s="96"/>
      <c r="AR15" s="96"/>
      <c r="AS15" s="96"/>
      <c r="AT15" s="96"/>
      <c r="AU15" s="96">
        <f t="shared" si="38"/>
        <v>0</v>
      </c>
      <c r="AV15" s="96">
        <f t="shared" si="38"/>
        <v>419</v>
      </c>
      <c r="AW15" s="96">
        <f t="shared" si="39"/>
        <v>13536</v>
      </c>
      <c r="AX15" s="96">
        <f t="shared" si="40"/>
        <v>838</v>
      </c>
      <c r="AY15" s="94">
        <f t="shared" si="69"/>
        <v>-29.999999999998181</v>
      </c>
      <c r="AZ15" s="94">
        <f t="shared" si="41"/>
        <v>-1.857585139318773</v>
      </c>
      <c r="BA15" s="94">
        <f t="shared" si="42"/>
        <v>122</v>
      </c>
      <c r="BB15" s="97">
        <f t="shared" si="43"/>
        <v>0</v>
      </c>
      <c r="BC15" s="93">
        <v>28</v>
      </c>
      <c r="BD15" s="93">
        <f t="shared" si="44"/>
        <v>0</v>
      </c>
      <c r="BE15" s="95">
        <f t="shared" si="45"/>
        <v>1</v>
      </c>
      <c r="BF15" s="58">
        <f t="shared" si="46"/>
        <v>28</v>
      </c>
      <c r="BG15" s="94">
        <f t="shared" si="47"/>
        <v>94</v>
      </c>
      <c r="BH15" s="89"/>
      <c r="BI15" s="92">
        <f>$CN15</f>
        <v>13015</v>
      </c>
      <c r="BJ15" s="89"/>
      <c r="BK15" s="89"/>
      <c r="BL15" s="89"/>
      <c r="BM15" s="89"/>
      <c r="BN15" s="89"/>
      <c r="BO15" s="92">
        <f t="shared" si="70"/>
        <v>0</v>
      </c>
      <c r="BP15" s="92">
        <f t="shared" si="70"/>
        <v>532</v>
      </c>
      <c r="BQ15" s="96">
        <f t="shared" si="48"/>
        <v>13547</v>
      </c>
      <c r="BR15" s="96">
        <f t="shared" si="49"/>
        <v>838</v>
      </c>
      <c r="BS15" s="96">
        <f t="shared" si="71"/>
        <v>-18.999999999998181</v>
      </c>
      <c r="BT15" s="96">
        <f t="shared" si="50"/>
        <v>-1.1764705882351816</v>
      </c>
      <c r="BU15" s="92">
        <f t="shared" si="16"/>
        <v>1618</v>
      </c>
      <c r="BV15" s="98">
        <f t="shared" si="17"/>
        <v>56</v>
      </c>
      <c r="BW15" s="92">
        <f t="shared" si="18"/>
        <v>-3.0340557275539544</v>
      </c>
      <c r="BX15" s="98">
        <f t="shared" si="51"/>
        <v>33.936</v>
      </c>
      <c r="BY15" s="61">
        <f t="shared" si="73"/>
        <v>56</v>
      </c>
      <c r="BZ15" s="62">
        <f t="shared" si="52"/>
        <v>56</v>
      </c>
      <c r="CA15" s="98">
        <f t="shared" si="53"/>
        <v>27.082999999999998</v>
      </c>
      <c r="CB15" s="92">
        <f t="shared" si="19"/>
        <v>1676</v>
      </c>
      <c r="CC15" s="92">
        <f t="shared" si="19"/>
        <v>-48.999999999996362</v>
      </c>
      <c r="CD15" s="92">
        <f t="shared" si="19"/>
        <v>-3.0340557275539544</v>
      </c>
      <c r="CE15" s="99"/>
      <c r="CF15" s="99"/>
      <c r="CG15" s="51">
        <f t="shared" si="54"/>
        <v>7.8040000000000012</v>
      </c>
      <c r="CH15" s="62">
        <f t="shared" si="55"/>
        <v>7.8040000000000012</v>
      </c>
      <c r="CI15" s="89"/>
      <c r="CJ15" s="89">
        <v>13117</v>
      </c>
      <c r="CK15" s="89"/>
      <c r="CL15" s="96">
        <v>419</v>
      </c>
      <c r="CM15" s="89"/>
      <c r="CN15" s="89">
        <v>13015</v>
      </c>
      <c r="CO15" s="92"/>
      <c r="CP15" s="101">
        <v>532</v>
      </c>
      <c r="CQ15" s="102">
        <f t="shared" si="56"/>
        <v>812</v>
      </c>
      <c r="CR15" s="102">
        <f t="shared" si="20"/>
        <v>0</v>
      </c>
      <c r="CS15" s="102">
        <f t="shared" si="20"/>
        <v>25</v>
      </c>
      <c r="CT15" s="92">
        <f t="shared" si="57"/>
        <v>806</v>
      </c>
      <c r="CU15" s="92">
        <f t="shared" si="58"/>
        <v>0</v>
      </c>
      <c r="CV15" s="103">
        <f t="shared" si="58"/>
        <v>33</v>
      </c>
      <c r="CW15" s="104"/>
      <c r="CX15" s="105">
        <v>45</v>
      </c>
      <c r="CY15" s="106">
        <f t="shared" si="59"/>
        <v>746</v>
      </c>
      <c r="CZ15" s="106">
        <f t="shared" si="60"/>
        <v>364.5</v>
      </c>
      <c r="DA15" s="106"/>
      <c r="DB15" s="106"/>
      <c r="DC15" s="105"/>
      <c r="DD15" s="107"/>
      <c r="DE15" s="92">
        <f t="shared" si="21"/>
        <v>812</v>
      </c>
      <c r="DF15" s="108">
        <f t="shared" si="22"/>
        <v>28</v>
      </c>
      <c r="DG15" s="112">
        <f t="shared" si="23"/>
        <v>-1.857585139318773</v>
      </c>
      <c r="DH15" s="110">
        <f t="shared" si="24"/>
        <v>806</v>
      </c>
      <c r="DI15" s="108">
        <f t="shared" si="25"/>
        <v>28</v>
      </c>
      <c r="DJ15" s="115">
        <f t="shared" si="26"/>
        <v>-1.1764705882351816</v>
      </c>
      <c r="DK15" s="110">
        <f t="shared" si="27"/>
        <v>1618</v>
      </c>
      <c r="DL15" s="108">
        <f t="shared" si="27"/>
        <v>56</v>
      </c>
      <c r="DM15" s="111">
        <f t="shared" si="27"/>
        <v>-3.0340557275539544</v>
      </c>
      <c r="DN15" s="76">
        <f t="shared" si="28"/>
        <v>26</v>
      </c>
      <c r="DO15" s="76">
        <f t="shared" si="28"/>
        <v>124</v>
      </c>
      <c r="DP15" s="112"/>
      <c r="DQ15" s="112"/>
      <c r="DR15" s="113" t="s">
        <v>487</v>
      </c>
      <c r="DS15" s="112"/>
      <c r="DT15" s="112"/>
      <c r="DU15" s="111"/>
      <c r="DV15" s="114"/>
      <c r="DW15" s="80">
        <f t="shared" si="61"/>
        <v>1674</v>
      </c>
      <c r="DX15" s="81">
        <f t="shared" si="29"/>
        <v>1670.965944272446</v>
      </c>
      <c r="DY15" s="80">
        <f t="shared" si="62"/>
        <v>1676</v>
      </c>
      <c r="DZ15" s="82">
        <f t="shared" si="63"/>
        <v>0.93669999999999998</v>
      </c>
      <c r="EA15" s="82">
        <f t="shared" si="64"/>
        <v>26.130699999999997</v>
      </c>
      <c r="EB15" s="82">
        <f t="shared" si="65"/>
        <v>7.8053000000000026</v>
      </c>
      <c r="EC15" s="82">
        <f t="shared" ref="EC15:EC78" si="75">EB15+DZ15</f>
        <v>8.7420000000000027</v>
      </c>
      <c r="EF15" s="83">
        <f t="shared" ref="EF15:EF18" si="76">DG15+DJ15</f>
        <v>-3.0340557275539544</v>
      </c>
    </row>
    <row r="16" spans="1:136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1"/>
        <v>GWA6063-T5-T18.15x8.6x3-H9A15</v>
      </c>
      <c r="H16" s="46" t="str">
        <f t="shared" si="32"/>
        <v>A6063-T5GW18.158.6TH9</v>
      </c>
      <c r="I16" s="46" t="str">
        <f t="shared" si="33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4"/>
        <v>14</v>
      </c>
      <c r="T16" s="51">
        <f>'05.02'!BG16</f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5"/>
        <v>0</v>
      </c>
      <c r="AF16" s="54">
        <f>AE16+'05.02'!AF16</f>
        <v>0</v>
      </c>
      <c r="AG16" s="94">
        <f t="shared" si="66"/>
        <v>0</v>
      </c>
      <c r="AH16" s="56">
        <f t="shared" si="13"/>
        <v>0</v>
      </c>
      <c r="AI16" s="89"/>
      <c r="AJ16" s="93">
        <f t="shared" si="67"/>
        <v>0</v>
      </c>
      <c r="AK16" s="95">
        <f t="shared" si="36"/>
        <v>1</v>
      </c>
      <c r="AL16" s="58">
        <f t="shared" si="37"/>
        <v>0</v>
      </c>
      <c r="AM16" s="55">
        <f t="shared" si="68"/>
        <v>0</v>
      </c>
      <c r="AN16" s="93"/>
      <c r="AO16" s="96"/>
      <c r="AP16" s="96">
        <f t="shared" ref="AP16:AP19" si="77">$CJ16</f>
        <v>0</v>
      </c>
      <c r="AQ16" s="96"/>
      <c r="AR16" s="96"/>
      <c r="AS16" s="96"/>
      <c r="AT16" s="96"/>
      <c r="AU16" s="96">
        <f t="shared" si="38"/>
        <v>0</v>
      </c>
      <c r="AV16" s="96">
        <f t="shared" si="38"/>
        <v>0</v>
      </c>
      <c r="AW16" s="96">
        <f t="shared" si="39"/>
        <v>0</v>
      </c>
      <c r="AX16" s="96">
        <f t="shared" si="40"/>
        <v>0</v>
      </c>
      <c r="AY16" s="94">
        <f t="shared" si="69"/>
        <v>0</v>
      </c>
      <c r="AZ16" s="94">
        <f t="shared" si="41"/>
        <v>0</v>
      </c>
      <c r="BA16" s="94">
        <f t="shared" si="42"/>
        <v>0</v>
      </c>
      <c r="BB16" s="97">
        <f t="shared" si="43"/>
        <v>0</v>
      </c>
      <c r="BC16" s="93"/>
      <c r="BD16" s="93">
        <f t="shared" si="44"/>
        <v>0</v>
      </c>
      <c r="BE16" s="95">
        <f t="shared" si="45"/>
        <v>1</v>
      </c>
      <c r="BF16" s="58">
        <f t="shared" si="46"/>
        <v>0</v>
      </c>
      <c r="BG16" s="94">
        <f t="shared" si="47"/>
        <v>0</v>
      </c>
      <c r="BH16" s="89"/>
      <c r="BI16" s="89"/>
      <c r="BJ16" s="92">
        <f t="shared" ref="BJ16:BJ19" si="78">$CN16</f>
        <v>0</v>
      </c>
      <c r="BK16" s="89"/>
      <c r="BL16" s="89"/>
      <c r="BM16" s="89"/>
      <c r="BN16" s="89"/>
      <c r="BO16" s="92">
        <f t="shared" si="70"/>
        <v>0</v>
      </c>
      <c r="BP16" s="92">
        <f t="shared" si="70"/>
        <v>0</v>
      </c>
      <c r="BQ16" s="96">
        <f t="shared" si="48"/>
        <v>0</v>
      </c>
      <c r="BR16" s="96">
        <f t="shared" si="49"/>
        <v>0</v>
      </c>
      <c r="BS16" s="96">
        <f t="shared" si="71"/>
        <v>0</v>
      </c>
      <c r="BT16" s="96">
        <f t="shared" si="50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1"/>
        <v>0</v>
      </c>
      <c r="BY16" s="61">
        <f t="shared" si="73"/>
        <v>0</v>
      </c>
      <c r="BZ16" s="62">
        <f t="shared" si="52"/>
        <v>0</v>
      </c>
      <c r="CA16" s="98">
        <f t="shared" si="53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4"/>
        <v>0</v>
      </c>
      <c r="CH16" s="62">
        <f t="shared" si="55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6"/>
        <v>0</v>
      </c>
      <c r="CR16" s="102">
        <f t="shared" si="20"/>
        <v>0</v>
      </c>
      <c r="CS16" s="102">
        <f t="shared" si="20"/>
        <v>0</v>
      </c>
      <c r="CT16" s="92">
        <f t="shared" si="57"/>
        <v>0</v>
      </c>
      <c r="CU16" s="92">
        <f t="shared" si="58"/>
        <v>0</v>
      </c>
      <c r="CV16" s="103">
        <f t="shared" si="58"/>
        <v>0</v>
      </c>
      <c r="CW16" s="104"/>
      <c r="CX16" s="105">
        <v>83.56</v>
      </c>
      <c r="CY16" s="106">
        <f t="shared" si="59"/>
        <v>488</v>
      </c>
      <c r="CZ16" s="106">
        <f t="shared" si="60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28"/>
        <v>0</v>
      </c>
      <c r="DO16" s="76">
        <f t="shared" si="28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79">IFERROR(AL16+BF16,"")</f>
        <v>0</v>
      </c>
      <c r="DX16" s="81">
        <f t="shared" si="29"/>
        <v>0</v>
      </c>
      <c r="DY16" s="80">
        <f t="shared" si="62"/>
        <v>0</v>
      </c>
      <c r="DZ16" s="82">
        <f t="shared" si="63"/>
        <v>0</v>
      </c>
      <c r="EA16" s="82">
        <f t="shared" si="64"/>
        <v>0</v>
      </c>
      <c r="EB16" s="82">
        <f t="shared" si="65"/>
        <v>0</v>
      </c>
      <c r="EC16" s="82">
        <f t="shared" si="75"/>
        <v>0</v>
      </c>
      <c r="EF16" s="83">
        <f t="shared" si="76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1"/>
        <v>GWA6063-T5-T18.15x8.6x3-H9A15</v>
      </c>
      <c r="H17" s="46" t="str">
        <f t="shared" si="32"/>
        <v>A6063-T5GW18.158.6TH9</v>
      </c>
      <c r="I17" s="46" t="str">
        <f t="shared" si="33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4"/>
        <v>14</v>
      </c>
      <c r="T17" s="51">
        <f>'05.02'!BG17</f>
        <v>7.0000000000000009</v>
      </c>
      <c r="U17" s="92">
        <v>30</v>
      </c>
      <c r="V17" s="89">
        <v>7.7</v>
      </c>
      <c r="W17" s="93">
        <f t="shared" si="5"/>
        <v>0</v>
      </c>
      <c r="X17" s="93">
        <f t="shared" si="6"/>
        <v>1078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20</v>
      </c>
      <c r="AE17" s="93">
        <f t="shared" si="35"/>
        <v>1078</v>
      </c>
      <c r="AF17" s="54">
        <f>AE17+'05.02'!AF17</f>
        <v>5493</v>
      </c>
      <c r="AG17" s="94">
        <f t="shared" si="66"/>
        <v>7.0000000000000009</v>
      </c>
      <c r="AH17" s="56">
        <f t="shared" si="13"/>
        <v>0</v>
      </c>
      <c r="AI17" s="89">
        <v>6</v>
      </c>
      <c r="AJ17" s="93">
        <f t="shared" si="67"/>
        <v>0</v>
      </c>
      <c r="AK17" s="95">
        <f t="shared" si="36"/>
        <v>1</v>
      </c>
      <c r="AL17" s="58">
        <f t="shared" si="37"/>
        <v>6</v>
      </c>
      <c r="AM17" s="55">
        <f t="shared" si="68"/>
        <v>31</v>
      </c>
      <c r="AN17" s="93"/>
      <c r="AO17" s="96"/>
      <c r="AP17" s="96">
        <f t="shared" si="77"/>
        <v>4104.1000000000004</v>
      </c>
      <c r="AQ17" s="96"/>
      <c r="AR17" s="96"/>
      <c r="AS17" s="96"/>
      <c r="AT17" s="96"/>
      <c r="AU17" s="96">
        <f t="shared" si="38"/>
        <v>0</v>
      </c>
      <c r="AV17" s="96">
        <f t="shared" si="38"/>
        <v>0</v>
      </c>
      <c r="AW17" s="96">
        <f t="shared" si="39"/>
        <v>4104.1000000000004</v>
      </c>
      <c r="AX17" s="96">
        <f t="shared" si="40"/>
        <v>533</v>
      </c>
      <c r="AY17" s="94">
        <f t="shared" si="69"/>
        <v>-100.09999999999945</v>
      </c>
      <c r="AZ17" s="94">
        <f t="shared" si="41"/>
        <v>-12.999999999999929</v>
      </c>
      <c r="BA17" s="94">
        <f t="shared" si="42"/>
        <v>31</v>
      </c>
      <c r="BB17" s="97">
        <f t="shared" si="43"/>
        <v>0</v>
      </c>
      <c r="BC17" s="93">
        <v>6</v>
      </c>
      <c r="BD17" s="93">
        <f t="shared" si="44"/>
        <v>0</v>
      </c>
      <c r="BE17" s="95">
        <f t="shared" si="45"/>
        <v>1</v>
      </c>
      <c r="BF17" s="58">
        <f t="shared" si="46"/>
        <v>6</v>
      </c>
      <c r="BG17" s="94">
        <f t="shared" si="47"/>
        <v>25</v>
      </c>
      <c r="BH17" s="89"/>
      <c r="BI17" s="89"/>
      <c r="BJ17" s="92">
        <f t="shared" si="78"/>
        <v>4196.5</v>
      </c>
      <c r="BK17" s="89"/>
      <c r="BL17" s="89"/>
      <c r="BM17" s="89"/>
      <c r="BN17" s="89"/>
      <c r="BO17" s="92">
        <f t="shared" si="70"/>
        <v>0</v>
      </c>
      <c r="BP17" s="92">
        <f t="shared" si="70"/>
        <v>160</v>
      </c>
      <c r="BQ17" s="96">
        <f t="shared" si="48"/>
        <v>4356.5</v>
      </c>
      <c r="BR17" s="96">
        <f t="shared" si="49"/>
        <v>565</v>
      </c>
      <c r="BS17" s="96">
        <f t="shared" si="71"/>
        <v>152.30000000000018</v>
      </c>
      <c r="BT17" s="96">
        <f t="shared" si="50"/>
        <v>19.779220779220804</v>
      </c>
      <c r="BU17" s="92">
        <f t="shared" si="16"/>
        <v>1078</v>
      </c>
      <c r="BV17" s="98">
        <f t="shared" si="17"/>
        <v>12</v>
      </c>
      <c r="BW17" s="92">
        <f t="shared" si="18"/>
        <v>6.779220779220875</v>
      </c>
      <c r="BX17" s="98">
        <f t="shared" si="51"/>
        <v>19.692</v>
      </c>
      <c r="BY17" s="61">
        <f t="shared" si="73"/>
        <v>12</v>
      </c>
      <c r="BZ17" s="62">
        <f t="shared" si="52"/>
        <v>12</v>
      </c>
      <c r="CA17" s="98">
        <f t="shared" si="53"/>
        <v>8.4606000000000012</v>
      </c>
      <c r="CB17" s="92">
        <f t="shared" si="19"/>
        <v>1098</v>
      </c>
      <c r="CC17" s="92">
        <f t="shared" si="19"/>
        <v>52.200000000000728</v>
      </c>
      <c r="CD17" s="92">
        <f t="shared" si="19"/>
        <v>6.779220779220875</v>
      </c>
      <c r="CE17" s="99"/>
      <c r="CF17" s="99"/>
      <c r="CG17" s="51">
        <f t="shared" si="54"/>
        <v>11.391399999999999</v>
      </c>
      <c r="CH17" s="62">
        <f t="shared" si="55"/>
        <v>11.391399999999999</v>
      </c>
      <c r="CI17" s="89"/>
      <c r="CJ17" s="89">
        <f>533*7.7</f>
        <v>4104.1000000000004</v>
      </c>
      <c r="CK17" s="89"/>
      <c r="CL17" s="96"/>
      <c r="CM17" s="89"/>
      <c r="CN17" s="92">
        <f>545*7.7</f>
        <v>4196.5</v>
      </c>
      <c r="CO17" s="92"/>
      <c r="CP17" s="101">
        <v>160</v>
      </c>
      <c r="CQ17" s="102">
        <f t="shared" si="56"/>
        <v>533</v>
      </c>
      <c r="CR17" s="102">
        <f t="shared" si="20"/>
        <v>0</v>
      </c>
      <c r="CS17" s="102">
        <f t="shared" si="20"/>
        <v>0</v>
      </c>
      <c r="CT17" s="92">
        <f t="shared" si="57"/>
        <v>545</v>
      </c>
      <c r="CU17" s="92">
        <f t="shared" si="58"/>
        <v>0</v>
      </c>
      <c r="CV17" s="103">
        <f t="shared" si="58"/>
        <v>20</v>
      </c>
      <c r="CW17" s="104"/>
      <c r="CX17" s="105">
        <v>60</v>
      </c>
      <c r="CY17" s="106">
        <f t="shared" si="59"/>
        <v>680</v>
      </c>
      <c r="CZ17" s="106">
        <f t="shared" si="60"/>
        <v>486.00000000000006</v>
      </c>
      <c r="DA17" s="106"/>
      <c r="DB17" s="106"/>
      <c r="DC17" s="105"/>
      <c r="DD17" s="107"/>
      <c r="DE17" s="92">
        <f t="shared" si="21"/>
        <v>533</v>
      </c>
      <c r="DF17" s="108">
        <f t="shared" si="22"/>
        <v>6</v>
      </c>
      <c r="DG17" s="112">
        <f t="shared" si="23"/>
        <v>-12.999999999999929</v>
      </c>
      <c r="DH17" s="110">
        <f t="shared" si="24"/>
        <v>545</v>
      </c>
      <c r="DI17" s="108">
        <f t="shared" si="25"/>
        <v>6</v>
      </c>
      <c r="DJ17" s="112">
        <f t="shared" si="26"/>
        <v>19.779220779220804</v>
      </c>
      <c r="DK17" s="110">
        <f t="shared" si="27"/>
        <v>1078</v>
      </c>
      <c r="DL17" s="108">
        <f t="shared" si="27"/>
        <v>12</v>
      </c>
      <c r="DM17" s="111">
        <f t="shared" si="27"/>
        <v>6.779220779220875</v>
      </c>
      <c r="DN17" s="76">
        <f t="shared" si="28"/>
        <v>7.0000000000000009</v>
      </c>
      <c r="DO17" s="76">
        <f t="shared" si="28"/>
        <v>30</v>
      </c>
      <c r="DP17" s="112"/>
      <c r="DQ17" s="112"/>
      <c r="DR17" s="113" t="s">
        <v>421</v>
      </c>
      <c r="DS17" s="112"/>
      <c r="DT17" s="112"/>
      <c r="DU17" s="111"/>
      <c r="DV17" s="114"/>
      <c r="DW17" s="80">
        <f t="shared" si="79"/>
        <v>12</v>
      </c>
      <c r="DX17" s="81">
        <f t="shared" si="29"/>
        <v>1096.7792207792209</v>
      </c>
      <c r="DY17" s="80">
        <f t="shared" si="62"/>
        <v>1098</v>
      </c>
      <c r="DZ17" s="82">
        <f t="shared" si="63"/>
        <v>0.154</v>
      </c>
      <c r="EA17" s="82">
        <f t="shared" si="64"/>
        <v>8.3006000000000011</v>
      </c>
      <c r="EB17" s="82">
        <f t="shared" si="65"/>
        <v>11.391399999999999</v>
      </c>
      <c r="EC17" s="82">
        <f t="shared" si="75"/>
        <v>11.545399999999999</v>
      </c>
      <c r="EF17" s="83">
        <f t="shared" si="76"/>
        <v>6.779220779220875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1"/>
        <v>GWA6063-T5-T18.15x8.6x3-H9A15</v>
      </c>
      <c r="H18" s="46" t="str">
        <f t="shared" si="32"/>
        <v>A6063-T5GW18.158.6TH9</v>
      </c>
      <c r="I18" s="46" t="str">
        <f t="shared" si="33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4"/>
        <v>16</v>
      </c>
      <c r="T18" s="51">
        <f>'05.02'!BG18</f>
        <v>6</v>
      </c>
      <c r="U18" s="92">
        <v>30</v>
      </c>
      <c r="V18" s="89">
        <v>9.9</v>
      </c>
      <c r="W18" s="93">
        <f t="shared" si="5"/>
        <v>0</v>
      </c>
      <c r="X18" s="93">
        <f t="shared" si="6"/>
        <v>829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24</v>
      </c>
      <c r="AE18" s="93">
        <f t="shared" si="35"/>
        <v>829</v>
      </c>
      <c r="AF18" s="54">
        <f>AE18+'05.02'!AF18</f>
        <v>4790</v>
      </c>
      <c r="AG18" s="94">
        <f t="shared" si="66"/>
        <v>6</v>
      </c>
      <c r="AH18" s="56">
        <f t="shared" si="13"/>
        <v>0</v>
      </c>
      <c r="AI18" s="89">
        <v>6</v>
      </c>
      <c r="AJ18" s="93">
        <f t="shared" si="67"/>
        <v>0</v>
      </c>
      <c r="AK18" s="95">
        <f t="shared" si="36"/>
        <v>1</v>
      </c>
      <c r="AL18" s="58">
        <f t="shared" si="37"/>
        <v>6</v>
      </c>
      <c r="AM18" s="55">
        <f t="shared" si="68"/>
        <v>30</v>
      </c>
      <c r="AN18" s="93"/>
      <c r="AO18" s="96"/>
      <c r="AP18" s="96">
        <f t="shared" si="77"/>
        <v>3910.5</v>
      </c>
      <c r="AQ18" s="96"/>
      <c r="AR18" s="96"/>
      <c r="AS18" s="96"/>
      <c r="AT18" s="96"/>
      <c r="AU18" s="96">
        <f t="shared" si="38"/>
        <v>0</v>
      </c>
      <c r="AV18" s="96">
        <f t="shared" si="38"/>
        <v>0</v>
      </c>
      <c r="AW18" s="96">
        <f t="shared" si="39"/>
        <v>3910.5</v>
      </c>
      <c r="AX18" s="96">
        <f t="shared" si="40"/>
        <v>395</v>
      </c>
      <c r="AY18" s="94">
        <f t="shared" si="69"/>
        <v>-128.70000000000027</v>
      </c>
      <c r="AZ18" s="94">
        <f t="shared" si="41"/>
        <v>-13.000000000000027</v>
      </c>
      <c r="BA18" s="94">
        <f t="shared" si="42"/>
        <v>30</v>
      </c>
      <c r="BB18" s="97">
        <f t="shared" si="43"/>
        <v>0</v>
      </c>
      <c r="BC18" s="93">
        <v>7</v>
      </c>
      <c r="BD18" s="93">
        <f t="shared" si="44"/>
        <v>0</v>
      </c>
      <c r="BE18" s="95">
        <f t="shared" si="45"/>
        <v>1</v>
      </c>
      <c r="BF18" s="58">
        <f t="shared" si="46"/>
        <v>7</v>
      </c>
      <c r="BG18" s="94">
        <f t="shared" si="47"/>
        <v>23</v>
      </c>
      <c r="BH18" s="89"/>
      <c r="BI18" s="89"/>
      <c r="BJ18" s="92">
        <f t="shared" si="78"/>
        <v>4296.6000000000004</v>
      </c>
      <c r="BK18" s="89"/>
      <c r="BL18" s="89"/>
      <c r="BM18" s="89"/>
      <c r="BN18" s="89"/>
      <c r="BO18" s="92">
        <f t="shared" si="70"/>
        <v>0</v>
      </c>
      <c r="BP18" s="92">
        <f t="shared" si="70"/>
        <v>238</v>
      </c>
      <c r="BQ18" s="96">
        <f t="shared" si="48"/>
        <v>4534.6000000000004</v>
      </c>
      <c r="BR18" s="96">
        <f t="shared" si="49"/>
        <v>458</v>
      </c>
      <c r="BS18" s="96">
        <f t="shared" si="71"/>
        <v>-177.80000000000018</v>
      </c>
      <c r="BT18" s="96">
        <f t="shared" si="50"/>
        <v>-17.959595959595976</v>
      </c>
      <c r="BU18" s="92">
        <f t="shared" si="16"/>
        <v>829</v>
      </c>
      <c r="BV18" s="98">
        <f t="shared" si="17"/>
        <v>13</v>
      </c>
      <c r="BW18" s="92">
        <f t="shared" si="18"/>
        <v>-30.959595959596001</v>
      </c>
      <c r="BX18" s="98">
        <f t="shared" si="51"/>
        <v>21.332999999999998</v>
      </c>
      <c r="BY18" s="61">
        <f t="shared" si="73"/>
        <v>13</v>
      </c>
      <c r="BZ18" s="62">
        <f t="shared" si="52"/>
        <v>13</v>
      </c>
      <c r="CA18" s="98">
        <f t="shared" si="53"/>
        <v>8.4451000000000001</v>
      </c>
      <c r="CB18" s="92">
        <f t="shared" si="19"/>
        <v>853</v>
      </c>
      <c r="CC18" s="92">
        <f t="shared" si="19"/>
        <v>-306.50000000000045</v>
      </c>
      <c r="CD18" s="92">
        <f t="shared" si="19"/>
        <v>-30.959595959596001</v>
      </c>
      <c r="CE18" s="99"/>
      <c r="CF18" s="99"/>
      <c r="CG18" s="51">
        <f t="shared" si="54"/>
        <v>13.125899999999998</v>
      </c>
      <c r="CH18" s="62">
        <f t="shared" si="55"/>
        <v>13.125899999999998</v>
      </c>
      <c r="CI18" s="89"/>
      <c r="CJ18" s="89">
        <f>395*9.9</f>
        <v>3910.5</v>
      </c>
      <c r="CK18" s="89"/>
      <c r="CL18" s="96"/>
      <c r="CM18" s="89"/>
      <c r="CN18" s="92">
        <f>434*9.9</f>
        <v>4296.6000000000004</v>
      </c>
      <c r="CO18" s="92"/>
      <c r="CP18" s="101">
        <v>238</v>
      </c>
      <c r="CQ18" s="102">
        <f t="shared" si="56"/>
        <v>395</v>
      </c>
      <c r="CR18" s="102">
        <f t="shared" si="20"/>
        <v>0</v>
      </c>
      <c r="CS18" s="102">
        <f t="shared" si="20"/>
        <v>0</v>
      </c>
      <c r="CT18" s="92">
        <f t="shared" si="57"/>
        <v>434</v>
      </c>
      <c r="CU18" s="92">
        <f t="shared" si="58"/>
        <v>0</v>
      </c>
      <c r="CV18" s="103">
        <f t="shared" si="58"/>
        <v>24</v>
      </c>
      <c r="CW18" s="104"/>
      <c r="CX18" s="105">
        <v>79.33</v>
      </c>
      <c r="CY18" s="106">
        <f t="shared" si="59"/>
        <v>510</v>
      </c>
      <c r="CZ18" s="106">
        <f t="shared" si="60"/>
        <v>642.57299999999998</v>
      </c>
      <c r="DA18" s="106"/>
      <c r="DB18" s="106"/>
      <c r="DC18" s="105"/>
      <c r="DD18" s="107"/>
      <c r="DE18" s="92">
        <f t="shared" si="21"/>
        <v>395</v>
      </c>
      <c r="DF18" s="108">
        <f t="shared" si="22"/>
        <v>6</v>
      </c>
      <c r="DG18" s="112">
        <f t="shared" si="23"/>
        <v>-13.000000000000027</v>
      </c>
      <c r="DH18" s="110">
        <f t="shared" si="24"/>
        <v>434</v>
      </c>
      <c r="DI18" s="108">
        <f t="shared" si="25"/>
        <v>7</v>
      </c>
      <c r="DJ18" s="112">
        <f t="shared" si="26"/>
        <v>-17.959595959595976</v>
      </c>
      <c r="DK18" s="110">
        <f t="shared" si="27"/>
        <v>829</v>
      </c>
      <c r="DL18" s="108">
        <f t="shared" si="27"/>
        <v>13</v>
      </c>
      <c r="DM18" s="111">
        <f t="shared" si="27"/>
        <v>-30.959595959596001</v>
      </c>
      <c r="DN18" s="76">
        <f t="shared" si="28"/>
        <v>6</v>
      </c>
      <c r="DO18" s="76">
        <f t="shared" si="28"/>
        <v>30</v>
      </c>
      <c r="DP18" s="112"/>
      <c r="DQ18" s="112"/>
      <c r="DR18" s="113" t="s">
        <v>422</v>
      </c>
      <c r="DS18" s="112"/>
      <c r="DT18" s="112"/>
      <c r="DU18" s="111"/>
      <c r="DV18" s="114"/>
      <c r="DW18" s="80">
        <f t="shared" si="79"/>
        <v>13</v>
      </c>
      <c r="DX18" s="81">
        <f t="shared" si="29"/>
        <v>811.04040404040404</v>
      </c>
      <c r="DY18" s="80">
        <f t="shared" si="62"/>
        <v>853</v>
      </c>
      <c r="DZ18" s="82">
        <f t="shared" si="63"/>
        <v>0.23760000000000003</v>
      </c>
      <c r="EA18" s="82">
        <f t="shared" si="64"/>
        <v>8.2071000000000005</v>
      </c>
      <c r="EB18" s="82">
        <f t="shared" si="65"/>
        <v>13.125899999999998</v>
      </c>
      <c r="EC18" s="82">
        <f t="shared" si="75"/>
        <v>13.363499999999998</v>
      </c>
      <c r="EF18" s="83">
        <f t="shared" si="76"/>
        <v>-30.959595959596001</v>
      </c>
    </row>
    <row r="19" spans="1:136">
      <c r="A19" s="84">
        <v>12</v>
      </c>
      <c r="B19" s="85" t="s">
        <v>169</v>
      </c>
      <c r="C19" s="86"/>
      <c r="D19" s="116" t="s">
        <v>170</v>
      </c>
      <c r="E19" s="88">
        <v>104</v>
      </c>
      <c r="F19" s="89" t="s">
        <v>136</v>
      </c>
      <c r="G19" s="45" t="str">
        <f t="shared" si="31"/>
        <v>TV12L14-12x3-H9B14</v>
      </c>
      <c r="H19" s="46" t="str">
        <f t="shared" si="32"/>
        <v>12L14TV120DH9</v>
      </c>
      <c r="I19" s="46" t="str">
        <f t="shared" si="33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4"/>
        <v>20</v>
      </c>
      <c r="T19" s="51">
        <f>'05.02'!BG19</f>
        <v>3</v>
      </c>
      <c r="U19" s="92">
        <v>27</v>
      </c>
      <c r="V19" s="89">
        <v>10.6</v>
      </c>
      <c r="W19" s="93">
        <f t="shared" si="5"/>
        <v>0</v>
      </c>
      <c r="X19" s="93">
        <f t="shared" si="6"/>
        <v>1367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15</v>
      </c>
      <c r="AE19" s="93">
        <f t="shared" si="35"/>
        <v>1367</v>
      </c>
      <c r="AF19" s="54">
        <f>AE19+'05.02'!AF19</f>
        <v>6165</v>
      </c>
      <c r="AG19" s="94">
        <f t="shared" si="66"/>
        <v>3</v>
      </c>
      <c r="AH19" s="56">
        <f t="shared" si="13"/>
        <v>0</v>
      </c>
      <c r="AI19" s="89">
        <v>14</v>
      </c>
      <c r="AJ19" s="93">
        <f t="shared" si="67"/>
        <v>290</v>
      </c>
      <c r="AK19" s="95">
        <f t="shared" si="36"/>
        <v>0.26306240928882441</v>
      </c>
      <c r="AL19" s="58">
        <f t="shared" si="37"/>
        <v>13.27</v>
      </c>
      <c r="AM19" s="55">
        <f t="shared" si="68"/>
        <v>16.73</v>
      </c>
      <c r="AN19" s="93"/>
      <c r="AO19" s="96"/>
      <c r="AP19" s="96">
        <f t="shared" si="77"/>
        <v>14500</v>
      </c>
      <c r="AQ19" s="96"/>
      <c r="AR19" s="96"/>
      <c r="AS19" s="96"/>
      <c r="AT19" s="96"/>
      <c r="AU19" s="96">
        <f t="shared" si="38"/>
        <v>0</v>
      </c>
      <c r="AV19" s="96">
        <f t="shared" si="38"/>
        <v>159</v>
      </c>
      <c r="AW19" s="96">
        <f>SUM(AO19:AV19)</f>
        <v>14659</v>
      </c>
      <c r="AX19" s="96">
        <f t="shared" si="40"/>
        <v>1382</v>
      </c>
      <c r="AY19" s="94">
        <f t="shared" si="69"/>
        <v>30.152000000001863</v>
      </c>
      <c r="AZ19" s="94">
        <f t="shared" si="41"/>
        <v>2.8445283018869683</v>
      </c>
      <c r="BA19" s="94">
        <f t="shared" si="42"/>
        <v>16.73</v>
      </c>
      <c r="BB19" s="97">
        <f t="shared" si="43"/>
        <v>0.73</v>
      </c>
      <c r="BC19" s="93"/>
      <c r="BD19" s="93">
        <f t="shared" si="44"/>
        <v>0</v>
      </c>
      <c r="BE19" s="95">
        <f t="shared" si="45"/>
        <v>1</v>
      </c>
      <c r="BF19" s="58">
        <f t="shared" si="46"/>
        <v>0</v>
      </c>
      <c r="BG19" s="94">
        <f t="shared" si="47"/>
        <v>16.73</v>
      </c>
      <c r="BH19" s="89"/>
      <c r="BI19" s="89"/>
      <c r="BJ19" s="92">
        <f t="shared" si="78"/>
        <v>0</v>
      </c>
      <c r="BK19" s="89"/>
      <c r="BL19" s="89"/>
      <c r="BM19" s="89"/>
      <c r="BN19" s="89"/>
      <c r="BO19" s="92">
        <f t="shared" si="70"/>
        <v>0</v>
      </c>
      <c r="BP19" s="92">
        <f t="shared" si="70"/>
        <v>0</v>
      </c>
      <c r="BQ19" s="96">
        <f t="shared" si="48"/>
        <v>0</v>
      </c>
      <c r="BR19" s="96">
        <f t="shared" si="49"/>
        <v>0</v>
      </c>
      <c r="BS19" s="96">
        <f t="shared" si="71"/>
        <v>0</v>
      </c>
      <c r="BT19" s="96">
        <f t="shared" si="50"/>
        <v>0</v>
      </c>
      <c r="BU19" s="92">
        <f t="shared" si="16"/>
        <v>1367</v>
      </c>
      <c r="BV19" s="98">
        <f t="shared" si="17"/>
        <v>13.27</v>
      </c>
      <c r="BW19" s="92">
        <f t="shared" si="18"/>
        <v>2.8445283018869683</v>
      </c>
      <c r="BX19" s="98">
        <f t="shared" si="51"/>
        <v>35.192039999999999</v>
      </c>
      <c r="BY19" s="61">
        <f t="shared" si="73"/>
        <v>13.27</v>
      </c>
      <c r="BZ19" s="62">
        <f t="shared" si="52"/>
        <v>13.27</v>
      </c>
      <c r="CA19" s="98">
        <f t="shared" si="53"/>
        <v>14.659000000000001</v>
      </c>
      <c r="CB19" s="92">
        <f t="shared" si="19"/>
        <v>1382</v>
      </c>
      <c r="CC19" s="92">
        <f t="shared" si="19"/>
        <v>30.152000000001863</v>
      </c>
      <c r="CD19" s="92">
        <f t="shared" si="19"/>
        <v>2.8445283018869683</v>
      </c>
      <c r="CE19" s="99"/>
      <c r="CF19" s="99"/>
      <c r="CG19" s="51">
        <f t="shared" si="54"/>
        <v>20.692039999999999</v>
      </c>
      <c r="CH19" s="62">
        <f t="shared" si="55"/>
        <v>20.692039999999999</v>
      </c>
      <c r="CI19" s="89">
        <v>290</v>
      </c>
      <c r="CJ19" s="89">
        <v>14500</v>
      </c>
      <c r="CK19" s="89"/>
      <c r="CL19" s="96">
        <v>159</v>
      </c>
      <c r="CM19" s="89"/>
      <c r="CN19" s="89"/>
      <c r="CO19" s="92"/>
      <c r="CP19" s="101"/>
      <c r="CQ19" s="102">
        <f t="shared" si="56"/>
        <v>1367</v>
      </c>
      <c r="CR19" s="102">
        <f t="shared" si="20"/>
        <v>0</v>
      </c>
      <c r="CS19" s="102">
        <f t="shared" si="20"/>
        <v>15</v>
      </c>
      <c r="CT19" s="92">
        <f t="shared" si="57"/>
        <v>0</v>
      </c>
      <c r="CU19" s="92">
        <f t="shared" si="58"/>
        <v>0</v>
      </c>
      <c r="CV19" s="103">
        <f t="shared" si="58"/>
        <v>0</v>
      </c>
      <c r="CW19" s="104"/>
      <c r="CX19" s="105">
        <v>37.89</v>
      </c>
      <c r="CY19" s="106">
        <f t="shared" si="59"/>
        <v>1053</v>
      </c>
      <c r="CZ19" s="106">
        <f t="shared" si="60"/>
        <v>306.90900000000005</v>
      </c>
      <c r="DA19" s="106"/>
      <c r="DB19" s="106"/>
      <c r="DC19" s="105"/>
      <c r="DD19" s="107"/>
      <c r="DE19" s="92">
        <f t="shared" si="21"/>
        <v>1367</v>
      </c>
      <c r="DF19" s="108">
        <f t="shared" si="22"/>
        <v>13.27</v>
      </c>
      <c r="DG19" s="112">
        <f t="shared" si="23"/>
        <v>2.8445283018869683</v>
      </c>
      <c r="DH19" s="110">
        <f t="shared" si="24"/>
        <v>0</v>
      </c>
      <c r="DI19" s="108">
        <f t="shared" si="25"/>
        <v>0</v>
      </c>
      <c r="DJ19" s="112">
        <f t="shared" si="26"/>
        <v>0</v>
      </c>
      <c r="DK19" s="110">
        <f t="shared" si="27"/>
        <v>1367</v>
      </c>
      <c r="DL19" s="108">
        <f t="shared" si="27"/>
        <v>13.27</v>
      </c>
      <c r="DM19" s="111">
        <f t="shared" si="27"/>
        <v>2.8445283018869683</v>
      </c>
      <c r="DN19" s="76">
        <f t="shared" si="28"/>
        <v>3</v>
      </c>
      <c r="DO19" s="76">
        <f t="shared" si="28"/>
        <v>27</v>
      </c>
      <c r="DP19" s="112"/>
      <c r="DQ19" s="112"/>
      <c r="DR19" s="113" t="s">
        <v>479</v>
      </c>
      <c r="DS19" s="112"/>
      <c r="DT19" s="112"/>
      <c r="DU19" s="111"/>
      <c r="DV19" s="114"/>
      <c r="DW19" s="80">
        <f t="shared" si="79"/>
        <v>13.27</v>
      </c>
      <c r="DX19" s="81">
        <f t="shared" si="29"/>
        <v>1383.114528301887</v>
      </c>
      <c r="DY19" s="80">
        <f t="shared" si="62"/>
        <v>1382</v>
      </c>
      <c r="DZ19" s="82">
        <f t="shared" si="63"/>
        <v>0.159</v>
      </c>
      <c r="EA19" s="82">
        <f t="shared" si="64"/>
        <v>14.4902</v>
      </c>
      <c r="EB19" s="82">
        <f t="shared" si="65"/>
        <v>20.701839999999997</v>
      </c>
      <c r="EC19" s="82">
        <f t="shared" si="75"/>
        <v>20.860839999999996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1"/>
        <v>GWA6063-T5-8.3x3-H9B14</v>
      </c>
      <c r="H20" s="46" t="str">
        <f t="shared" si="32"/>
        <v>A6063-T5GW8.30DH9</v>
      </c>
      <c r="I20" s="46" t="str">
        <f t="shared" si="33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4"/>
        <v>18</v>
      </c>
      <c r="T20" s="51">
        <f>'05.02'!BG20</f>
        <v>41</v>
      </c>
      <c r="U20" s="92"/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35"/>
        <v>0</v>
      </c>
      <c r="AF20" s="54">
        <f>AE20+'05.02'!AF20</f>
        <v>848</v>
      </c>
      <c r="AG20" s="94">
        <f t="shared" si="66"/>
        <v>41</v>
      </c>
      <c r="AH20" s="56">
        <f t="shared" si="13"/>
        <v>0</v>
      </c>
      <c r="AI20" s="100"/>
      <c r="AJ20" s="93">
        <f t="shared" si="67"/>
        <v>0</v>
      </c>
      <c r="AK20" s="95">
        <f t="shared" si="36"/>
        <v>1</v>
      </c>
      <c r="AL20" s="58">
        <f t="shared" si="37"/>
        <v>0</v>
      </c>
      <c r="AM20" s="55">
        <f t="shared" si="68"/>
        <v>41</v>
      </c>
      <c r="AN20" s="93"/>
      <c r="AO20" s="96"/>
      <c r="AP20" s="96"/>
      <c r="AQ20" s="96"/>
      <c r="AR20" s="96"/>
      <c r="AS20" s="96"/>
      <c r="AT20" s="96">
        <f t="shared" ref="AT20" si="80">$CJ20</f>
        <v>0</v>
      </c>
      <c r="AU20" s="96">
        <f t="shared" si="38"/>
        <v>0</v>
      </c>
      <c r="AV20" s="96">
        <f t="shared" si="38"/>
        <v>0</v>
      </c>
      <c r="AW20" s="96">
        <f t="shared" si="39"/>
        <v>0</v>
      </c>
      <c r="AX20" s="96">
        <f t="shared" si="40"/>
        <v>0</v>
      </c>
      <c r="AY20" s="94">
        <f t="shared" si="69"/>
        <v>0</v>
      </c>
      <c r="AZ20" s="94">
        <f t="shared" si="41"/>
        <v>0</v>
      </c>
      <c r="BA20" s="94">
        <f t="shared" si="42"/>
        <v>41</v>
      </c>
      <c r="BB20" s="97">
        <f t="shared" si="43"/>
        <v>0</v>
      </c>
      <c r="BC20" s="93"/>
      <c r="BD20" s="93">
        <f t="shared" si="44"/>
        <v>0</v>
      </c>
      <c r="BE20" s="95">
        <f t="shared" si="45"/>
        <v>1</v>
      </c>
      <c r="BF20" s="58">
        <f t="shared" si="46"/>
        <v>0</v>
      </c>
      <c r="BG20" s="94">
        <f t="shared" si="47"/>
        <v>41</v>
      </c>
      <c r="BH20" s="89"/>
      <c r="BI20" s="89"/>
      <c r="BJ20" s="92"/>
      <c r="BK20" s="89"/>
      <c r="BL20" s="89"/>
      <c r="BM20" s="89"/>
      <c r="BN20" s="92">
        <f t="shared" ref="BN20" si="81">$CN20</f>
        <v>0</v>
      </c>
      <c r="BO20" s="92">
        <f t="shared" si="70"/>
        <v>0</v>
      </c>
      <c r="BP20" s="92">
        <f t="shared" si="70"/>
        <v>0</v>
      </c>
      <c r="BQ20" s="96">
        <f t="shared" si="48"/>
        <v>0</v>
      </c>
      <c r="BR20" s="96">
        <f t="shared" si="49"/>
        <v>0</v>
      </c>
      <c r="BS20" s="96">
        <f t="shared" si="71"/>
        <v>0</v>
      </c>
      <c r="BT20" s="96">
        <f t="shared" si="50"/>
        <v>0</v>
      </c>
      <c r="BU20" s="92">
        <f t="shared" si="16"/>
        <v>0</v>
      </c>
      <c r="BV20" s="98">
        <f t="shared" si="17"/>
        <v>0</v>
      </c>
      <c r="BW20" s="92">
        <f t="shared" si="18"/>
        <v>0</v>
      </c>
      <c r="BX20" s="98">
        <f t="shared" si="51"/>
        <v>0</v>
      </c>
      <c r="BY20" s="61">
        <f t="shared" si="73"/>
        <v>0</v>
      </c>
      <c r="BZ20" s="62">
        <f t="shared" si="52"/>
        <v>0</v>
      </c>
      <c r="CA20" s="98">
        <f t="shared" si="53"/>
        <v>0</v>
      </c>
      <c r="CB20" s="92">
        <f t="shared" si="19"/>
        <v>0</v>
      </c>
      <c r="CC20" s="92">
        <f t="shared" si="19"/>
        <v>0</v>
      </c>
      <c r="CD20" s="92">
        <f t="shared" si="19"/>
        <v>0</v>
      </c>
      <c r="CE20" s="99"/>
      <c r="CF20" s="99"/>
      <c r="CG20" s="51">
        <f t="shared" si="54"/>
        <v>0</v>
      </c>
      <c r="CH20" s="62">
        <f t="shared" si="55"/>
        <v>0</v>
      </c>
      <c r="CI20" s="89"/>
      <c r="CJ20" s="89"/>
      <c r="CK20" s="89"/>
      <c r="CL20" s="96"/>
      <c r="CM20" s="89"/>
      <c r="CN20" s="89"/>
      <c r="CO20" s="92"/>
      <c r="CP20" s="101"/>
      <c r="CQ20" s="102">
        <f t="shared" si="56"/>
        <v>0</v>
      </c>
      <c r="CR20" s="102">
        <f t="shared" si="20"/>
        <v>0</v>
      </c>
      <c r="CS20" s="102">
        <f t="shared" si="20"/>
        <v>0</v>
      </c>
      <c r="CT20" s="92">
        <f t="shared" si="57"/>
        <v>0</v>
      </c>
      <c r="CU20" s="92">
        <f t="shared" si="58"/>
        <v>0</v>
      </c>
      <c r="CV20" s="103">
        <f t="shared" si="58"/>
        <v>0</v>
      </c>
      <c r="CW20" s="104"/>
      <c r="CX20" s="105">
        <v>15</v>
      </c>
      <c r="CY20" s="106">
        <f t="shared" si="59"/>
        <v>2680</v>
      </c>
      <c r="CZ20" s="106">
        <f t="shared" si="60"/>
        <v>121.50000000000001</v>
      </c>
      <c r="DA20" s="106"/>
      <c r="DB20" s="106"/>
      <c r="DC20" s="105"/>
      <c r="DD20" s="107"/>
      <c r="DE20" s="92">
        <f t="shared" si="21"/>
        <v>0</v>
      </c>
      <c r="DF20" s="108">
        <f t="shared" si="22"/>
        <v>0</v>
      </c>
      <c r="DG20" s="112">
        <f t="shared" si="23"/>
        <v>0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0</v>
      </c>
      <c r="DL20" s="108">
        <f t="shared" si="27"/>
        <v>0</v>
      </c>
      <c r="DM20" s="111">
        <f t="shared" si="27"/>
        <v>0</v>
      </c>
      <c r="DN20" s="76">
        <f t="shared" si="28"/>
        <v>41</v>
      </c>
      <c r="DO20" s="76">
        <f t="shared" si="28"/>
        <v>0</v>
      </c>
      <c r="DP20" s="112"/>
      <c r="DQ20" s="112"/>
      <c r="DR20" s="113" t="s">
        <v>424</v>
      </c>
      <c r="DS20" s="112"/>
      <c r="DT20" s="112"/>
      <c r="DU20" s="111"/>
      <c r="DV20" s="114"/>
      <c r="DW20" s="80">
        <f t="shared" si="61"/>
        <v>0</v>
      </c>
      <c r="DX20" s="81">
        <f t="shared" si="29"/>
        <v>0</v>
      </c>
      <c r="DY20" s="80">
        <f t="shared" si="62"/>
        <v>0</v>
      </c>
      <c r="DZ20" s="82">
        <f t="shared" si="63"/>
        <v>0</v>
      </c>
      <c r="EA20" s="82">
        <f t="shared" si="64"/>
        <v>0</v>
      </c>
      <c r="EB20" s="82">
        <f t="shared" si="65"/>
        <v>0</v>
      </c>
      <c r="EC20" s="82">
        <f t="shared" si="75"/>
        <v>0</v>
      </c>
      <c r="EF20" s="83">
        <f t="shared" ref="EF20:EF25" si="82">DG20+DJ20</f>
        <v>0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1"/>
        <v>TV12L14-11x2.5-H9C14</v>
      </c>
      <c r="H21" s="123" t="str">
        <f t="shared" si="32"/>
        <v>12L14TV110DH9</v>
      </c>
      <c r="I21" s="123" t="str">
        <f t="shared" si="33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4"/>
        <v>10</v>
      </c>
      <c r="T21" s="51">
        <f>'05.02'!BG21</f>
        <v>7.6400000000000006</v>
      </c>
      <c r="U21" s="124">
        <v>28</v>
      </c>
      <c r="V21" s="100">
        <v>2</v>
      </c>
      <c r="W21" s="125">
        <f t="shared" si="5"/>
        <v>0</v>
      </c>
      <c r="X21" s="125">
        <f t="shared" si="6"/>
        <v>3416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141</v>
      </c>
      <c r="AE21" s="125">
        <f t="shared" si="35"/>
        <v>3416</v>
      </c>
      <c r="AF21" s="54">
        <f>AE21+'05.02'!AF21</f>
        <v>19672</v>
      </c>
      <c r="AG21" s="94">
        <f t="shared" si="66"/>
        <v>7.6400000000000006</v>
      </c>
      <c r="AH21" s="56">
        <f t="shared" si="13"/>
        <v>0.64</v>
      </c>
      <c r="AI21" s="89">
        <v>6</v>
      </c>
      <c r="AJ21" s="93">
        <f t="shared" si="67"/>
        <v>420</v>
      </c>
      <c r="AK21" s="95">
        <f t="shared" si="36"/>
        <v>0.74204946996466437</v>
      </c>
      <c r="AL21" s="58">
        <f t="shared" si="37"/>
        <v>6.39</v>
      </c>
      <c r="AM21" s="55">
        <f t="shared" si="68"/>
        <v>29.25</v>
      </c>
      <c r="AN21" s="125"/>
      <c r="AO21" s="126"/>
      <c r="AP21" s="126">
        <f t="shared" ref="AP21" si="83">$CJ21</f>
        <v>3533</v>
      </c>
      <c r="AQ21" s="126"/>
      <c r="AR21" s="126"/>
      <c r="AS21" s="126"/>
      <c r="AT21" s="126"/>
      <c r="AU21" s="126">
        <f t="shared" si="38"/>
        <v>0</v>
      </c>
      <c r="AV21" s="126">
        <f t="shared" si="38"/>
        <v>50</v>
      </c>
      <c r="AW21" s="126">
        <f t="shared" si="39"/>
        <v>3583</v>
      </c>
      <c r="AX21" s="126">
        <f t="shared" si="40"/>
        <v>1791</v>
      </c>
      <c r="AY21" s="94">
        <f t="shared" si="69"/>
        <v>-33.739999999999782</v>
      </c>
      <c r="AZ21" s="94">
        <f t="shared" si="41"/>
        <v>-16.869999999999891</v>
      </c>
      <c r="BA21" s="94">
        <f t="shared" si="42"/>
        <v>29.25</v>
      </c>
      <c r="BB21" s="97">
        <f t="shared" si="43"/>
        <v>0.25</v>
      </c>
      <c r="BC21" s="125">
        <v>7</v>
      </c>
      <c r="BD21" s="93">
        <f t="shared" si="44"/>
        <v>180</v>
      </c>
      <c r="BE21" s="127">
        <f t="shared" si="45"/>
        <v>0.31802120141342755</v>
      </c>
      <c r="BF21" s="58">
        <f t="shared" si="46"/>
        <v>6.5699999999999994</v>
      </c>
      <c r="BG21" s="94">
        <f t="shared" si="47"/>
        <v>22.68</v>
      </c>
      <c r="BH21" s="100"/>
      <c r="BI21" s="100"/>
      <c r="BJ21" s="92">
        <f t="shared" ref="BJ21" si="84">$CN21</f>
        <v>3299</v>
      </c>
      <c r="BK21" s="100"/>
      <c r="BL21" s="100"/>
      <c r="BM21" s="100"/>
      <c r="BN21" s="92"/>
      <c r="BO21" s="124">
        <f t="shared" si="70"/>
        <v>0</v>
      </c>
      <c r="BP21" s="124">
        <f t="shared" si="70"/>
        <v>232</v>
      </c>
      <c r="BQ21" s="126">
        <f t="shared" si="48"/>
        <v>3531</v>
      </c>
      <c r="BR21" s="126">
        <f t="shared" si="49"/>
        <v>1765</v>
      </c>
      <c r="BS21" s="126">
        <f t="shared" si="71"/>
        <v>-187.61999999999944</v>
      </c>
      <c r="BT21" s="126">
        <f t="shared" si="50"/>
        <v>-93.809999999999718</v>
      </c>
      <c r="BU21" s="124">
        <f t="shared" si="16"/>
        <v>3416</v>
      </c>
      <c r="BV21" s="128">
        <f t="shared" si="17"/>
        <v>12.959999999999999</v>
      </c>
      <c r="BW21" s="124">
        <f t="shared" si="18"/>
        <v>-110.67999999999961</v>
      </c>
      <c r="BX21" s="128" t="str">
        <f t="shared" si="51"/>
        <v/>
      </c>
      <c r="BY21" s="129">
        <f t="shared" si="73"/>
        <v>12.959999999999999</v>
      </c>
      <c r="BZ21" s="62">
        <f t="shared" si="52"/>
        <v>12.959999999999999</v>
      </c>
      <c r="CA21" s="128">
        <f t="shared" si="53"/>
        <v>7.1139999999999999</v>
      </c>
      <c r="CB21" s="124">
        <f t="shared" si="19"/>
        <v>3556</v>
      </c>
      <c r="CC21" s="124">
        <f t="shared" si="19"/>
        <v>-221.35999999999922</v>
      </c>
      <c r="CD21" s="124">
        <f t="shared" si="19"/>
        <v>-110.67999999999961</v>
      </c>
      <c r="CE21" s="100"/>
      <c r="CF21" s="100"/>
      <c r="CG21" s="51">
        <f t="shared" si="54"/>
        <v>0</v>
      </c>
      <c r="CH21" s="62">
        <f t="shared" si="55"/>
        <v>0</v>
      </c>
      <c r="CI21" s="100">
        <v>420</v>
      </c>
      <c r="CJ21" s="100">
        <v>3533</v>
      </c>
      <c r="CK21" s="100"/>
      <c r="CL21" s="126">
        <v>50</v>
      </c>
      <c r="CM21" s="100">
        <v>180</v>
      </c>
      <c r="CN21" s="100">
        <v>3299</v>
      </c>
      <c r="CO21" s="124"/>
      <c r="CP21" s="130">
        <v>232</v>
      </c>
      <c r="CQ21" s="102">
        <f t="shared" si="56"/>
        <v>1766</v>
      </c>
      <c r="CR21" s="102">
        <f t="shared" si="20"/>
        <v>0</v>
      </c>
      <c r="CS21" s="102">
        <f t="shared" si="20"/>
        <v>25</v>
      </c>
      <c r="CT21" s="92">
        <f t="shared" si="57"/>
        <v>1650</v>
      </c>
      <c r="CU21" s="92">
        <f t="shared" si="58"/>
        <v>0</v>
      </c>
      <c r="CV21" s="103">
        <f t="shared" si="58"/>
        <v>116</v>
      </c>
      <c r="CW21" s="131"/>
      <c r="CX21" s="132">
        <v>30</v>
      </c>
      <c r="CY21" s="133">
        <f t="shared" si="59"/>
        <v>1380</v>
      </c>
      <c r="CZ21" s="133">
        <f t="shared" si="60"/>
        <v>243.00000000000003</v>
      </c>
      <c r="DA21" s="133"/>
      <c r="DB21" s="133"/>
      <c r="DC21" s="132"/>
      <c r="DD21" s="134"/>
      <c r="DE21" s="124">
        <f t="shared" si="21"/>
        <v>1766</v>
      </c>
      <c r="DF21" s="135">
        <f t="shared" si="22"/>
        <v>6.39</v>
      </c>
      <c r="DG21" s="112">
        <f t="shared" si="23"/>
        <v>-16.869999999999891</v>
      </c>
      <c r="DH21" s="136">
        <f t="shared" si="24"/>
        <v>1650</v>
      </c>
      <c r="DI21" s="135">
        <f t="shared" si="25"/>
        <v>6.5699999999999994</v>
      </c>
      <c r="DJ21" s="115">
        <f t="shared" si="26"/>
        <v>-93.809999999999718</v>
      </c>
      <c r="DK21" s="136">
        <f t="shared" si="27"/>
        <v>3416</v>
      </c>
      <c r="DL21" s="135">
        <f t="shared" si="27"/>
        <v>12.959999999999999</v>
      </c>
      <c r="DM21" s="137">
        <f t="shared" si="27"/>
        <v>-110.67999999999961</v>
      </c>
      <c r="DN21" s="76">
        <v>7</v>
      </c>
      <c r="DO21" s="76">
        <f t="shared" si="28"/>
        <v>28</v>
      </c>
      <c r="DP21" s="115"/>
      <c r="DQ21" s="115"/>
      <c r="DR21" s="138" t="s">
        <v>423</v>
      </c>
      <c r="DS21" s="115"/>
      <c r="DT21" s="115"/>
      <c r="DU21" s="137"/>
      <c r="DV21" s="139"/>
      <c r="DW21" s="140">
        <f t="shared" si="61"/>
        <v>3428.96</v>
      </c>
      <c r="DX21" s="141">
        <f t="shared" si="29"/>
        <v>3318.2800000000007</v>
      </c>
      <c r="DY21" s="140">
        <f t="shared" si="62"/>
        <v>3557</v>
      </c>
      <c r="DZ21" s="142">
        <f t="shared" si="63"/>
        <v>0.28199999999999997</v>
      </c>
      <c r="EA21" s="142">
        <f t="shared" si="64"/>
        <v>6.8319999999999999</v>
      </c>
      <c r="EB21" s="142" t="e">
        <f t="shared" si="65"/>
        <v>#VALUE!</v>
      </c>
      <c r="EC21" s="142" t="e">
        <f t="shared" si="75"/>
        <v>#VALUE!</v>
      </c>
      <c r="EF21" s="83">
        <f t="shared" si="82"/>
        <v>-110.67999999999961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1"/>
        <v>TV12L14-5.97x2.5-H9B14</v>
      </c>
      <c r="H22" s="46" t="str">
        <f t="shared" si="32"/>
        <v>12L14TV5.970DH9</v>
      </c>
      <c r="I22" s="46" t="str">
        <f t="shared" si="33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4"/>
        <v>48</v>
      </c>
      <c r="T22" s="51">
        <f>'05.02'!BG22</f>
        <v>64</v>
      </c>
      <c r="U22" s="92">
        <v>126</v>
      </c>
      <c r="V22" s="89">
        <v>4.45</v>
      </c>
      <c r="W22" s="93">
        <f t="shared" si="5"/>
        <v>0</v>
      </c>
      <c r="X22" s="93">
        <f t="shared" si="6"/>
        <v>321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0</v>
      </c>
      <c r="AE22" s="93">
        <f t="shared" si="35"/>
        <v>321</v>
      </c>
      <c r="AF22" s="54">
        <f>AE22+'05.02'!AF22</f>
        <v>5730</v>
      </c>
      <c r="AG22" s="94">
        <f t="shared" si="66"/>
        <v>64</v>
      </c>
      <c r="AH22" s="56">
        <f t="shared" si="13"/>
        <v>0</v>
      </c>
      <c r="AI22" s="93"/>
      <c r="AJ22" s="93">
        <f t="shared" si="67"/>
        <v>0</v>
      </c>
      <c r="AK22" s="95">
        <f t="shared" si="36"/>
        <v>1</v>
      </c>
      <c r="AL22" s="58">
        <f t="shared" si="37"/>
        <v>0</v>
      </c>
      <c r="AM22" s="55">
        <f t="shared" si="68"/>
        <v>190</v>
      </c>
      <c r="AN22" s="93"/>
      <c r="AO22" s="96"/>
      <c r="AP22" s="96">
        <f>$CJ22</f>
        <v>0</v>
      </c>
      <c r="AQ22" s="96"/>
      <c r="AR22" s="96"/>
      <c r="AS22" s="96"/>
      <c r="AT22" s="96"/>
      <c r="AU22" s="96">
        <f t="shared" si="38"/>
        <v>0</v>
      </c>
      <c r="AV22" s="96">
        <f t="shared" si="38"/>
        <v>0</v>
      </c>
      <c r="AW22" s="96">
        <f t="shared" si="39"/>
        <v>0</v>
      </c>
      <c r="AX22" s="96">
        <f t="shared" si="40"/>
        <v>0</v>
      </c>
      <c r="AY22" s="94">
        <f t="shared" si="69"/>
        <v>0</v>
      </c>
      <c r="AZ22" s="94">
        <f t="shared" si="41"/>
        <v>0</v>
      </c>
      <c r="BA22" s="94">
        <f t="shared" si="42"/>
        <v>190</v>
      </c>
      <c r="BB22" s="97">
        <f t="shared" si="43"/>
        <v>0</v>
      </c>
      <c r="BC22" s="93">
        <v>8</v>
      </c>
      <c r="BD22" s="93">
        <f t="shared" si="44"/>
        <v>0</v>
      </c>
      <c r="BE22" s="95">
        <f t="shared" si="45"/>
        <v>1</v>
      </c>
      <c r="BF22" s="58">
        <f t="shared" si="46"/>
        <v>8</v>
      </c>
      <c r="BG22" s="94">
        <f t="shared" si="47"/>
        <v>182</v>
      </c>
      <c r="BH22" s="89"/>
      <c r="BI22" s="89"/>
      <c r="BJ22" s="92">
        <f>$CN22</f>
        <v>1430</v>
      </c>
      <c r="BK22" s="89"/>
      <c r="BL22" s="89"/>
      <c r="BM22" s="89"/>
      <c r="BN22" s="89"/>
      <c r="BO22" s="92">
        <f t="shared" si="70"/>
        <v>0</v>
      </c>
      <c r="BP22" s="92">
        <f t="shared" si="70"/>
        <v>0</v>
      </c>
      <c r="BQ22" s="96">
        <f t="shared" si="48"/>
        <v>1430</v>
      </c>
      <c r="BR22" s="96">
        <f t="shared" si="49"/>
        <v>321</v>
      </c>
      <c r="BS22" s="96">
        <f t="shared" si="71"/>
        <v>6</v>
      </c>
      <c r="BT22" s="96">
        <f t="shared" si="50"/>
        <v>1.348314606741573</v>
      </c>
      <c r="BU22" s="92">
        <f t="shared" si="16"/>
        <v>321</v>
      </c>
      <c r="BV22" s="98">
        <f t="shared" si="17"/>
        <v>8</v>
      </c>
      <c r="BW22" s="92">
        <f t="shared" si="18"/>
        <v>1.348314606741573</v>
      </c>
      <c r="BX22" s="98">
        <f t="shared" si="51"/>
        <v>4.3760000000000003</v>
      </c>
      <c r="BY22" s="61">
        <f t="shared" si="73"/>
        <v>8</v>
      </c>
      <c r="BZ22" s="62">
        <f t="shared" si="52"/>
        <v>8</v>
      </c>
      <c r="CA22" s="98">
        <f t="shared" si="53"/>
        <v>1.43</v>
      </c>
      <c r="CB22" s="92">
        <f t="shared" si="19"/>
        <v>321</v>
      </c>
      <c r="CC22" s="92">
        <f t="shared" si="19"/>
        <v>6</v>
      </c>
      <c r="CD22" s="92">
        <f t="shared" si="19"/>
        <v>1.348314606741573</v>
      </c>
      <c r="CE22" s="99"/>
      <c r="CF22" s="99"/>
      <c r="CG22" s="51">
        <f t="shared" si="54"/>
        <v>2.9460000000000006</v>
      </c>
      <c r="CH22" s="62">
        <f t="shared" si="55"/>
        <v>2.9460000000000006</v>
      </c>
      <c r="CI22" s="89"/>
      <c r="CJ22" s="89"/>
      <c r="CK22" s="89"/>
      <c r="CL22" s="96"/>
      <c r="CM22" s="89"/>
      <c r="CN22" s="89">
        <v>1430</v>
      </c>
      <c r="CO22" s="92"/>
      <c r="CP22" s="101"/>
      <c r="CQ22" s="102">
        <f t="shared" si="56"/>
        <v>0</v>
      </c>
      <c r="CR22" s="102">
        <f t="shared" si="20"/>
        <v>0</v>
      </c>
      <c r="CS22" s="102">
        <f t="shared" si="20"/>
        <v>0</v>
      </c>
      <c r="CT22" s="92">
        <f t="shared" si="57"/>
        <v>321</v>
      </c>
      <c r="CU22" s="92">
        <f t="shared" si="58"/>
        <v>0</v>
      </c>
      <c r="CV22" s="103">
        <f t="shared" si="58"/>
        <v>0</v>
      </c>
      <c r="CW22" s="104"/>
      <c r="CX22" s="105">
        <v>36.090000000000003</v>
      </c>
      <c r="CY22" s="106">
        <f t="shared" si="59"/>
        <v>947</v>
      </c>
      <c r="CZ22" s="106">
        <f t="shared" si="60"/>
        <v>292.32900000000006</v>
      </c>
      <c r="DA22" s="106"/>
      <c r="DB22" s="106"/>
      <c r="DC22" s="105"/>
      <c r="DD22" s="107"/>
      <c r="DE22" s="92">
        <f t="shared" si="21"/>
        <v>0</v>
      </c>
      <c r="DF22" s="108">
        <f t="shared" si="22"/>
        <v>0</v>
      </c>
      <c r="DG22" s="112">
        <f t="shared" si="23"/>
        <v>0</v>
      </c>
      <c r="DH22" s="110">
        <f t="shared" si="24"/>
        <v>321</v>
      </c>
      <c r="DI22" s="108">
        <f t="shared" si="25"/>
        <v>8</v>
      </c>
      <c r="DJ22" s="112">
        <f t="shared" si="26"/>
        <v>1.348314606741573</v>
      </c>
      <c r="DK22" s="110">
        <f t="shared" si="27"/>
        <v>321</v>
      </c>
      <c r="DL22" s="108">
        <f t="shared" si="27"/>
        <v>8</v>
      </c>
      <c r="DM22" s="111">
        <f t="shared" si="27"/>
        <v>1.348314606741573</v>
      </c>
      <c r="DN22" s="76">
        <f t="shared" si="28"/>
        <v>64</v>
      </c>
      <c r="DO22" s="76">
        <f t="shared" si="28"/>
        <v>126</v>
      </c>
      <c r="DP22" s="112"/>
      <c r="DQ22" s="112"/>
      <c r="DR22" s="113" t="s">
        <v>425</v>
      </c>
      <c r="DS22" s="112"/>
      <c r="DT22" s="112"/>
      <c r="DU22" s="111"/>
      <c r="DV22" s="114"/>
      <c r="DW22" s="80">
        <f t="shared" si="61"/>
        <v>329</v>
      </c>
      <c r="DX22" s="81">
        <f t="shared" si="29"/>
        <v>330.34831460674155</v>
      </c>
      <c r="DY22" s="80">
        <f t="shared" si="62"/>
        <v>321</v>
      </c>
      <c r="DZ22" s="82">
        <f t="shared" si="63"/>
        <v>0</v>
      </c>
      <c r="EA22" s="82">
        <f t="shared" si="64"/>
        <v>1.42845</v>
      </c>
      <c r="EB22" s="82">
        <f t="shared" si="65"/>
        <v>2.9475500000000006</v>
      </c>
      <c r="EC22" s="82">
        <f t="shared" si="75"/>
        <v>2.9475500000000006</v>
      </c>
      <c r="EF22" s="83">
        <f t="shared" si="82"/>
        <v>1.348314606741573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1"/>
        <v>YHC3604-10.03x3-H9B12</v>
      </c>
      <c r="H23" s="46" t="str">
        <f t="shared" si="32"/>
        <v>C3604YH10.030DH9</v>
      </c>
      <c r="I23" s="46" t="str">
        <f t="shared" si="33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4"/>
        <v>34</v>
      </c>
      <c r="T23" s="51">
        <f>'05.02'!BG23</f>
        <v>8.0399999999999991</v>
      </c>
      <c r="U23" s="92">
        <v>82</v>
      </c>
      <c r="V23" s="89">
        <v>4.05</v>
      </c>
      <c r="W23" s="93">
        <f t="shared" si="5"/>
        <v>0</v>
      </c>
      <c r="X23" s="93">
        <f t="shared" si="6"/>
        <v>2480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27</v>
      </c>
      <c r="AE23" s="93">
        <f t="shared" si="35"/>
        <v>2480</v>
      </c>
      <c r="AF23" s="54">
        <f>AE23+'05.02'!AF23</f>
        <v>10535</v>
      </c>
      <c r="AG23" s="94">
        <f t="shared" si="66"/>
        <v>8.0399999999999991</v>
      </c>
      <c r="AH23" s="56">
        <f t="shared" si="13"/>
        <v>0.04</v>
      </c>
      <c r="AI23" s="93">
        <v>19</v>
      </c>
      <c r="AJ23" s="93">
        <f t="shared" si="67"/>
        <v>0</v>
      </c>
      <c r="AK23" s="95">
        <f t="shared" si="36"/>
        <v>1</v>
      </c>
      <c r="AL23" s="58">
        <f t="shared" si="37"/>
        <v>19.04</v>
      </c>
      <c r="AM23" s="55">
        <f t="shared" si="68"/>
        <v>71</v>
      </c>
      <c r="AN23" s="93"/>
      <c r="AO23" s="96"/>
      <c r="AP23" s="96">
        <f>$CJ23</f>
        <v>10047</v>
      </c>
      <c r="AQ23" s="96"/>
      <c r="AR23" s="96"/>
      <c r="AS23" s="96"/>
      <c r="AT23" s="96"/>
      <c r="AU23" s="96">
        <f t="shared" si="38"/>
        <v>0</v>
      </c>
      <c r="AV23" s="96">
        <f t="shared" si="38"/>
        <v>112</v>
      </c>
      <c r="AW23" s="96">
        <f t="shared" si="39"/>
        <v>10159</v>
      </c>
      <c r="AX23" s="96">
        <f t="shared" si="40"/>
        <v>2508</v>
      </c>
      <c r="AY23" s="94">
        <f t="shared" si="69"/>
        <v>211.5520000000015</v>
      </c>
      <c r="AZ23" s="94">
        <f t="shared" si="41"/>
        <v>52.235061728395436</v>
      </c>
      <c r="BA23" s="94">
        <f t="shared" si="42"/>
        <v>71</v>
      </c>
      <c r="BB23" s="97">
        <f t="shared" si="43"/>
        <v>0</v>
      </c>
      <c r="BC23" s="93"/>
      <c r="BD23" s="93">
        <f t="shared" si="44"/>
        <v>0</v>
      </c>
      <c r="BE23" s="95">
        <f>IF(AA23="","",IF(BD23=0,1,BD23/$V23/$E23))</f>
        <v>1</v>
      </c>
      <c r="BF23" s="58">
        <f t="shared" si="46"/>
        <v>0</v>
      </c>
      <c r="BG23" s="94">
        <f t="shared" si="47"/>
        <v>71</v>
      </c>
      <c r="BH23" s="89"/>
      <c r="BI23" s="89"/>
      <c r="BJ23" s="92">
        <f>$CN23</f>
        <v>0</v>
      </c>
      <c r="BK23" s="89"/>
      <c r="BL23" s="89"/>
      <c r="BM23" s="89"/>
      <c r="BN23" s="89"/>
      <c r="BO23" s="92">
        <f t="shared" si="70"/>
        <v>0</v>
      </c>
      <c r="BP23" s="92">
        <f t="shared" si="70"/>
        <v>0</v>
      </c>
      <c r="BQ23" s="96">
        <f t="shared" si="48"/>
        <v>0</v>
      </c>
      <c r="BR23" s="96">
        <f t="shared" si="49"/>
        <v>0</v>
      </c>
      <c r="BS23" s="96">
        <f t="shared" si="71"/>
        <v>0</v>
      </c>
      <c r="BT23" s="96">
        <f t="shared" si="50"/>
        <v>0</v>
      </c>
      <c r="BU23" s="92">
        <f t="shared" si="16"/>
        <v>2480</v>
      </c>
      <c r="BV23" s="98">
        <f t="shared" si="17"/>
        <v>19.04</v>
      </c>
      <c r="BW23" s="92">
        <f t="shared" si="18"/>
        <v>52.235061728395436</v>
      </c>
      <c r="BX23" s="98">
        <f t="shared" si="51"/>
        <v>38.08</v>
      </c>
      <c r="BY23" s="61">
        <f t="shared" si="73"/>
        <v>19.04</v>
      </c>
      <c r="BZ23" s="62">
        <f t="shared" si="52"/>
        <v>19.04</v>
      </c>
      <c r="CA23" s="98">
        <f t="shared" si="53"/>
        <v>10.159000000000001</v>
      </c>
      <c r="CB23" s="92">
        <f t="shared" si="19"/>
        <v>2508</v>
      </c>
      <c r="CC23" s="92">
        <f t="shared" si="19"/>
        <v>211.5520000000015</v>
      </c>
      <c r="CD23" s="92">
        <f t="shared" si="19"/>
        <v>52.235061728395436</v>
      </c>
      <c r="CE23" s="99"/>
      <c r="CF23" s="99"/>
      <c r="CG23" s="51">
        <f t="shared" si="54"/>
        <v>28.032999999999998</v>
      </c>
      <c r="CH23" s="62">
        <f t="shared" si="55"/>
        <v>28.032999999999998</v>
      </c>
      <c r="CI23" s="89"/>
      <c r="CJ23" s="89">
        <v>10047</v>
      </c>
      <c r="CK23" s="89"/>
      <c r="CL23" s="96">
        <v>112</v>
      </c>
      <c r="CM23" s="89"/>
      <c r="CN23" s="89"/>
      <c r="CO23" s="92"/>
      <c r="CP23" s="101"/>
      <c r="CQ23" s="102">
        <f t="shared" si="56"/>
        <v>2480</v>
      </c>
      <c r="CR23" s="102">
        <f t="shared" si="20"/>
        <v>0</v>
      </c>
      <c r="CS23" s="102">
        <f t="shared" si="20"/>
        <v>27</v>
      </c>
      <c r="CT23" s="92">
        <f t="shared" si="57"/>
        <v>0</v>
      </c>
      <c r="CU23" s="92">
        <f t="shared" si="58"/>
        <v>0</v>
      </c>
      <c r="CV23" s="103">
        <f t="shared" si="58"/>
        <v>0</v>
      </c>
      <c r="CW23" s="104"/>
      <c r="CX23" s="105">
        <v>17</v>
      </c>
      <c r="CY23" s="106">
        <f t="shared" si="59"/>
        <v>2188</v>
      </c>
      <c r="CZ23" s="106">
        <f t="shared" si="60"/>
        <v>137.70000000000002</v>
      </c>
      <c r="DA23" s="106"/>
      <c r="DB23" s="106"/>
      <c r="DC23" s="105"/>
      <c r="DD23" s="107"/>
      <c r="DE23" s="92">
        <f t="shared" si="21"/>
        <v>2480</v>
      </c>
      <c r="DF23" s="108">
        <f t="shared" si="22"/>
        <v>19.04</v>
      </c>
      <c r="DG23" s="112">
        <f t="shared" si="23"/>
        <v>52.235061728395436</v>
      </c>
      <c r="DH23" s="110">
        <f t="shared" si="24"/>
        <v>0</v>
      </c>
      <c r="DI23" s="108">
        <f t="shared" si="25"/>
        <v>0</v>
      </c>
      <c r="DJ23" s="112">
        <f t="shared" si="26"/>
        <v>0</v>
      </c>
      <c r="DK23" s="110">
        <f t="shared" si="27"/>
        <v>2480</v>
      </c>
      <c r="DL23" s="108">
        <f t="shared" si="27"/>
        <v>19.04</v>
      </c>
      <c r="DM23" s="111">
        <f t="shared" si="27"/>
        <v>52.235061728395436</v>
      </c>
      <c r="DN23" s="76">
        <f t="shared" si="28"/>
        <v>8.0399999999999991</v>
      </c>
      <c r="DO23" s="76">
        <f t="shared" si="28"/>
        <v>82</v>
      </c>
      <c r="DP23" s="112"/>
      <c r="DQ23" s="112"/>
      <c r="DR23" s="113" t="s">
        <v>426</v>
      </c>
      <c r="DS23" s="112"/>
      <c r="DT23" s="112"/>
      <c r="DU23" s="111"/>
      <c r="DV23" s="114"/>
      <c r="DW23" s="80">
        <f t="shared" ref="DW23:DW25" si="85">IFERROR(AL23+BF23,"")</f>
        <v>19.04</v>
      </c>
      <c r="DX23" s="81">
        <f t="shared" si="29"/>
        <v>2551.2750617283955</v>
      </c>
      <c r="DY23" s="80">
        <f t="shared" si="62"/>
        <v>2507</v>
      </c>
      <c r="DZ23" s="82">
        <f t="shared" si="63"/>
        <v>0.10934999999999999</v>
      </c>
      <c r="EA23" s="82">
        <f t="shared" si="64"/>
        <v>10.044</v>
      </c>
      <c r="EB23" s="82">
        <f t="shared" si="65"/>
        <v>28.035999999999998</v>
      </c>
      <c r="EC23" s="82">
        <f>(BX23-CA23)+((AV23+BP23)/1000)</f>
        <v>28.032999999999998</v>
      </c>
      <c r="EF23" s="83">
        <f t="shared" si="82"/>
        <v>52.235061728395436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1"/>
        <v>GWA6063-T5-T18.15x8.6x3-H9A15</v>
      </c>
      <c r="H24" s="46" t="str">
        <f t="shared" si="32"/>
        <v>A6063-T5GW18.158.6TH9</v>
      </c>
      <c r="I24" s="46" t="str">
        <f t="shared" si="33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4"/>
        <v>14</v>
      </c>
      <c r="T24" s="51">
        <f>'05.02'!BG24</f>
        <v>15</v>
      </c>
      <c r="U24" s="92">
        <v>30</v>
      </c>
      <c r="V24" s="89">
        <v>9.9</v>
      </c>
      <c r="W24" s="93">
        <f t="shared" si="5"/>
        <v>0</v>
      </c>
      <c r="X24" s="93">
        <f t="shared" si="6"/>
        <v>762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25</v>
      </c>
      <c r="AE24" s="93">
        <f t="shared" si="35"/>
        <v>762</v>
      </c>
      <c r="AF24" s="54">
        <f>AE24+'05.02'!AF24</f>
        <v>3201</v>
      </c>
      <c r="AG24" s="94">
        <f t="shared" si="66"/>
        <v>15</v>
      </c>
      <c r="AH24" s="56">
        <f t="shared" si="13"/>
        <v>0</v>
      </c>
      <c r="AI24" s="93">
        <v>6</v>
      </c>
      <c r="AJ24" s="93">
        <f t="shared" si="67"/>
        <v>0</v>
      </c>
      <c r="AK24" s="95">
        <f t="shared" si="36"/>
        <v>1</v>
      </c>
      <c r="AL24" s="58">
        <f t="shared" si="37"/>
        <v>6</v>
      </c>
      <c r="AM24" s="55">
        <f t="shared" si="68"/>
        <v>39</v>
      </c>
      <c r="AN24" s="93"/>
      <c r="AO24" s="96"/>
      <c r="AP24" s="96">
        <f>$CJ24</f>
        <v>3623.4</v>
      </c>
      <c r="AQ24" s="96"/>
      <c r="AR24" s="96"/>
      <c r="AS24" s="96"/>
      <c r="AT24" s="96"/>
      <c r="AU24" s="96">
        <f t="shared" si="38"/>
        <v>0</v>
      </c>
      <c r="AV24" s="96">
        <f t="shared" si="38"/>
        <v>250</v>
      </c>
      <c r="AW24" s="96">
        <f t="shared" si="39"/>
        <v>3873.4</v>
      </c>
      <c r="AX24" s="96">
        <f t="shared" si="40"/>
        <v>391</v>
      </c>
      <c r="AY24" s="94">
        <f t="shared" si="69"/>
        <v>-165.80000000000018</v>
      </c>
      <c r="AZ24" s="94">
        <f t="shared" si="41"/>
        <v>-16.747474747474765</v>
      </c>
      <c r="BA24" s="94">
        <f t="shared" si="42"/>
        <v>39</v>
      </c>
      <c r="BB24" s="97">
        <f t="shared" si="43"/>
        <v>0</v>
      </c>
      <c r="BC24" s="93">
        <v>6</v>
      </c>
      <c r="BD24" s="93">
        <f t="shared" si="44"/>
        <v>0</v>
      </c>
      <c r="BE24" s="95">
        <f t="shared" si="45"/>
        <v>1</v>
      </c>
      <c r="BF24" s="58">
        <f t="shared" si="46"/>
        <v>6</v>
      </c>
      <c r="BG24" s="94">
        <f t="shared" si="47"/>
        <v>33</v>
      </c>
      <c r="BH24" s="89"/>
      <c r="BI24" s="89"/>
      <c r="BJ24" s="92">
        <f>$CN24</f>
        <v>3930</v>
      </c>
      <c r="BK24" s="89"/>
      <c r="BL24" s="89"/>
      <c r="BM24" s="89"/>
      <c r="BN24" s="89"/>
      <c r="BO24" s="92">
        <f t="shared" si="70"/>
        <v>0</v>
      </c>
      <c r="BP24" s="92">
        <f t="shared" si="70"/>
        <v>0</v>
      </c>
      <c r="BQ24" s="96">
        <f t="shared" si="48"/>
        <v>3930</v>
      </c>
      <c r="BR24" s="96">
        <f t="shared" si="49"/>
        <v>396</v>
      </c>
      <c r="BS24" s="96">
        <f t="shared" si="71"/>
        <v>-109.20000000000027</v>
      </c>
      <c r="BT24" s="96">
        <f t="shared" si="50"/>
        <v>-11.030303030303058</v>
      </c>
      <c r="BU24" s="92">
        <f t="shared" si="16"/>
        <v>762</v>
      </c>
      <c r="BV24" s="98">
        <f t="shared" si="17"/>
        <v>12</v>
      </c>
      <c r="BW24" s="92">
        <f t="shared" si="18"/>
        <v>-27.777777777777821</v>
      </c>
      <c r="BX24" s="98">
        <f t="shared" si="51"/>
        <v>19.692</v>
      </c>
      <c r="BY24" s="61">
        <f t="shared" si="73"/>
        <v>12</v>
      </c>
      <c r="BZ24" s="62">
        <f t="shared" si="52"/>
        <v>12</v>
      </c>
      <c r="CA24" s="98">
        <f t="shared" si="53"/>
        <v>7.8033999999999999</v>
      </c>
      <c r="CB24" s="92">
        <f t="shared" si="19"/>
        <v>787</v>
      </c>
      <c r="CC24" s="92">
        <f t="shared" si="19"/>
        <v>-275.00000000000045</v>
      </c>
      <c r="CD24" s="92">
        <f t="shared" si="19"/>
        <v>-27.777777777777821</v>
      </c>
      <c r="CE24" s="99"/>
      <c r="CF24" s="99"/>
      <c r="CG24" s="51">
        <f t="shared" si="54"/>
        <v>12.1386</v>
      </c>
      <c r="CH24" s="62">
        <f t="shared" si="55"/>
        <v>12.1386</v>
      </c>
      <c r="CI24" s="89"/>
      <c r="CJ24" s="89">
        <f>366*9.9</f>
        <v>3623.4</v>
      </c>
      <c r="CK24" s="89"/>
      <c r="CL24" s="96">
        <v>250</v>
      </c>
      <c r="CM24" s="89"/>
      <c r="CN24" s="89">
        <v>3930</v>
      </c>
      <c r="CO24" s="92"/>
      <c r="CP24" s="101"/>
      <c r="CQ24" s="102">
        <f t="shared" si="56"/>
        <v>366</v>
      </c>
      <c r="CR24" s="102">
        <f t="shared" si="56"/>
        <v>0</v>
      </c>
      <c r="CS24" s="102">
        <f t="shared" si="56"/>
        <v>25</v>
      </c>
      <c r="CT24" s="92">
        <f t="shared" si="57"/>
        <v>396</v>
      </c>
      <c r="CU24" s="92">
        <f t="shared" si="58"/>
        <v>0</v>
      </c>
      <c r="CV24" s="103">
        <f t="shared" si="58"/>
        <v>0</v>
      </c>
      <c r="CW24" s="104"/>
      <c r="CX24" s="105">
        <v>80.33</v>
      </c>
      <c r="CY24" s="106">
        <f t="shared" si="59"/>
        <v>507</v>
      </c>
      <c r="CZ24" s="106">
        <f t="shared" si="60"/>
        <v>650.673</v>
      </c>
      <c r="DA24" s="106"/>
      <c r="DB24" s="106"/>
      <c r="DC24" s="105"/>
      <c r="DD24" s="107"/>
      <c r="DE24" s="92">
        <f t="shared" si="21"/>
        <v>366</v>
      </c>
      <c r="DF24" s="108">
        <f t="shared" si="22"/>
        <v>6</v>
      </c>
      <c r="DG24" s="112">
        <f t="shared" si="23"/>
        <v>-16.747474747474765</v>
      </c>
      <c r="DH24" s="110">
        <f t="shared" si="24"/>
        <v>396</v>
      </c>
      <c r="DI24" s="108">
        <f t="shared" si="25"/>
        <v>6</v>
      </c>
      <c r="DJ24" s="112">
        <f t="shared" si="26"/>
        <v>-11.030303030303058</v>
      </c>
      <c r="DK24" s="110">
        <f t="shared" ref="DK24:DM87" si="86">IFERROR(DE24+DH24,"")</f>
        <v>762</v>
      </c>
      <c r="DL24" s="108">
        <f t="shared" si="86"/>
        <v>12</v>
      </c>
      <c r="DM24" s="111">
        <f t="shared" si="86"/>
        <v>-27.777777777777821</v>
      </c>
      <c r="DN24" s="76">
        <f t="shared" si="28"/>
        <v>15</v>
      </c>
      <c r="DO24" s="76">
        <f t="shared" si="28"/>
        <v>30</v>
      </c>
      <c r="DP24" s="112"/>
      <c r="DQ24" s="112"/>
      <c r="DR24" s="113" t="s">
        <v>427</v>
      </c>
      <c r="DS24" s="112"/>
      <c r="DT24" s="112"/>
      <c r="DU24" s="111"/>
      <c r="DV24" s="114"/>
      <c r="DW24" s="80">
        <f t="shared" si="85"/>
        <v>12</v>
      </c>
      <c r="DX24" s="81">
        <f t="shared" si="29"/>
        <v>746.22222222222217</v>
      </c>
      <c r="DY24" s="80">
        <f t="shared" si="62"/>
        <v>787</v>
      </c>
      <c r="DZ24" s="82">
        <f t="shared" si="63"/>
        <v>0.2475</v>
      </c>
      <c r="EA24" s="82">
        <f t="shared" si="64"/>
        <v>7.5438000000000001</v>
      </c>
      <c r="EB24" s="82">
        <f t="shared" si="65"/>
        <v>12.148199999999999</v>
      </c>
      <c r="EC24" s="82">
        <f t="shared" si="75"/>
        <v>12.3957</v>
      </c>
      <c r="EF24" s="83">
        <f t="shared" si="82"/>
        <v>-27.777777777777821</v>
      </c>
    </row>
    <row r="25" spans="1:136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1"/>
        <v>GWA6063-T5-17x3-H9B15</v>
      </c>
      <c r="H25" s="46" t="str">
        <f t="shared" si="32"/>
        <v>A6063-T5GW170DH9</v>
      </c>
      <c r="I25" s="46" t="str">
        <f t="shared" si="33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4"/>
        <v>16</v>
      </c>
      <c r="T25" s="51">
        <f>'05.02'!BG25</f>
        <v>20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5"/>
        <v>0</v>
      </c>
      <c r="AF25" s="54">
        <f>AE25+'05.02'!AF25</f>
        <v>0</v>
      </c>
      <c r="AG25" s="94">
        <f t="shared" si="66"/>
        <v>20</v>
      </c>
      <c r="AH25" s="56">
        <f t="shared" si="13"/>
        <v>0</v>
      </c>
      <c r="AI25" s="93"/>
      <c r="AJ25" s="93">
        <f t="shared" si="67"/>
        <v>0</v>
      </c>
      <c r="AK25" s="95">
        <f t="shared" si="36"/>
        <v>1</v>
      </c>
      <c r="AL25" s="58">
        <f t="shared" si="37"/>
        <v>0</v>
      </c>
      <c r="AM25" s="55">
        <f t="shared" si="68"/>
        <v>20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8"/>
        <v>0</v>
      </c>
      <c r="AV25" s="96">
        <f t="shared" si="38"/>
        <v>0</v>
      </c>
      <c r="AW25" s="96">
        <f t="shared" si="39"/>
        <v>0</v>
      </c>
      <c r="AX25" s="96">
        <f t="shared" si="40"/>
        <v>0</v>
      </c>
      <c r="AY25" s="94">
        <f t="shared" si="69"/>
        <v>0</v>
      </c>
      <c r="AZ25" s="94">
        <f t="shared" si="41"/>
        <v>0</v>
      </c>
      <c r="BA25" s="94">
        <f t="shared" si="42"/>
        <v>20</v>
      </c>
      <c r="BB25" s="97">
        <f t="shared" si="43"/>
        <v>0</v>
      </c>
      <c r="BC25" s="93"/>
      <c r="BD25" s="93">
        <f t="shared" si="44"/>
        <v>0</v>
      </c>
      <c r="BE25" s="95">
        <f t="shared" si="45"/>
        <v>1</v>
      </c>
      <c r="BF25" s="58">
        <f t="shared" si="46"/>
        <v>0</v>
      </c>
      <c r="BG25" s="94">
        <f t="shared" si="47"/>
        <v>20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0"/>
        <v>0</v>
      </c>
      <c r="BP25" s="92">
        <f t="shared" si="70"/>
        <v>0</v>
      </c>
      <c r="BQ25" s="96">
        <f t="shared" si="48"/>
        <v>0</v>
      </c>
      <c r="BR25" s="96">
        <f t="shared" si="49"/>
        <v>0</v>
      </c>
      <c r="BS25" s="96">
        <f t="shared" si="71"/>
        <v>0</v>
      </c>
      <c r="BT25" s="96">
        <f t="shared" si="50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1"/>
        <v>0</v>
      </c>
      <c r="BY25" s="61">
        <f t="shared" si="73"/>
        <v>0</v>
      </c>
      <c r="BZ25" s="62">
        <f t="shared" si="52"/>
        <v>0</v>
      </c>
      <c r="CA25" s="98">
        <f t="shared" si="53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4"/>
        <v>0</v>
      </c>
      <c r="CH25" s="62">
        <f t="shared" si="55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7">INT(IFERROR( CJ25/$V25,0))</f>
        <v>0</v>
      </c>
      <c r="CR25" s="102">
        <f t="shared" si="87"/>
        <v>0</v>
      </c>
      <c r="CS25" s="102">
        <f t="shared" si="87"/>
        <v>0</v>
      </c>
      <c r="CT25" s="92">
        <f t="shared" si="57"/>
        <v>0</v>
      </c>
      <c r="CU25" s="92">
        <f t="shared" ref="CU25:CV40" si="88">INT(IFERROR( AC25-CR25,0))</f>
        <v>0</v>
      </c>
      <c r="CV25" s="103">
        <f t="shared" si="88"/>
        <v>0</v>
      </c>
      <c r="CW25" s="104"/>
      <c r="CX25" s="105">
        <v>69.16</v>
      </c>
      <c r="CY25" s="106">
        <f t="shared" si="59"/>
        <v>585</v>
      </c>
      <c r="CZ25" s="106">
        <f t="shared" si="60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6"/>
        <v>0</v>
      </c>
      <c r="DL25" s="108">
        <f t="shared" si="86"/>
        <v>0</v>
      </c>
      <c r="DM25" s="111">
        <f t="shared" si="86"/>
        <v>0</v>
      </c>
      <c r="DN25" s="76">
        <f t="shared" si="28"/>
        <v>20</v>
      </c>
      <c r="DO25" s="76">
        <f t="shared" si="28"/>
        <v>0</v>
      </c>
      <c r="DP25" s="112"/>
      <c r="DQ25" s="112"/>
      <c r="DR25" s="113" t="s">
        <v>428</v>
      </c>
      <c r="DS25" s="112"/>
      <c r="DT25" s="112"/>
      <c r="DU25" s="111"/>
      <c r="DV25" s="114"/>
      <c r="DW25" s="80">
        <f t="shared" si="85"/>
        <v>0</v>
      </c>
      <c r="DX25" s="81">
        <f t="shared" si="29"/>
        <v>0</v>
      </c>
      <c r="DY25" s="80">
        <f t="shared" si="62"/>
        <v>0</v>
      </c>
      <c r="DZ25" s="82">
        <f t="shared" si="63"/>
        <v>0</v>
      </c>
      <c r="EA25" s="82">
        <f t="shared" si="64"/>
        <v>0</v>
      </c>
      <c r="EB25" s="82">
        <f t="shared" si="65"/>
        <v>0</v>
      </c>
      <c r="EC25" s="82">
        <f>(BX25-CA25)+((AV25+BP25)/1000)</f>
        <v>0</v>
      </c>
      <c r="EF25" s="83">
        <f t="shared" si="82"/>
        <v>0</v>
      </c>
    </row>
    <row r="26" spans="1:136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1"/>
        <v>-xx-</v>
      </c>
      <c r="H26" s="46" t="str">
        <f t="shared" si="32"/>
        <v/>
      </c>
      <c r="I26" s="46" t="str">
        <f t="shared" si="33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4"/>
        <v>#DIV/0!</v>
      </c>
      <c r="T26" s="51">
        <f>'05.02'!BG26</f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5"/>
        <v>0</v>
      </c>
      <c r="AF26" s="54">
        <f>AE26+'05.02'!AF26</f>
        <v>0</v>
      </c>
      <c r="AG26" s="94">
        <f t="shared" si="66"/>
        <v>0</v>
      </c>
      <c r="AH26" s="56">
        <f t="shared" si="13"/>
        <v>0</v>
      </c>
      <c r="AI26" s="93"/>
      <c r="AJ26" s="93">
        <f t="shared" si="67"/>
        <v>0</v>
      </c>
      <c r="AK26" s="95">
        <f t="shared" si="36"/>
        <v>1</v>
      </c>
      <c r="AL26" s="58">
        <f t="shared" si="37"/>
        <v>0</v>
      </c>
      <c r="AM26" s="55">
        <f t="shared" si="68"/>
        <v>0</v>
      </c>
      <c r="AN26" s="93"/>
      <c r="AO26" s="96"/>
      <c r="AP26" s="96"/>
      <c r="AQ26" s="96"/>
      <c r="AR26" s="96"/>
      <c r="AS26" s="96"/>
      <c r="AT26" s="96"/>
      <c r="AU26" s="96">
        <f t="shared" si="38"/>
        <v>0</v>
      </c>
      <c r="AV26" s="96">
        <f t="shared" si="38"/>
        <v>0</v>
      </c>
      <c r="AW26" s="96">
        <f t="shared" si="39"/>
        <v>0</v>
      </c>
      <c r="AX26" s="96">
        <f t="shared" si="40"/>
        <v>0</v>
      </c>
      <c r="AY26" s="94">
        <f t="shared" si="69"/>
        <v>0</v>
      </c>
      <c r="AZ26" s="94">
        <f t="shared" si="41"/>
        <v>0</v>
      </c>
      <c r="BA26" s="94">
        <f t="shared" si="42"/>
        <v>0</v>
      </c>
      <c r="BB26" s="97">
        <f t="shared" si="43"/>
        <v>0</v>
      </c>
      <c r="BC26" s="93"/>
      <c r="BD26" s="93">
        <f t="shared" si="44"/>
        <v>0</v>
      </c>
      <c r="BE26" s="95">
        <f t="shared" si="45"/>
        <v>1</v>
      </c>
      <c r="BF26" s="58">
        <f t="shared" si="46"/>
        <v>0</v>
      </c>
      <c r="BG26" s="94">
        <f t="shared" si="47"/>
        <v>0</v>
      </c>
      <c r="BH26" s="89"/>
      <c r="BI26" s="89"/>
      <c r="BJ26" s="89"/>
      <c r="BK26" s="89"/>
      <c r="BL26" s="89"/>
      <c r="BM26" s="89"/>
      <c r="BN26" s="89"/>
      <c r="BO26" s="92">
        <f t="shared" si="70"/>
        <v>0</v>
      </c>
      <c r="BP26" s="92">
        <f t="shared" si="70"/>
        <v>0</v>
      </c>
      <c r="BQ26" s="96">
        <f t="shared" si="48"/>
        <v>0</v>
      </c>
      <c r="BR26" s="96">
        <f t="shared" si="49"/>
        <v>0</v>
      </c>
      <c r="BS26" s="96">
        <f t="shared" si="71"/>
        <v>0</v>
      </c>
      <c r="BT26" s="96">
        <f t="shared" si="50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1"/>
        <v/>
      </c>
      <c r="BY26" s="61">
        <f t="shared" si="73"/>
        <v>0</v>
      </c>
      <c r="BZ26" s="62">
        <f t="shared" si="52"/>
        <v>0</v>
      </c>
      <c r="CA26" s="98">
        <f t="shared" si="53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4"/>
        <v>0</v>
      </c>
      <c r="CH26" s="62">
        <f t="shared" si="55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7"/>
        <v>0</v>
      </c>
      <c r="CR26" s="102">
        <f t="shared" si="87"/>
        <v>0</v>
      </c>
      <c r="CS26" s="102">
        <f t="shared" si="87"/>
        <v>0</v>
      </c>
      <c r="CT26" s="92">
        <f t="shared" si="57"/>
        <v>0</v>
      </c>
      <c r="CU26" s="92">
        <f t="shared" si="88"/>
        <v>0</v>
      </c>
      <c r="CV26" s="103">
        <f t="shared" si="88"/>
        <v>0</v>
      </c>
      <c r="CW26" s="104"/>
      <c r="CX26" s="105"/>
      <c r="CY26" s="106" t="e">
        <f t="shared" si="59"/>
        <v>#DIV/0!</v>
      </c>
      <c r="CZ26" s="106">
        <f t="shared" si="60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6"/>
        <v>0</v>
      </c>
      <c r="DL26" s="108">
        <f t="shared" si="86"/>
        <v>0</v>
      </c>
      <c r="DM26" s="111">
        <f t="shared" si="86"/>
        <v>0</v>
      </c>
      <c r="DN26" s="76">
        <f t="shared" ref="DN26:DO89" si="89">T26</f>
        <v>0</v>
      </c>
      <c r="DO26" s="76">
        <f t="shared" si="89"/>
        <v>0</v>
      </c>
      <c r="DP26" s="112"/>
      <c r="DQ26" s="112"/>
      <c r="DR26" s="113"/>
      <c r="DS26" s="112"/>
      <c r="DT26" s="112"/>
      <c r="DU26" s="111"/>
      <c r="DV26" s="114"/>
      <c r="DW26" s="80">
        <f t="shared" si="61"/>
        <v>0</v>
      </c>
      <c r="DX26" s="81">
        <f t="shared" si="29"/>
        <v>0</v>
      </c>
      <c r="DY26" s="80">
        <f t="shared" si="62"/>
        <v>0</v>
      </c>
      <c r="DZ26" s="82">
        <f t="shared" si="63"/>
        <v>0</v>
      </c>
      <c r="EA26" s="82">
        <f t="shared" si="64"/>
        <v>0</v>
      </c>
      <c r="EB26" s="82" t="e">
        <f t="shared" si="65"/>
        <v>#VALUE!</v>
      </c>
      <c r="EC26" s="82" t="e">
        <f t="shared" si="75"/>
        <v>#VALUE!</v>
      </c>
    </row>
    <row r="27" spans="1:136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1"/>
        <v>TVSUJ2-8.1x3-H9C13</v>
      </c>
      <c r="H27" s="46" t="str">
        <f t="shared" si="32"/>
        <v>SUJ2TV8.10DH9</v>
      </c>
      <c r="I27" s="46" t="str">
        <f t="shared" si="33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4"/>
        <v>52</v>
      </c>
      <c r="T27" s="51">
        <f>'05.02'!BG27</f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5"/>
        <v>0</v>
      </c>
      <c r="AF27" s="54">
        <f>AE27+'05.02'!AF27</f>
        <v>0</v>
      </c>
      <c r="AG27" s="94">
        <f t="shared" si="66"/>
        <v>0</v>
      </c>
      <c r="AH27" s="56">
        <f t="shared" si="13"/>
        <v>0</v>
      </c>
      <c r="AI27" s="93"/>
      <c r="AJ27" s="93">
        <f t="shared" si="67"/>
        <v>0</v>
      </c>
      <c r="AK27" s="95">
        <f t="shared" si="36"/>
        <v>1</v>
      </c>
      <c r="AL27" s="58">
        <f t="shared" si="37"/>
        <v>0</v>
      </c>
      <c r="AM27" s="55">
        <f t="shared" si="68"/>
        <v>0</v>
      </c>
      <c r="AN27" s="93"/>
      <c r="AO27" s="96"/>
      <c r="AP27" s="96">
        <f t="shared" ref="AP27:AP33" si="90">$CJ27</f>
        <v>0</v>
      </c>
      <c r="AQ27" s="96"/>
      <c r="AR27" s="96"/>
      <c r="AS27" s="96"/>
      <c r="AT27" s="96"/>
      <c r="AU27" s="96">
        <f t="shared" si="38"/>
        <v>0</v>
      </c>
      <c r="AV27" s="96">
        <f t="shared" si="38"/>
        <v>0</v>
      </c>
      <c r="AW27" s="96">
        <f t="shared" si="39"/>
        <v>0</v>
      </c>
      <c r="AX27" s="96">
        <f t="shared" si="40"/>
        <v>0</v>
      </c>
      <c r="AY27" s="94">
        <f t="shared" si="69"/>
        <v>0</v>
      </c>
      <c r="AZ27" s="94">
        <f t="shared" si="41"/>
        <v>0</v>
      </c>
      <c r="BA27" s="94">
        <f t="shared" si="42"/>
        <v>0</v>
      </c>
      <c r="BB27" s="97">
        <f t="shared" si="43"/>
        <v>0</v>
      </c>
      <c r="BC27" s="93"/>
      <c r="BD27" s="93">
        <f t="shared" si="44"/>
        <v>0</v>
      </c>
      <c r="BE27" s="95">
        <f t="shared" si="45"/>
        <v>1</v>
      </c>
      <c r="BF27" s="58">
        <f t="shared" si="46"/>
        <v>0</v>
      </c>
      <c r="BG27" s="94">
        <f t="shared" si="47"/>
        <v>0</v>
      </c>
      <c r="BH27" s="89"/>
      <c r="BI27" s="89"/>
      <c r="BJ27" s="92">
        <f t="shared" ref="BJ27:BJ33" si="91">$CN27</f>
        <v>0</v>
      </c>
      <c r="BK27" s="89"/>
      <c r="BL27" s="89"/>
      <c r="BM27" s="89"/>
      <c r="BN27" s="89"/>
      <c r="BO27" s="92">
        <f t="shared" si="70"/>
        <v>0</v>
      </c>
      <c r="BP27" s="92">
        <f t="shared" si="70"/>
        <v>0</v>
      </c>
      <c r="BQ27" s="96">
        <f t="shared" si="48"/>
        <v>0</v>
      </c>
      <c r="BR27" s="96">
        <f t="shared" si="49"/>
        <v>0</v>
      </c>
      <c r="BS27" s="96">
        <f t="shared" si="71"/>
        <v>0</v>
      </c>
      <c r="BT27" s="96">
        <f t="shared" si="50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1"/>
        <v>0</v>
      </c>
      <c r="BY27" s="61">
        <f t="shared" si="73"/>
        <v>0</v>
      </c>
      <c r="BZ27" s="62">
        <f t="shared" si="52"/>
        <v>0</v>
      </c>
      <c r="CA27" s="98">
        <f t="shared" si="53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4"/>
        <v>0</v>
      </c>
      <c r="CH27" s="62">
        <f t="shared" si="55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7"/>
        <v>0</v>
      </c>
      <c r="CR27" s="102">
        <f t="shared" si="87"/>
        <v>0</v>
      </c>
      <c r="CS27" s="102">
        <f t="shared" si="87"/>
        <v>0</v>
      </c>
      <c r="CT27" s="92">
        <f t="shared" si="57"/>
        <v>0</v>
      </c>
      <c r="CU27" s="92">
        <f t="shared" si="88"/>
        <v>0</v>
      </c>
      <c r="CV27" s="103">
        <f t="shared" si="88"/>
        <v>0</v>
      </c>
      <c r="CW27" s="104"/>
      <c r="CX27" s="105">
        <v>17</v>
      </c>
      <c r="CY27" s="106">
        <f t="shared" si="59"/>
        <v>1941</v>
      </c>
      <c r="CZ27" s="106">
        <f t="shared" si="60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6"/>
        <v>0</v>
      </c>
      <c r="DL27" s="108">
        <f t="shared" si="86"/>
        <v>0</v>
      </c>
      <c r="DM27" s="111">
        <f t="shared" si="86"/>
        <v>0</v>
      </c>
      <c r="DN27" s="76">
        <f t="shared" si="89"/>
        <v>0</v>
      </c>
      <c r="DO27" s="76">
        <f t="shared" si="89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1"/>
        <v>0</v>
      </c>
      <c r="DX27" s="81">
        <f t="shared" si="29"/>
        <v>0</v>
      </c>
      <c r="DY27" s="80">
        <f t="shared" si="62"/>
        <v>0</v>
      </c>
      <c r="DZ27" s="82">
        <f t="shared" si="63"/>
        <v>0</v>
      </c>
      <c r="EA27" s="82">
        <f t="shared" si="64"/>
        <v>0</v>
      </c>
      <c r="EB27" s="82">
        <f t="shared" si="65"/>
        <v>0</v>
      </c>
      <c r="EC27" s="82">
        <f t="shared" si="75"/>
        <v>0</v>
      </c>
      <c r="EF27" s="83">
        <f t="shared" ref="EF27:EF58" si="92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1"/>
        <v>GWA6063-T5-T18.15x8.6x3-H9A15</v>
      </c>
      <c r="H28" s="46" t="str">
        <f t="shared" si="32"/>
        <v>A6063-T5GW18.158.6TH9</v>
      </c>
      <c r="I28" s="46" t="str">
        <f t="shared" si="33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4"/>
        <v>18</v>
      </c>
      <c r="T28" s="51">
        <f>'05.02'!BG28</f>
        <v>13</v>
      </c>
      <c r="U28" s="92">
        <v>30</v>
      </c>
      <c r="V28" s="89">
        <v>7.7</v>
      </c>
      <c r="W28" s="93">
        <f t="shared" si="5"/>
        <v>0</v>
      </c>
      <c r="X28" s="93">
        <f t="shared" si="6"/>
        <v>1083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3</v>
      </c>
      <c r="AE28" s="93">
        <f t="shared" si="35"/>
        <v>1083</v>
      </c>
      <c r="AF28" s="54">
        <f>AE28+'05.02'!AF28</f>
        <v>6126</v>
      </c>
      <c r="AG28" s="94">
        <f t="shared" si="66"/>
        <v>13</v>
      </c>
      <c r="AH28" s="56">
        <f t="shared" si="13"/>
        <v>0</v>
      </c>
      <c r="AI28" s="93">
        <v>6</v>
      </c>
      <c r="AJ28" s="93">
        <f t="shared" si="67"/>
        <v>0</v>
      </c>
      <c r="AK28" s="95">
        <f t="shared" si="36"/>
        <v>1</v>
      </c>
      <c r="AL28" s="58">
        <f t="shared" si="37"/>
        <v>6</v>
      </c>
      <c r="AM28" s="55">
        <f t="shared" si="68"/>
        <v>37</v>
      </c>
      <c r="AN28" s="93"/>
      <c r="AO28" s="96"/>
      <c r="AP28" s="96">
        <f t="shared" si="90"/>
        <v>4073.3</v>
      </c>
      <c r="AQ28" s="96"/>
      <c r="AR28" s="96"/>
      <c r="AS28" s="96"/>
      <c r="AT28" s="96"/>
      <c r="AU28" s="96">
        <f t="shared" si="38"/>
        <v>0</v>
      </c>
      <c r="AV28" s="96">
        <f t="shared" si="38"/>
        <v>30</v>
      </c>
      <c r="AW28" s="96">
        <f t="shared" si="39"/>
        <v>4103.3</v>
      </c>
      <c r="AX28" s="96">
        <f t="shared" si="40"/>
        <v>532</v>
      </c>
      <c r="AY28" s="94">
        <f t="shared" si="69"/>
        <v>-100.89999999999964</v>
      </c>
      <c r="AZ28" s="94">
        <f t="shared" si="41"/>
        <v>-13.103896103896057</v>
      </c>
      <c r="BA28" s="94">
        <f t="shared" si="42"/>
        <v>37</v>
      </c>
      <c r="BB28" s="97">
        <f t="shared" si="43"/>
        <v>0</v>
      </c>
      <c r="BC28" s="93">
        <v>6</v>
      </c>
      <c r="BD28" s="93">
        <f t="shared" si="44"/>
        <v>0</v>
      </c>
      <c r="BE28" s="95">
        <f t="shared" si="45"/>
        <v>1</v>
      </c>
      <c r="BF28" s="58">
        <f t="shared" si="46"/>
        <v>6</v>
      </c>
      <c r="BG28" s="94">
        <f t="shared" si="47"/>
        <v>31</v>
      </c>
      <c r="BH28" s="89"/>
      <c r="BI28" s="89"/>
      <c r="BJ28" s="92">
        <f t="shared" si="91"/>
        <v>4266</v>
      </c>
      <c r="BK28" s="89"/>
      <c r="BL28" s="89"/>
      <c r="BM28" s="89"/>
      <c r="BN28" s="89"/>
      <c r="BO28" s="92">
        <f t="shared" si="70"/>
        <v>0</v>
      </c>
      <c r="BP28" s="92">
        <f t="shared" si="70"/>
        <v>0</v>
      </c>
      <c r="BQ28" s="96">
        <f t="shared" si="48"/>
        <v>4266</v>
      </c>
      <c r="BR28" s="96">
        <f t="shared" si="49"/>
        <v>554</v>
      </c>
      <c r="BS28" s="96">
        <f t="shared" si="71"/>
        <v>61.800000000000182</v>
      </c>
      <c r="BT28" s="96">
        <f t="shared" si="50"/>
        <v>8.0259740259740493</v>
      </c>
      <c r="BU28" s="92">
        <f t="shared" si="16"/>
        <v>1083</v>
      </c>
      <c r="BV28" s="98">
        <f t="shared" si="17"/>
        <v>12</v>
      </c>
      <c r="BW28" s="92">
        <f t="shared" si="18"/>
        <v>-5.0779220779220076</v>
      </c>
      <c r="BX28" s="98">
        <f t="shared" si="51"/>
        <v>19.692</v>
      </c>
      <c r="BY28" s="61">
        <f t="shared" si="73"/>
        <v>12</v>
      </c>
      <c r="BZ28" s="62">
        <f t="shared" si="52"/>
        <v>12</v>
      </c>
      <c r="CA28" s="98">
        <f t="shared" si="53"/>
        <v>8.3692999999999991</v>
      </c>
      <c r="CB28" s="92">
        <f t="shared" si="19"/>
        <v>1086</v>
      </c>
      <c r="CC28" s="92">
        <f t="shared" si="19"/>
        <v>-39.099999999999454</v>
      </c>
      <c r="CD28" s="92">
        <f t="shared" si="19"/>
        <v>-5.0779220779220076</v>
      </c>
      <c r="CE28" s="99"/>
      <c r="CF28" s="99"/>
      <c r="CG28" s="51">
        <f t="shared" si="54"/>
        <v>11.3527</v>
      </c>
      <c r="CH28" s="62">
        <f t="shared" si="55"/>
        <v>11.3527</v>
      </c>
      <c r="CI28" s="89"/>
      <c r="CJ28" s="89">
        <f>529*7.7</f>
        <v>4073.3</v>
      </c>
      <c r="CK28" s="89"/>
      <c r="CL28" s="96">
        <v>30</v>
      </c>
      <c r="CM28" s="89"/>
      <c r="CN28" s="89">
        <v>4266</v>
      </c>
      <c r="CO28" s="92"/>
      <c r="CP28" s="101"/>
      <c r="CQ28" s="102">
        <f t="shared" si="87"/>
        <v>529</v>
      </c>
      <c r="CR28" s="102">
        <f t="shared" si="87"/>
        <v>0</v>
      </c>
      <c r="CS28" s="102">
        <f t="shared" si="87"/>
        <v>3</v>
      </c>
      <c r="CT28" s="92">
        <f t="shared" si="57"/>
        <v>554</v>
      </c>
      <c r="CU28" s="92">
        <f t="shared" si="88"/>
        <v>0</v>
      </c>
      <c r="CV28" s="103">
        <f t="shared" si="88"/>
        <v>0</v>
      </c>
      <c r="CW28" s="104"/>
      <c r="CX28" s="105">
        <v>49.97</v>
      </c>
      <c r="CY28" s="106">
        <f t="shared" si="59"/>
        <v>804</v>
      </c>
      <c r="CZ28" s="106">
        <f t="shared" si="60"/>
        <v>404.75700000000001</v>
      </c>
      <c r="DA28" s="106"/>
      <c r="DB28" s="106"/>
      <c r="DC28" s="105"/>
      <c r="DD28" s="107"/>
      <c r="DE28" s="92">
        <f t="shared" si="21"/>
        <v>529</v>
      </c>
      <c r="DF28" s="108">
        <f t="shared" si="22"/>
        <v>6</v>
      </c>
      <c r="DG28" s="112">
        <f t="shared" si="23"/>
        <v>-13.103896103896057</v>
      </c>
      <c r="DH28" s="110">
        <f t="shared" si="24"/>
        <v>554</v>
      </c>
      <c r="DI28" s="108">
        <f t="shared" si="25"/>
        <v>6</v>
      </c>
      <c r="DJ28" s="112">
        <f t="shared" si="26"/>
        <v>8.0259740259740493</v>
      </c>
      <c r="DK28" s="110">
        <f t="shared" si="86"/>
        <v>1083</v>
      </c>
      <c r="DL28" s="108">
        <f t="shared" si="86"/>
        <v>12</v>
      </c>
      <c r="DM28" s="111">
        <f t="shared" si="86"/>
        <v>-5.0779220779220076</v>
      </c>
      <c r="DN28" s="76">
        <f t="shared" si="89"/>
        <v>13</v>
      </c>
      <c r="DO28" s="76">
        <f t="shared" si="89"/>
        <v>30</v>
      </c>
      <c r="DP28" s="112"/>
      <c r="DQ28" s="112"/>
      <c r="DR28" s="113" t="s">
        <v>429</v>
      </c>
      <c r="DS28" s="112"/>
      <c r="DT28" s="112"/>
      <c r="DU28" s="111"/>
      <c r="DV28" s="114"/>
      <c r="DW28" s="80">
        <f t="shared" si="61"/>
        <v>1095</v>
      </c>
      <c r="DX28" s="81">
        <f t="shared" si="29"/>
        <v>1089.922077922078</v>
      </c>
      <c r="DY28" s="80">
        <f t="shared" si="62"/>
        <v>1086</v>
      </c>
      <c r="DZ28" s="82">
        <f t="shared" si="63"/>
        <v>2.3100000000000002E-2</v>
      </c>
      <c r="EA28" s="82">
        <f t="shared" si="64"/>
        <v>8.3391000000000002</v>
      </c>
      <c r="EB28" s="82">
        <f t="shared" si="65"/>
        <v>11.3529</v>
      </c>
      <c r="EC28" s="82">
        <f t="shared" si="75"/>
        <v>11.375999999999999</v>
      </c>
      <c r="EF28" s="83">
        <f t="shared" si="92"/>
        <v>-5.0779220779220076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1"/>
        <v>TV12L14-11x2.5-H9C14</v>
      </c>
      <c r="H29" s="46" t="str">
        <f t="shared" si="32"/>
        <v>12L14TV110DH9</v>
      </c>
      <c r="I29" s="46" t="str">
        <f t="shared" si="33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4"/>
        <v>6</v>
      </c>
      <c r="T29" s="51">
        <f>'05.02'!BG29</f>
        <v>0.99000000000000732</v>
      </c>
      <c r="U29" s="92">
        <v>39</v>
      </c>
      <c r="V29" s="89">
        <v>2</v>
      </c>
      <c r="W29" s="93">
        <f t="shared" si="5"/>
        <v>0</v>
      </c>
      <c r="X29" s="93">
        <f t="shared" si="6"/>
        <v>4944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71</v>
      </c>
      <c r="AE29" s="93">
        <f t="shared" si="35"/>
        <v>4944</v>
      </c>
      <c r="AF29" s="54">
        <f>AE29+'05.02'!AF29</f>
        <v>24035</v>
      </c>
      <c r="AG29" s="94">
        <f t="shared" si="66"/>
        <v>0.99000000000000732</v>
      </c>
      <c r="AH29" s="56">
        <f t="shared" si="13"/>
        <v>0.99000000000000699</v>
      </c>
      <c r="AI29" s="93">
        <v>8</v>
      </c>
      <c r="AJ29" s="93">
        <f t="shared" si="67"/>
        <v>0</v>
      </c>
      <c r="AK29" s="95">
        <f t="shared" si="36"/>
        <v>1</v>
      </c>
      <c r="AL29" s="58">
        <f t="shared" si="37"/>
        <v>9</v>
      </c>
      <c r="AM29" s="55">
        <f t="shared" si="68"/>
        <v>30.990000000000009</v>
      </c>
      <c r="AN29" s="93"/>
      <c r="AO29" s="96"/>
      <c r="AP29" s="96">
        <f t="shared" si="90"/>
        <v>4931</v>
      </c>
      <c r="AQ29" s="96"/>
      <c r="AR29" s="96"/>
      <c r="AS29" s="96"/>
      <c r="AT29" s="96"/>
      <c r="AU29" s="96">
        <f t="shared" si="38"/>
        <v>0</v>
      </c>
      <c r="AV29" s="96">
        <f t="shared" si="38"/>
        <v>100</v>
      </c>
      <c r="AW29" s="96">
        <f t="shared" si="39"/>
        <v>5031</v>
      </c>
      <c r="AX29" s="96">
        <f t="shared" si="40"/>
        <v>2515</v>
      </c>
      <c r="AY29" s="94">
        <f t="shared" si="69"/>
        <v>-63</v>
      </c>
      <c r="AZ29" s="94">
        <f t="shared" si="41"/>
        <v>-31.5</v>
      </c>
      <c r="BA29" s="94">
        <f t="shared" si="42"/>
        <v>30.990000000000009</v>
      </c>
      <c r="BB29" s="97">
        <f t="shared" si="43"/>
        <v>0.99</v>
      </c>
      <c r="BC29" s="93">
        <v>8</v>
      </c>
      <c r="BD29" s="93">
        <f t="shared" si="44"/>
        <v>0</v>
      </c>
      <c r="BE29" s="95">
        <f t="shared" si="45"/>
        <v>1</v>
      </c>
      <c r="BF29" s="58">
        <f t="shared" si="46"/>
        <v>8.99</v>
      </c>
      <c r="BG29" s="94">
        <f t="shared" si="47"/>
        <v>22.000000000000007</v>
      </c>
      <c r="BH29" s="89"/>
      <c r="BI29" s="89"/>
      <c r="BJ29" s="92">
        <f t="shared" si="91"/>
        <v>4957</v>
      </c>
      <c r="BK29" s="89"/>
      <c r="BL29" s="89"/>
      <c r="BM29" s="89"/>
      <c r="BN29" s="92"/>
      <c r="BO29" s="92">
        <f t="shared" si="70"/>
        <v>0</v>
      </c>
      <c r="BP29" s="92">
        <f t="shared" si="70"/>
        <v>42</v>
      </c>
      <c r="BQ29" s="96">
        <f t="shared" si="48"/>
        <v>4999</v>
      </c>
      <c r="BR29" s="96">
        <f t="shared" si="49"/>
        <v>2499</v>
      </c>
      <c r="BS29" s="96">
        <f t="shared" si="71"/>
        <v>-89.340000000000146</v>
      </c>
      <c r="BT29" s="96">
        <f t="shared" si="50"/>
        <v>-44.670000000000073</v>
      </c>
      <c r="BU29" s="92">
        <f t="shared" si="16"/>
        <v>4944</v>
      </c>
      <c r="BV29" s="98">
        <f t="shared" si="17"/>
        <v>17.990000000000002</v>
      </c>
      <c r="BW29" s="92">
        <f t="shared" si="18"/>
        <v>-76.170000000000073</v>
      </c>
      <c r="BX29" s="98" t="str">
        <f t="shared" si="51"/>
        <v/>
      </c>
      <c r="BY29" s="61">
        <f>IFERROR(BF29+AL29,0)</f>
        <v>17.990000000000002</v>
      </c>
      <c r="BZ29" s="62">
        <f t="shared" si="52"/>
        <v>17.990000000000002</v>
      </c>
      <c r="CA29" s="98">
        <f t="shared" si="53"/>
        <v>10.029999999999999</v>
      </c>
      <c r="CB29" s="92">
        <f t="shared" si="19"/>
        <v>5014</v>
      </c>
      <c r="CC29" s="92">
        <f t="shared" si="19"/>
        <v>-152.34000000000015</v>
      </c>
      <c r="CD29" s="92">
        <f t="shared" si="19"/>
        <v>-76.170000000000073</v>
      </c>
      <c r="CE29" s="99"/>
      <c r="CF29" s="99"/>
      <c r="CG29" s="51">
        <f t="shared" si="54"/>
        <v>0</v>
      </c>
      <c r="CH29" s="62">
        <f t="shared" si="55"/>
        <v>0</v>
      </c>
      <c r="CI29" s="89"/>
      <c r="CJ29" s="89">
        <v>4931</v>
      </c>
      <c r="CK29" s="89"/>
      <c r="CL29" s="96">
        <v>100</v>
      </c>
      <c r="CM29" s="89"/>
      <c r="CN29" s="89">
        <v>4957</v>
      </c>
      <c r="CO29" s="92"/>
      <c r="CP29" s="101">
        <v>42</v>
      </c>
      <c r="CQ29" s="102">
        <f t="shared" si="87"/>
        <v>2465</v>
      </c>
      <c r="CR29" s="102">
        <f t="shared" si="87"/>
        <v>0</v>
      </c>
      <c r="CS29" s="102">
        <f t="shared" si="87"/>
        <v>50</v>
      </c>
      <c r="CT29" s="92">
        <f t="shared" si="57"/>
        <v>2479</v>
      </c>
      <c r="CU29" s="92">
        <f t="shared" si="88"/>
        <v>0</v>
      </c>
      <c r="CV29" s="103">
        <f t="shared" si="88"/>
        <v>21</v>
      </c>
      <c r="CW29" s="104"/>
      <c r="CX29" s="105">
        <v>48</v>
      </c>
      <c r="CY29" s="106">
        <f t="shared" si="59"/>
        <v>875</v>
      </c>
      <c r="CZ29" s="106">
        <f t="shared" si="60"/>
        <v>388.8</v>
      </c>
      <c r="DA29" s="106"/>
      <c r="DB29" s="106"/>
      <c r="DC29" s="105"/>
      <c r="DD29" s="107"/>
      <c r="DE29" s="92">
        <f t="shared" si="21"/>
        <v>2465</v>
      </c>
      <c r="DF29" s="108">
        <f t="shared" si="22"/>
        <v>9</v>
      </c>
      <c r="DG29" s="112">
        <f t="shared" si="23"/>
        <v>-31.5</v>
      </c>
      <c r="DH29" s="110">
        <f t="shared" si="24"/>
        <v>2479</v>
      </c>
      <c r="DI29" s="108">
        <f t="shared" si="25"/>
        <v>8.99</v>
      </c>
      <c r="DJ29" s="112">
        <f t="shared" si="26"/>
        <v>-44.670000000000073</v>
      </c>
      <c r="DK29" s="110">
        <f t="shared" si="86"/>
        <v>4944</v>
      </c>
      <c r="DL29" s="108">
        <f t="shared" si="86"/>
        <v>17.990000000000002</v>
      </c>
      <c r="DM29" s="111">
        <f t="shared" si="86"/>
        <v>-76.170000000000073</v>
      </c>
      <c r="DN29" s="76">
        <f t="shared" si="89"/>
        <v>0.99000000000000732</v>
      </c>
      <c r="DO29" s="76">
        <f t="shared" si="89"/>
        <v>39</v>
      </c>
      <c r="DP29" s="112"/>
      <c r="DQ29" s="112"/>
      <c r="DR29" s="113" t="s">
        <v>430</v>
      </c>
      <c r="DS29" s="112"/>
      <c r="DT29" s="112"/>
      <c r="DU29" s="111"/>
      <c r="DV29" s="114"/>
      <c r="DW29" s="80">
        <f>IFERROR(AL29+BF29,"")</f>
        <v>17.990000000000002</v>
      </c>
      <c r="DX29" s="81">
        <f t="shared" si="29"/>
        <v>4885.82</v>
      </c>
      <c r="DY29" s="80">
        <f t="shared" si="62"/>
        <v>5015</v>
      </c>
      <c r="DZ29" s="82">
        <f t="shared" si="63"/>
        <v>0.14199999999999999</v>
      </c>
      <c r="EA29" s="82">
        <f t="shared" si="64"/>
        <v>9.8879999999999999</v>
      </c>
      <c r="EB29" s="82" t="e">
        <f t="shared" si="65"/>
        <v>#VALUE!</v>
      </c>
      <c r="EC29" s="82" t="e">
        <f>(BX29-CA29)+((AV29+BP29)/1000)</f>
        <v>#VALUE!</v>
      </c>
      <c r="EF29" s="83">
        <f t="shared" si="92"/>
        <v>-76.170000000000073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1"/>
        <v>GWA6063-T5-T15x8.6x3-H9E14</v>
      </c>
      <c r="H30" s="46" t="str">
        <f t="shared" si="32"/>
        <v>A6063-T5GW158.6TH9</v>
      </c>
      <c r="I30" s="46" t="str">
        <f t="shared" si="33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4"/>
        <v>26</v>
      </c>
      <c r="T30" s="51">
        <v>12</v>
      </c>
      <c r="U30" s="92">
        <v>60</v>
      </c>
      <c r="V30" s="108">
        <v>3</v>
      </c>
      <c r="W30" s="93">
        <f t="shared" si="5"/>
        <v>0</v>
      </c>
      <c r="X30" s="93">
        <f t="shared" si="6"/>
        <v>3133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20</v>
      </c>
      <c r="AE30" s="93">
        <f t="shared" si="35"/>
        <v>3133</v>
      </c>
      <c r="AF30" s="54">
        <f>AE30+'05.02'!AF30</f>
        <v>17565</v>
      </c>
      <c r="AG30" s="94">
        <f t="shared" si="66"/>
        <v>12</v>
      </c>
      <c r="AH30" s="56">
        <f t="shared" si="13"/>
        <v>0</v>
      </c>
      <c r="AI30" s="93">
        <v>9</v>
      </c>
      <c r="AJ30" s="93">
        <f t="shared" si="67"/>
        <v>0</v>
      </c>
      <c r="AK30" s="95">
        <f t="shared" si="36"/>
        <v>1</v>
      </c>
      <c r="AL30" s="58">
        <f t="shared" si="37"/>
        <v>9</v>
      </c>
      <c r="AM30" s="55">
        <f t="shared" si="68"/>
        <v>63</v>
      </c>
      <c r="AN30" s="93"/>
      <c r="AO30" s="96"/>
      <c r="AP30" s="96">
        <f t="shared" si="90"/>
        <v>4600</v>
      </c>
      <c r="AQ30" s="96"/>
      <c r="AR30" s="96"/>
      <c r="AS30" s="96"/>
      <c r="AT30" s="96"/>
      <c r="AU30" s="96">
        <f t="shared" si="38"/>
        <v>0</v>
      </c>
      <c r="AV30" s="96">
        <f t="shared" si="38"/>
        <v>0</v>
      </c>
      <c r="AW30" s="96">
        <f t="shared" si="39"/>
        <v>4600</v>
      </c>
      <c r="AX30" s="96">
        <f t="shared" si="40"/>
        <v>1533</v>
      </c>
      <c r="AY30" s="94">
        <f t="shared" si="69"/>
        <v>64</v>
      </c>
      <c r="AZ30" s="94">
        <f t="shared" si="41"/>
        <v>21.333333333333332</v>
      </c>
      <c r="BA30" s="94">
        <f t="shared" si="42"/>
        <v>63</v>
      </c>
      <c r="BB30" s="97">
        <f t="shared" si="43"/>
        <v>0</v>
      </c>
      <c r="BC30" s="93">
        <v>10</v>
      </c>
      <c r="BD30" s="93">
        <f t="shared" si="44"/>
        <v>0</v>
      </c>
      <c r="BE30" s="95">
        <f t="shared" si="45"/>
        <v>1</v>
      </c>
      <c r="BF30" s="58">
        <f t="shared" si="46"/>
        <v>10</v>
      </c>
      <c r="BG30" s="94">
        <f t="shared" si="47"/>
        <v>53</v>
      </c>
      <c r="BH30" s="89"/>
      <c r="BI30" s="89"/>
      <c r="BJ30" s="92">
        <f t="shared" si="91"/>
        <v>4800</v>
      </c>
      <c r="BK30" s="89"/>
      <c r="BL30" s="89"/>
      <c r="BM30" s="89"/>
      <c r="BN30" s="89"/>
      <c r="BO30" s="92">
        <f t="shared" si="70"/>
        <v>0</v>
      </c>
      <c r="BP30" s="92">
        <f t="shared" si="70"/>
        <v>62</v>
      </c>
      <c r="BQ30" s="96">
        <f t="shared" si="48"/>
        <v>4862</v>
      </c>
      <c r="BR30" s="96">
        <f t="shared" si="49"/>
        <v>1620</v>
      </c>
      <c r="BS30" s="96">
        <f t="shared" si="71"/>
        <v>-178</v>
      </c>
      <c r="BT30" s="96">
        <f t="shared" si="50"/>
        <v>-59.333333333333336</v>
      </c>
      <c r="BU30" s="92">
        <f t="shared" si="16"/>
        <v>3133</v>
      </c>
      <c r="BV30" s="98">
        <f t="shared" si="17"/>
        <v>19</v>
      </c>
      <c r="BW30" s="92">
        <f t="shared" si="18"/>
        <v>-38</v>
      </c>
      <c r="BX30" s="98">
        <f t="shared" si="51"/>
        <v>14.345000000000001</v>
      </c>
      <c r="BY30" s="61">
        <f>IFERROR(BF30+AL30,0)</f>
        <v>19</v>
      </c>
      <c r="BZ30" s="62">
        <f t="shared" si="52"/>
        <v>19</v>
      </c>
      <c r="CA30" s="98">
        <f t="shared" si="53"/>
        <v>9.4619999999999997</v>
      </c>
      <c r="CB30" s="92">
        <f t="shared" si="19"/>
        <v>3153</v>
      </c>
      <c r="CC30" s="92">
        <f t="shared" si="19"/>
        <v>-114</v>
      </c>
      <c r="CD30" s="92">
        <f t="shared" si="19"/>
        <v>-38</v>
      </c>
      <c r="CE30" s="99"/>
      <c r="CF30" s="99"/>
      <c r="CG30" s="51">
        <f t="shared" si="54"/>
        <v>4.9450000000000012</v>
      </c>
      <c r="CH30" s="62">
        <f t="shared" si="55"/>
        <v>4.9450000000000012</v>
      </c>
      <c r="CI30" s="89"/>
      <c r="CJ30" s="89">
        <v>4600</v>
      </c>
      <c r="CK30" s="89"/>
      <c r="CL30" s="96"/>
      <c r="CM30" s="89"/>
      <c r="CN30" s="89">
        <v>4800</v>
      </c>
      <c r="CO30" s="92"/>
      <c r="CP30" s="101">
        <v>62</v>
      </c>
      <c r="CQ30" s="102">
        <f t="shared" si="87"/>
        <v>1533</v>
      </c>
      <c r="CR30" s="102">
        <f t="shared" si="87"/>
        <v>0</v>
      </c>
      <c r="CS30" s="102">
        <f t="shared" si="87"/>
        <v>0</v>
      </c>
      <c r="CT30" s="92">
        <f t="shared" si="57"/>
        <v>1600</v>
      </c>
      <c r="CU30" s="92">
        <f t="shared" si="88"/>
        <v>0</v>
      </c>
      <c r="CV30" s="103">
        <f t="shared" si="88"/>
        <v>20</v>
      </c>
      <c r="CW30" s="104"/>
      <c r="CX30" s="105">
        <v>18</v>
      </c>
      <c r="CY30" s="106">
        <f t="shared" si="59"/>
        <v>2150</v>
      </c>
      <c r="CZ30" s="106">
        <f t="shared" si="60"/>
        <v>145.80000000000001</v>
      </c>
      <c r="DA30" s="106"/>
      <c r="DB30" s="106"/>
      <c r="DC30" s="105"/>
      <c r="DD30" s="107"/>
      <c r="DE30" s="92">
        <f t="shared" si="21"/>
        <v>1533</v>
      </c>
      <c r="DF30" s="108">
        <f t="shared" si="22"/>
        <v>9</v>
      </c>
      <c r="DG30" s="112">
        <f>IFERROR(AZ30,"")</f>
        <v>21.333333333333332</v>
      </c>
      <c r="DH30" s="110">
        <f t="shared" si="24"/>
        <v>1600</v>
      </c>
      <c r="DI30" s="108">
        <f t="shared" si="25"/>
        <v>10</v>
      </c>
      <c r="DJ30" s="112">
        <f t="shared" si="26"/>
        <v>-59.333333333333336</v>
      </c>
      <c r="DK30" s="110">
        <f t="shared" si="86"/>
        <v>3133</v>
      </c>
      <c r="DL30" s="108">
        <f t="shared" si="86"/>
        <v>19</v>
      </c>
      <c r="DM30" s="111">
        <f t="shared" si="86"/>
        <v>-38</v>
      </c>
      <c r="DN30" s="76">
        <f t="shared" si="89"/>
        <v>12</v>
      </c>
      <c r="DO30" s="76">
        <f t="shared" si="89"/>
        <v>60</v>
      </c>
      <c r="DP30" s="112"/>
      <c r="DQ30" s="112"/>
      <c r="DR30" s="113" t="s">
        <v>431</v>
      </c>
      <c r="DS30" s="112"/>
      <c r="DT30" s="112"/>
      <c r="DU30" s="111"/>
      <c r="DV30" s="114"/>
      <c r="DW30" s="80">
        <f t="shared" si="61"/>
        <v>3152</v>
      </c>
      <c r="DX30" s="81">
        <f t="shared" si="29"/>
        <v>3114</v>
      </c>
      <c r="DY30" s="80">
        <f t="shared" si="62"/>
        <v>3153</v>
      </c>
      <c r="DZ30" s="82">
        <f t="shared" si="63"/>
        <v>0.06</v>
      </c>
      <c r="EA30" s="82">
        <f t="shared" si="64"/>
        <v>9.3989999999999991</v>
      </c>
      <c r="EB30" s="82">
        <f t="shared" si="65"/>
        <v>4.9460000000000015</v>
      </c>
      <c r="EC30" s="82">
        <f t="shared" si="75"/>
        <v>5.0060000000000011</v>
      </c>
      <c r="EF30" s="83">
        <f t="shared" si="92"/>
        <v>-38</v>
      </c>
    </row>
    <row r="31" spans="1:136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1"/>
        <v>YHC3604-4x3-H9A14</v>
      </c>
      <c r="H31" s="46" t="str">
        <f t="shared" si="32"/>
        <v>C3604YH40DH9</v>
      </c>
      <c r="I31" s="46" t="str">
        <f t="shared" si="33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4"/>
        <v>36</v>
      </c>
      <c r="T31" s="51">
        <f>'05.02'!BG31</f>
        <v>0</v>
      </c>
      <c r="U31" s="92"/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0</v>
      </c>
      <c r="AC31" s="93">
        <f t="shared" si="11"/>
        <v>0</v>
      </c>
      <c r="AD31" s="93">
        <f t="shared" si="12"/>
        <v>0</v>
      </c>
      <c r="AE31" s="93">
        <f t="shared" si="35"/>
        <v>0</v>
      </c>
      <c r="AF31" s="54">
        <f>AE31+'05.02'!AF31</f>
        <v>6974</v>
      </c>
      <c r="AG31" s="94">
        <f t="shared" si="66"/>
        <v>0</v>
      </c>
      <c r="AH31" s="56">
        <f t="shared" si="13"/>
        <v>0</v>
      </c>
      <c r="AI31" s="93"/>
      <c r="AJ31" s="93">
        <f t="shared" si="67"/>
        <v>0</v>
      </c>
      <c r="AK31" s="95">
        <f t="shared" si="36"/>
        <v>1</v>
      </c>
      <c r="AL31" s="58">
        <f t="shared" si="37"/>
        <v>0</v>
      </c>
      <c r="AM31" s="55">
        <f t="shared" si="68"/>
        <v>0</v>
      </c>
      <c r="AN31" s="93"/>
      <c r="AO31" s="96"/>
      <c r="AP31" s="96"/>
      <c r="AQ31" s="96"/>
      <c r="AR31" s="96"/>
      <c r="AS31" s="96"/>
      <c r="AT31" s="96">
        <f t="shared" ref="AT31" si="93">$CJ31</f>
        <v>0</v>
      </c>
      <c r="AU31" s="96">
        <f t="shared" si="38"/>
        <v>0</v>
      </c>
      <c r="AV31" s="96">
        <f t="shared" si="38"/>
        <v>0</v>
      </c>
      <c r="AW31" s="96">
        <f t="shared" si="39"/>
        <v>0</v>
      </c>
      <c r="AX31" s="96">
        <f t="shared" si="40"/>
        <v>0</v>
      </c>
      <c r="AY31" s="94">
        <f t="shared" si="69"/>
        <v>0</v>
      </c>
      <c r="AZ31" s="94">
        <f t="shared" si="41"/>
        <v>0</v>
      </c>
      <c r="BA31" s="94">
        <f t="shared" si="42"/>
        <v>0</v>
      </c>
      <c r="BB31" s="97">
        <f t="shared" si="43"/>
        <v>0</v>
      </c>
      <c r="BC31" s="93"/>
      <c r="BD31" s="93">
        <f t="shared" si="44"/>
        <v>0</v>
      </c>
      <c r="BE31" s="95">
        <f t="shared" si="45"/>
        <v>1</v>
      </c>
      <c r="BF31" s="58">
        <f t="shared" si="46"/>
        <v>0</v>
      </c>
      <c r="BG31" s="94">
        <f t="shared" si="47"/>
        <v>0</v>
      </c>
      <c r="BH31" s="89"/>
      <c r="BI31" s="89"/>
      <c r="BJ31" s="92"/>
      <c r="BK31" s="89"/>
      <c r="BL31" s="89"/>
      <c r="BM31" s="92"/>
      <c r="BN31" s="92">
        <f t="shared" ref="BN31" si="94">$CN31</f>
        <v>0</v>
      </c>
      <c r="BO31" s="92">
        <f t="shared" si="70"/>
        <v>0</v>
      </c>
      <c r="BP31" s="92">
        <f t="shared" si="70"/>
        <v>0</v>
      </c>
      <c r="BQ31" s="96">
        <f t="shared" si="48"/>
        <v>0</v>
      </c>
      <c r="BR31" s="96">
        <f t="shared" si="49"/>
        <v>0</v>
      </c>
      <c r="BS31" s="96">
        <f t="shared" si="71"/>
        <v>0</v>
      </c>
      <c r="BT31" s="96">
        <f t="shared" si="50"/>
        <v>0</v>
      </c>
      <c r="BU31" s="92">
        <f t="shared" si="16"/>
        <v>0</v>
      </c>
      <c r="BV31" s="98">
        <f t="shared" si="17"/>
        <v>0</v>
      </c>
      <c r="BW31" s="92">
        <f t="shared" si="18"/>
        <v>0</v>
      </c>
      <c r="BX31" s="98">
        <f t="shared" si="51"/>
        <v>0</v>
      </c>
      <c r="BY31" s="61">
        <f t="shared" si="73"/>
        <v>0</v>
      </c>
      <c r="BZ31" s="62">
        <f t="shared" si="52"/>
        <v>0</v>
      </c>
      <c r="CA31" s="98">
        <f t="shared" si="53"/>
        <v>0</v>
      </c>
      <c r="CB31" s="92">
        <f t="shared" si="19"/>
        <v>0</v>
      </c>
      <c r="CC31" s="92">
        <f t="shared" si="19"/>
        <v>0</v>
      </c>
      <c r="CD31" s="92">
        <f t="shared" si="19"/>
        <v>0</v>
      </c>
      <c r="CE31" s="99"/>
      <c r="CF31" s="99"/>
      <c r="CG31" s="51">
        <f t="shared" si="54"/>
        <v>0</v>
      </c>
      <c r="CH31" s="62">
        <f t="shared" si="55"/>
        <v>0</v>
      </c>
      <c r="CI31" s="89"/>
      <c r="CJ31" s="89"/>
      <c r="CK31" s="89"/>
      <c r="CL31" s="96"/>
      <c r="CM31" s="89"/>
      <c r="CN31" s="89"/>
      <c r="CO31" s="92"/>
      <c r="CP31" s="101"/>
      <c r="CQ31" s="102">
        <f t="shared" si="87"/>
        <v>0</v>
      </c>
      <c r="CR31" s="102">
        <f t="shared" si="87"/>
        <v>0</v>
      </c>
      <c r="CS31" s="102">
        <f t="shared" si="87"/>
        <v>0</v>
      </c>
      <c r="CT31" s="92">
        <f t="shared" si="57"/>
        <v>0</v>
      </c>
      <c r="CU31" s="92">
        <f t="shared" si="88"/>
        <v>0</v>
      </c>
      <c r="CV31" s="103">
        <f t="shared" si="88"/>
        <v>0</v>
      </c>
      <c r="CW31" s="104" t="s">
        <v>157</v>
      </c>
      <c r="CX31" s="105">
        <v>14</v>
      </c>
      <c r="CY31" s="106">
        <f t="shared" si="59"/>
        <v>3051</v>
      </c>
      <c r="CZ31" s="106">
        <f t="shared" si="60"/>
        <v>56.7</v>
      </c>
      <c r="DA31" s="106"/>
      <c r="DB31" s="106"/>
      <c r="DC31" s="105"/>
      <c r="DD31" s="107"/>
      <c r="DE31" s="92">
        <f t="shared" si="21"/>
        <v>0</v>
      </c>
      <c r="DF31" s="108">
        <f t="shared" si="22"/>
        <v>0</v>
      </c>
      <c r="DG31" s="112">
        <f t="shared" si="23"/>
        <v>0</v>
      </c>
      <c r="DH31" s="110">
        <f t="shared" si="24"/>
        <v>0</v>
      </c>
      <c r="DI31" s="108">
        <f t="shared" si="25"/>
        <v>0</v>
      </c>
      <c r="DJ31" s="112">
        <f t="shared" si="26"/>
        <v>0</v>
      </c>
      <c r="DK31" s="110">
        <f t="shared" si="86"/>
        <v>0</v>
      </c>
      <c r="DL31" s="108">
        <f t="shared" si="86"/>
        <v>0</v>
      </c>
      <c r="DM31" s="111">
        <f t="shared" si="86"/>
        <v>0</v>
      </c>
      <c r="DN31" s="76">
        <f t="shared" si="89"/>
        <v>0</v>
      </c>
      <c r="DO31" s="76">
        <v>0</v>
      </c>
      <c r="DP31" s="112"/>
      <c r="DQ31" s="112"/>
      <c r="DR31" s="113"/>
      <c r="DS31" s="112"/>
      <c r="DT31" s="112"/>
      <c r="DU31" s="111"/>
      <c r="DV31" s="114"/>
      <c r="DW31" s="80">
        <f t="shared" si="61"/>
        <v>0</v>
      </c>
      <c r="DX31" s="81">
        <f t="shared" si="29"/>
        <v>0</v>
      </c>
      <c r="DY31" s="80">
        <f t="shared" si="62"/>
        <v>0</v>
      </c>
      <c r="DZ31" s="82">
        <f t="shared" si="63"/>
        <v>0</v>
      </c>
      <c r="EA31" s="82">
        <f t="shared" si="64"/>
        <v>0</v>
      </c>
      <c r="EB31" s="82">
        <f t="shared" si="65"/>
        <v>0</v>
      </c>
      <c r="EC31" s="82">
        <f t="shared" si="75"/>
        <v>0</v>
      </c>
      <c r="EF31" s="83">
        <f t="shared" si="92"/>
        <v>0</v>
      </c>
    </row>
    <row r="32" spans="1:136" ht="14.1" customHeight="1">
      <c r="A32" s="84">
        <v>25</v>
      </c>
      <c r="B32" s="85" t="s">
        <v>205</v>
      </c>
      <c r="C32" s="86"/>
      <c r="D32" s="119" t="s">
        <v>485</v>
      </c>
      <c r="E32" s="88">
        <v>97</v>
      </c>
      <c r="F32" s="89" t="s">
        <v>136</v>
      </c>
      <c r="G32" s="45" t="str">
        <f t="shared" si="31"/>
        <v>IBC3604-H7x3-H11C14</v>
      </c>
      <c r="H32" s="46" t="str">
        <f t="shared" si="32"/>
        <v>C3604IB70HH11</v>
      </c>
      <c r="I32" s="46" t="str">
        <f t="shared" si="33"/>
        <v>C3604IB70HH113C14</v>
      </c>
      <c r="J32" s="90" t="s">
        <v>148</v>
      </c>
      <c r="K32" s="90" t="s">
        <v>156</v>
      </c>
      <c r="L32" s="90">
        <v>7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1.08</v>
      </c>
      <c r="R32" s="90" t="s">
        <v>144</v>
      </c>
      <c r="S32" s="89">
        <f t="shared" si="34"/>
        <v>32</v>
      </c>
      <c r="T32" s="51">
        <f>'05.02'!BG32</f>
        <v>0</v>
      </c>
      <c r="U32" s="92"/>
      <c r="V32" s="89">
        <v>5.7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5"/>
        <v>0</v>
      </c>
      <c r="AF32" s="54">
        <f>AE32+'05.02'!AF32</f>
        <v>68</v>
      </c>
      <c r="AG32" s="94">
        <f t="shared" si="66"/>
        <v>0</v>
      </c>
      <c r="AH32" s="56">
        <f t="shared" si="13"/>
        <v>0</v>
      </c>
      <c r="AI32" s="93"/>
      <c r="AJ32" s="93">
        <f t="shared" si="67"/>
        <v>0</v>
      </c>
      <c r="AK32" s="95">
        <f t="shared" si="36"/>
        <v>1</v>
      </c>
      <c r="AL32" s="58">
        <f t="shared" si="37"/>
        <v>0</v>
      </c>
      <c r="AM32" s="55">
        <f t="shared" si="68"/>
        <v>0</v>
      </c>
      <c r="AN32" s="93"/>
      <c r="AO32" s="96"/>
      <c r="AP32" s="96"/>
      <c r="AQ32" s="96"/>
      <c r="AR32" s="96"/>
      <c r="AS32" s="96">
        <f t="shared" ref="AS32" si="95">$CJ32</f>
        <v>0</v>
      </c>
      <c r="AT32" s="96"/>
      <c r="AU32" s="96">
        <f t="shared" si="38"/>
        <v>0</v>
      </c>
      <c r="AV32" s="96">
        <f t="shared" si="38"/>
        <v>0</v>
      </c>
      <c r="AW32" s="96">
        <f t="shared" si="39"/>
        <v>0</v>
      </c>
      <c r="AX32" s="96">
        <f t="shared" si="40"/>
        <v>0</v>
      </c>
      <c r="AY32" s="94">
        <f t="shared" si="69"/>
        <v>0</v>
      </c>
      <c r="AZ32" s="94">
        <f t="shared" si="41"/>
        <v>0</v>
      </c>
      <c r="BA32" s="94">
        <f t="shared" si="42"/>
        <v>0</v>
      </c>
      <c r="BB32" s="97">
        <f t="shared" si="43"/>
        <v>0</v>
      </c>
      <c r="BC32" s="93"/>
      <c r="BD32" s="93">
        <f t="shared" si="44"/>
        <v>0</v>
      </c>
      <c r="BE32" s="95">
        <f t="shared" si="45"/>
        <v>1</v>
      </c>
      <c r="BF32" s="58">
        <f t="shared" si="46"/>
        <v>0</v>
      </c>
      <c r="BG32" s="94">
        <f t="shared" si="47"/>
        <v>0</v>
      </c>
      <c r="BH32" s="89"/>
      <c r="BI32" s="89"/>
      <c r="BJ32" s="92"/>
      <c r="BK32" s="89"/>
      <c r="BL32" s="89"/>
      <c r="BM32" s="92">
        <f t="shared" ref="BM32" si="96">$CN32</f>
        <v>0</v>
      </c>
      <c r="BN32" s="89"/>
      <c r="BO32" s="92">
        <f t="shared" si="70"/>
        <v>0</v>
      </c>
      <c r="BP32" s="92">
        <f t="shared" si="70"/>
        <v>0</v>
      </c>
      <c r="BQ32" s="96">
        <f t="shared" si="48"/>
        <v>0</v>
      </c>
      <c r="BR32" s="96">
        <f t="shared" si="49"/>
        <v>0</v>
      </c>
      <c r="BS32" s="96">
        <f t="shared" si="71"/>
        <v>0</v>
      </c>
      <c r="BT32" s="96">
        <f t="shared" si="50"/>
        <v>0</v>
      </c>
      <c r="BU32" s="92">
        <f t="shared" si="16"/>
        <v>0</v>
      </c>
      <c r="BV32" s="98">
        <f t="shared" si="17"/>
        <v>0</v>
      </c>
      <c r="BW32" s="92">
        <f t="shared" si="18"/>
        <v>0</v>
      </c>
      <c r="BX32" s="98">
        <f t="shared" si="51"/>
        <v>0</v>
      </c>
      <c r="BY32" s="61">
        <f t="shared" si="73"/>
        <v>0</v>
      </c>
      <c r="BZ32" s="62">
        <f t="shared" si="52"/>
        <v>0</v>
      </c>
      <c r="CA32" s="98">
        <f t="shared" si="53"/>
        <v>0</v>
      </c>
      <c r="CB32" s="92">
        <f t="shared" si="19"/>
        <v>0</v>
      </c>
      <c r="CC32" s="92">
        <f t="shared" si="19"/>
        <v>0</v>
      </c>
      <c r="CD32" s="92">
        <f t="shared" si="19"/>
        <v>0</v>
      </c>
      <c r="CE32" s="99"/>
      <c r="CF32" s="99"/>
      <c r="CG32" s="51">
        <f t="shared" si="54"/>
        <v>0</v>
      </c>
      <c r="CH32" s="62">
        <f t="shared" si="55"/>
        <v>0</v>
      </c>
      <c r="CI32" s="89"/>
      <c r="CJ32" s="89"/>
      <c r="CK32" s="89"/>
      <c r="CL32" s="96"/>
      <c r="CM32" s="89"/>
      <c r="CN32" s="89"/>
      <c r="CO32" s="92"/>
      <c r="CP32" s="101"/>
      <c r="CQ32" s="102">
        <f t="shared" si="87"/>
        <v>0</v>
      </c>
      <c r="CR32" s="102">
        <f t="shared" si="87"/>
        <v>0</v>
      </c>
      <c r="CS32" s="102">
        <f t="shared" si="87"/>
        <v>0</v>
      </c>
      <c r="CT32" s="92">
        <f t="shared" si="57"/>
        <v>0</v>
      </c>
      <c r="CU32" s="92">
        <f t="shared" si="88"/>
        <v>0</v>
      </c>
      <c r="CV32" s="103">
        <f t="shared" si="88"/>
        <v>0</v>
      </c>
      <c r="CW32" s="104"/>
      <c r="CX32" s="105">
        <v>24</v>
      </c>
      <c r="CY32" s="106">
        <f t="shared" si="59"/>
        <v>1562</v>
      </c>
      <c r="CZ32" s="106">
        <f t="shared" si="60"/>
        <v>194.4</v>
      </c>
      <c r="DA32" s="106"/>
      <c r="DB32" s="106"/>
      <c r="DC32" s="105"/>
      <c r="DD32" s="107"/>
      <c r="DE32" s="92">
        <f t="shared" si="21"/>
        <v>0</v>
      </c>
      <c r="DF32" s="108">
        <f t="shared" si="22"/>
        <v>0</v>
      </c>
      <c r="DG32" s="112">
        <f t="shared" si="23"/>
        <v>0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6"/>
        <v>0</v>
      </c>
      <c r="DL32" s="108">
        <f t="shared" si="86"/>
        <v>0</v>
      </c>
      <c r="DM32" s="111">
        <f t="shared" si="86"/>
        <v>0</v>
      </c>
      <c r="DN32" s="76">
        <f t="shared" si="89"/>
        <v>0</v>
      </c>
      <c r="DO32" s="76">
        <f t="shared" si="89"/>
        <v>0</v>
      </c>
      <c r="DP32" s="112"/>
      <c r="DQ32" s="112"/>
      <c r="DR32" s="113"/>
      <c r="DS32" s="112"/>
      <c r="DT32" s="112"/>
      <c r="DU32" s="111"/>
      <c r="DV32" s="114"/>
      <c r="DW32" s="80">
        <f t="shared" si="61"/>
        <v>0</v>
      </c>
      <c r="DX32" s="81">
        <f t="shared" si="29"/>
        <v>0</v>
      </c>
      <c r="DY32" s="80">
        <f t="shared" si="62"/>
        <v>0</v>
      </c>
      <c r="DZ32" s="82">
        <f t="shared" si="63"/>
        <v>0</v>
      </c>
      <c r="EA32" s="82">
        <f t="shared" si="64"/>
        <v>0</v>
      </c>
      <c r="EB32" s="82">
        <f t="shared" si="65"/>
        <v>0</v>
      </c>
      <c r="EC32" s="82">
        <f t="shared" si="75"/>
        <v>0</v>
      </c>
      <c r="EF32" s="83">
        <f t="shared" si="92"/>
        <v>0</v>
      </c>
    </row>
    <row r="33" spans="1:136" ht="15" customHeight="1">
      <c r="A33" s="84">
        <v>26</v>
      </c>
      <c r="B33" s="85" t="s">
        <v>210</v>
      </c>
      <c r="C33" s="86"/>
      <c r="D33" s="236" t="s">
        <v>491</v>
      </c>
      <c r="E33" s="88">
        <v>23</v>
      </c>
      <c r="F33" s="89" t="s">
        <v>147</v>
      </c>
      <c r="G33" s="45" t="str">
        <f t="shared" si="31"/>
        <v>YHC3604-4x3-H9A14</v>
      </c>
      <c r="H33" s="46" t="str">
        <f t="shared" si="32"/>
        <v>C3604YH40DH9</v>
      </c>
      <c r="I33" s="46" t="str">
        <f t="shared" si="33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4"/>
        <v>282</v>
      </c>
      <c r="T33" s="51">
        <f>'05.02'!BG33</f>
        <v>45</v>
      </c>
      <c r="U33" s="92">
        <v>655</v>
      </c>
      <c r="V33" s="89">
        <v>12.15</v>
      </c>
      <c r="W33" s="93">
        <f t="shared" si="5"/>
        <v>0</v>
      </c>
      <c r="X33" s="93">
        <f t="shared" si="6"/>
        <v>2738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3</v>
      </c>
      <c r="AE33" s="93">
        <f t="shared" si="35"/>
        <v>2738</v>
      </c>
      <c r="AF33" s="54">
        <f>AE33+'05.02'!AF33</f>
        <v>8566</v>
      </c>
      <c r="AG33" s="94">
        <f t="shared" si="66"/>
        <v>45</v>
      </c>
      <c r="AH33" s="56">
        <f t="shared" si="13"/>
        <v>0</v>
      </c>
      <c r="AI33" s="93">
        <v>117</v>
      </c>
      <c r="AJ33" s="93">
        <f t="shared" si="67"/>
        <v>0</v>
      </c>
      <c r="AK33" s="95">
        <f t="shared" si="36"/>
        <v>1</v>
      </c>
      <c r="AL33" s="58">
        <f t="shared" si="37"/>
        <v>117</v>
      </c>
      <c r="AM33" s="55">
        <f t="shared" si="68"/>
        <v>583</v>
      </c>
      <c r="AN33" s="93"/>
      <c r="AO33" s="96"/>
      <c r="AP33" s="96">
        <f t="shared" si="90"/>
        <v>32379.75</v>
      </c>
      <c r="AQ33" s="96"/>
      <c r="AR33" s="96"/>
      <c r="AS33" s="96"/>
      <c r="AT33" s="96"/>
      <c r="AU33" s="96">
        <f t="shared" si="38"/>
        <v>0</v>
      </c>
      <c r="AV33" s="96">
        <f t="shared" si="38"/>
        <v>36.450000000000003</v>
      </c>
      <c r="AW33" s="96">
        <f t="shared" si="39"/>
        <v>32416.2</v>
      </c>
      <c r="AX33" s="96">
        <f t="shared" si="40"/>
        <v>2668</v>
      </c>
      <c r="AY33" s="94">
        <f t="shared" si="69"/>
        <v>-279.45000000000073</v>
      </c>
      <c r="AZ33" s="94">
        <f t="shared" si="41"/>
        <v>-23.00000000000006</v>
      </c>
      <c r="BA33" s="94">
        <f t="shared" si="42"/>
        <v>583</v>
      </c>
      <c r="BB33" s="97">
        <f t="shared" si="43"/>
        <v>0</v>
      </c>
      <c r="BC33" s="93">
        <v>3</v>
      </c>
      <c r="BD33" s="93">
        <f t="shared" si="44"/>
        <v>0</v>
      </c>
      <c r="BE33" s="95">
        <f t="shared" si="45"/>
        <v>1</v>
      </c>
      <c r="BF33" s="58">
        <f t="shared" si="46"/>
        <v>3</v>
      </c>
      <c r="BG33" s="94">
        <f t="shared" si="47"/>
        <v>580</v>
      </c>
      <c r="BH33" s="89"/>
      <c r="BI33" s="89"/>
      <c r="BJ33" s="92">
        <f t="shared" si="91"/>
        <v>886.95</v>
      </c>
      <c r="BK33" s="89"/>
      <c r="BL33" s="89"/>
      <c r="BM33" s="89"/>
      <c r="BN33" s="89"/>
      <c r="BO33" s="92">
        <f t="shared" si="70"/>
        <v>0</v>
      </c>
      <c r="BP33" s="92">
        <f t="shared" si="70"/>
        <v>0</v>
      </c>
      <c r="BQ33" s="96">
        <f t="shared" si="48"/>
        <v>886.95</v>
      </c>
      <c r="BR33" s="96">
        <f t="shared" si="49"/>
        <v>73</v>
      </c>
      <c r="BS33" s="96">
        <f t="shared" si="71"/>
        <v>48.600000000000023</v>
      </c>
      <c r="BT33" s="96">
        <f t="shared" si="50"/>
        <v>4.0000000000000018</v>
      </c>
      <c r="BU33" s="92">
        <f t="shared" si="16"/>
        <v>2738</v>
      </c>
      <c r="BV33" s="98">
        <f t="shared" si="17"/>
        <v>120</v>
      </c>
      <c r="BW33" s="92">
        <f t="shared" si="18"/>
        <v>-19.000000000000057</v>
      </c>
      <c r="BX33" s="98">
        <f t="shared" si="51"/>
        <v>38.160000000000004</v>
      </c>
      <c r="BY33" s="61">
        <f t="shared" si="73"/>
        <v>120</v>
      </c>
      <c r="BZ33" s="62">
        <f t="shared" si="52"/>
        <v>120</v>
      </c>
      <c r="CA33" s="98">
        <f t="shared" si="53"/>
        <v>33.303150000000002</v>
      </c>
      <c r="CB33" s="92">
        <f t="shared" si="19"/>
        <v>2741</v>
      </c>
      <c r="CC33" s="92">
        <f t="shared" si="19"/>
        <v>-230.8500000000007</v>
      </c>
      <c r="CD33" s="92">
        <f t="shared" si="19"/>
        <v>-19.000000000000057</v>
      </c>
      <c r="CE33" s="99"/>
      <c r="CF33" s="99"/>
      <c r="CG33" s="51">
        <f t="shared" si="54"/>
        <v>4.8933000000000018</v>
      </c>
      <c r="CH33" s="62">
        <f t="shared" si="55"/>
        <v>4.8933000000000018</v>
      </c>
      <c r="CI33" s="89"/>
      <c r="CJ33" s="89">
        <f>2665*12.15</f>
        <v>32379.75</v>
      </c>
      <c r="CK33" s="89"/>
      <c r="CL33" s="96">
        <f>3*12.15</f>
        <v>36.450000000000003</v>
      </c>
      <c r="CM33" s="89"/>
      <c r="CN33" s="89">
        <f>73*12.15</f>
        <v>886.95</v>
      </c>
      <c r="CO33" s="92"/>
      <c r="CP33" s="101"/>
      <c r="CQ33" s="102">
        <f t="shared" si="87"/>
        <v>2665</v>
      </c>
      <c r="CR33" s="102">
        <f t="shared" si="87"/>
        <v>0</v>
      </c>
      <c r="CS33" s="102">
        <f t="shared" si="87"/>
        <v>3</v>
      </c>
      <c r="CT33" s="92">
        <f t="shared" si="57"/>
        <v>73</v>
      </c>
      <c r="CU33" s="92">
        <f t="shared" si="88"/>
        <v>0</v>
      </c>
      <c r="CV33" s="103">
        <f t="shared" si="88"/>
        <v>0</v>
      </c>
      <c r="CW33" s="104" t="s">
        <v>157</v>
      </c>
      <c r="CX33" s="105">
        <v>12</v>
      </c>
      <c r="CY33" s="106">
        <f t="shared" si="59"/>
        <v>3246</v>
      </c>
      <c r="CZ33" s="106">
        <f t="shared" si="60"/>
        <v>48.6</v>
      </c>
      <c r="DA33" s="106"/>
      <c r="DB33" s="106"/>
      <c r="DC33" s="105"/>
      <c r="DD33" s="107"/>
      <c r="DE33" s="92">
        <f t="shared" si="21"/>
        <v>2665</v>
      </c>
      <c r="DF33" s="108">
        <f t="shared" si="22"/>
        <v>117</v>
      </c>
      <c r="DG33" s="112">
        <f t="shared" si="23"/>
        <v>-23.00000000000006</v>
      </c>
      <c r="DH33" s="110">
        <f t="shared" si="24"/>
        <v>73</v>
      </c>
      <c r="DI33" s="108">
        <f t="shared" si="25"/>
        <v>3</v>
      </c>
      <c r="DJ33" s="112">
        <f t="shared" si="26"/>
        <v>4.0000000000000018</v>
      </c>
      <c r="DK33" s="110">
        <f t="shared" si="86"/>
        <v>2738</v>
      </c>
      <c r="DL33" s="108">
        <f t="shared" si="86"/>
        <v>120</v>
      </c>
      <c r="DM33" s="111">
        <f t="shared" si="86"/>
        <v>-19.000000000000057</v>
      </c>
      <c r="DN33" s="76">
        <f t="shared" si="89"/>
        <v>45</v>
      </c>
      <c r="DO33" s="76">
        <f t="shared" si="89"/>
        <v>655</v>
      </c>
      <c r="DP33" s="112"/>
      <c r="DQ33" s="112"/>
      <c r="DR33" s="113" t="s">
        <v>489</v>
      </c>
      <c r="DS33" s="112"/>
      <c r="DT33" s="112"/>
      <c r="DU33" s="111"/>
      <c r="DV33" s="114"/>
      <c r="DW33" s="80">
        <f t="shared" si="61"/>
        <v>2858</v>
      </c>
      <c r="DX33" s="81">
        <f t="shared" si="29"/>
        <v>2839</v>
      </c>
      <c r="DY33" s="80">
        <f t="shared" si="62"/>
        <v>2741</v>
      </c>
      <c r="DZ33" s="82">
        <f t="shared" si="63"/>
        <v>3.6450000000000003E-2</v>
      </c>
      <c r="EA33" s="82">
        <f t="shared" si="64"/>
        <v>33.266700000000007</v>
      </c>
      <c r="EB33" s="82">
        <f t="shared" si="65"/>
        <v>4.8932999999999964</v>
      </c>
      <c r="EC33" s="82">
        <f t="shared" si="75"/>
        <v>4.9297499999999967</v>
      </c>
      <c r="EF33" s="83">
        <f t="shared" si="92"/>
        <v>-19.000000000000057</v>
      </c>
    </row>
    <row r="34" spans="1:136" ht="14.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1"/>
        <v>SSSUS304K-4x3-H9A08</v>
      </c>
      <c r="H34" s="46" t="str">
        <f t="shared" si="32"/>
        <v>SUS304KSS40DH9</v>
      </c>
      <c r="I34" s="46" t="str">
        <f t="shared" si="33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4"/>
        <v>46</v>
      </c>
      <c r="T34" s="51">
        <f>'05.02'!BG34</f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5"/>
        <v>0</v>
      </c>
      <c r="AF34" s="54">
        <f>AE34+'05.02'!AF34</f>
        <v>0</v>
      </c>
      <c r="AG34" s="94">
        <f t="shared" si="66"/>
        <v>0</v>
      </c>
      <c r="AH34" s="56">
        <f t="shared" si="13"/>
        <v>0</v>
      </c>
      <c r="AI34" s="93"/>
      <c r="AJ34" s="93">
        <f t="shared" si="67"/>
        <v>0</v>
      </c>
      <c r="AK34" s="95">
        <f t="shared" si="36"/>
        <v>1</v>
      </c>
      <c r="AL34" s="58">
        <f t="shared" si="37"/>
        <v>0</v>
      </c>
      <c r="AM34" s="55">
        <f t="shared" si="68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8"/>
        <v>0</v>
      </c>
      <c r="AV34" s="96">
        <f t="shared" si="38"/>
        <v>0</v>
      </c>
      <c r="AW34" s="96">
        <f t="shared" si="39"/>
        <v>0</v>
      </c>
      <c r="AX34" s="96">
        <f t="shared" si="40"/>
        <v>0</v>
      </c>
      <c r="AY34" s="94">
        <f t="shared" si="69"/>
        <v>0</v>
      </c>
      <c r="AZ34" s="94">
        <f t="shared" si="41"/>
        <v>0</v>
      </c>
      <c r="BA34" s="94">
        <f t="shared" si="42"/>
        <v>0</v>
      </c>
      <c r="BB34" s="97">
        <f t="shared" si="43"/>
        <v>0</v>
      </c>
      <c r="BC34" s="93"/>
      <c r="BD34" s="93">
        <f t="shared" si="44"/>
        <v>0</v>
      </c>
      <c r="BE34" s="95">
        <f t="shared" si="45"/>
        <v>1</v>
      </c>
      <c r="BF34" s="58">
        <f t="shared" si="46"/>
        <v>0</v>
      </c>
      <c r="BG34" s="94">
        <f t="shared" si="47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0"/>
        <v>0</v>
      </c>
      <c r="BP34" s="92">
        <f t="shared" si="70"/>
        <v>0</v>
      </c>
      <c r="BQ34" s="96">
        <f t="shared" si="48"/>
        <v>0</v>
      </c>
      <c r="BR34" s="96">
        <f t="shared" si="49"/>
        <v>0</v>
      </c>
      <c r="BS34" s="96">
        <f t="shared" si="71"/>
        <v>0</v>
      </c>
      <c r="BT34" s="96">
        <f t="shared" si="50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1"/>
        <v>0</v>
      </c>
      <c r="BY34" s="61">
        <f>IFERROR(BF34+AL34,0)</f>
        <v>0</v>
      </c>
      <c r="BZ34" s="62">
        <f t="shared" si="52"/>
        <v>0</v>
      </c>
      <c r="CA34" s="98">
        <f t="shared" si="53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4"/>
        <v>0</v>
      </c>
      <c r="CH34" s="62">
        <f t="shared" si="55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7"/>
        <v>0</v>
      </c>
      <c r="CR34" s="102">
        <f t="shared" si="87"/>
        <v>0</v>
      </c>
      <c r="CS34" s="102">
        <f t="shared" si="87"/>
        <v>0</v>
      </c>
      <c r="CT34" s="92">
        <f t="shared" si="57"/>
        <v>0</v>
      </c>
      <c r="CU34" s="92">
        <f t="shared" si="88"/>
        <v>0</v>
      </c>
      <c r="CV34" s="103">
        <f t="shared" si="88"/>
        <v>0</v>
      </c>
      <c r="CW34" s="104"/>
      <c r="CX34" s="105">
        <v>8</v>
      </c>
      <c r="CY34" s="106">
        <f t="shared" si="59"/>
        <v>4312</v>
      </c>
      <c r="CZ34" s="106">
        <f t="shared" si="60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6"/>
        <v>0</v>
      </c>
      <c r="DL34" s="108">
        <f t="shared" si="86"/>
        <v>0</v>
      </c>
      <c r="DM34" s="111">
        <f t="shared" si="86"/>
        <v>0</v>
      </c>
      <c r="DN34" s="76">
        <f t="shared" si="89"/>
        <v>0</v>
      </c>
      <c r="DO34" s="76">
        <f t="shared" si="89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1"/>
        <v>0</v>
      </c>
      <c r="DX34" s="81">
        <f t="shared" si="29"/>
        <v>0</v>
      </c>
      <c r="DY34" s="80">
        <f t="shared" si="62"/>
        <v>0</v>
      </c>
      <c r="DZ34" s="82">
        <f t="shared" si="63"/>
        <v>0</v>
      </c>
      <c r="EA34" s="82">
        <f t="shared" si="64"/>
        <v>0</v>
      </c>
      <c r="EB34" s="82">
        <f t="shared" si="65"/>
        <v>0</v>
      </c>
      <c r="EC34" s="82">
        <f t="shared" ref="EC34:EC35" si="97">(BX34-CA34)+((AV34+BP34)/1000)</f>
        <v>0</v>
      </c>
      <c r="EF34" s="83">
        <f t="shared" si="92"/>
        <v>0</v>
      </c>
    </row>
    <row r="35" spans="1:136" ht="14.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1"/>
        <v>IBC3604-6.5x3-H9A14</v>
      </c>
      <c r="H35" s="46" t="str">
        <f t="shared" si="32"/>
        <v>C3604IB6.50DH9</v>
      </c>
      <c r="I35" s="46" t="str">
        <f t="shared" si="33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4"/>
        <v>34</v>
      </c>
      <c r="T35" s="51">
        <f>'05.02'!BG35</f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5"/>
        <v>0</v>
      </c>
      <c r="AF35" s="54">
        <f>AE35+'05.02'!AF35</f>
        <v>0</v>
      </c>
      <c r="AG35" s="94">
        <f t="shared" si="66"/>
        <v>0</v>
      </c>
      <c r="AH35" s="56">
        <f t="shared" si="13"/>
        <v>0</v>
      </c>
      <c r="AI35" s="93"/>
      <c r="AJ35" s="93">
        <f t="shared" si="67"/>
        <v>0</v>
      </c>
      <c r="AK35" s="95">
        <f t="shared" si="36"/>
        <v>1</v>
      </c>
      <c r="AL35" s="58">
        <f t="shared" si="37"/>
        <v>0</v>
      </c>
      <c r="AM35" s="55">
        <f t="shared" si="68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8"/>
        <v>0</v>
      </c>
      <c r="AV35" s="96">
        <f t="shared" si="38"/>
        <v>0</v>
      </c>
      <c r="AW35" s="96">
        <f t="shared" si="39"/>
        <v>0</v>
      </c>
      <c r="AX35" s="96">
        <f t="shared" si="40"/>
        <v>0</v>
      </c>
      <c r="AY35" s="94">
        <f t="shared" si="69"/>
        <v>0</v>
      </c>
      <c r="AZ35" s="94">
        <f t="shared" si="41"/>
        <v>0</v>
      </c>
      <c r="BA35" s="94">
        <f t="shared" si="42"/>
        <v>0</v>
      </c>
      <c r="BB35" s="97">
        <f t="shared" si="43"/>
        <v>0</v>
      </c>
      <c r="BC35" s="93"/>
      <c r="BD35" s="93">
        <f t="shared" si="44"/>
        <v>0</v>
      </c>
      <c r="BE35" s="95">
        <f t="shared" si="45"/>
        <v>1</v>
      </c>
      <c r="BF35" s="58">
        <f t="shared" si="46"/>
        <v>0</v>
      </c>
      <c r="BG35" s="94">
        <f t="shared" si="47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0"/>
        <v>0</v>
      </c>
      <c r="BP35" s="92">
        <f t="shared" si="70"/>
        <v>0</v>
      </c>
      <c r="BQ35" s="96">
        <f t="shared" si="48"/>
        <v>0</v>
      </c>
      <c r="BR35" s="96">
        <f t="shared" si="49"/>
        <v>0</v>
      </c>
      <c r="BS35" s="96">
        <f t="shared" si="71"/>
        <v>0</v>
      </c>
      <c r="BT35" s="96">
        <f t="shared" si="50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1"/>
        <v>0</v>
      </c>
      <c r="BY35" s="61">
        <f t="shared" si="73"/>
        <v>0</v>
      </c>
      <c r="BZ35" s="62">
        <f t="shared" si="52"/>
        <v>0</v>
      </c>
      <c r="CA35" s="98">
        <f t="shared" si="53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4"/>
        <v>0</v>
      </c>
      <c r="CH35" s="62">
        <f t="shared" si="55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7"/>
        <v>0</v>
      </c>
      <c r="CR35" s="102">
        <f t="shared" si="87"/>
        <v>0</v>
      </c>
      <c r="CS35" s="102">
        <f t="shared" si="87"/>
        <v>0</v>
      </c>
      <c r="CT35" s="92">
        <f t="shared" si="57"/>
        <v>0</v>
      </c>
      <c r="CU35" s="92">
        <f t="shared" si="88"/>
        <v>0</v>
      </c>
      <c r="CV35" s="103">
        <f t="shared" si="88"/>
        <v>0</v>
      </c>
      <c r="CW35" s="104" t="s">
        <v>147</v>
      </c>
      <c r="CX35" s="105">
        <v>13</v>
      </c>
      <c r="CY35" s="106">
        <f t="shared" si="59"/>
        <v>3073</v>
      </c>
      <c r="CZ35" s="106">
        <f t="shared" si="60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6"/>
        <v>0</v>
      </c>
      <c r="DL35" s="108">
        <f t="shared" si="86"/>
        <v>0</v>
      </c>
      <c r="DM35" s="111">
        <f t="shared" si="86"/>
        <v>0</v>
      </c>
      <c r="DN35" s="76">
        <f t="shared" si="89"/>
        <v>0</v>
      </c>
      <c r="DO35" s="76">
        <f t="shared" si="89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1"/>
        <v>0</v>
      </c>
      <c r="DX35" s="81">
        <f t="shared" si="29"/>
        <v>0</v>
      </c>
      <c r="DY35" s="80">
        <f t="shared" si="62"/>
        <v>0</v>
      </c>
      <c r="DZ35" s="82">
        <f t="shared" si="63"/>
        <v>0</v>
      </c>
      <c r="EA35" s="82">
        <f t="shared" si="64"/>
        <v>0</v>
      </c>
      <c r="EB35" s="82">
        <f t="shared" si="65"/>
        <v>0</v>
      </c>
      <c r="EC35" s="82">
        <f t="shared" si="97"/>
        <v>0</v>
      </c>
      <c r="EF35" s="83">
        <f t="shared" si="92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1"/>
        <v>TV12L14-5.97x2.5-H9B14</v>
      </c>
      <c r="H36" s="46" t="str">
        <f t="shared" si="32"/>
        <v>12L14TV5.970DH9</v>
      </c>
      <c r="I36" s="46" t="str">
        <f t="shared" si="33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4"/>
        <v>76</v>
      </c>
      <c r="T36" s="51">
        <f>'05.02'!BG36</f>
        <v>21</v>
      </c>
      <c r="U36" s="146">
        <v>119</v>
      </c>
      <c r="V36" s="135">
        <v>4.45</v>
      </c>
      <c r="W36" s="151">
        <f t="shared" si="5"/>
        <v>0</v>
      </c>
      <c r="X36" s="151">
        <f t="shared" si="6"/>
        <v>1385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22</v>
      </c>
      <c r="AE36" s="151">
        <f t="shared" si="35"/>
        <v>1385</v>
      </c>
      <c r="AF36" s="54">
        <f>AE36+'05.02'!AF36</f>
        <v>14696</v>
      </c>
      <c r="AG36" s="94">
        <f t="shared" si="66"/>
        <v>21</v>
      </c>
      <c r="AH36" s="56">
        <f t="shared" si="13"/>
        <v>0</v>
      </c>
      <c r="AI36" s="151">
        <v>36</v>
      </c>
      <c r="AJ36" s="93">
        <f t="shared" si="67"/>
        <v>0</v>
      </c>
      <c r="AK36" s="95">
        <f t="shared" si="36"/>
        <v>1</v>
      </c>
      <c r="AL36" s="58">
        <f t="shared" si="37"/>
        <v>36</v>
      </c>
      <c r="AM36" s="55">
        <f t="shared" si="68"/>
        <v>104</v>
      </c>
      <c r="AN36" s="151"/>
      <c r="AO36" s="145"/>
      <c r="AP36" s="145">
        <f>$CJ36</f>
        <v>6166</v>
      </c>
      <c r="AQ36" s="145"/>
      <c r="AR36" s="145"/>
      <c r="AS36" s="145"/>
      <c r="AT36" s="145"/>
      <c r="AU36" s="145">
        <f t="shared" si="38"/>
        <v>0</v>
      </c>
      <c r="AV36" s="145">
        <f t="shared" si="38"/>
        <v>100</v>
      </c>
      <c r="AW36" s="145">
        <f t="shared" si="39"/>
        <v>6266</v>
      </c>
      <c r="AX36" s="145">
        <f t="shared" si="40"/>
        <v>1408</v>
      </c>
      <c r="AY36" s="94">
        <f t="shared" si="69"/>
        <v>-142</v>
      </c>
      <c r="AZ36" s="94">
        <f t="shared" si="41"/>
        <v>-31.91011235955056</v>
      </c>
      <c r="BA36" s="94">
        <f t="shared" si="42"/>
        <v>104</v>
      </c>
      <c r="BB36" s="97">
        <f t="shared" si="43"/>
        <v>0</v>
      </c>
      <c r="BC36" s="151"/>
      <c r="BD36" s="93">
        <f t="shared" si="44"/>
        <v>0</v>
      </c>
      <c r="BE36" s="152">
        <f t="shared" si="45"/>
        <v>1</v>
      </c>
      <c r="BF36" s="58">
        <f t="shared" si="46"/>
        <v>0</v>
      </c>
      <c r="BG36" s="94">
        <f t="shared" si="47"/>
        <v>104</v>
      </c>
      <c r="BH36" s="150"/>
      <c r="BI36" s="150"/>
      <c r="BJ36" s="146">
        <f>$CN36</f>
        <v>0</v>
      </c>
      <c r="BK36" s="150"/>
      <c r="BL36" s="150"/>
      <c r="BM36" s="150"/>
      <c r="BN36" s="146"/>
      <c r="BO36" s="146">
        <f t="shared" si="70"/>
        <v>0</v>
      </c>
      <c r="BP36" s="146">
        <f t="shared" si="70"/>
        <v>0</v>
      </c>
      <c r="BQ36" s="145">
        <f t="shared" si="48"/>
        <v>0</v>
      </c>
      <c r="BR36" s="145">
        <f t="shared" si="49"/>
        <v>0</v>
      </c>
      <c r="BS36" s="96">
        <f t="shared" si="71"/>
        <v>0</v>
      </c>
      <c r="BT36" s="145">
        <f t="shared" si="50"/>
        <v>0</v>
      </c>
      <c r="BU36" s="146">
        <f t="shared" si="16"/>
        <v>1385</v>
      </c>
      <c r="BV36" s="98">
        <f t="shared" si="17"/>
        <v>36</v>
      </c>
      <c r="BW36" s="146">
        <f t="shared" si="18"/>
        <v>-31.91011235955056</v>
      </c>
      <c r="BX36" s="153">
        <f t="shared" si="51"/>
        <v>19.692</v>
      </c>
      <c r="BY36" s="61">
        <f t="shared" si="73"/>
        <v>36</v>
      </c>
      <c r="BZ36" s="62">
        <f t="shared" si="52"/>
        <v>36</v>
      </c>
      <c r="CA36" s="98">
        <f t="shared" si="53"/>
        <v>6.266</v>
      </c>
      <c r="CB36" s="146">
        <f t="shared" si="19"/>
        <v>1408</v>
      </c>
      <c r="CC36" s="146">
        <f t="shared" si="19"/>
        <v>-142</v>
      </c>
      <c r="CD36" s="146">
        <f t="shared" si="19"/>
        <v>-31.91011235955056</v>
      </c>
      <c r="CE36" s="99"/>
      <c r="CF36" s="99"/>
      <c r="CG36" s="51">
        <f t="shared" si="54"/>
        <v>13.526</v>
      </c>
      <c r="CH36" s="62">
        <f t="shared" si="55"/>
        <v>13.526</v>
      </c>
      <c r="CI36" s="150"/>
      <c r="CJ36" s="150">
        <f>5996+170</f>
        <v>6166</v>
      </c>
      <c r="CK36" s="150"/>
      <c r="CL36" s="145">
        <v>100</v>
      </c>
      <c r="CM36" s="150"/>
      <c r="CN36" s="150"/>
      <c r="CO36" s="146"/>
      <c r="CP36" s="154"/>
      <c r="CQ36" s="102">
        <f t="shared" si="87"/>
        <v>1385</v>
      </c>
      <c r="CR36" s="102">
        <f t="shared" si="87"/>
        <v>0</v>
      </c>
      <c r="CS36" s="102">
        <f t="shared" si="87"/>
        <v>22</v>
      </c>
      <c r="CT36" s="92">
        <f t="shared" si="57"/>
        <v>0</v>
      </c>
      <c r="CU36" s="92">
        <f t="shared" si="88"/>
        <v>0</v>
      </c>
      <c r="CV36" s="103">
        <f t="shared" si="88"/>
        <v>0</v>
      </c>
      <c r="CW36" s="155" t="s">
        <v>147</v>
      </c>
      <c r="CX36" s="156">
        <v>23</v>
      </c>
      <c r="CY36" s="157">
        <f t="shared" si="59"/>
        <v>1510</v>
      </c>
      <c r="CZ36" s="157">
        <f t="shared" si="60"/>
        <v>93.15</v>
      </c>
      <c r="DA36" s="157"/>
      <c r="DB36" s="157"/>
      <c r="DC36" s="156"/>
      <c r="DD36" s="158"/>
      <c r="DE36" s="92">
        <f t="shared" si="21"/>
        <v>1385</v>
      </c>
      <c r="DF36" s="108">
        <f t="shared" si="22"/>
        <v>36</v>
      </c>
      <c r="DG36" s="112">
        <f t="shared" si="23"/>
        <v>-31.91011235955056</v>
      </c>
      <c r="DH36" s="110">
        <f t="shared" si="24"/>
        <v>0</v>
      </c>
      <c r="DI36" s="108">
        <f t="shared" si="25"/>
        <v>0</v>
      </c>
      <c r="DJ36" s="112">
        <f t="shared" si="26"/>
        <v>0</v>
      </c>
      <c r="DK36" s="110">
        <f t="shared" si="86"/>
        <v>1385</v>
      </c>
      <c r="DL36" s="108">
        <f t="shared" si="86"/>
        <v>36</v>
      </c>
      <c r="DM36" s="111">
        <f t="shared" si="86"/>
        <v>-31.91011235955056</v>
      </c>
      <c r="DN36" s="76">
        <f t="shared" si="89"/>
        <v>21</v>
      </c>
      <c r="DO36" s="76">
        <f t="shared" si="89"/>
        <v>119</v>
      </c>
      <c r="DP36" s="112"/>
      <c r="DQ36" s="112"/>
      <c r="DR36" s="113" t="s">
        <v>434</v>
      </c>
      <c r="DS36" s="112"/>
      <c r="DT36" s="112"/>
      <c r="DU36" s="111"/>
      <c r="DV36" s="114"/>
      <c r="DW36" s="80">
        <f>IFERROR(AL36+BF36,"")</f>
        <v>36</v>
      </c>
      <c r="DX36" s="159">
        <f t="shared" si="29"/>
        <v>1389.0898876404494</v>
      </c>
      <c r="DY36" s="80">
        <f t="shared" si="62"/>
        <v>1407</v>
      </c>
      <c r="DZ36" s="82">
        <f t="shared" si="63"/>
        <v>9.7900000000000001E-2</v>
      </c>
      <c r="EA36" s="82">
        <f t="shared" si="64"/>
        <v>6.1632499999999997</v>
      </c>
      <c r="EB36" s="82">
        <f t="shared" si="65"/>
        <v>13.52875</v>
      </c>
      <c r="EC36" s="82">
        <f t="shared" si="75"/>
        <v>13.62665</v>
      </c>
      <c r="EF36" s="83">
        <f t="shared" si="92"/>
        <v>-31.91011235955056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1"/>
        <v>GAA5052-5.7x3-H9A14</v>
      </c>
      <c r="H37" s="46" t="str">
        <f t="shared" si="32"/>
        <v>A5052GA5.70DH9</v>
      </c>
      <c r="I37" s="46" t="str">
        <f t="shared" si="33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4"/>
        <v>18</v>
      </c>
      <c r="T37" s="51">
        <f>'05.02'!BG37</f>
        <v>20</v>
      </c>
      <c r="U37" s="92">
        <v>10</v>
      </c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35"/>
        <v>0</v>
      </c>
      <c r="AF37" s="54">
        <f>AE37+'05.02'!AF37</f>
        <v>2000</v>
      </c>
      <c r="AG37" s="94">
        <f t="shared" si="66"/>
        <v>20</v>
      </c>
      <c r="AH37" s="56">
        <f t="shared" si="13"/>
        <v>0</v>
      </c>
      <c r="AI37" s="93"/>
      <c r="AJ37" s="93">
        <f t="shared" si="67"/>
        <v>0</v>
      </c>
      <c r="AK37" s="95">
        <f t="shared" si="36"/>
        <v>1</v>
      </c>
      <c r="AL37" s="58">
        <f t="shared" si="37"/>
        <v>0</v>
      </c>
      <c r="AM37" s="55">
        <f t="shared" si="68"/>
        <v>30</v>
      </c>
      <c r="AN37" s="93"/>
      <c r="AO37" s="96"/>
      <c r="AP37" s="96"/>
      <c r="AQ37" s="96"/>
      <c r="AR37" s="96"/>
      <c r="AS37" s="96"/>
      <c r="AT37" s="96">
        <f>$CJ37</f>
        <v>0</v>
      </c>
      <c r="AU37" s="96">
        <f t="shared" si="38"/>
        <v>0</v>
      </c>
      <c r="AV37" s="96">
        <f t="shared" si="38"/>
        <v>0</v>
      </c>
      <c r="AW37" s="96">
        <f t="shared" si="39"/>
        <v>0</v>
      </c>
      <c r="AX37" s="96">
        <f t="shared" si="40"/>
        <v>0</v>
      </c>
      <c r="AY37" s="94">
        <f t="shared" si="69"/>
        <v>0</v>
      </c>
      <c r="AZ37" s="94">
        <f t="shared" si="41"/>
        <v>0</v>
      </c>
      <c r="BA37" s="94">
        <f t="shared" si="42"/>
        <v>30</v>
      </c>
      <c r="BB37" s="97">
        <f t="shared" si="43"/>
        <v>0</v>
      </c>
      <c r="BC37" s="93"/>
      <c r="BD37" s="93">
        <f t="shared" si="44"/>
        <v>0</v>
      </c>
      <c r="BE37" s="95">
        <f t="shared" si="45"/>
        <v>1</v>
      </c>
      <c r="BF37" s="58">
        <f t="shared" si="46"/>
        <v>0</v>
      </c>
      <c r="BG37" s="94">
        <f t="shared" si="47"/>
        <v>30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0"/>
        <v>0</v>
      </c>
      <c r="BP37" s="92">
        <f t="shared" si="70"/>
        <v>0</v>
      </c>
      <c r="BQ37" s="96">
        <f t="shared" si="48"/>
        <v>0</v>
      </c>
      <c r="BR37" s="96">
        <f t="shared" si="49"/>
        <v>0</v>
      </c>
      <c r="BS37" s="96">
        <f t="shared" si="71"/>
        <v>0</v>
      </c>
      <c r="BT37" s="96">
        <f t="shared" si="50"/>
        <v>0</v>
      </c>
      <c r="BU37" s="92">
        <f t="shared" si="16"/>
        <v>0</v>
      </c>
      <c r="BV37" s="98">
        <f t="shared" si="17"/>
        <v>0</v>
      </c>
      <c r="BW37" s="92">
        <f t="shared" si="18"/>
        <v>0</v>
      </c>
      <c r="BX37" s="98">
        <f t="shared" si="51"/>
        <v>0</v>
      </c>
      <c r="BY37" s="61">
        <f t="shared" si="73"/>
        <v>0</v>
      </c>
      <c r="BZ37" s="62">
        <f t="shared" si="52"/>
        <v>0</v>
      </c>
      <c r="CA37" s="98">
        <f t="shared" si="53"/>
        <v>0</v>
      </c>
      <c r="CB37" s="92">
        <f t="shared" si="19"/>
        <v>0</v>
      </c>
      <c r="CC37" s="92">
        <f t="shared" si="19"/>
        <v>0</v>
      </c>
      <c r="CD37" s="92">
        <f t="shared" si="19"/>
        <v>0</v>
      </c>
      <c r="CE37" s="99"/>
      <c r="CF37" s="99"/>
      <c r="CG37" s="51">
        <f t="shared" si="54"/>
        <v>0</v>
      </c>
      <c r="CH37" s="62">
        <f t="shared" si="55"/>
        <v>0</v>
      </c>
      <c r="CI37" s="89"/>
      <c r="CJ37" s="89"/>
      <c r="CK37" s="89"/>
      <c r="CL37" s="96"/>
      <c r="CM37" s="89"/>
      <c r="CN37" s="89"/>
      <c r="CO37" s="92"/>
      <c r="CP37" s="101"/>
      <c r="CQ37" s="102">
        <f t="shared" si="87"/>
        <v>0</v>
      </c>
      <c r="CR37" s="102">
        <f t="shared" si="87"/>
        <v>0</v>
      </c>
      <c r="CS37" s="102">
        <f t="shared" si="87"/>
        <v>0</v>
      </c>
      <c r="CT37" s="92">
        <f t="shared" si="57"/>
        <v>0</v>
      </c>
      <c r="CU37" s="92">
        <f t="shared" si="88"/>
        <v>0</v>
      </c>
      <c r="CV37" s="103">
        <f t="shared" si="88"/>
        <v>0</v>
      </c>
      <c r="CW37" s="104" t="s">
        <v>147</v>
      </c>
      <c r="CX37" s="105">
        <v>18</v>
      </c>
      <c r="CY37" s="106">
        <f t="shared" si="59"/>
        <v>2300</v>
      </c>
      <c r="CZ37" s="106">
        <f t="shared" si="60"/>
        <v>72.900000000000006</v>
      </c>
      <c r="DA37" s="106"/>
      <c r="DB37" s="106"/>
      <c r="DC37" s="105"/>
      <c r="DD37" s="107"/>
      <c r="DE37" s="92">
        <f t="shared" si="21"/>
        <v>0</v>
      </c>
      <c r="DF37" s="108">
        <f t="shared" si="22"/>
        <v>0</v>
      </c>
      <c r="DG37" s="112">
        <f t="shared" si="23"/>
        <v>0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6"/>
        <v>0</v>
      </c>
      <c r="DL37" s="108">
        <f t="shared" si="86"/>
        <v>0</v>
      </c>
      <c r="DM37" s="111">
        <f t="shared" si="86"/>
        <v>0</v>
      </c>
      <c r="DN37" s="76">
        <f t="shared" si="89"/>
        <v>20</v>
      </c>
      <c r="DO37" s="76">
        <f t="shared" si="89"/>
        <v>10</v>
      </c>
      <c r="DP37" s="112"/>
      <c r="DQ37" s="112"/>
      <c r="DR37" s="113" t="s">
        <v>435</v>
      </c>
      <c r="DS37" s="112"/>
      <c r="DT37" s="112"/>
      <c r="DU37" s="111"/>
      <c r="DV37" s="114"/>
      <c r="DW37" s="80">
        <f t="shared" si="61"/>
        <v>0</v>
      </c>
      <c r="DX37" s="81">
        <f t="shared" si="29"/>
        <v>0</v>
      </c>
      <c r="DY37" s="80">
        <f t="shared" si="62"/>
        <v>0</v>
      </c>
      <c r="DZ37" s="82">
        <f t="shared" si="63"/>
        <v>0</v>
      </c>
      <c r="EA37" s="82">
        <f t="shared" si="64"/>
        <v>0</v>
      </c>
      <c r="EB37" s="82">
        <f t="shared" si="65"/>
        <v>0</v>
      </c>
      <c r="EC37" s="82">
        <f t="shared" si="75"/>
        <v>0</v>
      </c>
      <c r="EF37" s="83">
        <f t="shared" si="92"/>
        <v>0</v>
      </c>
    </row>
    <row r="38" spans="1:136" s="143" customFormat="1" ht="14.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1"/>
        <v>MESUS303-5x3-H7B13</v>
      </c>
      <c r="H38" s="123" t="str">
        <f t="shared" si="32"/>
        <v>SUS303ME50DH7</v>
      </c>
      <c r="I38" s="123" t="str">
        <f t="shared" si="33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4"/>
        <v>4</v>
      </c>
      <c r="T38" s="51">
        <f>'05.02'!BG38</f>
        <v>0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5"/>
        <v>0</v>
      </c>
      <c r="AF38" s="54">
        <f>AE38+'05.02'!AF38</f>
        <v>0</v>
      </c>
      <c r="AG38" s="94">
        <f t="shared" si="66"/>
        <v>0</v>
      </c>
      <c r="AH38" s="56">
        <f t="shared" si="13"/>
        <v>0</v>
      </c>
      <c r="AI38" s="125"/>
      <c r="AJ38" s="93">
        <f t="shared" si="67"/>
        <v>0</v>
      </c>
      <c r="AK38" s="95">
        <f t="shared" si="36"/>
        <v>1</v>
      </c>
      <c r="AL38" s="58">
        <f t="shared" si="37"/>
        <v>0</v>
      </c>
      <c r="AM38" s="55">
        <f t="shared" si="68"/>
        <v>0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8"/>
        <v>0</v>
      </c>
      <c r="AV38" s="126">
        <f t="shared" si="38"/>
        <v>0</v>
      </c>
      <c r="AW38" s="126">
        <f t="shared" si="39"/>
        <v>0</v>
      </c>
      <c r="AX38" s="126">
        <f t="shared" si="40"/>
        <v>0</v>
      </c>
      <c r="AY38" s="162">
        <f t="shared" si="69"/>
        <v>0</v>
      </c>
      <c r="AZ38" s="94">
        <f t="shared" si="41"/>
        <v>0</v>
      </c>
      <c r="BA38" s="94">
        <f t="shared" si="42"/>
        <v>0</v>
      </c>
      <c r="BB38" s="97">
        <f t="shared" si="43"/>
        <v>0</v>
      </c>
      <c r="BC38" s="125"/>
      <c r="BD38" s="93">
        <f t="shared" si="44"/>
        <v>0</v>
      </c>
      <c r="BE38" s="127">
        <f t="shared" si="45"/>
        <v>1</v>
      </c>
      <c r="BF38" s="58">
        <f t="shared" si="46"/>
        <v>0</v>
      </c>
      <c r="BG38" s="94">
        <f t="shared" si="47"/>
        <v>0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0"/>
        <v>0</v>
      </c>
      <c r="BP38" s="124">
        <f t="shared" si="70"/>
        <v>0</v>
      </c>
      <c r="BQ38" s="126">
        <f t="shared" si="48"/>
        <v>0</v>
      </c>
      <c r="BR38" s="126">
        <f t="shared" si="49"/>
        <v>0</v>
      </c>
      <c r="BS38" s="126">
        <f t="shared" si="71"/>
        <v>0</v>
      </c>
      <c r="BT38" s="126">
        <f t="shared" si="50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1"/>
        <v>0</v>
      </c>
      <c r="BY38" s="129">
        <f t="shared" si="73"/>
        <v>0</v>
      </c>
      <c r="BZ38" s="62">
        <f t="shared" si="52"/>
        <v>0</v>
      </c>
      <c r="CA38" s="128">
        <f t="shared" si="53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4"/>
        <v>0</v>
      </c>
      <c r="CH38" s="62">
        <f t="shared" si="55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7"/>
        <v>0</v>
      </c>
      <c r="CR38" s="102">
        <f t="shared" si="87"/>
        <v>0</v>
      </c>
      <c r="CS38" s="102">
        <f t="shared" si="87"/>
        <v>0</v>
      </c>
      <c r="CT38" s="92">
        <f t="shared" si="57"/>
        <v>0</v>
      </c>
      <c r="CU38" s="92">
        <f t="shared" si="88"/>
        <v>0</v>
      </c>
      <c r="CV38" s="103">
        <f t="shared" si="88"/>
        <v>0</v>
      </c>
      <c r="CW38" s="131" t="s">
        <v>147</v>
      </c>
      <c r="CX38" s="132">
        <v>60</v>
      </c>
      <c r="CY38" s="133">
        <f t="shared" si="59"/>
        <v>714</v>
      </c>
      <c r="CZ38" s="133">
        <f t="shared" si="60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6"/>
        <v>0</v>
      </c>
      <c r="DL38" s="135">
        <f t="shared" si="86"/>
        <v>0</v>
      </c>
      <c r="DM38" s="137">
        <f t="shared" si="86"/>
        <v>0</v>
      </c>
      <c r="DN38" s="76">
        <f t="shared" si="89"/>
        <v>0</v>
      </c>
      <c r="DO38" s="76">
        <f t="shared" si="89"/>
        <v>0</v>
      </c>
      <c r="DP38" s="115"/>
      <c r="DQ38" s="115"/>
      <c r="DR38" s="138" t="s">
        <v>436</v>
      </c>
      <c r="DS38" s="115"/>
      <c r="DT38" s="115"/>
      <c r="DU38" s="137"/>
      <c r="DV38" s="139"/>
      <c r="DW38" s="140">
        <f t="shared" si="61"/>
        <v>0</v>
      </c>
      <c r="DX38" s="141">
        <f t="shared" si="29"/>
        <v>0</v>
      </c>
      <c r="DY38" s="140">
        <f t="shared" si="62"/>
        <v>0</v>
      </c>
      <c r="DZ38" s="142">
        <f t="shared" si="63"/>
        <v>0</v>
      </c>
      <c r="EA38" s="142">
        <f t="shared" si="64"/>
        <v>0</v>
      </c>
      <c r="EB38" s="142">
        <f t="shared" si="65"/>
        <v>0</v>
      </c>
      <c r="EC38" s="142">
        <f t="shared" si="75"/>
        <v>0</v>
      </c>
      <c r="EF38" s="83">
        <f t="shared" si="92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1"/>
        <v>GAA5052-5.7x3-H9A14</v>
      </c>
      <c r="H39" s="46" t="str">
        <f t="shared" si="32"/>
        <v>A5052GA5.70DH9</v>
      </c>
      <c r="I39" s="46" t="str">
        <f t="shared" si="33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4"/>
        <v>10</v>
      </c>
      <c r="T39" s="51">
        <f>'05.02'!BG39</f>
        <v>16</v>
      </c>
      <c r="U39" s="92">
        <v>14</v>
      </c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5"/>
        <v>0</v>
      </c>
      <c r="AF39" s="54">
        <f>AE39+'05.02'!AF39</f>
        <v>0</v>
      </c>
      <c r="AG39" s="94">
        <f t="shared" si="66"/>
        <v>16</v>
      </c>
      <c r="AH39" s="56">
        <f t="shared" si="13"/>
        <v>0</v>
      </c>
      <c r="AI39" s="93"/>
      <c r="AJ39" s="93">
        <f t="shared" si="67"/>
        <v>0</v>
      </c>
      <c r="AK39" s="95">
        <f t="shared" si="36"/>
        <v>1</v>
      </c>
      <c r="AL39" s="58">
        <f t="shared" si="37"/>
        <v>0</v>
      </c>
      <c r="AM39" s="55">
        <f t="shared" si="68"/>
        <v>30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8"/>
        <v>0</v>
      </c>
      <c r="AV39" s="96">
        <f t="shared" si="38"/>
        <v>0</v>
      </c>
      <c r="AW39" s="96">
        <f t="shared" si="39"/>
        <v>0</v>
      </c>
      <c r="AX39" s="96">
        <f t="shared" si="40"/>
        <v>0</v>
      </c>
      <c r="AY39" s="94">
        <f t="shared" si="69"/>
        <v>0</v>
      </c>
      <c r="AZ39" s="94">
        <f t="shared" si="41"/>
        <v>0</v>
      </c>
      <c r="BA39" s="94">
        <f t="shared" si="42"/>
        <v>30</v>
      </c>
      <c r="BB39" s="97">
        <f t="shared" si="43"/>
        <v>0</v>
      </c>
      <c r="BC39" s="93"/>
      <c r="BD39" s="93">
        <f t="shared" si="44"/>
        <v>0</v>
      </c>
      <c r="BE39" s="95">
        <f t="shared" si="45"/>
        <v>1</v>
      </c>
      <c r="BF39" s="58">
        <f t="shared" si="46"/>
        <v>0</v>
      </c>
      <c r="BG39" s="94">
        <f t="shared" si="47"/>
        <v>30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0"/>
        <v>0</v>
      </c>
      <c r="BP39" s="92">
        <f t="shared" si="70"/>
        <v>0</v>
      </c>
      <c r="BQ39" s="96">
        <f t="shared" si="48"/>
        <v>0</v>
      </c>
      <c r="BR39" s="96">
        <f t="shared" si="49"/>
        <v>0</v>
      </c>
      <c r="BS39" s="96">
        <f t="shared" si="71"/>
        <v>0</v>
      </c>
      <c r="BT39" s="96">
        <f t="shared" si="50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1"/>
        <v>0</v>
      </c>
      <c r="BY39" s="61">
        <f t="shared" si="73"/>
        <v>0</v>
      </c>
      <c r="BZ39" s="62">
        <f t="shared" si="52"/>
        <v>0</v>
      </c>
      <c r="CA39" s="98">
        <f t="shared" si="53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4"/>
        <v>0</v>
      </c>
      <c r="CH39" s="62">
        <f t="shared" si="55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7"/>
        <v>0</v>
      </c>
      <c r="CR39" s="102">
        <f t="shared" si="87"/>
        <v>0</v>
      </c>
      <c r="CS39" s="102">
        <f t="shared" si="87"/>
        <v>0</v>
      </c>
      <c r="CT39" s="92">
        <f t="shared" si="57"/>
        <v>0</v>
      </c>
      <c r="CU39" s="92">
        <f t="shared" si="88"/>
        <v>0</v>
      </c>
      <c r="CV39" s="103">
        <f t="shared" si="88"/>
        <v>0</v>
      </c>
      <c r="CW39" s="104" t="s">
        <v>147</v>
      </c>
      <c r="CX39" s="105">
        <v>35</v>
      </c>
      <c r="CY39" s="106">
        <f t="shared" si="59"/>
        <v>1203</v>
      </c>
      <c r="CZ39" s="106">
        <f t="shared" si="60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6"/>
        <v>0</v>
      </c>
      <c r="DL39" s="108">
        <f t="shared" si="86"/>
        <v>0</v>
      </c>
      <c r="DM39" s="111">
        <f t="shared" si="86"/>
        <v>0</v>
      </c>
      <c r="DN39" s="76">
        <f t="shared" si="89"/>
        <v>16</v>
      </c>
      <c r="DO39" s="76">
        <f t="shared" si="89"/>
        <v>14</v>
      </c>
      <c r="DP39" s="112"/>
      <c r="DQ39" s="112"/>
      <c r="DR39" s="113" t="s">
        <v>437</v>
      </c>
      <c r="DS39" s="112"/>
      <c r="DT39" s="112"/>
      <c r="DU39" s="111"/>
      <c r="DV39" s="114"/>
      <c r="DW39" s="80">
        <f t="shared" si="61"/>
        <v>0</v>
      </c>
      <c r="DX39" s="81">
        <f t="shared" si="29"/>
        <v>0</v>
      </c>
      <c r="DY39" s="80">
        <f t="shared" si="62"/>
        <v>0</v>
      </c>
      <c r="DZ39" s="82">
        <f t="shared" si="63"/>
        <v>0</v>
      </c>
      <c r="EA39" s="82">
        <f t="shared" si="64"/>
        <v>0</v>
      </c>
      <c r="EB39" s="82">
        <f t="shared" si="65"/>
        <v>0</v>
      </c>
      <c r="EC39" s="82">
        <f t="shared" si="75"/>
        <v>0</v>
      </c>
      <c r="EF39" s="83">
        <f t="shared" si="92"/>
        <v>0</v>
      </c>
    </row>
    <row r="40" spans="1:136" ht="14.1" customHeight="1">
      <c r="A40" s="84">
        <v>33</v>
      </c>
      <c r="B40" s="85" t="s">
        <v>232</v>
      </c>
      <c r="C40" s="86"/>
      <c r="D40" s="87" t="s">
        <v>233</v>
      </c>
      <c r="E40" s="88">
        <v>1166</v>
      </c>
      <c r="F40" s="89" t="s">
        <v>147</v>
      </c>
      <c r="G40" s="45" t="str">
        <f t="shared" si="31"/>
        <v>IBC3604-5x3-H9B14</v>
      </c>
      <c r="H40" s="46" t="str">
        <f t="shared" si="32"/>
        <v>C3604IB50DH9</v>
      </c>
      <c r="I40" s="46" t="str">
        <f t="shared" si="33"/>
        <v>C3604IB50DH93B14</v>
      </c>
      <c r="J40" s="90" t="s">
        <v>148</v>
      </c>
      <c r="K40" s="90" t="s">
        <v>156</v>
      </c>
      <c r="L40" s="90">
        <v>5</v>
      </c>
      <c r="M40" s="90">
        <v>0</v>
      </c>
      <c r="N40" s="90" t="s">
        <v>128</v>
      </c>
      <c r="O40" s="90" t="s">
        <v>131</v>
      </c>
      <c r="P40" s="90">
        <v>3</v>
      </c>
      <c r="Q40" s="91">
        <v>0.5</v>
      </c>
      <c r="R40" s="160" t="s">
        <v>171</v>
      </c>
      <c r="S40" s="89">
        <f t="shared" si="34"/>
        <v>6</v>
      </c>
      <c r="T40" s="51">
        <f>'05.02'!BG40</f>
        <v>3.0000000000000004</v>
      </c>
      <c r="U40" s="92">
        <v>27</v>
      </c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10744</v>
      </c>
      <c r="AC40" s="93">
        <f t="shared" si="11"/>
        <v>0</v>
      </c>
      <c r="AD40" s="93">
        <f t="shared" si="12"/>
        <v>0</v>
      </c>
      <c r="AE40" s="93">
        <f t="shared" si="35"/>
        <v>10744</v>
      </c>
      <c r="AF40" s="54">
        <f>AE40+'05.02'!AF40</f>
        <v>39392</v>
      </c>
      <c r="AG40" s="94">
        <f t="shared" si="66"/>
        <v>3.0000000000000004</v>
      </c>
      <c r="AH40" s="56">
        <f t="shared" si="13"/>
        <v>0</v>
      </c>
      <c r="AI40" s="93">
        <v>5</v>
      </c>
      <c r="AJ40" s="93">
        <f t="shared" si="67"/>
        <v>40</v>
      </c>
      <c r="AK40" s="95">
        <f t="shared" si="36"/>
        <v>0.274442538593482</v>
      </c>
      <c r="AL40" s="58">
        <f t="shared" si="37"/>
        <v>4.2799999999999994</v>
      </c>
      <c r="AM40" s="55">
        <f t="shared" si="68"/>
        <v>25.72</v>
      </c>
      <c r="AN40" s="93"/>
      <c r="AO40" s="96"/>
      <c r="AP40" s="96"/>
      <c r="AQ40" s="96"/>
      <c r="AR40" s="96"/>
      <c r="AS40" s="96"/>
      <c r="AT40" s="96">
        <f>$CJ40</f>
        <v>638</v>
      </c>
      <c r="AU40" s="96">
        <f t="shared" si="38"/>
        <v>0</v>
      </c>
      <c r="AV40" s="96">
        <f t="shared" si="38"/>
        <v>0</v>
      </c>
      <c r="AW40" s="96">
        <f>SUM(AO40:AV40)</f>
        <v>638</v>
      </c>
      <c r="AX40" s="96">
        <f>IF(V40="","",INT(AW40/$V40))</f>
        <v>5104</v>
      </c>
      <c r="AY40" s="94">
        <f t="shared" si="69"/>
        <v>14.190000000000055</v>
      </c>
      <c r="AZ40" s="94">
        <f t="shared" si="41"/>
        <v>113.52000000000044</v>
      </c>
      <c r="BA40" s="94">
        <f t="shared" si="42"/>
        <v>25.72</v>
      </c>
      <c r="BB40" s="97">
        <f t="shared" si="43"/>
        <v>0.72</v>
      </c>
      <c r="BC40" s="93">
        <v>4</v>
      </c>
      <c r="BD40" s="93">
        <f t="shared" si="44"/>
        <v>0</v>
      </c>
      <c r="BE40" s="95">
        <f t="shared" si="45"/>
        <v>1</v>
      </c>
      <c r="BF40" s="58">
        <f t="shared" si="46"/>
        <v>4.72</v>
      </c>
      <c r="BG40" s="94">
        <f t="shared" si="47"/>
        <v>21</v>
      </c>
      <c r="BH40" s="89"/>
      <c r="BI40" s="89"/>
      <c r="BJ40" s="89"/>
      <c r="BK40" s="89"/>
      <c r="BL40" s="92"/>
      <c r="BM40" s="92"/>
      <c r="BN40" s="92">
        <f>$CN40</f>
        <v>705</v>
      </c>
      <c r="BO40" s="92">
        <f t="shared" si="70"/>
        <v>0</v>
      </c>
      <c r="BP40" s="92">
        <f t="shared" si="70"/>
        <v>0</v>
      </c>
      <c r="BQ40" s="96">
        <f t="shared" si="48"/>
        <v>705</v>
      </c>
      <c r="BR40" s="96">
        <f t="shared" si="49"/>
        <v>5640</v>
      </c>
      <c r="BS40" s="96">
        <f t="shared" si="71"/>
        <v>17.060000000000059</v>
      </c>
      <c r="BT40" s="96">
        <f t="shared" si="50"/>
        <v>136.48000000000047</v>
      </c>
      <c r="BU40" s="92">
        <f t="shared" si="16"/>
        <v>10744</v>
      </c>
      <c r="BV40" s="98">
        <f t="shared" si="17"/>
        <v>9</v>
      </c>
      <c r="BW40" s="92">
        <f t="shared" si="18"/>
        <v>250.00000000000091</v>
      </c>
      <c r="BX40" s="98">
        <f t="shared" si="51"/>
        <v>4.5</v>
      </c>
      <c r="BY40" s="61">
        <f t="shared" si="73"/>
        <v>9</v>
      </c>
      <c r="BZ40" s="62">
        <f t="shared" si="52"/>
        <v>9</v>
      </c>
      <c r="CA40" s="98">
        <f t="shared" si="53"/>
        <v>1.343</v>
      </c>
      <c r="CB40" s="92">
        <f t="shared" ref="CB40:CD71" si="98">IFERROR(BR40+AX40,"")</f>
        <v>10744</v>
      </c>
      <c r="CC40" s="92">
        <f t="shared" si="98"/>
        <v>31.250000000000114</v>
      </c>
      <c r="CD40" s="92">
        <f t="shared" si="98"/>
        <v>250.00000000000091</v>
      </c>
      <c r="CE40" s="99"/>
      <c r="CF40" s="99"/>
      <c r="CG40" s="51">
        <f t="shared" si="54"/>
        <v>3.157</v>
      </c>
      <c r="CH40" s="62">
        <f t="shared" si="55"/>
        <v>3.157</v>
      </c>
      <c r="CI40" s="89">
        <v>40</v>
      </c>
      <c r="CJ40" s="89">
        <v>638</v>
      </c>
      <c r="CK40" s="89"/>
      <c r="CL40" s="96"/>
      <c r="CM40" s="89"/>
      <c r="CN40" s="89">
        <v>705</v>
      </c>
      <c r="CO40" s="92"/>
      <c r="CP40" s="101"/>
      <c r="CQ40" s="102">
        <f t="shared" si="87"/>
        <v>5104</v>
      </c>
      <c r="CR40" s="102">
        <f t="shared" si="87"/>
        <v>0</v>
      </c>
      <c r="CS40" s="102">
        <f t="shared" si="87"/>
        <v>0</v>
      </c>
      <c r="CT40" s="92">
        <f t="shared" si="57"/>
        <v>5640</v>
      </c>
      <c r="CU40" s="92">
        <f t="shared" si="88"/>
        <v>0</v>
      </c>
      <c r="CV40" s="103">
        <f t="shared" si="88"/>
        <v>0</v>
      </c>
      <c r="CW40" s="104" t="s">
        <v>147</v>
      </c>
      <c r="CX40" s="105">
        <v>11</v>
      </c>
      <c r="CY40" s="106">
        <f t="shared" si="59"/>
        <v>3861</v>
      </c>
      <c r="CZ40" s="106">
        <f t="shared" si="60"/>
        <v>44.550000000000004</v>
      </c>
      <c r="DA40" s="106"/>
      <c r="DB40" s="106"/>
      <c r="DC40" s="105"/>
      <c r="DD40" s="107"/>
      <c r="DE40" s="92">
        <f t="shared" si="21"/>
        <v>5104</v>
      </c>
      <c r="DF40" s="108">
        <f t="shared" si="22"/>
        <v>4.2799999999999994</v>
      </c>
      <c r="DG40" s="112">
        <f t="shared" si="23"/>
        <v>113.52000000000044</v>
      </c>
      <c r="DH40" s="110">
        <f t="shared" si="24"/>
        <v>5640</v>
      </c>
      <c r="DI40" s="108">
        <f t="shared" si="25"/>
        <v>4.72</v>
      </c>
      <c r="DJ40" s="112">
        <f t="shared" si="26"/>
        <v>136.48000000000047</v>
      </c>
      <c r="DK40" s="110">
        <f t="shared" si="86"/>
        <v>10744</v>
      </c>
      <c r="DL40" s="108">
        <f t="shared" si="86"/>
        <v>9</v>
      </c>
      <c r="DM40" s="111">
        <f t="shared" si="86"/>
        <v>250.00000000000091</v>
      </c>
      <c r="DN40" s="76">
        <f t="shared" si="89"/>
        <v>3.0000000000000004</v>
      </c>
      <c r="DO40" s="76">
        <f t="shared" si="89"/>
        <v>27</v>
      </c>
      <c r="DP40" s="112"/>
      <c r="DQ40" s="112"/>
      <c r="DR40" s="113" t="s">
        <v>497</v>
      </c>
      <c r="DS40" s="112"/>
      <c r="DT40" s="112"/>
      <c r="DU40" s="111"/>
      <c r="DV40" s="114"/>
      <c r="DW40" s="80">
        <f t="shared" ref="DW40:DW42" si="99">IFERROR(AL40+BF40,"")</f>
        <v>9</v>
      </c>
      <c r="DX40" s="81">
        <f t="shared" si="29"/>
        <v>11003</v>
      </c>
      <c r="DY40" s="80">
        <f t="shared" si="62"/>
        <v>10744</v>
      </c>
      <c r="DZ40" s="82">
        <f t="shared" si="63"/>
        <v>0</v>
      </c>
      <c r="EA40" s="82">
        <f t="shared" si="64"/>
        <v>1.343</v>
      </c>
      <c r="EB40" s="82">
        <f t="shared" si="65"/>
        <v>3.157</v>
      </c>
      <c r="EC40" s="82">
        <f t="shared" ref="EC40:EC42" si="100">(BX40-CA40)+((AV40+BP40)/1000)</f>
        <v>3.157</v>
      </c>
      <c r="EF40" s="83">
        <f t="shared" si="92"/>
        <v>250.00000000000091</v>
      </c>
    </row>
    <row r="41" spans="1:136" ht="13.5" customHeight="1">
      <c r="A41" s="84">
        <v>34</v>
      </c>
      <c r="B41" s="85" t="s">
        <v>236</v>
      </c>
      <c r="C41" s="86"/>
      <c r="D41" s="119" t="s">
        <v>237</v>
      </c>
      <c r="E41" s="88">
        <v>394</v>
      </c>
      <c r="F41" s="89" t="s">
        <v>147</v>
      </c>
      <c r="G41" s="45" t="str">
        <f t="shared" si="31"/>
        <v>MESUS303Cu-3x3-H9A14</v>
      </c>
      <c r="H41" s="46" t="str">
        <f t="shared" si="32"/>
        <v>SUS303CuME30DH9</v>
      </c>
      <c r="I41" s="46" t="str">
        <f t="shared" si="33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4"/>
        <v>18</v>
      </c>
      <c r="T41" s="51">
        <f>'05.02'!BG41</f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5"/>
        <v>0</v>
      </c>
      <c r="AF41" s="54">
        <f>AE41+'05.02'!AF41</f>
        <v>0</v>
      </c>
      <c r="AG41" s="94">
        <f t="shared" si="66"/>
        <v>10</v>
      </c>
      <c r="AH41" s="56">
        <f t="shared" si="13"/>
        <v>0</v>
      </c>
      <c r="AI41" s="93"/>
      <c r="AJ41" s="93">
        <f t="shared" si="67"/>
        <v>0</v>
      </c>
      <c r="AK41" s="95">
        <f t="shared" si="36"/>
        <v>1</v>
      </c>
      <c r="AL41" s="58">
        <f t="shared" si="37"/>
        <v>0</v>
      </c>
      <c r="AM41" s="55">
        <f t="shared" si="68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8"/>
        <v>0</v>
      </c>
      <c r="AV41" s="96">
        <f t="shared" si="38"/>
        <v>0</v>
      </c>
      <c r="AW41" s="96">
        <f>SUM(AO41:AV41)</f>
        <v>0</v>
      </c>
      <c r="AX41" s="96">
        <f>IF(V41="","",INT(AW41/$V41))</f>
        <v>0</v>
      </c>
      <c r="AY41" s="94">
        <f t="shared" si="69"/>
        <v>0</v>
      </c>
      <c r="AZ41" s="94">
        <f t="shared" si="41"/>
        <v>0</v>
      </c>
      <c r="BA41" s="94">
        <f t="shared" si="42"/>
        <v>10</v>
      </c>
      <c r="BB41" s="97">
        <f t="shared" si="43"/>
        <v>0</v>
      </c>
      <c r="BC41" s="93"/>
      <c r="BD41" s="93">
        <f t="shared" si="44"/>
        <v>0</v>
      </c>
      <c r="BE41" s="95">
        <f t="shared" si="45"/>
        <v>1</v>
      </c>
      <c r="BF41" s="58">
        <f t="shared" si="46"/>
        <v>0</v>
      </c>
      <c r="BG41" s="94">
        <f t="shared" si="47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0"/>
        <v>0</v>
      </c>
      <c r="BP41" s="92">
        <f t="shared" si="70"/>
        <v>0</v>
      </c>
      <c r="BQ41" s="96">
        <f t="shared" si="48"/>
        <v>0</v>
      </c>
      <c r="BR41" s="96">
        <f>IF(AA41="","",INT(BQ41/$V41))</f>
        <v>0</v>
      </c>
      <c r="BS41" s="96">
        <f t="shared" si="71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1"/>
        <v>0</v>
      </c>
      <c r="BY41" s="61">
        <f t="shared" si="73"/>
        <v>0</v>
      </c>
      <c r="BZ41" s="62">
        <f t="shared" si="52"/>
        <v>0</v>
      </c>
      <c r="CA41" s="98">
        <f t="shared" si="53"/>
        <v>0</v>
      </c>
      <c r="CB41" s="92">
        <f t="shared" si="98"/>
        <v>0</v>
      </c>
      <c r="CC41" s="92">
        <f t="shared" si="98"/>
        <v>0</v>
      </c>
      <c r="CD41" s="92">
        <f t="shared" si="98"/>
        <v>0</v>
      </c>
      <c r="CE41" s="99"/>
      <c r="CF41" s="99"/>
      <c r="CG41" s="51">
        <f t="shared" si="54"/>
        <v>0</v>
      </c>
      <c r="CH41" s="62">
        <f t="shared" si="55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101">INT(IFERROR( CJ41/$V41,0))</f>
        <v>0</v>
      </c>
      <c r="CR41" s="102">
        <f t="shared" si="101"/>
        <v>0</v>
      </c>
      <c r="CS41" s="102">
        <f t="shared" si="101"/>
        <v>0</v>
      </c>
      <c r="CT41" s="92">
        <f t="shared" si="57"/>
        <v>0</v>
      </c>
      <c r="CU41" s="92">
        <f t="shared" ref="CU41:CV103" si="102">INT(IFERROR( AC41-CR41,0))</f>
        <v>0</v>
      </c>
      <c r="CV41" s="103">
        <f t="shared" si="102"/>
        <v>0</v>
      </c>
      <c r="CW41" s="104" t="s">
        <v>147</v>
      </c>
      <c r="CX41" s="105">
        <v>12</v>
      </c>
      <c r="CY41" s="106">
        <f t="shared" si="59"/>
        <v>3450</v>
      </c>
      <c r="CZ41" s="106">
        <f t="shared" si="60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6"/>
        <v>0</v>
      </c>
      <c r="DL41" s="108">
        <f t="shared" si="86"/>
        <v>0</v>
      </c>
      <c r="DM41" s="111">
        <f t="shared" si="86"/>
        <v>0</v>
      </c>
      <c r="DN41" s="76">
        <f t="shared" si="89"/>
        <v>10</v>
      </c>
      <c r="DO41" s="76">
        <f t="shared" si="89"/>
        <v>0</v>
      </c>
      <c r="DP41" s="112"/>
      <c r="DQ41" s="112"/>
      <c r="DR41" s="113" t="s">
        <v>439</v>
      </c>
      <c r="DS41" s="112"/>
      <c r="DT41" s="112"/>
      <c r="DU41" s="111"/>
      <c r="DV41" s="114"/>
      <c r="DW41" s="80">
        <f t="shared" si="99"/>
        <v>0</v>
      </c>
      <c r="DX41" s="81">
        <f t="shared" si="29"/>
        <v>0</v>
      </c>
      <c r="DY41" s="80">
        <f t="shared" si="62"/>
        <v>0</v>
      </c>
      <c r="DZ41" s="82">
        <f t="shared" si="63"/>
        <v>0</v>
      </c>
      <c r="EA41" s="82">
        <f t="shared" si="64"/>
        <v>0</v>
      </c>
      <c r="EB41" s="82">
        <f t="shared" si="65"/>
        <v>0</v>
      </c>
      <c r="EC41" s="82">
        <f t="shared" si="100"/>
        <v>0</v>
      </c>
      <c r="EF41" s="83">
        <f t="shared" si="92"/>
        <v>0</v>
      </c>
    </row>
    <row r="42" spans="1:136" ht="15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1"/>
        <v>IBC3604-6x3-H9C13</v>
      </c>
      <c r="H42" s="46" t="str">
        <f t="shared" si="32"/>
        <v>C3604IB60DH9</v>
      </c>
      <c r="I42" s="46" t="str">
        <f t="shared" si="33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4"/>
        <v>42</v>
      </c>
      <c r="T42" s="51">
        <f>'05.02'!BG42</f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5"/>
        <v>0</v>
      </c>
      <c r="AF42" s="54">
        <f>AE42+'05.02'!AF42</f>
        <v>0</v>
      </c>
      <c r="AG42" s="94">
        <f t="shared" si="66"/>
        <v>0</v>
      </c>
      <c r="AH42" s="56">
        <f t="shared" si="13"/>
        <v>0</v>
      </c>
      <c r="AI42" s="93"/>
      <c r="AJ42" s="93">
        <f t="shared" si="67"/>
        <v>0</v>
      </c>
      <c r="AK42" s="95">
        <f t="shared" si="36"/>
        <v>1</v>
      </c>
      <c r="AL42" s="58">
        <f t="shared" si="37"/>
        <v>0</v>
      </c>
      <c r="AM42" s="55">
        <f t="shared" si="68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8"/>
        <v>0</v>
      </c>
      <c r="AV42" s="96">
        <f t="shared" si="38"/>
        <v>0</v>
      </c>
      <c r="AW42" s="96">
        <f t="shared" si="39"/>
        <v>0</v>
      </c>
      <c r="AX42" s="96">
        <f t="shared" si="40"/>
        <v>0</v>
      </c>
      <c r="AY42" s="94">
        <f t="shared" si="69"/>
        <v>0</v>
      </c>
      <c r="AZ42" s="94">
        <f t="shared" si="41"/>
        <v>0</v>
      </c>
      <c r="BA42" s="94">
        <f t="shared" si="42"/>
        <v>0</v>
      </c>
      <c r="BB42" s="97">
        <f t="shared" si="43"/>
        <v>0</v>
      </c>
      <c r="BC42" s="93"/>
      <c r="BD42" s="93">
        <f t="shared" si="44"/>
        <v>0</v>
      </c>
      <c r="BE42" s="95">
        <f t="shared" si="45"/>
        <v>1</v>
      </c>
      <c r="BF42" s="58">
        <f t="shared" si="46"/>
        <v>0</v>
      </c>
      <c r="BG42" s="94">
        <f t="shared" si="47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0"/>
        <v>0</v>
      </c>
      <c r="BP42" s="92">
        <f t="shared" si="70"/>
        <v>0</v>
      </c>
      <c r="BQ42" s="96">
        <f t="shared" si="48"/>
        <v>0</v>
      </c>
      <c r="BR42" s="96">
        <f t="shared" si="49"/>
        <v>0</v>
      </c>
      <c r="BS42" s="96">
        <f t="shared" si="71"/>
        <v>0</v>
      </c>
      <c r="BT42" s="96">
        <f t="shared" si="50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1"/>
        <v>0</v>
      </c>
      <c r="BY42" s="61">
        <f t="shared" si="73"/>
        <v>0</v>
      </c>
      <c r="BZ42" s="62">
        <f t="shared" si="52"/>
        <v>0</v>
      </c>
      <c r="CA42" s="98">
        <f t="shared" si="53"/>
        <v>0</v>
      </c>
      <c r="CB42" s="92">
        <f t="shared" si="98"/>
        <v>0</v>
      </c>
      <c r="CC42" s="92">
        <f t="shared" si="98"/>
        <v>0</v>
      </c>
      <c r="CD42" s="92">
        <f t="shared" si="98"/>
        <v>0</v>
      </c>
      <c r="CE42" s="99"/>
      <c r="CF42" s="99"/>
      <c r="CG42" s="51">
        <f t="shared" si="54"/>
        <v>0</v>
      </c>
      <c r="CH42" s="62">
        <f t="shared" si="55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101"/>
        <v>0</v>
      </c>
      <c r="CR42" s="102">
        <f t="shared" si="101"/>
        <v>0</v>
      </c>
      <c r="CS42" s="102">
        <f t="shared" si="101"/>
        <v>0</v>
      </c>
      <c r="CT42" s="92">
        <f t="shared" si="57"/>
        <v>0</v>
      </c>
      <c r="CU42" s="92">
        <f t="shared" si="102"/>
        <v>0</v>
      </c>
      <c r="CV42" s="103">
        <f t="shared" si="102"/>
        <v>0</v>
      </c>
      <c r="CW42" s="104" t="s">
        <v>147</v>
      </c>
      <c r="CX42" s="105">
        <v>24</v>
      </c>
      <c r="CY42" s="106">
        <f t="shared" si="59"/>
        <v>1620</v>
      </c>
      <c r="CZ42" s="106">
        <f t="shared" si="60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6"/>
        <v>0</v>
      </c>
      <c r="DL42" s="108">
        <f t="shared" si="86"/>
        <v>0</v>
      </c>
      <c r="DM42" s="111">
        <f t="shared" si="86"/>
        <v>0</v>
      </c>
      <c r="DN42" s="76">
        <f t="shared" si="89"/>
        <v>0</v>
      </c>
      <c r="DO42" s="76">
        <f t="shared" si="89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99"/>
        <v>0</v>
      </c>
      <c r="DX42" s="81">
        <f t="shared" si="29"/>
        <v>0</v>
      </c>
      <c r="DY42" s="80">
        <f t="shared" si="62"/>
        <v>0</v>
      </c>
      <c r="DZ42" s="82">
        <f t="shared" si="63"/>
        <v>0</v>
      </c>
      <c r="EA42" s="82">
        <f t="shared" si="64"/>
        <v>0</v>
      </c>
      <c r="EB42" s="82">
        <f t="shared" si="65"/>
        <v>0</v>
      </c>
      <c r="EC42" s="82">
        <f t="shared" si="100"/>
        <v>0</v>
      </c>
      <c r="EF42" s="83">
        <f t="shared" si="92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1"/>
        <v>IBC3604-5.5x3-H9A14</v>
      </c>
      <c r="H43" s="46" t="str">
        <f t="shared" si="32"/>
        <v>C3604IB5.50DH9</v>
      </c>
      <c r="I43" s="46" t="str">
        <f t="shared" si="33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4"/>
        <v>16</v>
      </c>
      <c r="T43" s="51">
        <f>'05.02'!BG43</f>
        <v>26</v>
      </c>
      <c r="U43" s="92">
        <v>84</v>
      </c>
      <c r="V43" s="100">
        <v>1.1000000000000001</v>
      </c>
      <c r="W43" s="93">
        <f t="shared" si="5"/>
        <v>0</v>
      </c>
      <c r="X43" s="93">
        <f t="shared" si="6"/>
        <v>8288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0</v>
      </c>
      <c r="AE43" s="93">
        <f t="shared" si="35"/>
        <v>8288</v>
      </c>
      <c r="AF43" s="54">
        <f>AE43+'05.02'!AF43</f>
        <v>39607</v>
      </c>
      <c r="AG43" s="94">
        <f t="shared" si="66"/>
        <v>26</v>
      </c>
      <c r="AH43" s="56">
        <f t="shared" si="13"/>
        <v>0</v>
      </c>
      <c r="AI43" s="93">
        <v>25</v>
      </c>
      <c r="AJ43" s="93">
        <f t="shared" si="67"/>
        <v>0</v>
      </c>
      <c r="AK43" s="95">
        <f t="shared" si="36"/>
        <v>1</v>
      </c>
      <c r="AL43" s="58">
        <f t="shared" si="37"/>
        <v>25</v>
      </c>
      <c r="AM43" s="55">
        <f t="shared" si="68"/>
        <v>85</v>
      </c>
      <c r="AN43" s="93"/>
      <c r="AO43" s="96"/>
      <c r="AP43" s="96">
        <f>$CJ43</f>
        <v>4627</v>
      </c>
      <c r="AQ43" s="96"/>
      <c r="AR43" s="96"/>
      <c r="AS43" s="96"/>
      <c r="AT43" s="96"/>
      <c r="AU43" s="96">
        <f>CK43</f>
        <v>0</v>
      </c>
      <c r="AV43" s="96">
        <f>CL43</f>
        <v>0</v>
      </c>
      <c r="AW43" s="96">
        <f>SUM(AO43:AV43)</f>
        <v>4627</v>
      </c>
      <c r="AX43" s="96">
        <f>IF(V43="","",INT(AW43/$V43))</f>
        <v>4206</v>
      </c>
      <c r="AY43" s="94">
        <f t="shared" si="69"/>
        <v>144.5</v>
      </c>
      <c r="AZ43" s="94">
        <f t="shared" si="41"/>
        <v>131.36363636363635</v>
      </c>
      <c r="BA43" s="94">
        <f t="shared" si="42"/>
        <v>85</v>
      </c>
      <c r="BB43" s="97">
        <f t="shared" si="43"/>
        <v>0</v>
      </c>
      <c r="BC43" s="93">
        <v>25</v>
      </c>
      <c r="BD43" s="93">
        <f t="shared" si="44"/>
        <v>0</v>
      </c>
      <c r="BE43" s="95">
        <f t="shared" si="45"/>
        <v>1</v>
      </c>
      <c r="BF43" s="58">
        <f t="shared" si="46"/>
        <v>25</v>
      </c>
      <c r="BG43" s="94">
        <f t="shared" si="47"/>
        <v>60</v>
      </c>
      <c r="BH43" s="89"/>
      <c r="BI43" s="89"/>
      <c r="BJ43" s="92">
        <f>$CN43</f>
        <v>4490</v>
      </c>
      <c r="BK43" s="89"/>
      <c r="BL43" s="89"/>
      <c r="BM43" s="92"/>
      <c r="BN43" s="89"/>
      <c r="BO43" s="92">
        <f t="shared" si="70"/>
        <v>0</v>
      </c>
      <c r="BP43" s="92">
        <f t="shared" si="70"/>
        <v>0</v>
      </c>
      <c r="BQ43" s="96">
        <f t="shared" si="48"/>
        <v>4490</v>
      </c>
      <c r="BR43" s="96">
        <f>IF(AA43="","",INT(BQ43/$V43))</f>
        <v>4081</v>
      </c>
      <c r="BS43" s="96">
        <f t="shared" si="71"/>
        <v>7.5</v>
      </c>
      <c r="BT43" s="96">
        <f t="shared" si="50"/>
        <v>6.8181818181818175</v>
      </c>
      <c r="BU43" s="92">
        <f t="shared" si="16"/>
        <v>8288</v>
      </c>
      <c r="BV43" s="98">
        <f t="shared" si="17"/>
        <v>50</v>
      </c>
      <c r="BW43" s="92">
        <f t="shared" si="18"/>
        <v>138.18181818181816</v>
      </c>
      <c r="BX43" s="98">
        <f t="shared" si="51"/>
        <v>30.2</v>
      </c>
      <c r="BY43" s="61">
        <f t="shared" si="73"/>
        <v>50</v>
      </c>
      <c r="BZ43" s="62">
        <f t="shared" si="52"/>
        <v>50</v>
      </c>
      <c r="CA43" s="98">
        <f t="shared" si="53"/>
        <v>9.1170000000000009</v>
      </c>
      <c r="CB43" s="92">
        <f t="shared" si="98"/>
        <v>8287</v>
      </c>
      <c r="CC43" s="92">
        <f t="shared" si="98"/>
        <v>152</v>
      </c>
      <c r="CD43" s="92">
        <f t="shared" si="98"/>
        <v>138.18181818181816</v>
      </c>
      <c r="CE43" s="99"/>
      <c r="CF43" s="99"/>
      <c r="CG43" s="51">
        <f t="shared" si="54"/>
        <v>21.082999999999998</v>
      </c>
      <c r="CH43" s="62">
        <f t="shared" si="55"/>
        <v>21.082999999999998</v>
      </c>
      <c r="CI43" s="89"/>
      <c r="CJ43" s="89">
        <v>4627</v>
      </c>
      <c r="CK43" s="89"/>
      <c r="CL43" s="96"/>
      <c r="CM43" s="89"/>
      <c r="CN43" s="89">
        <v>4490</v>
      </c>
      <c r="CO43" s="92"/>
      <c r="CP43" s="101"/>
      <c r="CQ43" s="102">
        <f t="shared" si="101"/>
        <v>4206</v>
      </c>
      <c r="CR43" s="102">
        <f t="shared" si="101"/>
        <v>0</v>
      </c>
      <c r="CS43" s="102">
        <f t="shared" si="101"/>
        <v>0</v>
      </c>
      <c r="CT43" s="92">
        <f t="shared" si="57"/>
        <v>4082</v>
      </c>
      <c r="CU43" s="92">
        <f t="shared" si="102"/>
        <v>0</v>
      </c>
      <c r="CV43" s="103">
        <f t="shared" si="102"/>
        <v>0</v>
      </c>
      <c r="CW43" s="104" t="s">
        <v>147</v>
      </c>
      <c r="CX43" s="105">
        <v>32</v>
      </c>
      <c r="CY43" s="106">
        <f t="shared" si="59"/>
        <v>1299</v>
      </c>
      <c r="CZ43" s="106">
        <f t="shared" si="60"/>
        <v>129.60000000000002</v>
      </c>
      <c r="DA43" s="106"/>
      <c r="DB43" s="106"/>
      <c r="DC43" s="105"/>
      <c r="DD43" s="107"/>
      <c r="DE43" s="92">
        <f t="shared" si="21"/>
        <v>4206</v>
      </c>
      <c r="DF43" s="108">
        <f t="shared" si="22"/>
        <v>25</v>
      </c>
      <c r="DG43" s="115">
        <f t="shared" si="23"/>
        <v>131.36363636363635</v>
      </c>
      <c r="DH43" s="110">
        <f t="shared" si="24"/>
        <v>4082</v>
      </c>
      <c r="DI43" s="108">
        <f t="shared" si="25"/>
        <v>25</v>
      </c>
      <c r="DJ43" s="112">
        <f t="shared" si="26"/>
        <v>6.8181818181818175</v>
      </c>
      <c r="DK43" s="110">
        <f t="shared" si="86"/>
        <v>8288</v>
      </c>
      <c r="DL43" s="108">
        <f t="shared" si="86"/>
        <v>50</v>
      </c>
      <c r="DM43" s="111">
        <f t="shared" si="86"/>
        <v>138.18181818181816</v>
      </c>
      <c r="DN43" s="76">
        <f t="shared" si="89"/>
        <v>26</v>
      </c>
      <c r="DO43" s="76">
        <f t="shared" si="89"/>
        <v>84</v>
      </c>
      <c r="DP43" s="112"/>
      <c r="DQ43" s="112"/>
      <c r="DR43" s="113" t="s">
        <v>440</v>
      </c>
      <c r="DS43" s="112"/>
      <c r="DT43" s="112"/>
      <c r="DU43" s="111"/>
      <c r="DV43" s="114"/>
      <c r="DW43" s="80">
        <f t="shared" si="61"/>
        <v>8338</v>
      </c>
      <c r="DX43" s="81">
        <f t="shared" si="29"/>
        <v>8476.181818181818</v>
      </c>
      <c r="DY43" s="80">
        <f t="shared" si="62"/>
        <v>8288</v>
      </c>
      <c r="DZ43" s="82">
        <f t="shared" si="63"/>
        <v>0</v>
      </c>
      <c r="EA43" s="82">
        <f t="shared" si="64"/>
        <v>9.1168000000000013</v>
      </c>
      <c r="EB43" s="82">
        <f t="shared" si="65"/>
        <v>21.083199999999998</v>
      </c>
      <c r="EC43" s="82">
        <f t="shared" si="75"/>
        <v>21.083199999999998</v>
      </c>
      <c r="EF43" s="83">
        <f t="shared" si="92"/>
        <v>138.18181818181816</v>
      </c>
    </row>
    <row r="44" spans="1:136" ht="14.1" customHeight="1">
      <c r="A44" s="84">
        <v>37</v>
      </c>
      <c r="B44" s="147" t="s">
        <v>244</v>
      </c>
      <c r="C44" s="148"/>
      <c r="D44" s="236" t="s">
        <v>495</v>
      </c>
      <c r="E44" s="149">
        <v>189</v>
      </c>
      <c r="F44" s="89" t="s">
        <v>136</v>
      </c>
      <c r="G44" s="45" t="str">
        <f t="shared" si="31"/>
        <v>MESUS303-4x3-H9A11</v>
      </c>
      <c r="H44" s="46" t="str">
        <f t="shared" si="32"/>
        <v>SUS303ME40DH9</v>
      </c>
      <c r="I44" s="46" t="str">
        <f t="shared" si="33"/>
        <v>SUS303ME40DH93A11</v>
      </c>
      <c r="J44" s="90" t="s">
        <v>226</v>
      </c>
      <c r="K44" s="90" t="s">
        <v>227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500</v>
      </c>
      <c r="S44" s="89">
        <f t="shared" si="34"/>
        <v>34</v>
      </c>
      <c r="T44" s="51">
        <f>'05.02'!BG44</f>
        <v>0</v>
      </c>
      <c r="U44" s="146">
        <v>39</v>
      </c>
      <c r="V44" s="100">
        <v>0.41</v>
      </c>
      <c r="W44" s="151">
        <f t="shared" si="5"/>
        <v>0</v>
      </c>
      <c r="X44" s="151">
        <f t="shared" si="6"/>
        <v>2931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121</v>
      </c>
      <c r="AE44" s="151">
        <f>IF(V44="","",SUM(W44:AC44))</f>
        <v>2931</v>
      </c>
      <c r="AF44" s="54">
        <f>AE44+'05.02'!AF44</f>
        <v>5599</v>
      </c>
      <c r="AG44" s="94">
        <f t="shared" si="66"/>
        <v>0</v>
      </c>
      <c r="AH44" s="56">
        <f t="shared" si="13"/>
        <v>0</v>
      </c>
      <c r="AI44" s="151">
        <v>5</v>
      </c>
      <c r="AJ44" s="93">
        <f t="shared" si="67"/>
        <v>0</v>
      </c>
      <c r="AK44" s="95">
        <f t="shared" si="36"/>
        <v>1</v>
      </c>
      <c r="AL44" s="58">
        <f t="shared" si="37"/>
        <v>5</v>
      </c>
      <c r="AM44" s="55">
        <f t="shared" si="68"/>
        <v>34</v>
      </c>
      <c r="AN44" s="151"/>
      <c r="AO44" s="145"/>
      <c r="AP44" s="145">
        <f>$CJ44</f>
        <v>343</v>
      </c>
      <c r="AQ44" s="145"/>
      <c r="AR44" s="145"/>
      <c r="AS44" s="145"/>
      <c r="AT44" s="145"/>
      <c r="AU44" s="145">
        <f t="shared" si="38"/>
        <v>0</v>
      </c>
      <c r="AV44" s="145">
        <f t="shared" si="38"/>
        <v>50</v>
      </c>
      <c r="AW44" s="145">
        <f t="shared" si="39"/>
        <v>393</v>
      </c>
      <c r="AX44" s="145">
        <f t="shared" si="40"/>
        <v>958</v>
      </c>
      <c r="AY44" s="94">
        <f t="shared" si="69"/>
        <v>5.5500000000000114</v>
      </c>
      <c r="AZ44" s="94">
        <f t="shared" si="41"/>
        <v>13.536585365853687</v>
      </c>
      <c r="BA44" s="94">
        <f t="shared" si="42"/>
        <v>34</v>
      </c>
      <c r="BB44" s="97">
        <f t="shared" si="43"/>
        <v>0</v>
      </c>
      <c r="BC44" s="151">
        <v>11</v>
      </c>
      <c r="BD44" s="93">
        <f t="shared" si="44"/>
        <v>0</v>
      </c>
      <c r="BE44" s="152">
        <f t="shared" si="45"/>
        <v>1</v>
      </c>
      <c r="BF44" s="58">
        <f t="shared" si="46"/>
        <v>11</v>
      </c>
      <c r="BG44" s="94">
        <f t="shared" si="47"/>
        <v>23</v>
      </c>
      <c r="BH44" s="150"/>
      <c r="BI44" s="150"/>
      <c r="BJ44" s="146">
        <f>$CN44</f>
        <v>859</v>
      </c>
      <c r="BK44" s="150"/>
      <c r="BL44" s="150"/>
      <c r="BM44" s="146"/>
      <c r="BN44" s="146"/>
      <c r="BO44" s="146">
        <f t="shared" si="70"/>
        <v>0</v>
      </c>
      <c r="BP44" s="146">
        <f t="shared" si="70"/>
        <v>0</v>
      </c>
      <c r="BQ44" s="145">
        <f>SUM(BI44:BP44)</f>
        <v>859</v>
      </c>
      <c r="BR44" s="145">
        <f>IF(AA44="","",INT(BQ44/$V44))</f>
        <v>2095</v>
      </c>
      <c r="BS44" s="96">
        <f t="shared" si="71"/>
        <v>6.6100000000000136</v>
      </c>
      <c r="BT44" s="145">
        <f t="shared" si="50"/>
        <v>16.12195121951223</v>
      </c>
      <c r="BU44" s="146">
        <f t="shared" si="16"/>
        <v>2931</v>
      </c>
      <c r="BV44" s="98">
        <f t="shared" si="17"/>
        <v>16</v>
      </c>
      <c r="BW44" s="146">
        <f t="shared" si="18"/>
        <v>29.658536585365916</v>
      </c>
      <c r="BX44" s="153">
        <f t="shared" si="51"/>
        <v>4.7359999999999998</v>
      </c>
      <c r="BY44" s="61">
        <f>IFERROR(BF44+AL44,0)</f>
        <v>16</v>
      </c>
      <c r="BZ44" s="62">
        <f t="shared" si="52"/>
        <v>16</v>
      </c>
      <c r="CA44" s="98">
        <f t="shared" si="53"/>
        <v>1.252</v>
      </c>
      <c r="CB44" s="146">
        <f t="shared" si="98"/>
        <v>3053</v>
      </c>
      <c r="CC44" s="146">
        <f t="shared" si="98"/>
        <v>12.160000000000025</v>
      </c>
      <c r="CD44" s="146">
        <f t="shared" si="98"/>
        <v>29.658536585365916</v>
      </c>
      <c r="CE44" s="99"/>
      <c r="CF44" s="99"/>
      <c r="CG44" s="51">
        <f t="shared" si="54"/>
        <v>3.5339999999999998</v>
      </c>
      <c r="CH44" s="62">
        <f t="shared" si="55"/>
        <v>3.5339999999999998</v>
      </c>
      <c r="CI44" s="150"/>
      <c r="CJ44" s="150">
        <v>343</v>
      </c>
      <c r="CK44" s="150"/>
      <c r="CL44" s="145">
        <v>50</v>
      </c>
      <c r="CM44" s="150"/>
      <c r="CN44" s="150">
        <v>859</v>
      </c>
      <c r="CO44" s="146"/>
      <c r="CP44" s="154"/>
      <c r="CQ44" s="102">
        <f t="shared" si="101"/>
        <v>836</v>
      </c>
      <c r="CR44" s="102">
        <f t="shared" si="101"/>
        <v>0</v>
      </c>
      <c r="CS44" s="102">
        <f t="shared" si="101"/>
        <v>121</v>
      </c>
      <c r="CT44" s="92">
        <f t="shared" si="57"/>
        <v>2095</v>
      </c>
      <c r="CU44" s="92">
        <f t="shared" si="102"/>
        <v>0</v>
      </c>
      <c r="CV44" s="103">
        <f t="shared" si="102"/>
        <v>0</v>
      </c>
      <c r="CW44" s="155" t="s">
        <v>147</v>
      </c>
      <c r="CX44" s="156">
        <v>12</v>
      </c>
      <c r="CY44" s="157">
        <f t="shared" si="59"/>
        <v>3300</v>
      </c>
      <c r="CZ44" s="157">
        <f t="shared" si="60"/>
        <v>48.6</v>
      </c>
      <c r="DA44" s="157"/>
      <c r="DB44" s="157"/>
      <c r="DC44" s="156"/>
      <c r="DD44" s="158"/>
      <c r="DE44" s="92">
        <f t="shared" si="21"/>
        <v>836</v>
      </c>
      <c r="DF44" s="108">
        <f t="shared" si="22"/>
        <v>5</v>
      </c>
      <c r="DG44" s="112">
        <f t="shared" si="23"/>
        <v>13.536585365853687</v>
      </c>
      <c r="DH44" s="110">
        <f t="shared" si="24"/>
        <v>2095</v>
      </c>
      <c r="DI44" s="108">
        <f t="shared" si="25"/>
        <v>11</v>
      </c>
      <c r="DJ44" s="112">
        <f t="shared" si="26"/>
        <v>16.12195121951223</v>
      </c>
      <c r="DK44" s="110">
        <f t="shared" si="86"/>
        <v>2931</v>
      </c>
      <c r="DL44" s="108">
        <f t="shared" si="86"/>
        <v>16</v>
      </c>
      <c r="DM44" s="111">
        <f t="shared" si="86"/>
        <v>29.658536585365916</v>
      </c>
      <c r="DN44" s="76">
        <f t="shared" si="89"/>
        <v>0</v>
      </c>
      <c r="DO44" s="76">
        <f t="shared" si="89"/>
        <v>39</v>
      </c>
      <c r="DP44" s="112"/>
      <c r="DQ44" s="112"/>
      <c r="DR44" s="113" t="s">
        <v>499</v>
      </c>
      <c r="DS44" s="112"/>
      <c r="DT44" s="112"/>
      <c r="DU44" s="111"/>
      <c r="DV44" s="114"/>
      <c r="DW44" s="80">
        <f>IFERROR(AL44+BF44,"")</f>
        <v>16</v>
      </c>
      <c r="DX44" s="159">
        <f t="shared" si="29"/>
        <v>2976.6585365853657</v>
      </c>
      <c r="DY44" s="80">
        <f t="shared" si="62"/>
        <v>3052</v>
      </c>
      <c r="DZ44" s="82">
        <f t="shared" si="63"/>
        <v>4.9610000000000001E-2</v>
      </c>
      <c r="EA44" s="82">
        <f t="shared" si="64"/>
        <v>1.2017100000000001</v>
      </c>
      <c r="EB44" s="82">
        <f t="shared" si="65"/>
        <v>3.5342899999999995</v>
      </c>
      <c r="EC44" s="82">
        <f t="shared" si="75"/>
        <v>3.5838999999999994</v>
      </c>
      <c r="EF44" s="83">
        <f t="shared" si="92"/>
        <v>29.658536585365916</v>
      </c>
    </row>
    <row r="45" spans="1:136" ht="14.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1"/>
        <v>IBC3604-6.2x3-H9A14</v>
      </c>
      <c r="H45" s="46" t="str">
        <f t="shared" si="32"/>
        <v>C3604IB6.20DH9</v>
      </c>
      <c r="I45" s="46" t="str">
        <f t="shared" si="33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4"/>
        <v>54</v>
      </c>
      <c r="T45" s="51">
        <f>'05.02'!BG45</f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5"/>
        <v>0</v>
      </c>
      <c r="AF45" s="54">
        <f>AE45+'05.02'!AF45</f>
        <v>0</v>
      </c>
      <c r="AG45" s="94">
        <f t="shared" si="66"/>
        <v>0</v>
      </c>
      <c r="AH45" s="56">
        <f t="shared" si="13"/>
        <v>0</v>
      </c>
      <c r="AI45" s="93"/>
      <c r="AJ45" s="93">
        <f t="shared" si="67"/>
        <v>0</v>
      </c>
      <c r="AK45" s="95">
        <f t="shared" si="36"/>
        <v>1</v>
      </c>
      <c r="AL45" s="58">
        <f t="shared" si="37"/>
        <v>0</v>
      </c>
      <c r="AM45" s="55">
        <f t="shared" si="68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8"/>
        <v>0</v>
      </c>
      <c r="AV45" s="96">
        <f t="shared" si="38"/>
        <v>0</v>
      </c>
      <c r="AW45" s="96">
        <f t="shared" si="39"/>
        <v>0</v>
      </c>
      <c r="AX45" s="96">
        <f t="shared" si="40"/>
        <v>0</v>
      </c>
      <c r="AY45" s="94">
        <f t="shared" si="69"/>
        <v>0</v>
      </c>
      <c r="AZ45" s="94">
        <f t="shared" si="41"/>
        <v>0</v>
      </c>
      <c r="BA45" s="94">
        <f t="shared" si="42"/>
        <v>0</v>
      </c>
      <c r="BB45" s="97">
        <f t="shared" si="43"/>
        <v>0</v>
      </c>
      <c r="BC45" s="93"/>
      <c r="BD45" s="93">
        <f t="shared" si="44"/>
        <v>0</v>
      </c>
      <c r="BE45" s="95">
        <f t="shared" si="45"/>
        <v>1</v>
      </c>
      <c r="BF45" s="58">
        <f t="shared" si="46"/>
        <v>0</v>
      </c>
      <c r="BG45" s="94">
        <f t="shared" si="47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0"/>
        <v>0</v>
      </c>
      <c r="BP45" s="92">
        <f t="shared" si="70"/>
        <v>0</v>
      </c>
      <c r="BQ45" s="96">
        <f t="shared" si="48"/>
        <v>0</v>
      </c>
      <c r="BR45" s="96">
        <f t="shared" si="49"/>
        <v>0</v>
      </c>
      <c r="BS45" s="96">
        <f t="shared" si="71"/>
        <v>0</v>
      </c>
      <c r="BT45" s="96">
        <f t="shared" si="50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1"/>
        <v>0</v>
      </c>
      <c r="BY45" s="61">
        <f t="shared" si="73"/>
        <v>0</v>
      </c>
      <c r="BZ45" s="62">
        <f t="shared" si="52"/>
        <v>0</v>
      </c>
      <c r="CA45" s="98">
        <f t="shared" si="53"/>
        <v>0</v>
      </c>
      <c r="CB45" s="92">
        <f t="shared" si="98"/>
        <v>0</v>
      </c>
      <c r="CC45" s="92">
        <f t="shared" si="98"/>
        <v>0</v>
      </c>
      <c r="CD45" s="92">
        <f t="shared" si="98"/>
        <v>0</v>
      </c>
      <c r="CE45" s="99"/>
      <c r="CF45" s="99"/>
      <c r="CG45" s="51">
        <f t="shared" si="54"/>
        <v>0</v>
      </c>
      <c r="CH45" s="62">
        <f t="shared" si="55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101"/>
        <v>0</v>
      </c>
      <c r="CR45" s="102">
        <f t="shared" si="101"/>
        <v>0</v>
      </c>
      <c r="CS45" s="102">
        <f t="shared" si="101"/>
        <v>0</v>
      </c>
      <c r="CT45" s="92">
        <f t="shared" si="57"/>
        <v>0</v>
      </c>
      <c r="CU45" s="92">
        <f t="shared" si="102"/>
        <v>0</v>
      </c>
      <c r="CV45" s="103">
        <f t="shared" si="102"/>
        <v>0</v>
      </c>
      <c r="CW45" s="104" t="s">
        <v>147</v>
      </c>
      <c r="CX45" s="105">
        <v>15</v>
      </c>
      <c r="CY45" s="106">
        <f t="shared" si="59"/>
        <v>2496</v>
      </c>
      <c r="CZ45" s="106">
        <f t="shared" si="60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6"/>
        <v>0</v>
      </c>
      <c r="DL45" s="108">
        <f t="shared" si="86"/>
        <v>0</v>
      </c>
      <c r="DM45" s="111">
        <f t="shared" si="86"/>
        <v>0</v>
      </c>
      <c r="DN45" s="76">
        <f t="shared" si="89"/>
        <v>0</v>
      </c>
      <c r="DO45" s="76">
        <f t="shared" si="89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1"/>
        <v>0</v>
      </c>
      <c r="DX45" s="81">
        <f t="shared" si="29"/>
        <v>0</v>
      </c>
      <c r="DY45" s="80">
        <f t="shared" si="62"/>
        <v>0</v>
      </c>
      <c r="DZ45" s="82">
        <f t="shared" si="63"/>
        <v>0</v>
      </c>
      <c r="EA45" s="82">
        <f t="shared" si="64"/>
        <v>0</v>
      </c>
      <c r="EB45" s="82">
        <f t="shared" si="65"/>
        <v>0</v>
      </c>
      <c r="EC45" s="82">
        <f t="shared" si="75"/>
        <v>0</v>
      </c>
      <c r="EF45" s="83">
        <f t="shared" si="92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1"/>
        <v>TV12L14-4.76x2.5-H9B14</v>
      </c>
      <c r="H46" s="46" t="str">
        <f t="shared" si="32"/>
        <v>12L14TV4.760DH9</v>
      </c>
      <c r="I46" s="46" t="str">
        <f t="shared" si="33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4"/>
        <v>44</v>
      </c>
      <c r="T46" s="51">
        <f>'05.02'!BG46</f>
        <v>33</v>
      </c>
      <c r="U46" s="92">
        <v>87</v>
      </c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3392</v>
      </c>
      <c r="AB46" s="93">
        <f t="shared" si="10"/>
        <v>0</v>
      </c>
      <c r="AC46" s="93">
        <f t="shared" si="11"/>
        <v>0</v>
      </c>
      <c r="AD46" s="93">
        <f t="shared" si="12"/>
        <v>237</v>
      </c>
      <c r="AE46" s="93">
        <f t="shared" si="35"/>
        <v>3392</v>
      </c>
      <c r="AF46" s="54">
        <f>AE46+'05.02'!AF46</f>
        <v>18605</v>
      </c>
      <c r="AG46" s="94">
        <f t="shared" si="66"/>
        <v>33</v>
      </c>
      <c r="AH46" s="56">
        <f t="shared" si="13"/>
        <v>0</v>
      </c>
      <c r="AI46" s="93">
        <v>19</v>
      </c>
      <c r="AJ46" s="93">
        <f t="shared" si="67"/>
        <v>0</v>
      </c>
      <c r="AK46" s="95">
        <f t="shared" si="36"/>
        <v>1</v>
      </c>
      <c r="AL46" s="58">
        <f t="shared" si="37"/>
        <v>19</v>
      </c>
      <c r="AM46" s="55">
        <f t="shared" si="68"/>
        <v>101</v>
      </c>
      <c r="AN46" s="93"/>
      <c r="AO46" s="96"/>
      <c r="AP46" s="96"/>
      <c r="AQ46" s="96"/>
      <c r="AR46" s="96"/>
      <c r="AS46" s="96">
        <f>$CJ46</f>
        <v>3244</v>
      </c>
      <c r="AT46" s="96"/>
      <c r="AU46" s="96">
        <f t="shared" si="38"/>
        <v>0</v>
      </c>
      <c r="AV46" s="96">
        <f t="shared" si="38"/>
        <v>477</v>
      </c>
      <c r="AW46" s="96">
        <f t="shared" si="39"/>
        <v>3721</v>
      </c>
      <c r="AX46" s="96">
        <f t="shared" si="40"/>
        <v>1653</v>
      </c>
      <c r="AY46" s="94">
        <f t="shared" si="69"/>
        <v>-41</v>
      </c>
      <c r="AZ46" s="94">
        <f t="shared" si="41"/>
        <v>-18.222222222222221</v>
      </c>
      <c r="BA46" s="94">
        <f t="shared" si="42"/>
        <v>101</v>
      </c>
      <c r="BB46" s="97">
        <f t="shared" si="43"/>
        <v>0</v>
      </c>
      <c r="BC46" s="93">
        <v>23</v>
      </c>
      <c r="BD46" s="93">
        <f t="shared" si="44"/>
        <v>0</v>
      </c>
      <c r="BE46" s="95">
        <f t="shared" si="45"/>
        <v>1</v>
      </c>
      <c r="BF46" s="58">
        <f t="shared" si="46"/>
        <v>23</v>
      </c>
      <c r="BG46" s="94">
        <f t="shared" si="47"/>
        <v>78</v>
      </c>
      <c r="BH46" s="89"/>
      <c r="BI46" s="89"/>
      <c r="BJ46" s="89"/>
      <c r="BK46" s="89"/>
      <c r="BL46" s="89"/>
      <c r="BM46" s="92">
        <f>$CN46</f>
        <v>4388</v>
      </c>
      <c r="BN46" s="89"/>
      <c r="BO46" s="92">
        <f t="shared" si="70"/>
        <v>0</v>
      </c>
      <c r="BP46" s="92">
        <f t="shared" si="70"/>
        <v>58</v>
      </c>
      <c r="BQ46" s="96">
        <f t="shared" si="48"/>
        <v>4446</v>
      </c>
      <c r="BR46" s="96">
        <f t="shared" si="49"/>
        <v>1976</v>
      </c>
      <c r="BS46" s="96">
        <f t="shared" si="71"/>
        <v>-108</v>
      </c>
      <c r="BT46" s="96">
        <f t="shared" si="50"/>
        <v>-48</v>
      </c>
      <c r="BU46" s="92">
        <f t="shared" si="16"/>
        <v>3392</v>
      </c>
      <c r="BV46" s="98">
        <f t="shared" si="17"/>
        <v>42</v>
      </c>
      <c r="BW46" s="92">
        <f t="shared" si="18"/>
        <v>-66.222222222222229</v>
      </c>
      <c r="BX46" s="98">
        <f t="shared" si="51"/>
        <v>14.573999999999998</v>
      </c>
      <c r="BY46" s="61">
        <f t="shared" si="73"/>
        <v>42</v>
      </c>
      <c r="BZ46" s="62">
        <f t="shared" si="52"/>
        <v>42</v>
      </c>
      <c r="CA46" s="98">
        <f t="shared" si="53"/>
        <v>8.1669999999999998</v>
      </c>
      <c r="CB46" s="92">
        <f t="shared" si="98"/>
        <v>3629</v>
      </c>
      <c r="CC46" s="92">
        <f t="shared" si="98"/>
        <v>-149</v>
      </c>
      <c r="CD46" s="92">
        <f t="shared" si="98"/>
        <v>-66.222222222222229</v>
      </c>
      <c r="CE46" s="99"/>
      <c r="CF46" s="99"/>
      <c r="CG46" s="51">
        <f t="shared" si="54"/>
        <v>6.9419999999999984</v>
      </c>
      <c r="CH46" s="62">
        <f t="shared" si="55"/>
        <v>6.9419999999999984</v>
      </c>
      <c r="CI46" s="89"/>
      <c r="CJ46" s="89">
        <v>3244</v>
      </c>
      <c r="CK46" s="89"/>
      <c r="CL46" s="96">
        <v>477</v>
      </c>
      <c r="CM46" s="89"/>
      <c r="CN46" s="89">
        <v>4388</v>
      </c>
      <c r="CO46" s="92"/>
      <c r="CP46" s="101">
        <v>58</v>
      </c>
      <c r="CQ46" s="102">
        <f t="shared" si="101"/>
        <v>1441</v>
      </c>
      <c r="CR46" s="102">
        <f t="shared" si="101"/>
        <v>0</v>
      </c>
      <c r="CS46" s="102">
        <f t="shared" si="101"/>
        <v>212</v>
      </c>
      <c r="CT46" s="92">
        <f t="shared" si="57"/>
        <v>1951</v>
      </c>
      <c r="CU46" s="92">
        <f t="shared" si="102"/>
        <v>0</v>
      </c>
      <c r="CV46" s="103">
        <f t="shared" si="102"/>
        <v>25</v>
      </c>
      <c r="CW46" s="104" t="s">
        <v>147</v>
      </c>
      <c r="CX46" s="105">
        <v>20</v>
      </c>
      <c r="CY46" s="106">
        <f t="shared" si="59"/>
        <v>1935</v>
      </c>
      <c r="CZ46" s="106">
        <f t="shared" si="60"/>
        <v>81</v>
      </c>
      <c r="DA46" s="106"/>
      <c r="DB46" s="106"/>
      <c r="DC46" s="105"/>
      <c r="DD46" s="107"/>
      <c r="DE46" s="92">
        <f t="shared" si="21"/>
        <v>1441</v>
      </c>
      <c r="DF46" s="108">
        <f t="shared" si="22"/>
        <v>19</v>
      </c>
      <c r="DG46" s="112">
        <f t="shared" si="23"/>
        <v>-18.222222222222221</v>
      </c>
      <c r="DH46" s="110">
        <f t="shared" si="24"/>
        <v>1951</v>
      </c>
      <c r="DI46" s="108">
        <f t="shared" si="25"/>
        <v>23</v>
      </c>
      <c r="DJ46" s="112">
        <f t="shared" si="26"/>
        <v>-48</v>
      </c>
      <c r="DK46" s="110">
        <f t="shared" si="86"/>
        <v>3392</v>
      </c>
      <c r="DL46" s="108">
        <f t="shared" si="86"/>
        <v>42</v>
      </c>
      <c r="DM46" s="111">
        <f t="shared" si="86"/>
        <v>-66.222222222222229</v>
      </c>
      <c r="DN46" s="76">
        <f t="shared" si="89"/>
        <v>33</v>
      </c>
      <c r="DO46" s="76">
        <f t="shared" si="89"/>
        <v>87</v>
      </c>
      <c r="DP46" s="112"/>
      <c r="DQ46" s="112"/>
      <c r="DR46" s="113" t="s">
        <v>442</v>
      </c>
      <c r="DS46" s="112"/>
      <c r="DT46" s="112"/>
      <c r="DU46" s="111"/>
      <c r="DV46" s="114"/>
      <c r="DW46" s="80">
        <f>IFERROR(AL46+BF46,"")</f>
        <v>42</v>
      </c>
      <c r="DX46" s="81">
        <f t="shared" si="29"/>
        <v>3367.7777777777778</v>
      </c>
      <c r="DY46" s="80">
        <f t="shared" si="62"/>
        <v>3629</v>
      </c>
      <c r="DZ46" s="82">
        <f t="shared" si="63"/>
        <v>0.53325</v>
      </c>
      <c r="EA46" s="82">
        <f t="shared" si="64"/>
        <v>7.6319999999999997</v>
      </c>
      <c r="EB46" s="82">
        <f t="shared" si="65"/>
        <v>6.9419999999999984</v>
      </c>
      <c r="EC46" s="82">
        <f t="shared" si="75"/>
        <v>7.4752499999999982</v>
      </c>
      <c r="EF46" s="83">
        <f t="shared" si="92"/>
        <v>-66.222222222222229</v>
      </c>
    </row>
    <row r="47" spans="1:136" ht="14.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1"/>
        <v>MESUS303-2.5x3-H9B14</v>
      </c>
      <c r="H47" s="46" t="str">
        <f t="shared" si="32"/>
        <v>SUS303ME2.50DH9</v>
      </c>
      <c r="I47" s="46" t="str">
        <f t="shared" si="33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4"/>
        <v>62</v>
      </c>
      <c r="T47" s="51">
        <f>'05.02'!BG47</f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5"/>
        <v>0</v>
      </c>
      <c r="AF47" s="54">
        <f>AE47+'05.02'!AF47</f>
        <v>0</v>
      </c>
      <c r="AG47" s="94">
        <f t="shared" si="66"/>
        <v>0</v>
      </c>
      <c r="AH47" s="56">
        <f t="shared" si="13"/>
        <v>0</v>
      </c>
      <c r="AI47" s="93"/>
      <c r="AJ47" s="93">
        <f t="shared" si="67"/>
        <v>0</v>
      </c>
      <c r="AK47" s="95">
        <f t="shared" si="36"/>
        <v>1</v>
      </c>
      <c r="AL47" s="58">
        <f t="shared" si="37"/>
        <v>0</v>
      </c>
      <c r="AM47" s="55">
        <f t="shared" si="68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8"/>
        <v>0</v>
      </c>
      <c r="AV47" s="96">
        <f t="shared" si="38"/>
        <v>0</v>
      </c>
      <c r="AW47" s="96">
        <f t="shared" si="39"/>
        <v>0</v>
      </c>
      <c r="AX47" s="96">
        <f t="shared" si="40"/>
        <v>0</v>
      </c>
      <c r="AY47" s="94">
        <f t="shared" si="69"/>
        <v>0</v>
      </c>
      <c r="AZ47" s="94">
        <f t="shared" si="41"/>
        <v>0</v>
      </c>
      <c r="BA47" s="94">
        <f t="shared" si="42"/>
        <v>0</v>
      </c>
      <c r="BB47" s="97">
        <f t="shared" si="43"/>
        <v>0</v>
      </c>
      <c r="BC47" s="93"/>
      <c r="BD47" s="93">
        <f t="shared" si="44"/>
        <v>0</v>
      </c>
      <c r="BE47" s="95">
        <f t="shared" si="45"/>
        <v>1</v>
      </c>
      <c r="BF47" s="58">
        <f t="shared" si="46"/>
        <v>0</v>
      </c>
      <c r="BG47" s="94">
        <f t="shared" si="47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0"/>
        <v>0</v>
      </c>
      <c r="BP47" s="92">
        <f t="shared" si="70"/>
        <v>0</v>
      </c>
      <c r="BQ47" s="96">
        <f t="shared" si="48"/>
        <v>0</v>
      </c>
      <c r="BR47" s="96">
        <f t="shared" si="49"/>
        <v>0</v>
      </c>
      <c r="BS47" s="96">
        <f t="shared" si="71"/>
        <v>0</v>
      </c>
      <c r="BT47" s="96">
        <f t="shared" si="50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1"/>
        <v>0</v>
      </c>
      <c r="BY47" s="61">
        <f t="shared" si="73"/>
        <v>0</v>
      </c>
      <c r="BZ47" s="62">
        <f t="shared" si="52"/>
        <v>0</v>
      </c>
      <c r="CA47" s="98">
        <f t="shared" si="53"/>
        <v>0</v>
      </c>
      <c r="CB47" s="92">
        <f t="shared" si="98"/>
        <v>0</v>
      </c>
      <c r="CC47" s="92">
        <f t="shared" si="98"/>
        <v>0</v>
      </c>
      <c r="CD47" s="92">
        <f t="shared" si="98"/>
        <v>0</v>
      </c>
      <c r="CE47" s="99"/>
      <c r="CF47" s="99"/>
      <c r="CG47" s="51">
        <f t="shared" si="54"/>
        <v>0</v>
      </c>
      <c r="CH47" s="62">
        <f t="shared" si="55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101"/>
        <v>0</v>
      </c>
      <c r="CR47" s="102">
        <f t="shared" si="101"/>
        <v>0</v>
      </c>
      <c r="CS47" s="102">
        <f t="shared" si="101"/>
        <v>0</v>
      </c>
      <c r="CT47" s="92">
        <f t="shared" si="57"/>
        <v>0</v>
      </c>
      <c r="CU47" s="92">
        <f t="shared" si="102"/>
        <v>0</v>
      </c>
      <c r="CV47" s="103">
        <f t="shared" si="102"/>
        <v>0</v>
      </c>
      <c r="CW47" s="104" t="s">
        <v>147</v>
      </c>
      <c r="CX47" s="105">
        <v>17</v>
      </c>
      <c r="CY47" s="106">
        <f t="shared" si="59"/>
        <v>2149</v>
      </c>
      <c r="CZ47" s="106">
        <f t="shared" si="60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6"/>
        <v>0</v>
      </c>
      <c r="DL47" s="108">
        <f t="shared" si="86"/>
        <v>0</v>
      </c>
      <c r="DM47" s="111">
        <f t="shared" si="86"/>
        <v>0</v>
      </c>
      <c r="DN47" s="76">
        <f t="shared" si="89"/>
        <v>0</v>
      </c>
      <c r="DO47" s="76">
        <f t="shared" si="89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1"/>
        <v>0</v>
      </c>
      <c r="DX47" s="81">
        <f t="shared" si="29"/>
        <v>0</v>
      </c>
      <c r="DY47" s="80">
        <f t="shared" si="62"/>
        <v>0</v>
      </c>
      <c r="DZ47" s="82">
        <f t="shared" si="63"/>
        <v>0</v>
      </c>
      <c r="EA47" s="82">
        <f t="shared" si="64"/>
        <v>0</v>
      </c>
      <c r="EB47" s="82">
        <f t="shared" si="65"/>
        <v>0</v>
      </c>
      <c r="EC47" s="82">
        <f t="shared" si="75"/>
        <v>0</v>
      </c>
      <c r="EF47" s="83">
        <f t="shared" si="92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1"/>
        <v>TV12L14-3.975x2.5-H7A12</v>
      </c>
      <c r="H48" s="46" t="str">
        <f t="shared" si="32"/>
        <v>12L14TV3.9750DH7</v>
      </c>
      <c r="I48" s="46" t="str">
        <f t="shared" si="33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4"/>
        <v>16</v>
      </c>
      <c r="T48" s="51">
        <f>'05.02'!BG48</f>
        <v>24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5"/>
        <v>0</v>
      </c>
      <c r="AF48" s="54">
        <f>AE48+'05.02'!AF48</f>
        <v>0</v>
      </c>
      <c r="AG48" s="94">
        <f t="shared" si="66"/>
        <v>24</v>
      </c>
      <c r="AH48" s="56">
        <f t="shared" si="13"/>
        <v>0</v>
      </c>
      <c r="AI48" s="93"/>
      <c r="AJ48" s="93">
        <f t="shared" si="67"/>
        <v>0</v>
      </c>
      <c r="AK48" s="95">
        <f t="shared" si="36"/>
        <v>1</v>
      </c>
      <c r="AL48" s="58">
        <f t="shared" si="37"/>
        <v>0</v>
      </c>
      <c r="AM48" s="55">
        <f t="shared" si="68"/>
        <v>24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8"/>
        <v>0</v>
      </c>
      <c r="AV48" s="96">
        <f t="shared" si="38"/>
        <v>0</v>
      </c>
      <c r="AW48" s="96">
        <f t="shared" si="39"/>
        <v>0</v>
      </c>
      <c r="AX48" s="96">
        <f t="shared" si="40"/>
        <v>0</v>
      </c>
      <c r="AY48" s="94">
        <f t="shared" si="69"/>
        <v>0</v>
      </c>
      <c r="AZ48" s="94">
        <f t="shared" si="41"/>
        <v>0</v>
      </c>
      <c r="BA48" s="94">
        <f t="shared" si="42"/>
        <v>24</v>
      </c>
      <c r="BB48" s="97">
        <f t="shared" si="43"/>
        <v>0</v>
      </c>
      <c r="BC48" s="93"/>
      <c r="BD48" s="93">
        <f t="shared" si="44"/>
        <v>0</v>
      </c>
      <c r="BE48" s="95">
        <f t="shared" si="45"/>
        <v>1</v>
      </c>
      <c r="BF48" s="58">
        <f t="shared" si="46"/>
        <v>0</v>
      </c>
      <c r="BG48" s="94">
        <f t="shared" si="47"/>
        <v>24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0"/>
        <v>0</v>
      </c>
      <c r="BP48" s="92">
        <f t="shared" si="70"/>
        <v>0</v>
      </c>
      <c r="BQ48" s="96">
        <f t="shared" si="48"/>
        <v>0</v>
      </c>
      <c r="BR48" s="96">
        <f t="shared" si="49"/>
        <v>0</v>
      </c>
      <c r="BS48" s="96">
        <f t="shared" si="71"/>
        <v>0</v>
      </c>
      <c r="BT48" s="96">
        <f t="shared" si="50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1"/>
        <v>0</v>
      </c>
      <c r="BY48" s="61">
        <f t="shared" si="73"/>
        <v>0</v>
      </c>
      <c r="BZ48" s="62">
        <f t="shared" si="52"/>
        <v>0</v>
      </c>
      <c r="CA48" s="98">
        <f t="shared" si="53"/>
        <v>0</v>
      </c>
      <c r="CB48" s="92">
        <f t="shared" si="98"/>
        <v>0</v>
      </c>
      <c r="CC48" s="92">
        <f t="shared" si="98"/>
        <v>0</v>
      </c>
      <c r="CD48" s="92">
        <f t="shared" si="98"/>
        <v>0</v>
      </c>
      <c r="CE48" s="99"/>
      <c r="CF48" s="99"/>
      <c r="CG48" s="51">
        <f t="shared" si="54"/>
        <v>0</v>
      </c>
      <c r="CH48" s="62">
        <f t="shared" si="55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101"/>
        <v>0</v>
      </c>
      <c r="CR48" s="102">
        <f t="shared" si="101"/>
        <v>0</v>
      </c>
      <c r="CS48" s="102">
        <f t="shared" si="101"/>
        <v>0</v>
      </c>
      <c r="CT48" s="92">
        <f t="shared" si="57"/>
        <v>0</v>
      </c>
      <c r="CU48" s="92">
        <f t="shared" si="102"/>
        <v>0</v>
      </c>
      <c r="CV48" s="103">
        <f t="shared" si="102"/>
        <v>0</v>
      </c>
      <c r="CW48" s="104" t="s">
        <v>147</v>
      </c>
      <c r="CX48" s="105">
        <v>21</v>
      </c>
      <c r="CY48" s="106">
        <f t="shared" si="59"/>
        <v>1988</v>
      </c>
      <c r="CZ48" s="106">
        <f t="shared" si="60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6"/>
        <v>0</v>
      </c>
      <c r="DL48" s="108">
        <f t="shared" si="86"/>
        <v>0</v>
      </c>
      <c r="DM48" s="111">
        <f t="shared" si="86"/>
        <v>0</v>
      </c>
      <c r="DN48" s="76">
        <f t="shared" si="89"/>
        <v>24</v>
      </c>
      <c r="DO48" s="76">
        <f t="shared" si="89"/>
        <v>0</v>
      </c>
      <c r="DP48" s="112"/>
      <c r="DQ48" s="112"/>
      <c r="DR48" s="113" t="s">
        <v>443</v>
      </c>
      <c r="DS48" s="112"/>
      <c r="DT48" s="112"/>
      <c r="DU48" s="111"/>
      <c r="DV48" s="114"/>
      <c r="DW48" s="80">
        <f t="shared" si="61"/>
        <v>0</v>
      </c>
      <c r="DX48" s="81">
        <f t="shared" si="29"/>
        <v>0</v>
      </c>
      <c r="DY48" s="80">
        <f t="shared" si="62"/>
        <v>0</v>
      </c>
      <c r="DZ48" s="82">
        <f t="shared" si="63"/>
        <v>0</v>
      </c>
      <c r="EA48" s="82">
        <f t="shared" si="64"/>
        <v>0</v>
      </c>
      <c r="EB48" s="82">
        <f t="shared" si="65"/>
        <v>0</v>
      </c>
      <c r="EC48" s="82">
        <f t="shared" si="75"/>
        <v>0</v>
      </c>
      <c r="EF48" s="83">
        <f t="shared" si="92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1"/>
        <v>GAA5052-5.7x3-H9A14</v>
      </c>
      <c r="H49" s="46" t="str">
        <f t="shared" si="32"/>
        <v>A5052GA5.70DH9</v>
      </c>
      <c r="I49" s="46" t="str">
        <f t="shared" si="33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4"/>
        <v>14</v>
      </c>
      <c r="T49" s="51">
        <f>'05.02'!BG49</f>
        <v>12.58</v>
      </c>
      <c r="U49" s="92">
        <v>38</v>
      </c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2506</v>
      </c>
      <c r="AC49" s="93">
        <f t="shared" si="11"/>
        <v>0</v>
      </c>
      <c r="AD49" s="93">
        <f t="shared" si="12"/>
        <v>66</v>
      </c>
      <c r="AE49" s="93">
        <f t="shared" si="35"/>
        <v>2506</v>
      </c>
      <c r="AF49" s="54">
        <f>AE49+'05.02'!AF49</f>
        <v>13504</v>
      </c>
      <c r="AG49" s="94">
        <f t="shared" si="66"/>
        <v>12.58</v>
      </c>
      <c r="AH49" s="56">
        <f t="shared" si="13"/>
        <v>0.57999999999999996</v>
      </c>
      <c r="AI49" s="93">
        <v>5</v>
      </c>
      <c r="AJ49" s="93">
        <f t="shared" si="67"/>
        <v>13</v>
      </c>
      <c r="AK49" s="95">
        <f t="shared" si="36"/>
        <v>0.3611111111111111</v>
      </c>
      <c r="AL49" s="58">
        <f t="shared" si="37"/>
        <v>4.95</v>
      </c>
      <c r="AM49" s="55">
        <f t="shared" si="68"/>
        <v>45.629999999999995</v>
      </c>
      <c r="AN49" s="93"/>
      <c r="AO49" s="96"/>
      <c r="AP49" s="96"/>
      <c r="AQ49" s="96"/>
      <c r="AR49" s="96"/>
      <c r="AS49" s="96"/>
      <c r="AT49" s="96">
        <f>$CJ49</f>
        <v>181</v>
      </c>
      <c r="AU49" s="96">
        <f t="shared" si="38"/>
        <v>0</v>
      </c>
      <c r="AV49" s="96">
        <f t="shared" si="38"/>
        <v>5</v>
      </c>
      <c r="AW49" s="96">
        <f t="shared" si="39"/>
        <v>186</v>
      </c>
      <c r="AX49" s="96">
        <f t="shared" si="40"/>
        <v>1240</v>
      </c>
      <c r="AY49" s="94">
        <f t="shared" si="69"/>
        <v>7.8000000000000114</v>
      </c>
      <c r="AZ49" s="94">
        <f t="shared" si="41"/>
        <v>52.000000000000078</v>
      </c>
      <c r="BA49" s="94">
        <f t="shared" si="42"/>
        <v>45.629999999999995</v>
      </c>
      <c r="BB49" s="97">
        <f t="shared" si="43"/>
        <v>0.63</v>
      </c>
      <c r="BC49" s="93">
        <v>5</v>
      </c>
      <c r="BD49" s="93">
        <f t="shared" si="44"/>
        <v>0</v>
      </c>
      <c r="BE49" s="95">
        <f t="shared" si="45"/>
        <v>1</v>
      </c>
      <c r="BF49" s="58">
        <f t="shared" si="46"/>
        <v>5.63</v>
      </c>
      <c r="BG49" s="94">
        <f t="shared" si="47"/>
        <v>39.999999999999993</v>
      </c>
      <c r="BH49" s="89"/>
      <c r="BI49" s="89"/>
      <c r="BJ49" s="89"/>
      <c r="BK49" s="89"/>
      <c r="BL49" s="89"/>
      <c r="BM49" s="89"/>
      <c r="BN49" s="146">
        <f>$CN49</f>
        <v>195</v>
      </c>
      <c r="BO49" s="92">
        <f t="shared" si="70"/>
        <v>0</v>
      </c>
      <c r="BP49" s="92">
        <f t="shared" si="70"/>
        <v>5</v>
      </c>
      <c r="BQ49" s="96">
        <f t="shared" si="48"/>
        <v>200</v>
      </c>
      <c r="BR49" s="96">
        <f t="shared" si="49"/>
        <v>1333</v>
      </c>
      <c r="BS49" s="96">
        <f t="shared" si="71"/>
        <v>-2.6800000000000068</v>
      </c>
      <c r="BT49" s="96">
        <f t="shared" si="50"/>
        <v>-17.866666666666713</v>
      </c>
      <c r="BU49" s="92">
        <f t="shared" si="16"/>
        <v>2506</v>
      </c>
      <c r="BV49" s="98">
        <f t="shared" si="17"/>
        <v>10.58</v>
      </c>
      <c r="BW49" s="92">
        <f t="shared" si="18"/>
        <v>34.133333333333368</v>
      </c>
      <c r="BX49" s="98">
        <f t="shared" si="51"/>
        <v>2.1583199999999998</v>
      </c>
      <c r="BY49" s="61">
        <f t="shared" si="73"/>
        <v>10.58</v>
      </c>
      <c r="BZ49" s="62">
        <f t="shared" si="52"/>
        <v>10.58</v>
      </c>
      <c r="CA49" s="98">
        <f t="shared" si="53"/>
        <v>0.38600000000000001</v>
      </c>
      <c r="CB49" s="92">
        <f t="shared" si="98"/>
        <v>2573</v>
      </c>
      <c r="CC49" s="92">
        <f t="shared" si="98"/>
        <v>5.1200000000000045</v>
      </c>
      <c r="CD49" s="92">
        <f t="shared" si="98"/>
        <v>34.133333333333368</v>
      </c>
      <c r="CE49" s="99"/>
      <c r="CF49" s="99"/>
      <c r="CG49" s="51">
        <f t="shared" si="54"/>
        <v>1.7823199999999997</v>
      </c>
      <c r="CH49" s="62">
        <f t="shared" si="55"/>
        <v>1.7823199999999997</v>
      </c>
      <c r="CI49" s="89">
        <v>13</v>
      </c>
      <c r="CJ49" s="89">
        <v>181</v>
      </c>
      <c r="CK49" s="89"/>
      <c r="CL49" s="96">
        <v>5</v>
      </c>
      <c r="CM49" s="89"/>
      <c r="CN49" s="89">
        <v>195</v>
      </c>
      <c r="CO49" s="92"/>
      <c r="CP49" s="101">
        <v>5</v>
      </c>
      <c r="CQ49" s="102">
        <f t="shared" si="101"/>
        <v>1206</v>
      </c>
      <c r="CR49" s="102">
        <f t="shared" si="101"/>
        <v>0</v>
      </c>
      <c r="CS49" s="102">
        <f t="shared" si="101"/>
        <v>33</v>
      </c>
      <c r="CT49" s="92">
        <f t="shared" si="57"/>
        <v>1300</v>
      </c>
      <c r="CU49" s="92">
        <f t="shared" si="102"/>
        <v>0</v>
      </c>
      <c r="CV49" s="103">
        <f t="shared" si="102"/>
        <v>33</v>
      </c>
      <c r="CW49" s="104" t="s">
        <v>147</v>
      </c>
      <c r="CX49" s="105">
        <v>26</v>
      </c>
      <c r="CY49" s="106">
        <f t="shared" si="59"/>
        <v>1613</v>
      </c>
      <c r="CZ49" s="106">
        <f t="shared" si="60"/>
        <v>105.30000000000001</v>
      </c>
      <c r="DA49" s="106"/>
      <c r="DB49" s="106"/>
      <c r="DC49" s="105"/>
      <c r="DD49" s="107"/>
      <c r="DE49" s="92">
        <f t="shared" si="21"/>
        <v>1206</v>
      </c>
      <c r="DF49" s="108">
        <f t="shared" si="22"/>
        <v>4.95</v>
      </c>
      <c r="DG49" s="112">
        <f t="shared" si="23"/>
        <v>52.000000000000078</v>
      </c>
      <c r="DH49" s="110">
        <f t="shared" si="24"/>
        <v>1300</v>
      </c>
      <c r="DI49" s="108">
        <f t="shared" si="25"/>
        <v>5.63</v>
      </c>
      <c r="DJ49" s="112">
        <f t="shared" si="26"/>
        <v>-17.866666666666713</v>
      </c>
      <c r="DK49" s="110">
        <f t="shared" si="86"/>
        <v>2506</v>
      </c>
      <c r="DL49" s="108">
        <f t="shared" si="86"/>
        <v>10.58</v>
      </c>
      <c r="DM49" s="111">
        <f t="shared" si="86"/>
        <v>34.133333333333368</v>
      </c>
      <c r="DN49" s="76">
        <f t="shared" si="89"/>
        <v>12.58</v>
      </c>
      <c r="DO49" s="76">
        <f t="shared" si="89"/>
        <v>38</v>
      </c>
      <c r="DP49" s="112"/>
      <c r="DQ49" s="112"/>
      <c r="DR49" s="113" t="s">
        <v>444</v>
      </c>
      <c r="DS49" s="112"/>
      <c r="DT49" s="112"/>
      <c r="DU49" s="111"/>
      <c r="DV49" s="114"/>
      <c r="DW49" s="80">
        <f t="shared" si="61"/>
        <v>2516.58</v>
      </c>
      <c r="DX49" s="81">
        <f t="shared" si="29"/>
        <v>2550.7133333333331</v>
      </c>
      <c r="DY49" s="80">
        <f t="shared" si="62"/>
        <v>2572</v>
      </c>
      <c r="DZ49" s="82">
        <f t="shared" si="63"/>
        <v>9.9000000000000008E-3</v>
      </c>
      <c r="EA49" s="82">
        <f t="shared" si="64"/>
        <v>0.37589999999999996</v>
      </c>
      <c r="EB49" s="82">
        <f t="shared" si="65"/>
        <v>1.7824199999999999</v>
      </c>
      <c r="EC49" s="82">
        <f t="shared" si="75"/>
        <v>1.7923199999999999</v>
      </c>
      <c r="EF49" s="83">
        <f t="shared" si="92"/>
        <v>34.133333333333368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1"/>
        <v>MESUS303CU-3.5x3-H9B14</v>
      </c>
      <c r="H50" s="46" t="str">
        <f t="shared" si="32"/>
        <v>SUS303CUME3.50DH9</v>
      </c>
      <c r="I50" s="46" t="str">
        <f t="shared" si="33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4"/>
        <v>8</v>
      </c>
      <c r="T50" s="51">
        <f>'05.02'!BG50</f>
        <v>11</v>
      </c>
      <c r="U50" s="92">
        <v>29</v>
      </c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4957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5"/>
        <v>4957</v>
      </c>
      <c r="AF50" s="54">
        <f>AE50+'05.02'!AF50</f>
        <v>20680</v>
      </c>
      <c r="AG50" s="94">
        <f t="shared" si="66"/>
        <v>11</v>
      </c>
      <c r="AH50" s="56">
        <f t="shared" si="13"/>
        <v>0</v>
      </c>
      <c r="AI50" s="93">
        <v>5</v>
      </c>
      <c r="AJ50" s="93">
        <f t="shared" si="67"/>
        <v>0</v>
      </c>
      <c r="AK50" s="95">
        <f t="shared" si="36"/>
        <v>1</v>
      </c>
      <c r="AL50" s="58">
        <f t="shared" si="37"/>
        <v>5</v>
      </c>
      <c r="AM50" s="55">
        <f t="shared" si="68"/>
        <v>35</v>
      </c>
      <c r="AN50" s="93"/>
      <c r="AO50" s="96"/>
      <c r="AP50" s="96"/>
      <c r="AQ50" s="96"/>
      <c r="AR50" s="96">
        <f>$CJ50</f>
        <v>413</v>
      </c>
      <c r="AS50" s="96"/>
      <c r="AT50" s="96"/>
      <c r="AU50" s="96">
        <f t="shared" si="38"/>
        <v>0</v>
      </c>
      <c r="AV50" s="96">
        <f t="shared" si="38"/>
        <v>0</v>
      </c>
      <c r="AW50" s="96">
        <f t="shared" si="39"/>
        <v>413</v>
      </c>
      <c r="AX50" s="96">
        <f t="shared" si="40"/>
        <v>2533</v>
      </c>
      <c r="AY50" s="94">
        <f t="shared" si="69"/>
        <v>5.5</v>
      </c>
      <c r="AZ50" s="94">
        <f t="shared" si="41"/>
        <v>33.742331288343557</v>
      </c>
      <c r="BA50" s="94">
        <f t="shared" si="42"/>
        <v>35</v>
      </c>
      <c r="BB50" s="97">
        <f t="shared" si="43"/>
        <v>0</v>
      </c>
      <c r="BC50" s="93">
        <v>5</v>
      </c>
      <c r="BD50" s="93">
        <f t="shared" si="44"/>
        <v>0</v>
      </c>
      <c r="BE50" s="95">
        <f t="shared" si="45"/>
        <v>1</v>
      </c>
      <c r="BF50" s="58">
        <f t="shared" si="46"/>
        <v>5</v>
      </c>
      <c r="BG50" s="94">
        <f t="shared" si="47"/>
        <v>30</v>
      </c>
      <c r="BH50" s="89"/>
      <c r="BI50" s="89"/>
      <c r="BJ50" s="89"/>
      <c r="BK50" s="89"/>
      <c r="BL50" s="92">
        <f>$CN50</f>
        <v>395</v>
      </c>
      <c r="BM50" s="92"/>
      <c r="BN50" s="89"/>
      <c r="BO50" s="92">
        <f t="shared" si="70"/>
        <v>0</v>
      </c>
      <c r="BP50" s="92">
        <f t="shared" si="70"/>
        <v>0</v>
      </c>
      <c r="BQ50" s="96">
        <f t="shared" si="48"/>
        <v>395</v>
      </c>
      <c r="BR50" s="96">
        <f t="shared" si="49"/>
        <v>2423</v>
      </c>
      <c r="BS50" s="96">
        <f t="shared" si="71"/>
        <v>-12.5</v>
      </c>
      <c r="BT50" s="96">
        <f t="shared" si="50"/>
        <v>-76.687116564417181</v>
      </c>
      <c r="BU50" s="92">
        <f t="shared" si="16"/>
        <v>4957</v>
      </c>
      <c r="BV50" s="98">
        <f t="shared" si="17"/>
        <v>10</v>
      </c>
      <c r="BW50" s="92">
        <f t="shared" si="18"/>
        <v>-42.944785276073624</v>
      </c>
      <c r="BX50" s="98">
        <f t="shared" si="51"/>
        <v>2.3000000000000003</v>
      </c>
      <c r="BY50" s="61">
        <f t="shared" si="73"/>
        <v>10</v>
      </c>
      <c r="BZ50" s="62">
        <f t="shared" si="52"/>
        <v>10</v>
      </c>
      <c r="CA50" s="98">
        <f t="shared" si="53"/>
        <v>0.80800000000000005</v>
      </c>
      <c r="CB50" s="92">
        <f t="shared" si="98"/>
        <v>4956</v>
      </c>
      <c r="CC50" s="92">
        <f t="shared" si="98"/>
        <v>-7</v>
      </c>
      <c r="CD50" s="92">
        <f t="shared" si="98"/>
        <v>-42.944785276073624</v>
      </c>
      <c r="CE50" s="99"/>
      <c r="CF50" s="99"/>
      <c r="CG50" s="51">
        <f t="shared" si="54"/>
        <v>1.4920000000000002</v>
      </c>
      <c r="CH50" s="62">
        <f t="shared" si="55"/>
        <v>1.4920000000000002</v>
      </c>
      <c r="CI50" s="89"/>
      <c r="CJ50" s="89">
        <v>413</v>
      </c>
      <c r="CK50" s="89"/>
      <c r="CL50" s="96"/>
      <c r="CM50" s="89"/>
      <c r="CN50" s="89">
        <v>395</v>
      </c>
      <c r="CO50" s="92"/>
      <c r="CP50" s="101"/>
      <c r="CQ50" s="102">
        <f t="shared" si="101"/>
        <v>2533</v>
      </c>
      <c r="CR50" s="102">
        <f t="shared" si="101"/>
        <v>0</v>
      </c>
      <c r="CS50" s="102">
        <f t="shared" si="101"/>
        <v>0</v>
      </c>
      <c r="CT50" s="92">
        <f t="shared" si="57"/>
        <v>2424</v>
      </c>
      <c r="CU50" s="92">
        <f t="shared" si="102"/>
        <v>0</v>
      </c>
      <c r="CV50" s="103">
        <f t="shared" si="102"/>
        <v>0</v>
      </c>
      <c r="CW50" s="104" t="s">
        <v>147</v>
      </c>
      <c r="CX50" s="105">
        <v>23</v>
      </c>
      <c r="CY50" s="106">
        <f t="shared" si="59"/>
        <v>1846</v>
      </c>
      <c r="CZ50" s="106">
        <f t="shared" si="60"/>
        <v>93.15</v>
      </c>
      <c r="DA50" s="106"/>
      <c r="DB50" s="106"/>
      <c r="DC50" s="105"/>
      <c r="DD50" s="107"/>
      <c r="DE50" s="92">
        <f t="shared" si="21"/>
        <v>2533</v>
      </c>
      <c r="DF50" s="108">
        <f t="shared" si="22"/>
        <v>5</v>
      </c>
      <c r="DG50" s="112">
        <f t="shared" si="23"/>
        <v>33.742331288343557</v>
      </c>
      <c r="DH50" s="110">
        <f t="shared" si="24"/>
        <v>2424</v>
      </c>
      <c r="DI50" s="108">
        <f t="shared" si="25"/>
        <v>5</v>
      </c>
      <c r="DJ50" s="112">
        <f t="shared" si="26"/>
        <v>-76.687116564417181</v>
      </c>
      <c r="DK50" s="110">
        <f t="shared" si="86"/>
        <v>4957</v>
      </c>
      <c r="DL50" s="108">
        <f t="shared" si="86"/>
        <v>10</v>
      </c>
      <c r="DM50" s="111">
        <f t="shared" si="86"/>
        <v>-42.944785276073624</v>
      </c>
      <c r="DN50" s="76">
        <f t="shared" si="89"/>
        <v>11</v>
      </c>
      <c r="DO50" s="76">
        <f t="shared" si="89"/>
        <v>29</v>
      </c>
      <c r="DP50" s="112"/>
      <c r="DQ50" s="112"/>
      <c r="DR50" s="113" t="s">
        <v>445</v>
      </c>
      <c r="DS50" s="112"/>
      <c r="DT50" s="112"/>
      <c r="DU50" s="111"/>
      <c r="DV50" s="114"/>
      <c r="DW50" s="80">
        <f t="shared" ref="DW50:DW52" si="103">IFERROR(AL50+BF50,"")</f>
        <v>10</v>
      </c>
      <c r="DX50" s="81">
        <f t="shared" si="29"/>
        <v>4924.0552147239259</v>
      </c>
      <c r="DY50" s="80">
        <f t="shared" si="62"/>
        <v>4957</v>
      </c>
      <c r="DZ50" s="82">
        <f t="shared" si="63"/>
        <v>0</v>
      </c>
      <c r="EA50" s="82">
        <f t="shared" si="64"/>
        <v>0.80799100000000001</v>
      </c>
      <c r="EB50" s="82">
        <f t="shared" si="65"/>
        <v>1.4920090000000004</v>
      </c>
      <c r="EC50" s="82">
        <f t="shared" si="75"/>
        <v>1.4920090000000004</v>
      </c>
      <c r="EF50" s="83">
        <f t="shared" si="92"/>
        <v>-42.944785276073624</v>
      </c>
    </row>
    <row r="51" spans="1:136" ht="14.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1"/>
        <v>MESUS303-2.5x3-H9B14</v>
      </c>
      <c r="H51" s="46" t="str">
        <f t="shared" si="32"/>
        <v>SUS303ME2.50DH9</v>
      </c>
      <c r="I51" s="46" t="str">
        <f t="shared" si="33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4"/>
        <v>38</v>
      </c>
      <c r="T51" s="51">
        <f>'05.02'!BG51</f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5"/>
        <v>0</v>
      </c>
      <c r="AF51" s="54">
        <f>AE51+'05.02'!AF51</f>
        <v>0</v>
      </c>
      <c r="AG51" s="94">
        <f t="shared" si="66"/>
        <v>0</v>
      </c>
      <c r="AH51" s="56">
        <f t="shared" si="13"/>
        <v>0</v>
      </c>
      <c r="AI51" s="93"/>
      <c r="AJ51" s="93">
        <f t="shared" si="67"/>
        <v>0</v>
      </c>
      <c r="AK51" s="95">
        <f t="shared" si="36"/>
        <v>1</v>
      </c>
      <c r="AL51" s="58">
        <f t="shared" si="37"/>
        <v>0</v>
      </c>
      <c r="AM51" s="55">
        <f t="shared" si="68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8"/>
        <v>0</v>
      </c>
      <c r="AV51" s="96">
        <f t="shared" si="38"/>
        <v>0</v>
      </c>
      <c r="AW51" s="96">
        <f t="shared" si="39"/>
        <v>0</v>
      </c>
      <c r="AX51" s="96">
        <f t="shared" si="40"/>
        <v>0</v>
      </c>
      <c r="AY51" s="94">
        <f t="shared" si="69"/>
        <v>0</v>
      </c>
      <c r="AZ51" s="94">
        <f t="shared" si="41"/>
        <v>0</v>
      </c>
      <c r="BA51" s="94">
        <f t="shared" si="42"/>
        <v>0</v>
      </c>
      <c r="BB51" s="97">
        <f t="shared" si="43"/>
        <v>0</v>
      </c>
      <c r="BC51" s="93"/>
      <c r="BD51" s="93">
        <f t="shared" si="44"/>
        <v>0</v>
      </c>
      <c r="BE51" s="95">
        <f t="shared" si="45"/>
        <v>1</v>
      </c>
      <c r="BF51" s="58">
        <f t="shared" si="46"/>
        <v>0</v>
      </c>
      <c r="BG51" s="94">
        <f t="shared" si="47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0"/>
        <v>0</v>
      </c>
      <c r="BP51" s="92">
        <f t="shared" si="70"/>
        <v>0</v>
      </c>
      <c r="BQ51" s="96">
        <f t="shared" si="48"/>
        <v>0</v>
      </c>
      <c r="BR51" s="96">
        <f t="shared" si="49"/>
        <v>0</v>
      </c>
      <c r="BS51" s="96">
        <f t="shared" si="71"/>
        <v>0</v>
      </c>
      <c r="BT51" s="96">
        <f t="shared" si="50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1"/>
        <v>0</v>
      </c>
      <c r="BY51" s="61">
        <f t="shared" si="73"/>
        <v>0</v>
      </c>
      <c r="BZ51" s="62">
        <f t="shared" si="52"/>
        <v>0</v>
      </c>
      <c r="CA51" s="98">
        <f t="shared" si="53"/>
        <v>0</v>
      </c>
      <c r="CB51" s="92">
        <f t="shared" si="98"/>
        <v>0</v>
      </c>
      <c r="CC51" s="92">
        <f t="shared" si="98"/>
        <v>0</v>
      </c>
      <c r="CD51" s="92">
        <f t="shared" si="98"/>
        <v>0</v>
      </c>
      <c r="CE51" s="99"/>
      <c r="CF51" s="99"/>
      <c r="CG51" s="51">
        <f t="shared" si="54"/>
        <v>0</v>
      </c>
      <c r="CH51" s="62">
        <f t="shared" si="55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101"/>
        <v>0</v>
      </c>
      <c r="CR51" s="102">
        <f t="shared" si="101"/>
        <v>0</v>
      </c>
      <c r="CS51" s="102">
        <f t="shared" si="101"/>
        <v>0</v>
      </c>
      <c r="CT51" s="92">
        <f t="shared" si="57"/>
        <v>0</v>
      </c>
      <c r="CU51" s="92">
        <f t="shared" si="102"/>
        <v>0</v>
      </c>
      <c r="CV51" s="103">
        <f t="shared" si="102"/>
        <v>0</v>
      </c>
      <c r="CW51" s="104" t="s">
        <v>147</v>
      </c>
      <c r="CX51" s="105">
        <v>20</v>
      </c>
      <c r="CY51" s="106">
        <f t="shared" si="59"/>
        <v>1971</v>
      </c>
      <c r="CZ51" s="106">
        <f t="shared" si="60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6"/>
        <v>0</v>
      </c>
      <c r="DL51" s="108">
        <f t="shared" si="86"/>
        <v>0</v>
      </c>
      <c r="DM51" s="111">
        <f t="shared" si="86"/>
        <v>0</v>
      </c>
      <c r="DN51" s="76">
        <f t="shared" si="89"/>
        <v>0</v>
      </c>
      <c r="DO51" s="76">
        <f t="shared" si="89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3"/>
        <v>0</v>
      </c>
      <c r="DX51" s="81">
        <f t="shared" si="29"/>
        <v>0</v>
      </c>
      <c r="DY51" s="80">
        <f t="shared" si="62"/>
        <v>0</v>
      </c>
      <c r="DZ51" s="82">
        <f t="shared" si="63"/>
        <v>0</v>
      </c>
      <c r="EA51" s="82">
        <f t="shared" si="64"/>
        <v>0</v>
      </c>
      <c r="EB51" s="82">
        <f t="shared" si="65"/>
        <v>0</v>
      </c>
      <c r="EC51" s="82">
        <f t="shared" si="75"/>
        <v>0</v>
      </c>
      <c r="EF51" s="83">
        <f t="shared" si="92"/>
        <v>0</v>
      </c>
    </row>
    <row r="52" spans="1:136" ht="14.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1"/>
        <v>MESUS303CU-3.5x3-H9B14</v>
      </c>
      <c r="H52" s="46" t="str">
        <f t="shared" si="32"/>
        <v>SUS303CUME3.50DH9</v>
      </c>
      <c r="I52" s="46" t="str">
        <f t="shared" si="33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4"/>
        <v>14</v>
      </c>
      <c r="T52" s="51">
        <f>'05.02'!BG52</f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5"/>
        <v>0</v>
      </c>
      <c r="AF52" s="54">
        <f>AE52+'05.02'!AF52</f>
        <v>0</v>
      </c>
      <c r="AG52" s="94">
        <f t="shared" si="66"/>
        <v>0</v>
      </c>
      <c r="AH52" s="56">
        <f t="shared" si="13"/>
        <v>0</v>
      </c>
      <c r="AI52" s="93"/>
      <c r="AJ52" s="93">
        <f t="shared" si="67"/>
        <v>0</v>
      </c>
      <c r="AK52" s="95">
        <f t="shared" si="36"/>
        <v>1</v>
      </c>
      <c r="AL52" s="58">
        <f t="shared" si="37"/>
        <v>0</v>
      </c>
      <c r="AM52" s="55">
        <f t="shared" si="68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8"/>
        <v>0</v>
      </c>
      <c r="AV52" s="96">
        <f t="shared" si="38"/>
        <v>0</v>
      </c>
      <c r="AW52" s="96">
        <f t="shared" si="39"/>
        <v>0</v>
      </c>
      <c r="AX52" s="96">
        <f t="shared" si="40"/>
        <v>0</v>
      </c>
      <c r="AY52" s="94">
        <f t="shared" si="69"/>
        <v>0</v>
      </c>
      <c r="AZ52" s="94">
        <f t="shared" si="41"/>
        <v>0</v>
      </c>
      <c r="BA52" s="94">
        <f t="shared" si="42"/>
        <v>0</v>
      </c>
      <c r="BB52" s="97">
        <f t="shared" si="43"/>
        <v>0</v>
      </c>
      <c r="BC52" s="93"/>
      <c r="BD52" s="93">
        <f t="shared" si="44"/>
        <v>0</v>
      </c>
      <c r="BE52" s="95">
        <f t="shared" si="45"/>
        <v>1</v>
      </c>
      <c r="BF52" s="58">
        <f t="shared" si="46"/>
        <v>0</v>
      </c>
      <c r="BG52" s="94">
        <f t="shared" si="47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0"/>
        <v>0</v>
      </c>
      <c r="BP52" s="92">
        <f t="shared" si="70"/>
        <v>0</v>
      </c>
      <c r="BQ52" s="96">
        <f t="shared" si="48"/>
        <v>0</v>
      </c>
      <c r="BR52" s="96">
        <f t="shared" si="49"/>
        <v>0</v>
      </c>
      <c r="BS52" s="96">
        <f t="shared" si="71"/>
        <v>0</v>
      </c>
      <c r="BT52" s="96">
        <f t="shared" si="50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1"/>
        <v>0</v>
      </c>
      <c r="BY52" s="61">
        <f t="shared" si="73"/>
        <v>0</v>
      </c>
      <c r="BZ52" s="62">
        <f t="shared" si="52"/>
        <v>0</v>
      </c>
      <c r="CA52" s="98">
        <f t="shared" si="53"/>
        <v>0</v>
      </c>
      <c r="CB52" s="92">
        <f t="shared" si="98"/>
        <v>0</v>
      </c>
      <c r="CC52" s="92">
        <f t="shared" si="98"/>
        <v>0</v>
      </c>
      <c r="CD52" s="92">
        <f t="shared" si="98"/>
        <v>0</v>
      </c>
      <c r="CE52" s="99"/>
      <c r="CF52" s="99"/>
      <c r="CG52" s="51">
        <f t="shared" si="54"/>
        <v>0</v>
      </c>
      <c r="CH52" s="62">
        <f t="shared" si="55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101"/>
        <v>0</v>
      </c>
      <c r="CR52" s="102">
        <f t="shared" si="101"/>
        <v>0</v>
      </c>
      <c r="CS52" s="102">
        <f t="shared" si="101"/>
        <v>0</v>
      </c>
      <c r="CT52" s="92">
        <f t="shared" si="57"/>
        <v>0</v>
      </c>
      <c r="CU52" s="92">
        <f t="shared" si="102"/>
        <v>0</v>
      </c>
      <c r="CV52" s="103">
        <f t="shared" si="102"/>
        <v>0</v>
      </c>
      <c r="CW52" s="104" t="s">
        <v>147</v>
      </c>
      <c r="CX52" s="105">
        <v>12</v>
      </c>
      <c r="CY52" s="106">
        <f t="shared" si="59"/>
        <v>3480</v>
      </c>
      <c r="CZ52" s="106">
        <f t="shared" si="60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6"/>
        <v>0</v>
      </c>
      <c r="DL52" s="108">
        <f t="shared" si="86"/>
        <v>0</v>
      </c>
      <c r="DM52" s="111">
        <f t="shared" si="86"/>
        <v>0</v>
      </c>
      <c r="DN52" s="76">
        <f t="shared" si="89"/>
        <v>0</v>
      </c>
      <c r="DO52" s="76">
        <f t="shared" si="89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3"/>
        <v>0</v>
      </c>
      <c r="DX52" s="81">
        <f t="shared" si="29"/>
        <v>0</v>
      </c>
      <c r="DY52" s="80">
        <f t="shared" si="62"/>
        <v>0</v>
      </c>
      <c r="DZ52" s="82">
        <f t="shared" si="63"/>
        <v>0</v>
      </c>
      <c r="EA52" s="82">
        <f t="shared" si="64"/>
        <v>0</v>
      </c>
      <c r="EB52" s="82">
        <f t="shared" si="65"/>
        <v>0</v>
      </c>
      <c r="EC52" s="82">
        <f t="shared" si="75"/>
        <v>0</v>
      </c>
      <c r="EF52" s="83">
        <f t="shared" si="92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1"/>
        <v>MESUS420J2-2x2.5-H9A14</v>
      </c>
      <c r="H53" s="46" t="str">
        <f t="shared" si="32"/>
        <v>SUS420J2ME20DH9</v>
      </c>
      <c r="I53" s="46" t="str">
        <f t="shared" si="33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4"/>
        <v>42</v>
      </c>
      <c r="T53" s="51">
        <f>'05.02'!BG53</f>
        <v>20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5"/>
        <v>0</v>
      </c>
      <c r="AF53" s="54">
        <f>AE53+'05.02'!AF53</f>
        <v>0</v>
      </c>
      <c r="AG53" s="94">
        <f t="shared" si="66"/>
        <v>20</v>
      </c>
      <c r="AH53" s="56">
        <f t="shared" si="13"/>
        <v>0</v>
      </c>
      <c r="AI53" s="93"/>
      <c r="AJ53" s="93">
        <f t="shared" si="67"/>
        <v>0</v>
      </c>
      <c r="AK53" s="95">
        <f t="shared" si="36"/>
        <v>1</v>
      </c>
      <c r="AL53" s="58">
        <f t="shared" si="37"/>
        <v>0</v>
      </c>
      <c r="AM53" s="55">
        <f t="shared" si="68"/>
        <v>20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8"/>
        <v>0</v>
      </c>
      <c r="AV53" s="96">
        <f t="shared" si="38"/>
        <v>0</v>
      </c>
      <c r="AW53" s="96">
        <f t="shared" si="39"/>
        <v>0</v>
      </c>
      <c r="AX53" s="96">
        <f t="shared" si="40"/>
        <v>0</v>
      </c>
      <c r="AY53" s="94">
        <f t="shared" si="69"/>
        <v>0</v>
      </c>
      <c r="AZ53" s="94">
        <f t="shared" si="41"/>
        <v>0</v>
      </c>
      <c r="BA53" s="94">
        <f t="shared" si="42"/>
        <v>20</v>
      </c>
      <c r="BB53" s="97">
        <f t="shared" si="43"/>
        <v>0</v>
      </c>
      <c r="BC53" s="93"/>
      <c r="BD53" s="93">
        <f t="shared" si="44"/>
        <v>0</v>
      </c>
      <c r="BE53" s="95">
        <f t="shared" si="45"/>
        <v>1</v>
      </c>
      <c r="BF53" s="58">
        <f t="shared" si="46"/>
        <v>0</v>
      </c>
      <c r="BG53" s="94">
        <f t="shared" si="47"/>
        <v>20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0"/>
        <v>0</v>
      </c>
      <c r="BP53" s="92">
        <f t="shared" si="70"/>
        <v>0</v>
      </c>
      <c r="BQ53" s="96">
        <f t="shared" si="48"/>
        <v>0</v>
      </c>
      <c r="BR53" s="96">
        <f t="shared" si="49"/>
        <v>0</v>
      </c>
      <c r="BS53" s="96">
        <f t="shared" si="71"/>
        <v>0</v>
      </c>
      <c r="BT53" s="96">
        <f t="shared" si="50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1"/>
        <v>0</v>
      </c>
      <c r="BY53" s="61">
        <f t="shared" si="73"/>
        <v>0</v>
      </c>
      <c r="BZ53" s="62">
        <f t="shared" si="52"/>
        <v>0</v>
      </c>
      <c r="CA53" s="98">
        <f t="shared" si="53"/>
        <v>0</v>
      </c>
      <c r="CB53" s="92">
        <f t="shared" si="98"/>
        <v>0</v>
      </c>
      <c r="CC53" s="92">
        <f t="shared" si="98"/>
        <v>0</v>
      </c>
      <c r="CD53" s="92">
        <f t="shared" si="98"/>
        <v>0</v>
      </c>
      <c r="CE53" s="99"/>
      <c r="CF53" s="99"/>
      <c r="CG53" s="51">
        <f t="shared" si="54"/>
        <v>0</v>
      </c>
      <c r="CH53" s="62">
        <f t="shared" si="55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101"/>
        <v>0</v>
      </c>
      <c r="CR53" s="102">
        <f t="shared" si="101"/>
        <v>0</v>
      </c>
      <c r="CS53" s="102">
        <f t="shared" si="101"/>
        <v>0</v>
      </c>
      <c r="CT53" s="92">
        <f t="shared" si="57"/>
        <v>0</v>
      </c>
      <c r="CU53" s="92">
        <f t="shared" si="102"/>
        <v>0</v>
      </c>
      <c r="CV53" s="103">
        <f t="shared" si="102"/>
        <v>0</v>
      </c>
      <c r="CW53" s="104" t="s">
        <v>147</v>
      </c>
      <c r="CX53" s="105">
        <v>8.0500000000000007</v>
      </c>
      <c r="CY53" s="106">
        <f t="shared" si="59"/>
        <v>4829</v>
      </c>
      <c r="CZ53" s="106">
        <f t="shared" si="60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6"/>
        <v>0</v>
      </c>
      <c r="DL53" s="108">
        <f t="shared" si="86"/>
        <v>0</v>
      </c>
      <c r="DM53" s="111">
        <f t="shared" si="86"/>
        <v>0</v>
      </c>
      <c r="DN53" s="76">
        <f t="shared" si="89"/>
        <v>20</v>
      </c>
      <c r="DO53" s="76">
        <f t="shared" si="89"/>
        <v>0</v>
      </c>
      <c r="DP53" s="112"/>
      <c r="DQ53" s="112"/>
      <c r="DR53" s="113" t="s">
        <v>446</v>
      </c>
      <c r="DS53" s="112"/>
      <c r="DT53" s="112"/>
      <c r="DU53" s="111"/>
      <c r="DV53" s="114"/>
      <c r="DW53" s="80">
        <f t="shared" si="61"/>
        <v>0</v>
      </c>
      <c r="DX53" s="81">
        <f t="shared" si="29"/>
        <v>0</v>
      </c>
      <c r="DY53" s="80">
        <f t="shared" si="62"/>
        <v>0</v>
      </c>
      <c r="DZ53" s="82">
        <f t="shared" si="63"/>
        <v>0</v>
      </c>
      <c r="EA53" s="82">
        <f t="shared" si="64"/>
        <v>0</v>
      </c>
      <c r="EB53" s="82">
        <f t="shared" si="65"/>
        <v>0</v>
      </c>
      <c r="EC53" s="82">
        <f t="shared" si="75"/>
        <v>0</v>
      </c>
      <c r="EF53" s="83">
        <f t="shared" si="92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1"/>
        <v>MESUS303CU-3.5x3-H9B14</v>
      </c>
      <c r="H54" s="46" t="str">
        <f t="shared" si="32"/>
        <v>SUS303CUME3.50DH9</v>
      </c>
      <c r="I54" s="46" t="str">
        <f t="shared" si="33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4"/>
        <v>12</v>
      </c>
      <c r="T54" s="51">
        <f>'05.02'!BG54</f>
        <v>19</v>
      </c>
      <c r="U54" s="92">
        <v>21</v>
      </c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5"/>
        <v>0</v>
      </c>
      <c r="AF54" s="54">
        <f>AE54+'05.02'!AF54</f>
        <v>0</v>
      </c>
      <c r="AG54" s="94">
        <f t="shared" si="66"/>
        <v>19</v>
      </c>
      <c r="AH54" s="56">
        <f t="shared" si="13"/>
        <v>0</v>
      </c>
      <c r="AI54" s="93"/>
      <c r="AJ54" s="93">
        <f t="shared" si="67"/>
        <v>0</v>
      </c>
      <c r="AK54" s="95">
        <f t="shared" si="36"/>
        <v>1</v>
      </c>
      <c r="AL54" s="58">
        <f t="shared" si="37"/>
        <v>0</v>
      </c>
      <c r="AM54" s="55">
        <f t="shared" si="68"/>
        <v>40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8"/>
        <v>0</v>
      </c>
      <c r="AV54" s="96">
        <f t="shared" si="38"/>
        <v>0</v>
      </c>
      <c r="AW54" s="96">
        <f t="shared" si="39"/>
        <v>0</v>
      </c>
      <c r="AX54" s="96">
        <f t="shared" si="40"/>
        <v>0</v>
      </c>
      <c r="AY54" s="94">
        <f t="shared" si="69"/>
        <v>0</v>
      </c>
      <c r="AZ54" s="94">
        <f t="shared" si="41"/>
        <v>0</v>
      </c>
      <c r="BA54" s="94">
        <f t="shared" si="42"/>
        <v>40</v>
      </c>
      <c r="BB54" s="97">
        <f t="shared" si="43"/>
        <v>0</v>
      </c>
      <c r="BC54" s="93"/>
      <c r="BD54" s="93">
        <f t="shared" si="44"/>
        <v>0</v>
      </c>
      <c r="BE54" s="95">
        <f t="shared" si="45"/>
        <v>1</v>
      </c>
      <c r="BF54" s="58">
        <f t="shared" si="46"/>
        <v>0</v>
      </c>
      <c r="BG54" s="94">
        <f t="shared" si="47"/>
        <v>40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0"/>
        <v>0</v>
      </c>
      <c r="BP54" s="92">
        <f t="shared" si="70"/>
        <v>0</v>
      </c>
      <c r="BQ54" s="96">
        <f t="shared" si="48"/>
        <v>0</v>
      </c>
      <c r="BR54" s="96">
        <f t="shared" si="49"/>
        <v>0</v>
      </c>
      <c r="BS54" s="96">
        <f t="shared" si="71"/>
        <v>0</v>
      </c>
      <c r="BT54" s="96">
        <f t="shared" si="50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1"/>
        <v>0</v>
      </c>
      <c r="BY54" s="61">
        <f t="shared" si="73"/>
        <v>0</v>
      </c>
      <c r="BZ54" s="62">
        <f t="shared" si="52"/>
        <v>0</v>
      </c>
      <c r="CA54" s="98">
        <f t="shared" si="53"/>
        <v>0</v>
      </c>
      <c r="CB54" s="92">
        <f t="shared" si="98"/>
        <v>0</v>
      </c>
      <c r="CC54" s="92">
        <f t="shared" si="98"/>
        <v>0</v>
      </c>
      <c r="CD54" s="92">
        <f t="shared" si="98"/>
        <v>0</v>
      </c>
      <c r="CE54" s="99"/>
      <c r="CF54" s="99"/>
      <c r="CG54" s="51">
        <f t="shared" si="54"/>
        <v>0</v>
      </c>
      <c r="CH54" s="62">
        <f t="shared" si="55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101"/>
        <v>0</v>
      </c>
      <c r="CR54" s="102">
        <f t="shared" si="101"/>
        <v>0</v>
      </c>
      <c r="CS54" s="102">
        <f t="shared" si="101"/>
        <v>0</v>
      </c>
      <c r="CT54" s="92">
        <f t="shared" si="57"/>
        <v>0</v>
      </c>
      <c r="CU54" s="92">
        <f t="shared" si="102"/>
        <v>0</v>
      </c>
      <c r="CV54" s="103">
        <f t="shared" si="102"/>
        <v>0</v>
      </c>
      <c r="CW54" s="104" t="s">
        <v>147</v>
      </c>
      <c r="CX54" s="105">
        <v>15</v>
      </c>
      <c r="CY54" s="106">
        <f t="shared" si="59"/>
        <v>2808</v>
      </c>
      <c r="CZ54" s="106">
        <f t="shared" si="60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6"/>
        <v>0</v>
      </c>
      <c r="DL54" s="108">
        <f t="shared" si="86"/>
        <v>0</v>
      </c>
      <c r="DM54" s="111">
        <f t="shared" si="86"/>
        <v>0</v>
      </c>
      <c r="DN54" s="76">
        <f t="shared" si="89"/>
        <v>19</v>
      </c>
      <c r="DO54" s="76">
        <f t="shared" si="89"/>
        <v>21</v>
      </c>
      <c r="DP54" s="112"/>
      <c r="DQ54" s="112"/>
      <c r="DR54" s="113" t="s">
        <v>447</v>
      </c>
      <c r="DS54" s="112"/>
      <c r="DT54" s="112"/>
      <c r="DU54" s="111"/>
      <c r="DV54" s="114"/>
      <c r="DW54" s="80">
        <f t="shared" ref="DW54:DW58" si="104">IFERROR(AL54+BF54,"")</f>
        <v>0</v>
      </c>
      <c r="DX54" s="81">
        <f t="shared" si="29"/>
        <v>0</v>
      </c>
      <c r="DY54" s="80">
        <f t="shared" si="62"/>
        <v>0</v>
      </c>
      <c r="DZ54" s="82">
        <f t="shared" si="63"/>
        <v>0</v>
      </c>
      <c r="EA54" s="82">
        <f t="shared" si="64"/>
        <v>0</v>
      </c>
      <c r="EB54" s="82">
        <f t="shared" si="65"/>
        <v>0</v>
      </c>
      <c r="EC54" s="82">
        <f t="shared" si="75"/>
        <v>0</v>
      </c>
      <c r="EF54" s="83">
        <f t="shared" si="92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1"/>
        <v>YHC3604-4.03x3-H9A14</v>
      </c>
      <c r="H55" s="46" t="str">
        <f t="shared" si="32"/>
        <v>C3604YH4.030DH9</v>
      </c>
      <c r="I55" s="46" t="str">
        <f t="shared" si="33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4"/>
        <v>60</v>
      </c>
      <c r="T55" s="51">
        <v>27</v>
      </c>
      <c r="U55" s="92">
        <v>113</v>
      </c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9751</v>
      </c>
      <c r="AC55" s="93">
        <f t="shared" si="11"/>
        <v>0</v>
      </c>
      <c r="AD55" s="93">
        <f t="shared" si="12"/>
        <v>15</v>
      </c>
      <c r="AE55" s="93">
        <f t="shared" si="35"/>
        <v>9751</v>
      </c>
      <c r="AF55" s="54">
        <f>AE55+'05.02'!AF55</f>
        <v>54626</v>
      </c>
      <c r="AG55" s="94">
        <f t="shared" si="66"/>
        <v>27</v>
      </c>
      <c r="AH55" s="56">
        <f t="shared" si="13"/>
        <v>0</v>
      </c>
      <c r="AI55" s="93">
        <v>28</v>
      </c>
      <c r="AJ55" s="93">
        <f t="shared" si="67"/>
        <v>0</v>
      </c>
      <c r="AK55" s="95">
        <f t="shared" si="36"/>
        <v>1</v>
      </c>
      <c r="AL55" s="58">
        <f t="shared" si="37"/>
        <v>28</v>
      </c>
      <c r="AM55" s="55">
        <f t="shared" si="68"/>
        <v>112</v>
      </c>
      <c r="AN55" s="93"/>
      <c r="AO55" s="96"/>
      <c r="AP55" s="96"/>
      <c r="AQ55" s="96"/>
      <c r="AR55" s="96"/>
      <c r="AS55" s="96"/>
      <c r="AT55" s="96">
        <f>$CJ55</f>
        <v>3056</v>
      </c>
      <c r="AU55" s="96">
        <f t="shared" si="38"/>
        <v>0</v>
      </c>
      <c r="AV55" s="96">
        <f t="shared" si="38"/>
        <v>10</v>
      </c>
      <c r="AW55" s="96">
        <f t="shared" si="39"/>
        <v>3066</v>
      </c>
      <c r="AX55" s="96">
        <f t="shared" si="40"/>
        <v>4790</v>
      </c>
      <c r="AY55" s="94">
        <f t="shared" si="69"/>
        <v>-105.84000000000015</v>
      </c>
      <c r="AZ55" s="94">
        <f t="shared" si="41"/>
        <v>-165.37500000000023</v>
      </c>
      <c r="BA55" s="94">
        <f t="shared" si="42"/>
        <v>112</v>
      </c>
      <c r="BB55" s="97">
        <f t="shared" si="43"/>
        <v>0</v>
      </c>
      <c r="BC55" s="93">
        <v>29</v>
      </c>
      <c r="BD55" s="93">
        <f t="shared" si="44"/>
        <v>0</v>
      </c>
      <c r="BE55" s="95">
        <f t="shared" si="45"/>
        <v>1</v>
      </c>
      <c r="BF55" s="58">
        <f t="shared" si="46"/>
        <v>29</v>
      </c>
      <c r="BG55" s="94">
        <f t="shared" si="47"/>
        <v>83</v>
      </c>
      <c r="BH55" s="89"/>
      <c r="BI55" s="89"/>
      <c r="BJ55" s="89"/>
      <c r="BK55" s="89"/>
      <c r="BL55" s="89"/>
      <c r="BM55" s="89"/>
      <c r="BN55" s="92">
        <f>$CN55</f>
        <v>3185</v>
      </c>
      <c r="BO55" s="92">
        <f t="shared" si="70"/>
        <v>0</v>
      </c>
      <c r="BP55" s="92">
        <f t="shared" si="70"/>
        <v>0</v>
      </c>
      <c r="BQ55" s="96">
        <f t="shared" si="48"/>
        <v>3185</v>
      </c>
      <c r="BR55" s="96">
        <f t="shared" si="49"/>
        <v>4976</v>
      </c>
      <c r="BS55" s="96">
        <f t="shared" si="71"/>
        <v>-100.11999999999989</v>
      </c>
      <c r="BT55" s="96">
        <f t="shared" si="50"/>
        <v>-156.43749999999983</v>
      </c>
      <c r="BU55" s="92">
        <f t="shared" si="16"/>
        <v>9751</v>
      </c>
      <c r="BV55" s="98">
        <f t="shared" si="17"/>
        <v>57</v>
      </c>
      <c r="BW55" s="92">
        <f t="shared" si="18"/>
        <v>-321.81250000000006</v>
      </c>
      <c r="BX55" s="98">
        <f t="shared" si="51"/>
        <v>18.411000000000001</v>
      </c>
      <c r="BY55" s="61">
        <f t="shared" si="73"/>
        <v>57</v>
      </c>
      <c r="BZ55" s="62">
        <f t="shared" si="52"/>
        <v>57</v>
      </c>
      <c r="CA55" s="98">
        <f t="shared" si="53"/>
        <v>6.2510000000000003</v>
      </c>
      <c r="CB55" s="92">
        <f t="shared" si="98"/>
        <v>9766</v>
      </c>
      <c r="CC55" s="92">
        <f t="shared" si="98"/>
        <v>-205.96000000000004</v>
      </c>
      <c r="CD55" s="92">
        <f t="shared" si="98"/>
        <v>-321.81250000000006</v>
      </c>
      <c r="CE55" s="99"/>
      <c r="CF55" s="99"/>
      <c r="CG55" s="51">
        <f t="shared" si="54"/>
        <v>12.17</v>
      </c>
      <c r="CH55" s="62">
        <f t="shared" si="55"/>
        <v>12.17</v>
      </c>
      <c r="CI55" s="89"/>
      <c r="CJ55" s="89">
        <v>3056</v>
      </c>
      <c r="CK55" s="89"/>
      <c r="CL55" s="96">
        <v>10</v>
      </c>
      <c r="CM55" s="89"/>
      <c r="CN55" s="89">
        <v>3185</v>
      </c>
      <c r="CO55" s="92"/>
      <c r="CP55" s="101"/>
      <c r="CQ55" s="102">
        <f t="shared" si="101"/>
        <v>4775</v>
      </c>
      <c r="CR55" s="102">
        <f t="shared" si="101"/>
        <v>0</v>
      </c>
      <c r="CS55" s="102">
        <f t="shared" si="101"/>
        <v>15</v>
      </c>
      <c r="CT55" s="92">
        <f t="shared" si="57"/>
        <v>4976</v>
      </c>
      <c r="CU55" s="92">
        <f t="shared" si="102"/>
        <v>0</v>
      </c>
      <c r="CV55" s="103">
        <f t="shared" si="102"/>
        <v>0</v>
      </c>
      <c r="CW55" s="104" t="s">
        <v>147</v>
      </c>
      <c r="CX55" s="105">
        <v>7</v>
      </c>
      <c r="CY55" s="106">
        <f t="shared" si="59"/>
        <v>5271</v>
      </c>
      <c r="CZ55" s="106">
        <f t="shared" si="60"/>
        <v>28.35</v>
      </c>
      <c r="DA55" s="106"/>
      <c r="DB55" s="106"/>
      <c r="DC55" s="105"/>
      <c r="DD55" s="107"/>
      <c r="DE55" s="92">
        <f t="shared" si="21"/>
        <v>4775</v>
      </c>
      <c r="DF55" s="108">
        <f t="shared" si="22"/>
        <v>28</v>
      </c>
      <c r="DG55" s="112">
        <f t="shared" si="23"/>
        <v>-165.37500000000023</v>
      </c>
      <c r="DH55" s="110">
        <f t="shared" si="24"/>
        <v>4976</v>
      </c>
      <c r="DI55" s="108">
        <f t="shared" si="25"/>
        <v>29</v>
      </c>
      <c r="DJ55" s="112">
        <f t="shared" si="26"/>
        <v>-156.43749999999983</v>
      </c>
      <c r="DK55" s="110">
        <f t="shared" si="86"/>
        <v>9751</v>
      </c>
      <c r="DL55" s="108">
        <f t="shared" si="86"/>
        <v>57</v>
      </c>
      <c r="DM55" s="111">
        <f t="shared" si="86"/>
        <v>-321.81250000000006</v>
      </c>
      <c r="DN55" s="76">
        <f t="shared" si="89"/>
        <v>27</v>
      </c>
      <c r="DO55" s="76">
        <f t="shared" si="89"/>
        <v>113</v>
      </c>
      <c r="DP55" s="112"/>
      <c r="DQ55" s="112"/>
      <c r="DR55" s="113" t="s">
        <v>448</v>
      </c>
      <c r="DS55" s="112"/>
      <c r="DT55" s="112"/>
      <c r="DU55" s="111"/>
      <c r="DV55" s="114"/>
      <c r="DW55" s="80">
        <f t="shared" si="104"/>
        <v>57</v>
      </c>
      <c r="DX55" s="81">
        <f t="shared" si="29"/>
        <v>9486.1875</v>
      </c>
      <c r="DY55" s="80">
        <f t="shared" si="62"/>
        <v>9766</v>
      </c>
      <c r="DZ55" s="82">
        <f t="shared" si="63"/>
        <v>9.5999999999999992E-3</v>
      </c>
      <c r="EA55" s="82">
        <f t="shared" si="64"/>
        <v>6.24064</v>
      </c>
      <c r="EB55" s="82">
        <f t="shared" si="65"/>
        <v>12.170360000000002</v>
      </c>
      <c r="EC55" s="82">
        <f t="shared" ref="EC55:EC56" si="105">(BX55-CA55)+((AV55+BP55)/1000)</f>
        <v>12.17</v>
      </c>
      <c r="EF55" s="83">
        <f t="shared" si="92"/>
        <v>-321.81250000000006</v>
      </c>
    </row>
    <row r="56" spans="1:136" ht="14.1" customHeight="1">
      <c r="A56" s="84">
        <v>49</v>
      </c>
      <c r="B56" s="85" t="s">
        <v>278</v>
      </c>
      <c r="C56" s="86"/>
      <c r="D56" s="240" t="s">
        <v>279</v>
      </c>
      <c r="E56" s="88">
        <v>51</v>
      </c>
      <c r="F56" s="89" t="s">
        <v>147</v>
      </c>
      <c r="G56" s="45" t="str">
        <f t="shared" si="31"/>
        <v>TVSUS303-6x2.5-H9A14</v>
      </c>
      <c r="H56" s="46" t="str">
        <f t="shared" si="32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4"/>
        <v>110</v>
      </c>
      <c r="T56" s="51">
        <f>'05.02'!BG56</f>
        <v>30</v>
      </c>
      <c r="U56" s="92"/>
      <c r="V56" s="100">
        <v>7</v>
      </c>
      <c r="W56" s="93">
        <f t="shared" si="5"/>
        <v>0</v>
      </c>
      <c r="X56" s="93">
        <f t="shared" si="6"/>
        <v>0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0</v>
      </c>
      <c r="AE56" s="93">
        <f t="shared" si="35"/>
        <v>0</v>
      </c>
      <c r="AF56" s="54">
        <f>AE56+'05.02'!AF56</f>
        <v>1582</v>
      </c>
      <c r="AG56" s="94">
        <f t="shared" si="66"/>
        <v>30</v>
      </c>
      <c r="AH56" s="56">
        <f t="shared" si="13"/>
        <v>0</v>
      </c>
      <c r="AI56" s="93"/>
      <c r="AJ56" s="93">
        <f t="shared" si="67"/>
        <v>0</v>
      </c>
      <c r="AK56" s="95">
        <f t="shared" si="36"/>
        <v>1</v>
      </c>
      <c r="AL56" s="58">
        <f t="shared" si="37"/>
        <v>0</v>
      </c>
      <c r="AM56" s="55">
        <f t="shared" si="68"/>
        <v>30</v>
      </c>
      <c r="AN56" s="93"/>
      <c r="AO56" s="96"/>
      <c r="AP56" s="96">
        <f>$CJ56</f>
        <v>0</v>
      </c>
      <c r="AQ56" s="96"/>
      <c r="AR56" s="96"/>
      <c r="AS56" s="96"/>
      <c r="AT56" s="96"/>
      <c r="AU56" s="96">
        <f t="shared" si="38"/>
        <v>0</v>
      </c>
      <c r="AV56" s="96">
        <f t="shared" si="38"/>
        <v>0</v>
      </c>
      <c r="AW56" s="96">
        <f t="shared" si="39"/>
        <v>0</v>
      </c>
      <c r="AX56" s="96">
        <f t="shared" si="40"/>
        <v>0</v>
      </c>
      <c r="AY56" s="94">
        <f t="shared" si="69"/>
        <v>0</v>
      </c>
      <c r="AZ56" s="94">
        <f t="shared" si="41"/>
        <v>0</v>
      </c>
      <c r="BA56" s="94">
        <f t="shared" si="42"/>
        <v>30</v>
      </c>
      <c r="BB56" s="97">
        <f t="shared" si="43"/>
        <v>0</v>
      </c>
      <c r="BC56" s="93"/>
      <c r="BD56" s="93">
        <f t="shared" si="44"/>
        <v>0</v>
      </c>
      <c r="BE56" s="95">
        <f t="shared" si="45"/>
        <v>1</v>
      </c>
      <c r="BF56" s="58">
        <f t="shared" si="46"/>
        <v>0</v>
      </c>
      <c r="BG56" s="94">
        <f t="shared" si="47"/>
        <v>30</v>
      </c>
      <c r="BH56" s="89"/>
      <c r="BI56" s="89"/>
      <c r="BJ56" s="92">
        <f>$CN56</f>
        <v>0</v>
      </c>
      <c r="BK56" s="92"/>
      <c r="BL56" s="92"/>
      <c r="BM56" s="92"/>
      <c r="BN56" s="92"/>
      <c r="BO56" s="92">
        <f t="shared" si="70"/>
        <v>0</v>
      </c>
      <c r="BP56" s="92">
        <f t="shared" si="70"/>
        <v>0</v>
      </c>
      <c r="BQ56" s="96">
        <f t="shared" si="48"/>
        <v>0</v>
      </c>
      <c r="BR56" s="96">
        <f t="shared" si="49"/>
        <v>0</v>
      </c>
      <c r="BS56" s="96">
        <f t="shared" si="71"/>
        <v>0</v>
      </c>
      <c r="BT56" s="96">
        <f t="shared" si="50"/>
        <v>0</v>
      </c>
      <c r="BU56" s="92">
        <f t="shared" si="16"/>
        <v>0</v>
      </c>
      <c r="BV56" s="98">
        <f t="shared" si="17"/>
        <v>0</v>
      </c>
      <c r="BW56" s="92">
        <f t="shared" si="18"/>
        <v>0</v>
      </c>
      <c r="BX56" s="98">
        <f t="shared" si="51"/>
        <v>0</v>
      </c>
      <c r="BY56" s="61">
        <f t="shared" si="73"/>
        <v>0</v>
      </c>
      <c r="BZ56" s="62">
        <f t="shared" si="52"/>
        <v>0</v>
      </c>
      <c r="CA56" s="98">
        <f t="shared" si="53"/>
        <v>0</v>
      </c>
      <c r="CB56" s="92">
        <f t="shared" si="98"/>
        <v>0</v>
      </c>
      <c r="CC56" s="92">
        <f t="shared" si="98"/>
        <v>0</v>
      </c>
      <c r="CD56" s="92">
        <f t="shared" si="98"/>
        <v>0</v>
      </c>
      <c r="CE56" s="99"/>
      <c r="CF56" s="99"/>
      <c r="CG56" s="51">
        <f t="shared" si="54"/>
        <v>0</v>
      </c>
      <c r="CH56" s="62">
        <f t="shared" si="55"/>
        <v>0</v>
      </c>
      <c r="CI56" s="89"/>
      <c r="CJ56" s="89"/>
      <c r="CK56" s="89"/>
      <c r="CL56" s="96"/>
      <c r="CM56" s="89"/>
      <c r="CN56" s="89"/>
      <c r="CO56" s="92"/>
      <c r="CP56" s="101"/>
      <c r="CQ56" s="102">
        <f t="shared" si="101"/>
        <v>0</v>
      </c>
      <c r="CR56" s="102">
        <f t="shared" si="101"/>
        <v>0</v>
      </c>
      <c r="CS56" s="102">
        <f t="shared" si="101"/>
        <v>0</v>
      </c>
      <c r="CT56" s="92">
        <f t="shared" si="57"/>
        <v>0</v>
      </c>
      <c r="CU56" s="92">
        <f t="shared" si="102"/>
        <v>0</v>
      </c>
      <c r="CV56" s="103">
        <f t="shared" si="102"/>
        <v>0</v>
      </c>
      <c r="CW56" s="104" t="s">
        <v>147</v>
      </c>
      <c r="CX56" s="105">
        <v>10</v>
      </c>
      <c r="CY56" s="106">
        <f t="shared" si="59"/>
        <v>2790</v>
      </c>
      <c r="CZ56" s="106">
        <f t="shared" si="60"/>
        <v>40.5</v>
      </c>
      <c r="DA56" s="106"/>
      <c r="DB56" s="106"/>
      <c r="DC56" s="105"/>
      <c r="DD56" s="107"/>
      <c r="DE56" s="92">
        <f t="shared" si="21"/>
        <v>0</v>
      </c>
      <c r="DF56" s="108">
        <f t="shared" si="22"/>
        <v>0</v>
      </c>
      <c r="DG56" s="112">
        <f t="shared" si="23"/>
        <v>0</v>
      </c>
      <c r="DH56" s="136">
        <f t="shared" si="24"/>
        <v>0</v>
      </c>
      <c r="DI56" s="135">
        <f t="shared" si="25"/>
        <v>0</v>
      </c>
      <c r="DJ56" s="115">
        <f t="shared" si="26"/>
        <v>0</v>
      </c>
      <c r="DK56" s="110">
        <f t="shared" si="86"/>
        <v>0</v>
      </c>
      <c r="DL56" s="108">
        <f t="shared" si="86"/>
        <v>0</v>
      </c>
      <c r="DM56" s="111">
        <f t="shared" si="86"/>
        <v>0</v>
      </c>
      <c r="DN56" s="76">
        <f t="shared" si="89"/>
        <v>30</v>
      </c>
      <c r="DO56" s="76">
        <f t="shared" si="89"/>
        <v>0</v>
      </c>
      <c r="DP56" s="112"/>
      <c r="DQ56" s="112"/>
      <c r="DR56" s="113" t="s">
        <v>449</v>
      </c>
      <c r="DS56" s="112"/>
      <c r="DT56" s="112"/>
      <c r="DU56" s="111"/>
      <c r="DV56" s="114"/>
      <c r="DW56" s="80">
        <f t="shared" si="104"/>
        <v>0</v>
      </c>
      <c r="DX56" s="81">
        <f t="shared" si="29"/>
        <v>0</v>
      </c>
      <c r="DY56" s="80">
        <f t="shared" si="62"/>
        <v>0</v>
      </c>
      <c r="DZ56" s="82">
        <f t="shared" si="63"/>
        <v>0</v>
      </c>
      <c r="EA56" s="82">
        <f t="shared" si="64"/>
        <v>0</v>
      </c>
      <c r="EB56" s="82">
        <f t="shared" si="65"/>
        <v>0</v>
      </c>
      <c r="EC56" s="82">
        <f t="shared" si="105"/>
        <v>0</v>
      </c>
      <c r="EF56" s="83">
        <f t="shared" si="92"/>
        <v>0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1"/>
        <v>GWA6063-T5-8.3x3-H9B14</v>
      </c>
      <c r="H57" s="46" t="str">
        <f t="shared" si="32"/>
        <v>A6063-T5GW8.30DH9</v>
      </c>
      <c r="I57" s="46" t="str">
        <f t="shared" si="33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4"/>
        <v>12</v>
      </c>
      <c r="T57" s="51">
        <f>'05.02'!BG57</f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5"/>
        <v>0</v>
      </c>
      <c r="AF57" s="54">
        <f>AE57+'05.02'!AF57</f>
        <v>0</v>
      </c>
      <c r="AG57" s="94">
        <f t="shared" si="66"/>
        <v>47</v>
      </c>
      <c r="AH57" s="56">
        <f t="shared" si="13"/>
        <v>0</v>
      </c>
      <c r="AI57" s="93"/>
      <c r="AJ57" s="93">
        <f t="shared" si="67"/>
        <v>0</v>
      </c>
      <c r="AK57" s="95">
        <f t="shared" si="36"/>
        <v>1</v>
      </c>
      <c r="AL57" s="58">
        <f t="shared" si="37"/>
        <v>0</v>
      </c>
      <c r="AM57" s="55">
        <f t="shared" si="68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8"/>
        <v>0</v>
      </c>
      <c r="AV57" s="96">
        <f t="shared" si="38"/>
        <v>0</v>
      </c>
      <c r="AW57" s="96">
        <f t="shared" si="39"/>
        <v>0</v>
      </c>
      <c r="AX57" s="96">
        <f t="shared" si="40"/>
        <v>0</v>
      </c>
      <c r="AY57" s="94">
        <f t="shared" si="69"/>
        <v>0</v>
      </c>
      <c r="AZ57" s="94">
        <f t="shared" si="41"/>
        <v>0</v>
      </c>
      <c r="BA57" s="94">
        <f t="shared" si="42"/>
        <v>47</v>
      </c>
      <c r="BB57" s="97">
        <f t="shared" si="43"/>
        <v>0</v>
      </c>
      <c r="BC57" s="93"/>
      <c r="BD57" s="93">
        <f t="shared" si="44"/>
        <v>0</v>
      </c>
      <c r="BE57" s="95">
        <f t="shared" si="45"/>
        <v>1</v>
      </c>
      <c r="BF57" s="58">
        <f t="shared" si="46"/>
        <v>0</v>
      </c>
      <c r="BG57" s="94">
        <f t="shared" si="47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0"/>
        <v>0</v>
      </c>
      <c r="BP57" s="92">
        <f t="shared" si="70"/>
        <v>0</v>
      </c>
      <c r="BQ57" s="96">
        <f t="shared" si="48"/>
        <v>0</v>
      </c>
      <c r="BR57" s="96">
        <f t="shared" si="49"/>
        <v>0</v>
      </c>
      <c r="BS57" s="96">
        <f t="shared" si="71"/>
        <v>0</v>
      </c>
      <c r="BT57" s="96">
        <f t="shared" si="50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1"/>
        <v>0</v>
      </c>
      <c r="BY57" s="61">
        <f t="shared" si="73"/>
        <v>0</v>
      </c>
      <c r="BZ57" s="62">
        <f t="shared" si="52"/>
        <v>0</v>
      </c>
      <c r="CA57" s="98">
        <f t="shared" si="53"/>
        <v>0</v>
      </c>
      <c r="CB57" s="92">
        <f t="shared" si="98"/>
        <v>0</v>
      </c>
      <c r="CC57" s="92">
        <f t="shared" si="98"/>
        <v>0</v>
      </c>
      <c r="CD57" s="92">
        <f t="shared" si="98"/>
        <v>0</v>
      </c>
      <c r="CE57" s="99"/>
      <c r="CF57" s="99"/>
      <c r="CG57" s="51">
        <f t="shared" si="54"/>
        <v>0</v>
      </c>
      <c r="CH57" s="62">
        <f t="shared" si="55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101"/>
        <v>0</v>
      </c>
      <c r="CR57" s="102">
        <f t="shared" si="101"/>
        <v>0</v>
      </c>
      <c r="CS57" s="102">
        <f t="shared" si="101"/>
        <v>0</v>
      </c>
      <c r="CT57" s="92">
        <f t="shared" si="57"/>
        <v>0</v>
      </c>
      <c r="CU57" s="92">
        <f t="shared" si="102"/>
        <v>0</v>
      </c>
      <c r="CV57" s="103">
        <f t="shared" si="102"/>
        <v>0</v>
      </c>
      <c r="CW57" s="104" t="s">
        <v>147</v>
      </c>
      <c r="CX57" s="105">
        <v>22</v>
      </c>
      <c r="CY57" s="106">
        <f t="shared" si="59"/>
        <v>1914</v>
      </c>
      <c r="CZ57" s="106">
        <f t="shared" si="60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6"/>
        <v>0</v>
      </c>
      <c r="DL57" s="108">
        <f t="shared" si="86"/>
        <v>0</v>
      </c>
      <c r="DM57" s="111">
        <f t="shared" si="86"/>
        <v>0</v>
      </c>
      <c r="DN57" s="76">
        <f t="shared" si="89"/>
        <v>47</v>
      </c>
      <c r="DO57" s="76">
        <f t="shared" si="89"/>
        <v>0</v>
      </c>
      <c r="DP57" s="112"/>
      <c r="DQ57" s="112"/>
      <c r="DR57" s="113" t="s">
        <v>450</v>
      </c>
      <c r="DS57" s="112"/>
      <c r="DT57" s="112"/>
      <c r="DU57" s="111"/>
      <c r="DV57" s="114"/>
      <c r="DW57" s="80">
        <f t="shared" si="104"/>
        <v>0</v>
      </c>
      <c r="DX57" s="81">
        <f t="shared" si="29"/>
        <v>0</v>
      </c>
      <c r="DY57" s="80">
        <f t="shared" si="62"/>
        <v>0</v>
      </c>
      <c r="DZ57" s="82">
        <f t="shared" si="63"/>
        <v>0</v>
      </c>
      <c r="EA57" s="82">
        <f t="shared" si="64"/>
        <v>0</v>
      </c>
      <c r="EB57" s="82">
        <f t="shared" si="65"/>
        <v>0</v>
      </c>
      <c r="EC57" s="82">
        <f t="shared" si="75"/>
        <v>0</v>
      </c>
      <c r="EF57" s="83">
        <f t="shared" si="92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1"/>
        <v>IBC3604-6.5x3-H9A15</v>
      </c>
      <c r="H58" s="46" t="str">
        <f t="shared" si="32"/>
        <v>C3604IB6.50DH9</v>
      </c>
      <c r="I58" s="46" t="str">
        <f t="shared" si="33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4"/>
        <v>20</v>
      </c>
      <c r="T58" s="51">
        <f>'05.02'!BG58</f>
        <v>14</v>
      </c>
      <c r="U58" s="92">
        <v>36</v>
      </c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5709</v>
      </c>
      <c r="AC58" s="93">
        <f t="shared" si="11"/>
        <v>0</v>
      </c>
      <c r="AD58" s="93">
        <f t="shared" si="12"/>
        <v>98</v>
      </c>
      <c r="AE58" s="93">
        <f t="shared" si="35"/>
        <v>5709</v>
      </c>
      <c r="AF58" s="54">
        <f>AE58+'05.02'!AF58</f>
        <v>36535</v>
      </c>
      <c r="AG58" s="94">
        <f t="shared" si="66"/>
        <v>14</v>
      </c>
      <c r="AH58" s="56">
        <f t="shared" si="13"/>
        <v>0</v>
      </c>
      <c r="AI58" s="93">
        <v>9</v>
      </c>
      <c r="AJ58" s="93">
        <f t="shared" si="67"/>
        <v>90</v>
      </c>
      <c r="AK58" s="95">
        <f t="shared" si="36"/>
        <v>0.47440830741658319</v>
      </c>
      <c r="AL58" s="58">
        <f t="shared" si="37"/>
        <v>8.48</v>
      </c>
      <c r="AM58" s="55">
        <f t="shared" si="68"/>
        <v>41.519999999999996</v>
      </c>
      <c r="AN58" s="93"/>
      <c r="AO58" s="96"/>
      <c r="AP58" s="96"/>
      <c r="AQ58" s="96"/>
      <c r="AR58" s="96"/>
      <c r="AS58" s="96"/>
      <c r="AT58" s="96">
        <f>$CJ58</f>
        <v>1596</v>
      </c>
      <c r="AU58" s="96">
        <f t="shared" si="38"/>
        <v>0</v>
      </c>
      <c r="AV58" s="96">
        <f t="shared" si="38"/>
        <v>10</v>
      </c>
      <c r="AW58" s="96">
        <f t="shared" si="39"/>
        <v>1606</v>
      </c>
      <c r="AX58" s="96">
        <f t="shared" si="40"/>
        <v>2632</v>
      </c>
      <c r="AY58" s="94">
        <f t="shared" si="69"/>
        <v>-2.7408000000000357</v>
      </c>
      <c r="AZ58" s="94">
        <f t="shared" si="41"/>
        <v>-4.4931147540984195</v>
      </c>
      <c r="BA58" s="94">
        <f t="shared" si="42"/>
        <v>41.519999999999996</v>
      </c>
      <c r="BB58" s="97">
        <f t="shared" si="43"/>
        <v>0.52</v>
      </c>
      <c r="BC58" s="93">
        <v>10</v>
      </c>
      <c r="BD58" s="93">
        <f t="shared" si="44"/>
        <v>0</v>
      </c>
      <c r="BE58" s="95">
        <f t="shared" si="45"/>
        <v>1</v>
      </c>
      <c r="BF58" s="58">
        <f t="shared" si="46"/>
        <v>10.52</v>
      </c>
      <c r="BG58" s="94">
        <f t="shared" si="47"/>
        <v>30.999999999999996</v>
      </c>
      <c r="BH58" s="89"/>
      <c r="BI58" s="89"/>
      <c r="BJ58" s="89"/>
      <c r="BK58" s="89"/>
      <c r="BL58" s="89"/>
      <c r="BM58" s="89"/>
      <c r="BN58" s="92">
        <f>$CN58</f>
        <v>1887</v>
      </c>
      <c r="BO58" s="92">
        <f t="shared" si="70"/>
        <v>0</v>
      </c>
      <c r="BP58" s="92">
        <f t="shared" si="70"/>
        <v>50</v>
      </c>
      <c r="BQ58" s="96">
        <f t="shared" si="48"/>
        <v>1937</v>
      </c>
      <c r="BR58" s="96">
        <f t="shared" si="49"/>
        <v>3175</v>
      </c>
      <c r="BS58" s="96">
        <f t="shared" si="71"/>
        <v>-58.749199999999746</v>
      </c>
      <c r="BT58" s="96">
        <f t="shared" si="50"/>
        <v>-96.310163934425816</v>
      </c>
      <c r="BU58" s="92">
        <f t="shared" si="16"/>
        <v>5709</v>
      </c>
      <c r="BV58" s="98">
        <f t="shared" si="17"/>
        <v>19</v>
      </c>
      <c r="BW58" s="92">
        <f t="shared" si="18"/>
        <v>-100.80327868852423</v>
      </c>
      <c r="BX58" s="98">
        <f t="shared" si="51"/>
        <v>15.978999999999999</v>
      </c>
      <c r="BY58" s="61">
        <f t="shared" si="73"/>
        <v>19</v>
      </c>
      <c r="BZ58" s="62">
        <f t="shared" si="52"/>
        <v>19</v>
      </c>
      <c r="CA58" s="98">
        <f t="shared" si="53"/>
        <v>3.5430000000000001</v>
      </c>
      <c r="CB58" s="92">
        <f t="shared" si="98"/>
        <v>5807</v>
      </c>
      <c r="CC58" s="92">
        <f t="shared" si="98"/>
        <v>-61.489999999999782</v>
      </c>
      <c r="CD58" s="92">
        <f t="shared" si="98"/>
        <v>-100.80327868852423</v>
      </c>
      <c r="CE58" s="99"/>
      <c r="CF58" s="99"/>
      <c r="CG58" s="51">
        <f t="shared" si="54"/>
        <v>12.496</v>
      </c>
      <c r="CH58" s="62">
        <f t="shared" si="55"/>
        <v>12.496</v>
      </c>
      <c r="CI58" s="89">
        <v>90</v>
      </c>
      <c r="CJ58" s="89">
        <v>1596</v>
      </c>
      <c r="CK58" s="89"/>
      <c r="CL58" s="96">
        <v>10</v>
      </c>
      <c r="CM58" s="89"/>
      <c r="CN58" s="89">
        <v>1887</v>
      </c>
      <c r="CO58" s="92"/>
      <c r="CP58" s="101">
        <v>50</v>
      </c>
      <c r="CQ58" s="102">
        <f t="shared" si="101"/>
        <v>2616</v>
      </c>
      <c r="CR58" s="102">
        <f t="shared" si="101"/>
        <v>0</v>
      </c>
      <c r="CS58" s="102">
        <f t="shared" si="101"/>
        <v>16</v>
      </c>
      <c r="CT58" s="92">
        <f t="shared" si="57"/>
        <v>3093</v>
      </c>
      <c r="CU58" s="92">
        <f t="shared" si="102"/>
        <v>0</v>
      </c>
      <c r="CV58" s="103">
        <f t="shared" si="102"/>
        <v>82</v>
      </c>
      <c r="CW58" s="104" t="s">
        <v>147</v>
      </c>
      <c r="CX58" s="105">
        <v>13</v>
      </c>
      <c r="CY58" s="106">
        <f t="shared" si="59"/>
        <v>3170</v>
      </c>
      <c r="CZ58" s="106">
        <f t="shared" si="60"/>
        <v>52.650000000000006</v>
      </c>
      <c r="DA58" s="106"/>
      <c r="DB58" s="106"/>
      <c r="DC58" s="105"/>
      <c r="DD58" s="107"/>
      <c r="DE58" s="92">
        <f t="shared" si="21"/>
        <v>2616</v>
      </c>
      <c r="DF58" s="108">
        <f t="shared" si="22"/>
        <v>8.48</v>
      </c>
      <c r="DG58" s="112">
        <f t="shared" si="23"/>
        <v>-4.4931147540984195</v>
      </c>
      <c r="DH58" s="110">
        <f t="shared" si="24"/>
        <v>3093</v>
      </c>
      <c r="DI58" s="108">
        <f t="shared" si="25"/>
        <v>10.52</v>
      </c>
      <c r="DJ58" s="112">
        <f t="shared" si="26"/>
        <v>-96.310163934425816</v>
      </c>
      <c r="DK58" s="110">
        <f t="shared" si="86"/>
        <v>5709</v>
      </c>
      <c r="DL58" s="108">
        <f t="shared" si="86"/>
        <v>19</v>
      </c>
      <c r="DM58" s="111">
        <f t="shared" si="86"/>
        <v>-100.80327868852423</v>
      </c>
      <c r="DN58" s="76">
        <f t="shared" si="89"/>
        <v>14</v>
      </c>
      <c r="DO58" s="76">
        <f t="shared" si="89"/>
        <v>36</v>
      </c>
      <c r="DP58" s="112"/>
      <c r="DQ58" s="112"/>
      <c r="DR58" s="113" t="s">
        <v>451</v>
      </c>
      <c r="DS58" s="112"/>
      <c r="DT58" s="112"/>
      <c r="DU58" s="111"/>
      <c r="DV58" s="114"/>
      <c r="DW58" s="80">
        <f t="shared" si="104"/>
        <v>19</v>
      </c>
      <c r="DX58" s="81">
        <f t="shared" si="29"/>
        <v>5627.1967213114758</v>
      </c>
      <c r="DY58" s="80">
        <f t="shared" si="62"/>
        <v>5807</v>
      </c>
      <c r="DZ58" s="82">
        <f t="shared" si="63"/>
        <v>5.978E-2</v>
      </c>
      <c r="EA58" s="82">
        <f t="shared" si="64"/>
        <v>3.4824899999999999</v>
      </c>
      <c r="EB58" s="82">
        <f t="shared" si="65"/>
        <v>12.496509999999999</v>
      </c>
      <c r="EC58" s="82">
        <f>(BX58-CA58)+((AV58+BP58)/1000)</f>
        <v>12.496</v>
      </c>
      <c r="EF58" s="83">
        <f t="shared" si="92"/>
        <v>-100.80327868852423</v>
      </c>
    </row>
    <row r="59" spans="1:136" ht="14.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1"/>
        <v>GWA6063-T5-7.5x3-H9B14</v>
      </c>
      <c r="H59" s="46" t="str">
        <f t="shared" si="32"/>
        <v>A6063-T5GW7.50DH9</v>
      </c>
      <c r="I59" s="46" t="str">
        <f t="shared" si="33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4"/>
        <v>22</v>
      </c>
      <c r="T59" s="51">
        <f>'05.02'!BG59</f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5"/>
        <v>0</v>
      </c>
      <c r="AF59" s="54">
        <f>AE59+'05.02'!AF59</f>
        <v>0</v>
      </c>
      <c r="AG59" s="94">
        <f t="shared" si="66"/>
        <v>0</v>
      </c>
      <c r="AH59" s="56">
        <f t="shared" si="13"/>
        <v>0</v>
      </c>
      <c r="AI59" s="93"/>
      <c r="AJ59" s="93">
        <f t="shared" si="67"/>
        <v>0</v>
      </c>
      <c r="AK59" s="95">
        <f t="shared" si="36"/>
        <v>1</v>
      </c>
      <c r="AL59" s="58">
        <f t="shared" si="37"/>
        <v>0</v>
      </c>
      <c r="AM59" s="55">
        <f t="shared" si="68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8"/>
        <v>0</v>
      </c>
      <c r="AV59" s="96">
        <f t="shared" si="38"/>
        <v>0</v>
      </c>
      <c r="AW59" s="96">
        <f t="shared" si="39"/>
        <v>0</v>
      </c>
      <c r="AX59" s="96">
        <f t="shared" si="40"/>
        <v>0</v>
      </c>
      <c r="AY59" s="94">
        <f t="shared" si="69"/>
        <v>0</v>
      </c>
      <c r="AZ59" s="94">
        <f t="shared" si="41"/>
        <v>0</v>
      </c>
      <c r="BA59" s="94">
        <f t="shared" si="42"/>
        <v>0</v>
      </c>
      <c r="BB59" s="97">
        <f t="shared" si="43"/>
        <v>0</v>
      </c>
      <c r="BC59" s="93"/>
      <c r="BD59" s="93">
        <f t="shared" si="44"/>
        <v>0</v>
      </c>
      <c r="BE59" s="95">
        <f t="shared" si="45"/>
        <v>1</v>
      </c>
      <c r="BF59" s="58">
        <f t="shared" si="46"/>
        <v>0</v>
      </c>
      <c r="BG59" s="94">
        <f t="shared" si="47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0"/>
        <v>0</v>
      </c>
      <c r="BP59" s="92">
        <f t="shared" si="70"/>
        <v>0</v>
      </c>
      <c r="BQ59" s="96">
        <f t="shared" si="48"/>
        <v>0</v>
      </c>
      <c r="BR59" s="96">
        <f t="shared" si="49"/>
        <v>0</v>
      </c>
      <c r="BS59" s="96">
        <f t="shared" si="71"/>
        <v>0</v>
      </c>
      <c r="BT59" s="96">
        <f t="shared" si="50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1"/>
        <v>0</v>
      </c>
      <c r="BY59" s="61">
        <f t="shared" si="73"/>
        <v>0</v>
      </c>
      <c r="BZ59" s="62">
        <f t="shared" si="52"/>
        <v>0</v>
      </c>
      <c r="CA59" s="98">
        <f t="shared" si="53"/>
        <v>0</v>
      </c>
      <c r="CB59" s="92">
        <f t="shared" si="98"/>
        <v>0</v>
      </c>
      <c r="CC59" s="92">
        <f t="shared" si="98"/>
        <v>0</v>
      </c>
      <c r="CD59" s="92">
        <f t="shared" si="98"/>
        <v>0</v>
      </c>
      <c r="CE59" s="99"/>
      <c r="CF59" s="99"/>
      <c r="CG59" s="51">
        <f t="shared" si="54"/>
        <v>0</v>
      </c>
      <c r="CH59" s="62">
        <f t="shared" si="55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101"/>
        <v>0</v>
      </c>
      <c r="CR59" s="102">
        <f t="shared" si="101"/>
        <v>0</v>
      </c>
      <c r="CS59" s="102">
        <f t="shared" si="101"/>
        <v>0</v>
      </c>
      <c r="CT59" s="92">
        <f t="shared" si="57"/>
        <v>0</v>
      </c>
      <c r="CU59" s="92">
        <f t="shared" si="102"/>
        <v>0</v>
      </c>
      <c r="CV59" s="103">
        <f t="shared" si="102"/>
        <v>0</v>
      </c>
      <c r="CW59" s="104" t="s">
        <v>147</v>
      </c>
      <c r="CX59" s="105">
        <v>15.56</v>
      </c>
      <c r="CY59" s="106">
        <f t="shared" si="59"/>
        <v>2637</v>
      </c>
      <c r="CZ59" s="106">
        <f t="shared" si="60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6"/>
        <v>0</v>
      </c>
      <c r="DL59" s="108">
        <f t="shared" si="86"/>
        <v>0</v>
      </c>
      <c r="DM59" s="111">
        <f t="shared" si="86"/>
        <v>0</v>
      </c>
      <c r="DN59" s="76">
        <f t="shared" si="89"/>
        <v>0</v>
      </c>
      <c r="DO59" s="76">
        <f t="shared" si="89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1"/>
        <v>0</v>
      </c>
      <c r="DX59" s="81">
        <f t="shared" si="29"/>
        <v>0</v>
      </c>
      <c r="DY59" s="80">
        <f t="shared" si="62"/>
        <v>0</v>
      </c>
      <c r="DZ59" s="82">
        <f t="shared" si="63"/>
        <v>0</v>
      </c>
      <c r="EA59" s="82">
        <f t="shared" si="64"/>
        <v>0</v>
      </c>
      <c r="EB59" s="82">
        <f t="shared" si="65"/>
        <v>0</v>
      </c>
      <c r="EC59" s="82">
        <f t="shared" si="75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1"/>
        <v>TVSUS303-5x3-H7B13</v>
      </c>
      <c r="H60" s="46" t="str">
        <f t="shared" si="32"/>
        <v>SUS303TV50DH7</v>
      </c>
      <c r="I60" s="46" t="str">
        <f t="shared" si="33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4"/>
        <v>6</v>
      </c>
      <c r="T60" s="51">
        <f>'05.02'!BG60</f>
        <v>21</v>
      </c>
      <c r="U60" s="92"/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873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191</v>
      </c>
      <c r="AE60" s="93">
        <f t="shared" si="35"/>
        <v>873</v>
      </c>
      <c r="AF60" s="54">
        <f>AE60+'05.02'!AF60</f>
        <v>2617</v>
      </c>
      <c r="AG60" s="94">
        <f t="shared" si="66"/>
        <v>21</v>
      </c>
      <c r="AH60" s="56">
        <f t="shared" si="13"/>
        <v>0</v>
      </c>
      <c r="AI60" s="93"/>
      <c r="AJ60" s="93">
        <f t="shared" si="67"/>
        <v>0</v>
      </c>
      <c r="AK60" s="95">
        <f t="shared" si="36"/>
        <v>1</v>
      </c>
      <c r="AL60" s="58">
        <f t="shared" si="37"/>
        <v>0</v>
      </c>
      <c r="AM60" s="55">
        <f t="shared" si="68"/>
        <v>21</v>
      </c>
      <c r="AN60" s="93"/>
      <c r="AO60" s="96"/>
      <c r="AP60" s="96"/>
      <c r="AQ60" s="96"/>
      <c r="AR60" s="96">
        <f t="shared" ref="AR60:AS61" si="106">$CJ60</f>
        <v>0</v>
      </c>
      <c r="AS60" s="96"/>
      <c r="AT60" s="96"/>
      <c r="AU60" s="96">
        <f t="shared" si="38"/>
        <v>0</v>
      </c>
      <c r="AV60" s="96">
        <f t="shared" si="38"/>
        <v>0</v>
      </c>
      <c r="AW60" s="96">
        <f t="shared" si="39"/>
        <v>0</v>
      </c>
      <c r="AX60" s="96">
        <f t="shared" si="40"/>
        <v>0</v>
      </c>
      <c r="AY60" s="94">
        <f t="shared" si="69"/>
        <v>0</v>
      </c>
      <c r="AZ60" s="94">
        <f t="shared" si="41"/>
        <v>0</v>
      </c>
      <c r="BA60" s="94">
        <f t="shared" si="42"/>
        <v>21</v>
      </c>
      <c r="BB60" s="97">
        <f t="shared" si="43"/>
        <v>0</v>
      </c>
      <c r="BC60" s="93">
        <v>2</v>
      </c>
      <c r="BD60" s="93">
        <f t="shared" si="44"/>
        <v>0</v>
      </c>
      <c r="BE60" s="95">
        <f t="shared" si="45"/>
        <v>1</v>
      </c>
      <c r="BF60" s="58">
        <f t="shared" si="46"/>
        <v>2</v>
      </c>
      <c r="BG60" s="94">
        <f t="shared" si="47"/>
        <v>19</v>
      </c>
      <c r="BH60" s="89"/>
      <c r="BI60" s="89"/>
      <c r="BJ60" s="92"/>
      <c r="BK60" s="89"/>
      <c r="BL60" s="92">
        <f>$CN60</f>
        <v>319</v>
      </c>
      <c r="BM60" s="92"/>
      <c r="BN60" s="92"/>
      <c r="BO60" s="92">
        <f t="shared" si="70"/>
        <v>0</v>
      </c>
      <c r="BP60" s="92">
        <f t="shared" si="70"/>
        <v>70</v>
      </c>
      <c r="BQ60" s="96">
        <f t="shared" si="48"/>
        <v>389</v>
      </c>
      <c r="BR60" s="96">
        <f t="shared" si="49"/>
        <v>1065</v>
      </c>
      <c r="BS60" s="96">
        <f t="shared" si="71"/>
        <v>17.430000000000007</v>
      </c>
      <c r="BT60" s="96">
        <f t="shared" si="50"/>
        <v>47.753424657534268</v>
      </c>
      <c r="BU60" s="92">
        <f t="shared" si="16"/>
        <v>873</v>
      </c>
      <c r="BV60" s="98">
        <f t="shared" si="17"/>
        <v>2</v>
      </c>
      <c r="BW60" s="92">
        <f t="shared" si="18"/>
        <v>47.753424657534268</v>
      </c>
      <c r="BX60" s="98">
        <f t="shared" si="51"/>
        <v>0.94</v>
      </c>
      <c r="BY60" s="61">
        <f t="shared" si="73"/>
        <v>2</v>
      </c>
      <c r="BZ60" s="62">
        <f t="shared" si="52"/>
        <v>2</v>
      </c>
      <c r="CA60" s="98">
        <f t="shared" si="53"/>
        <v>0.38900000000000001</v>
      </c>
      <c r="CB60" s="92">
        <f t="shared" si="98"/>
        <v>1065</v>
      </c>
      <c r="CC60" s="92">
        <f t="shared" si="98"/>
        <v>17.430000000000007</v>
      </c>
      <c r="CD60" s="92">
        <f t="shared" si="98"/>
        <v>47.753424657534268</v>
      </c>
      <c r="CE60" s="99"/>
      <c r="CF60" s="99"/>
      <c r="CG60" s="51">
        <f t="shared" si="54"/>
        <v>0.621</v>
      </c>
      <c r="CH60" s="62">
        <f t="shared" si="55"/>
        <v>0.621</v>
      </c>
      <c r="CI60" s="89"/>
      <c r="CJ60" s="89"/>
      <c r="CK60" s="89"/>
      <c r="CL60" s="96"/>
      <c r="CM60" s="89"/>
      <c r="CN60" s="89">
        <v>319</v>
      </c>
      <c r="CO60" s="92"/>
      <c r="CP60" s="101">
        <v>70</v>
      </c>
      <c r="CQ60" s="102">
        <f t="shared" si="101"/>
        <v>0</v>
      </c>
      <c r="CR60" s="102">
        <f t="shared" si="101"/>
        <v>0</v>
      </c>
      <c r="CS60" s="102">
        <f t="shared" si="101"/>
        <v>0</v>
      </c>
      <c r="CT60" s="92">
        <f t="shared" si="57"/>
        <v>873</v>
      </c>
      <c r="CU60" s="92">
        <f t="shared" si="102"/>
        <v>0</v>
      </c>
      <c r="CV60" s="103">
        <f t="shared" si="102"/>
        <v>191</v>
      </c>
      <c r="CW60" s="104" t="s">
        <v>147</v>
      </c>
      <c r="CX60" s="105">
        <v>30</v>
      </c>
      <c r="CY60" s="106">
        <f t="shared" si="59"/>
        <v>1422</v>
      </c>
      <c r="CZ60" s="106">
        <f t="shared" si="60"/>
        <v>121.50000000000001</v>
      </c>
      <c r="DA60" s="106"/>
      <c r="DB60" s="106"/>
      <c r="DC60" s="105"/>
      <c r="DD60" s="107"/>
      <c r="DE60" s="92">
        <f t="shared" si="21"/>
        <v>0</v>
      </c>
      <c r="DF60" s="108">
        <f t="shared" si="22"/>
        <v>0</v>
      </c>
      <c r="DG60" s="115">
        <f t="shared" si="23"/>
        <v>0</v>
      </c>
      <c r="DH60" s="110">
        <f t="shared" si="24"/>
        <v>873</v>
      </c>
      <c r="DI60" s="108">
        <f t="shared" si="25"/>
        <v>2</v>
      </c>
      <c r="DJ60" s="115">
        <f t="shared" si="26"/>
        <v>47.753424657534268</v>
      </c>
      <c r="DK60" s="110">
        <f t="shared" si="86"/>
        <v>873</v>
      </c>
      <c r="DL60" s="108">
        <f t="shared" si="86"/>
        <v>2</v>
      </c>
      <c r="DM60" s="111">
        <f t="shared" si="86"/>
        <v>47.753424657534268</v>
      </c>
      <c r="DN60" s="76">
        <f t="shared" si="89"/>
        <v>21</v>
      </c>
      <c r="DO60" s="76">
        <f t="shared" si="89"/>
        <v>0</v>
      </c>
      <c r="DP60" s="112"/>
      <c r="DQ60" s="112"/>
      <c r="DR60" s="113" t="s">
        <v>452</v>
      </c>
      <c r="DS60" s="112"/>
      <c r="DT60" s="112"/>
      <c r="DU60" s="111"/>
      <c r="DV60" s="114"/>
      <c r="DW60" s="80">
        <f>IFERROR(AL60+BF60,"")</f>
        <v>2</v>
      </c>
      <c r="DX60" s="81">
        <f t="shared" si="29"/>
        <v>922.75342465753431</v>
      </c>
      <c r="DY60" s="80">
        <f t="shared" si="62"/>
        <v>1064</v>
      </c>
      <c r="DZ60" s="82">
        <f t="shared" si="63"/>
        <v>6.9714999999999999E-2</v>
      </c>
      <c r="EA60" s="82">
        <f t="shared" si="64"/>
        <v>0.31864499999999996</v>
      </c>
      <c r="EB60" s="82">
        <f t="shared" si="65"/>
        <v>0.62135499999999999</v>
      </c>
      <c r="EC60" s="82">
        <f t="shared" si="75"/>
        <v>0.69106999999999996</v>
      </c>
      <c r="EF60" s="83">
        <f t="shared" ref="EF60:EF88" si="107">DG60+DJ60</f>
        <v>47.753424657534268</v>
      </c>
    </row>
    <row r="61" spans="1:136" ht="14.1" customHeight="1">
      <c r="A61" s="84">
        <v>54</v>
      </c>
      <c r="B61" s="85" t="s">
        <v>290</v>
      </c>
      <c r="C61" s="86"/>
      <c r="D61" s="254" t="s">
        <v>496</v>
      </c>
      <c r="E61" s="88">
        <v>61</v>
      </c>
      <c r="F61" s="89" t="s">
        <v>147</v>
      </c>
      <c r="G61" s="45" t="str">
        <f t="shared" si="31"/>
        <v>TV12L14-5x3-H9A14</v>
      </c>
      <c r="H61" s="46" t="str">
        <f t="shared" si="32"/>
        <v>12L14TV50DH9</v>
      </c>
      <c r="I61" s="46" t="str">
        <f t="shared" si="33"/>
        <v>12L14TV50DH93A14</v>
      </c>
      <c r="J61" s="90" t="s">
        <v>137</v>
      </c>
      <c r="K61" s="90" t="s">
        <v>138</v>
      </c>
      <c r="L61" s="90">
        <v>5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139</v>
      </c>
      <c r="S61" s="89">
        <f t="shared" si="34"/>
        <v>84</v>
      </c>
      <c r="T61" s="51">
        <f>'05.02'!BG61</f>
        <v>10</v>
      </c>
      <c r="U61" s="92">
        <v>40</v>
      </c>
      <c r="V61" s="100">
        <v>2.0499999999999998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35"/>
        <v>0</v>
      </c>
      <c r="AF61" s="54">
        <f>AE61+'05.02'!AF61</f>
        <v>608</v>
      </c>
      <c r="AG61" s="94">
        <f t="shared" si="66"/>
        <v>10</v>
      </c>
      <c r="AH61" s="56">
        <f t="shared" si="13"/>
        <v>0</v>
      </c>
      <c r="AI61" s="93"/>
      <c r="AJ61" s="93">
        <f t="shared" si="67"/>
        <v>0</v>
      </c>
      <c r="AK61" s="95">
        <f t="shared" si="36"/>
        <v>1</v>
      </c>
      <c r="AL61" s="58">
        <f t="shared" si="37"/>
        <v>0</v>
      </c>
      <c r="AM61" s="55">
        <f t="shared" si="68"/>
        <v>50</v>
      </c>
      <c r="AN61" s="93"/>
      <c r="AO61" s="96"/>
      <c r="AP61" s="96"/>
      <c r="AQ61" s="96"/>
      <c r="AR61" s="96"/>
      <c r="AS61" s="96">
        <f t="shared" si="106"/>
        <v>0</v>
      </c>
      <c r="AT61" s="96"/>
      <c r="AU61" s="96">
        <f t="shared" si="38"/>
        <v>0</v>
      </c>
      <c r="AV61" s="96">
        <f t="shared" si="38"/>
        <v>0</v>
      </c>
      <c r="AW61" s="96">
        <f t="shared" si="39"/>
        <v>0</v>
      </c>
      <c r="AX61" s="96">
        <f t="shared" si="40"/>
        <v>0</v>
      </c>
      <c r="AY61" s="94">
        <f t="shared" si="69"/>
        <v>0</v>
      </c>
      <c r="AZ61" s="94">
        <f t="shared" si="41"/>
        <v>0</v>
      </c>
      <c r="BA61" s="94">
        <f t="shared" si="42"/>
        <v>50</v>
      </c>
      <c r="BB61" s="97">
        <f t="shared" si="43"/>
        <v>0</v>
      </c>
      <c r="BC61" s="93"/>
      <c r="BD61" s="93">
        <f t="shared" si="44"/>
        <v>0</v>
      </c>
      <c r="BE61" s="95">
        <f t="shared" si="45"/>
        <v>1</v>
      </c>
      <c r="BF61" s="58">
        <f t="shared" si="46"/>
        <v>0</v>
      </c>
      <c r="BG61" s="94">
        <f t="shared" si="47"/>
        <v>50</v>
      </c>
      <c r="BH61" s="89"/>
      <c r="BI61" s="89"/>
      <c r="BJ61" s="92"/>
      <c r="BK61" s="89"/>
      <c r="BL61" s="89"/>
      <c r="BM61" s="92">
        <f>$CN61</f>
        <v>0</v>
      </c>
      <c r="BN61" s="92"/>
      <c r="BO61" s="92">
        <f t="shared" si="70"/>
        <v>0</v>
      </c>
      <c r="BP61" s="92">
        <f t="shared" si="70"/>
        <v>0</v>
      </c>
      <c r="BQ61" s="96">
        <f t="shared" si="48"/>
        <v>0</v>
      </c>
      <c r="BR61" s="96">
        <f t="shared" si="49"/>
        <v>0</v>
      </c>
      <c r="BS61" s="96">
        <f t="shared" si="71"/>
        <v>0</v>
      </c>
      <c r="BT61" s="96">
        <f>IF($V61="","",BS61/$V61)</f>
        <v>0</v>
      </c>
      <c r="BU61" s="92">
        <f t="shared" si="16"/>
        <v>0</v>
      </c>
      <c r="BV61" s="98">
        <f t="shared" si="17"/>
        <v>0</v>
      </c>
      <c r="BW61" s="92">
        <f t="shared" si="18"/>
        <v>0</v>
      </c>
      <c r="BX61" s="98">
        <f t="shared" si="51"/>
        <v>0</v>
      </c>
      <c r="BY61" s="61">
        <f t="shared" si="73"/>
        <v>0</v>
      </c>
      <c r="BZ61" s="62">
        <f t="shared" si="52"/>
        <v>0</v>
      </c>
      <c r="CA61" s="98">
        <f t="shared" si="53"/>
        <v>0</v>
      </c>
      <c r="CB61" s="92">
        <f t="shared" si="98"/>
        <v>0</v>
      </c>
      <c r="CC61" s="92">
        <f t="shared" si="98"/>
        <v>0</v>
      </c>
      <c r="CD61" s="92">
        <f t="shared" si="98"/>
        <v>0</v>
      </c>
      <c r="CE61" s="99"/>
      <c r="CF61" s="99"/>
      <c r="CG61" s="51">
        <f t="shared" si="54"/>
        <v>0</v>
      </c>
      <c r="CH61" s="62">
        <f t="shared" si="55"/>
        <v>0</v>
      </c>
      <c r="CI61" s="89"/>
      <c r="CJ61" s="89"/>
      <c r="CK61" s="89"/>
      <c r="CL61" s="96"/>
      <c r="CM61" s="89"/>
      <c r="CN61" s="89"/>
      <c r="CO61" s="92"/>
      <c r="CP61" s="101"/>
      <c r="CQ61" s="102">
        <f t="shared" si="101"/>
        <v>0</v>
      </c>
      <c r="CR61" s="102">
        <f t="shared" si="101"/>
        <v>0</v>
      </c>
      <c r="CS61" s="102">
        <f t="shared" si="101"/>
        <v>0</v>
      </c>
      <c r="CT61" s="92">
        <f t="shared" si="57"/>
        <v>0</v>
      </c>
      <c r="CU61" s="92">
        <f t="shared" si="102"/>
        <v>0</v>
      </c>
      <c r="CV61" s="103">
        <f t="shared" si="102"/>
        <v>0</v>
      </c>
      <c r="CW61" s="104" t="s">
        <v>147</v>
      </c>
      <c r="CX61" s="105">
        <v>13</v>
      </c>
      <c r="CY61" s="106">
        <f t="shared" si="59"/>
        <v>2561</v>
      </c>
      <c r="CZ61" s="106">
        <f t="shared" si="60"/>
        <v>52.650000000000006</v>
      </c>
      <c r="DA61" s="106"/>
      <c r="DB61" s="106"/>
      <c r="DC61" s="105"/>
      <c r="DD61" s="107"/>
      <c r="DE61" s="92">
        <f t="shared" si="21"/>
        <v>0</v>
      </c>
      <c r="DF61" s="108">
        <f t="shared" si="22"/>
        <v>0</v>
      </c>
      <c r="DG61" s="112">
        <f t="shared" si="23"/>
        <v>0</v>
      </c>
      <c r="DH61" s="110">
        <f t="shared" si="24"/>
        <v>0</v>
      </c>
      <c r="DI61" s="108">
        <f t="shared" si="25"/>
        <v>0</v>
      </c>
      <c r="DJ61" s="112">
        <f t="shared" si="26"/>
        <v>0</v>
      </c>
      <c r="DK61" s="110">
        <f t="shared" si="86"/>
        <v>0</v>
      </c>
      <c r="DL61" s="108">
        <f t="shared" si="86"/>
        <v>0</v>
      </c>
      <c r="DM61" s="111">
        <f t="shared" si="86"/>
        <v>0</v>
      </c>
      <c r="DN61" s="76">
        <f t="shared" si="89"/>
        <v>10</v>
      </c>
      <c r="DO61" s="76">
        <f t="shared" si="89"/>
        <v>40</v>
      </c>
      <c r="DP61" s="112"/>
      <c r="DQ61" s="112"/>
      <c r="DR61" s="113" t="s">
        <v>498</v>
      </c>
      <c r="DS61" s="112"/>
      <c r="DT61" s="112"/>
      <c r="DU61" s="111"/>
      <c r="DV61" s="114"/>
      <c r="DW61" s="80">
        <f t="shared" si="61"/>
        <v>0</v>
      </c>
      <c r="DX61" s="81">
        <f t="shared" si="29"/>
        <v>0</v>
      </c>
      <c r="DY61" s="80">
        <f t="shared" si="62"/>
        <v>0</v>
      </c>
      <c r="DZ61" s="82">
        <f t="shared" si="63"/>
        <v>0</v>
      </c>
      <c r="EA61" s="82">
        <f t="shared" si="64"/>
        <v>0</v>
      </c>
      <c r="EB61" s="82">
        <f t="shared" si="65"/>
        <v>0</v>
      </c>
      <c r="EC61" s="82">
        <f t="shared" ref="EC61:EC65" si="108">(BX61-CA61)+((AV61+BP61)/1000)</f>
        <v>0</v>
      </c>
      <c r="EF61" s="83">
        <f t="shared" si="107"/>
        <v>0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1"/>
        <v>MIC3602-3x2.5-H9A14</v>
      </c>
      <c r="H62" s="46" t="str">
        <f t="shared" si="32"/>
        <v>C3602MI30DH9</v>
      </c>
      <c r="I62" s="46" t="str">
        <f t="shared" si="33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4"/>
        <v>34</v>
      </c>
      <c r="T62" s="51">
        <f>'05.02'!BG62</f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5"/>
        <v>0</v>
      </c>
      <c r="AF62" s="54">
        <f>AE62+'05.02'!AF62</f>
        <v>0</v>
      </c>
      <c r="AG62" s="94">
        <f t="shared" si="66"/>
        <v>47</v>
      </c>
      <c r="AH62" s="56">
        <f t="shared" si="13"/>
        <v>0</v>
      </c>
      <c r="AI62" s="93"/>
      <c r="AJ62" s="93">
        <f t="shared" si="67"/>
        <v>0</v>
      </c>
      <c r="AK62" s="95">
        <f t="shared" si="36"/>
        <v>1</v>
      </c>
      <c r="AL62" s="58">
        <f t="shared" si="37"/>
        <v>0</v>
      </c>
      <c r="AM62" s="55">
        <f t="shared" si="68"/>
        <v>47</v>
      </c>
      <c r="AN62" s="93"/>
      <c r="AO62" s="96"/>
      <c r="AP62" s="96"/>
      <c r="AQ62" s="96"/>
      <c r="AR62" s="96"/>
      <c r="AS62" s="96"/>
      <c r="AT62" s="96">
        <f t="shared" ref="AT62:AT64" si="109">$CJ62</f>
        <v>0</v>
      </c>
      <c r="AU62" s="96">
        <f t="shared" si="38"/>
        <v>0</v>
      </c>
      <c r="AV62" s="96">
        <f t="shared" si="38"/>
        <v>0</v>
      </c>
      <c r="AW62" s="96">
        <f t="shared" si="39"/>
        <v>0</v>
      </c>
      <c r="AX62" s="96">
        <f t="shared" si="40"/>
        <v>0</v>
      </c>
      <c r="AY62" s="94">
        <f t="shared" si="69"/>
        <v>0</v>
      </c>
      <c r="AZ62" s="94">
        <f t="shared" si="41"/>
        <v>0</v>
      </c>
      <c r="BA62" s="94">
        <f t="shared" si="42"/>
        <v>47</v>
      </c>
      <c r="BB62" s="97">
        <f t="shared" si="43"/>
        <v>0</v>
      </c>
      <c r="BC62" s="93"/>
      <c r="BD62" s="93">
        <f t="shared" si="44"/>
        <v>0</v>
      </c>
      <c r="BE62" s="95">
        <f t="shared" si="45"/>
        <v>1</v>
      </c>
      <c r="BF62" s="58">
        <f t="shared" si="46"/>
        <v>0</v>
      </c>
      <c r="BG62" s="94">
        <f t="shared" si="47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0"/>
        <v>0</v>
      </c>
      <c r="BP62" s="92">
        <f t="shared" si="70"/>
        <v>0</v>
      </c>
      <c r="BQ62" s="96">
        <f t="shared" si="48"/>
        <v>0</v>
      </c>
      <c r="BR62" s="96">
        <f t="shared" si="49"/>
        <v>0</v>
      </c>
      <c r="BS62" s="96">
        <f t="shared" si="71"/>
        <v>0</v>
      </c>
      <c r="BT62" s="96">
        <f t="shared" si="50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1"/>
        <v>0</v>
      </c>
      <c r="BY62" s="61">
        <f t="shared" si="73"/>
        <v>0</v>
      </c>
      <c r="BZ62" s="62">
        <f t="shared" si="52"/>
        <v>0</v>
      </c>
      <c r="CA62" s="98">
        <f t="shared" si="53"/>
        <v>0</v>
      </c>
      <c r="CB62" s="92">
        <f t="shared" si="98"/>
        <v>0</v>
      </c>
      <c r="CC62" s="92">
        <f t="shared" si="98"/>
        <v>0</v>
      </c>
      <c r="CD62" s="92">
        <f t="shared" si="98"/>
        <v>0</v>
      </c>
      <c r="CE62" s="99"/>
      <c r="CF62" s="99"/>
      <c r="CG62" s="51">
        <f t="shared" si="54"/>
        <v>0</v>
      </c>
      <c r="CH62" s="62">
        <f t="shared" si="55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101"/>
        <v>0</v>
      </c>
      <c r="CR62" s="102">
        <f t="shared" si="101"/>
        <v>0</v>
      </c>
      <c r="CS62" s="102">
        <f t="shared" si="101"/>
        <v>0</v>
      </c>
      <c r="CT62" s="92">
        <f t="shared" si="57"/>
        <v>0</v>
      </c>
      <c r="CU62" s="92">
        <f t="shared" si="102"/>
        <v>0</v>
      </c>
      <c r="CV62" s="103">
        <f t="shared" si="102"/>
        <v>0</v>
      </c>
      <c r="CW62" s="104" t="s">
        <v>147</v>
      </c>
      <c r="CX62" s="105">
        <v>6</v>
      </c>
      <c r="CY62" s="106">
        <f t="shared" si="59"/>
        <v>6630</v>
      </c>
      <c r="CZ62" s="106">
        <f t="shared" si="60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6"/>
        <v>0</v>
      </c>
      <c r="DL62" s="108">
        <f t="shared" si="86"/>
        <v>0</v>
      </c>
      <c r="DM62" s="111">
        <f t="shared" si="86"/>
        <v>0</v>
      </c>
      <c r="DN62" s="76">
        <f t="shared" si="89"/>
        <v>47</v>
      </c>
      <c r="DO62" s="76">
        <f t="shared" si="89"/>
        <v>0</v>
      </c>
      <c r="DP62" s="112"/>
      <c r="DQ62" s="112"/>
      <c r="DR62" s="113" t="s">
        <v>454</v>
      </c>
      <c r="DS62" s="112"/>
      <c r="DT62" s="112"/>
      <c r="DU62" s="111"/>
      <c r="DV62" s="114"/>
      <c r="DW62" s="80">
        <f t="shared" ref="DW62:DW65" si="110">IFERROR(AL62+BF62,"")</f>
        <v>0</v>
      </c>
      <c r="DX62" s="81">
        <f t="shared" si="29"/>
        <v>0</v>
      </c>
      <c r="DY62" s="80">
        <f t="shared" si="62"/>
        <v>0</v>
      </c>
      <c r="DZ62" s="82">
        <f t="shared" si="63"/>
        <v>0</v>
      </c>
      <c r="EA62" s="82">
        <f t="shared" si="64"/>
        <v>0</v>
      </c>
      <c r="EB62" s="82">
        <f t="shared" si="65"/>
        <v>0</v>
      </c>
      <c r="EC62" s="82">
        <f t="shared" si="108"/>
        <v>0</v>
      </c>
      <c r="EF62" s="83">
        <f t="shared" si="107"/>
        <v>0</v>
      </c>
    </row>
    <row r="63" spans="1:136" ht="11.25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1"/>
        <v>FRCuBe2Pb-3.15x3-H9A08</v>
      </c>
      <c r="H63" s="46" t="str">
        <f t="shared" si="32"/>
        <v>CuBe2PbFR3.150DH9</v>
      </c>
      <c r="I63" s="46" t="str">
        <f t="shared" si="33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4"/>
        <v>16</v>
      </c>
      <c r="T63" s="51">
        <f>'05.02'!BG63</f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5"/>
        <v>0</v>
      </c>
      <c r="AF63" s="54">
        <f>AE63+'05.02'!AF63</f>
        <v>0</v>
      </c>
      <c r="AG63" s="94">
        <f t="shared" si="66"/>
        <v>0</v>
      </c>
      <c r="AH63" s="56">
        <f t="shared" si="13"/>
        <v>0</v>
      </c>
      <c r="AI63" s="93"/>
      <c r="AJ63" s="93">
        <f t="shared" si="67"/>
        <v>0</v>
      </c>
      <c r="AK63" s="95">
        <f t="shared" si="36"/>
        <v>1</v>
      </c>
      <c r="AL63" s="58">
        <f t="shared" si="37"/>
        <v>0</v>
      </c>
      <c r="AM63" s="55">
        <f t="shared" si="68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8"/>
        <v>0</v>
      </c>
      <c r="AV63" s="96">
        <f t="shared" si="38"/>
        <v>0</v>
      </c>
      <c r="AW63" s="96">
        <f t="shared" si="39"/>
        <v>0</v>
      </c>
      <c r="AX63" s="96">
        <f t="shared" si="40"/>
        <v>0</v>
      </c>
      <c r="AY63" s="94">
        <f t="shared" si="69"/>
        <v>0</v>
      </c>
      <c r="AZ63" s="94">
        <f t="shared" si="41"/>
        <v>0</v>
      </c>
      <c r="BA63" s="94">
        <f t="shared" si="42"/>
        <v>0</v>
      </c>
      <c r="BB63" s="97">
        <f t="shared" si="43"/>
        <v>0</v>
      </c>
      <c r="BC63" s="93"/>
      <c r="BD63" s="93">
        <f t="shared" si="44"/>
        <v>0</v>
      </c>
      <c r="BE63" s="95">
        <f t="shared" si="45"/>
        <v>1</v>
      </c>
      <c r="BF63" s="58">
        <f t="shared" si="46"/>
        <v>0</v>
      </c>
      <c r="BG63" s="94">
        <f t="shared" si="47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0"/>
        <v>0</v>
      </c>
      <c r="BP63" s="92">
        <f t="shared" si="70"/>
        <v>0</v>
      </c>
      <c r="BQ63" s="96">
        <f t="shared" si="48"/>
        <v>0</v>
      </c>
      <c r="BR63" s="96">
        <f>IF(AA63="","",INT(BQ63/$V63))</f>
        <v>0</v>
      </c>
      <c r="BS63" s="96">
        <f t="shared" si="71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1"/>
        <v>0</v>
      </c>
      <c r="BY63" s="61">
        <f t="shared" si="73"/>
        <v>0</v>
      </c>
      <c r="BZ63" s="62">
        <f t="shared" si="52"/>
        <v>0</v>
      </c>
      <c r="CA63" s="98">
        <f t="shared" si="53"/>
        <v>0</v>
      </c>
      <c r="CB63" s="92">
        <f t="shared" si="98"/>
        <v>0</v>
      </c>
      <c r="CC63" s="92">
        <f t="shared" si="98"/>
        <v>0</v>
      </c>
      <c r="CD63" s="92">
        <f t="shared" si="98"/>
        <v>0</v>
      </c>
      <c r="CE63" s="99"/>
      <c r="CF63" s="99"/>
      <c r="CG63" s="51">
        <f t="shared" si="54"/>
        <v>0</v>
      </c>
      <c r="CH63" s="62">
        <f t="shared" si="55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101"/>
        <v>0</v>
      </c>
      <c r="CR63" s="102">
        <f t="shared" si="101"/>
        <v>0</v>
      </c>
      <c r="CS63" s="102">
        <f t="shared" si="101"/>
        <v>0</v>
      </c>
      <c r="CT63" s="92">
        <f t="shared" si="57"/>
        <v>0</v>
      </c>
      <c r="CU63" s="92">
        <f t="shared" si="102"/>
        <v>0</v>
      </c>
      <c r="CV63" s="103">
        <f t="shared" si="102"/>
        <v>0</v>
      </c>
      <c r="CW63" s="104" t="s">
        <v>147</v>
      </c>
      <c r="CX63" s="105">
        <v>6</v>
      </c>
      <c r="CY63" s="106">
        <f t="shared" si="59"/>
        <v>6960</v>
      </c>
      <c r="CZ63" s="106">
        <f t="shared" si="60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6"/>
        <v>0</v>
      </c>
      <c r="DL63" s="108">
        <f t="shared" si="86"/>
        <v>0</v>
      </c>
      <c r="DM63" s="111">
        <f t="shared" si="86"/>
        <v>0</v>
      </c>
      <c r="DN63" s="76">
        <f t="shared" si="89"/>
        <v>0</v>
      </c>
      <c r="DO63" s="76">
        <f t="shared" si="89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10"/>
        <v>0</v>
      </c>
      <c r="DX63" s="81">
        <f t="shared" si="29"/>
        <v>0</v>
      </c>
      <c r="DY63" s="80">
        <f t="shared" si="62"/>
        <v>0</v>
      </c>
      <c r="DZ63" s="82">
        <f t="shared" si="63"/>
        <v>0</v>
      </c>
      <c r="EA63" s="82">
        <f t="shared" si="64"/>
        <v>0</v>
      </c>
      <c r="EB63" s="82">
        <f t="shared" si="65"/>
        <v>0</v>
      </c>
      <c r="EC63" s="82">
        <f t="shared" si="108"/>
        <v>0</v>
      </c>
      <c r="EF63" s="83">
        <f t="shared" si="107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1"/>
        <v>IBC3604-5x3-H9B14</v>
      </c>
      <c r="H64" s="46" t="str">
        <f t="shared" si="32"/>
        <v>C3604IB50DH9</v>
      </c>
      <c r="I64" s="46" t="str">
        <f t="shared" si="33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4"/>
        <v>22</v>
      </c>
      <c r="T64" s="51">
        <f>'05.02'!BG64</f>
        <v>7.0000000000000018</v>
      </c>
      <c r="U64" s="92">
        <v>47</v>
      </c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10043</v>
      </c>
      <c r="AC64" s="93">
        <f t="shared" si="11"/>
        <v>0</v>
      </c>
      <c r="AD64" s="93">
        <f t="shared" si="12"/>
        <v>0</v>
      </c>
      <c r="AE64" s="93">
        <f t="shared" si="35"/>
        <v>10043</v>
      </c>
      <c r="AF64" s="54">
        <f>AE64+'05.02'!AF64</f>
        <v>57701</v>
      </c>
      <c r="AG64" s="94">
        <f t="shared" si="66"/>
        <v>7.0000000000000018</v>
      </c>
      <c r="AH64" s="56">
        <f t="shared" si="13"/>
        <v>0</v>
      </c>
      <c r="AI64" s="93">
        <v>10</v>
      </c>
      <c r="AJ64" s="93">
        <f t="shared" si="67"/>
        <v>0</v>
      </c>
      <c r="AK64" s="95">
        <f t="shared" si="36"/>
        <v>1</v>
      </c>
      <c r="AL64" s="58">
        <f t="shared" si="37"/>
        <v>10</v>
      </c>
      <c r="AM64" s="55">
        <f t="shared" si="68"/>
        <v>44</v>
      </c>
      <c r="AN64" s="93"/>
      <c r="AO64" s="96"/>
      <c r="AP64" s="96"/>
      <c r="AQ64" s="96"/>
      <c r="AR64" s="96"/>
      <c r="AS64" s="96"/>
      <c r="AT64" s="96">
        <f t="shared" si="109"/>
        <v>2205</v>
      </c>
      <c r="AU64" s="96">
        <f t="shared" si="38"/>
        <v>0</v>
      </c>
      <c r="AV64" s="96">
        <f t="shared" si="38"/>
        <v>0</v>
      </c>
      <c r="AW64" s="96">
        <f t="shared" si="39"/>
        <v>2205</v>
      </c>
      <c r="AX64" s="96">
        <f t="shared" si="40"/>
        <v>4793</v>
      </c>
      <c r="AY64" s="94">
        <f t="shared" si="69"/>
        <v>24.599999999999909</v>
      </c>
      <c r="AZ64" s="94">
        <f t="shared" si="41"/>
        <v>53.47826086956502</v>
      </c>
      <c r="BA64" s="94">
        <f t="shared" si="42"/>
        <v>44</v>
      </c>
      <c r="BB64" s="97">
        <f t="shared" si="43"/>
        <v>0</v>
      </c>
      <c r="BC64" s="93">
        <v>11</v>
      </c>
      <c r="BD64" s="93">
        <f t="shared" si="44"/>
        <v>0</v>
      </c>
      <c r="BE64" s="95">
        <f t="shared" si="45"/>
        <v>1</v>
      </c>
      <c r="BF64" s="58">
        <f t="shared" si="46"/>
        <v>11</v>
      </c>
      <c r="BG64" s="94">
        <f t="shared" si="47"/>
        <v>33</v>
      </c>
      <c r="BH64" s="89"/>
      <c r="BI64" s="89"/>
      <c r="BJ64" s="89"/>
      <c r="BK64" s="89"/>
      <c r="BL64" s="89"/>
      <c r="BM64" s="92"/>
      <c r="BN64" s="92">
        <f>$CN64</f>
        <v>2415</v>
      </c>
      <c r="BO64" s="92">
        <f t="shared" si="70"/>
        <v>0</v>
      </c>
      <c r="BP64" s="92">
        <f t="shared" si="70"/>
        <v>0</v>
      </c>
      <c r="BQ64" s="96">
        <f t="shared" si="48"/>
        <v>2415</v>
      </c>
      <c r="BR64" s="96">
        <f t="shared" si="49"/>
        <v>5250</v>
      </c>
      <c r="BS64" s="96">
        <f t="shared" si="71"/>
        <v>16.559999999999945</v>
      </c>
      <c r="BT64" s="96">
        <f t="shared" si="50"/>
        <v>35.999999999999879</v>
      </c>
      <c r="BU64" s="92">
        <f t="shared" si="16"/>
        <v>10043</v>
      </c>
      <c r="BV64" s="98">
        <f t="shared" si="17"/>
        <v>21</v>
      </c>
      <c r="BW64" s="92">
        <f t="shared" si="18"/>
        <v>89.478260869564906</v>
      </c>
      <c r="BX64" s="98">
        <f t="shared" si="51"/>
        <v>10.5</v>
      </c>
      <c r="BY64" s="61">
        <f>IFERROR(BF64+AL64,0)</f>
        <v>21</v>
      </c>
      <c r="BZ64" s="62">
        <f t="shared" si="52"/>
        <v>21</v>
      </c>
      <c r="CA64" s="98">
        <f t="shared" si="53"/>
        <v>4.62</v>
      </c>
      <c r="CB64" s="92">
        <f t="shared" si="98"/>
        <v>10043</v>
      </c>
      <c r="CC64" s="92">
        <f t="shared" si="98"/>
        <v>41.159999999999854</v>
      </c>
      <c r="CD64" s="92">
        <f t="shared" si="98"/>
        <v>89.478260869564906</v>
      </c>
      <c r="CE64" s="99"/>
      <c r="CF64" s="99"/>
      <c r="CG64" s="51">
        <f t="shared" si="54"/>
        <v>5.88</v>
      </c>
      <c r="CH64" s="62">
        <f t="shared" si="55"/>
        <v>5.88</v>
      </c>
      <c r="CI64" s="89"/>
      <c r="CJ64" s="89">
        <v>2205</v>
      </c>
      <c r="CK64" s="89"/>
      <c r="CL64" s="96"/>
      <c r="CM64" s="89"/>
      <c r="CN64" s="89">
        <v>2415</v>
      </c>
      <c r="CO64" s="92"/>
      <c r="CP64" s="101"/>
      <c r="CQ64" s="102">
        <f t="shared" si="101"/>
        <v>4793</v>
      </c>
      <c r="CR64" s="102">
        <f t="shared" si="101"/>
        <v>0</v>
      </c>
      <c r="CS64" s="102">
        <f t="shared" si="101"/>
        <v>0</v>
      </c>
      <c r="CT64" s="92">
        <f t="shared" si="57"/>
        <v>5250</v>
      </c>
      <c r="CU64" s="92">
        <f t="shared" si="102"/>
        <v>0</v>
      </c>
      <c r="CV64" s="103">
        <f t="shared" si="102"/>
        <v>0</v>
      </c>
      <c r="CW64" s="104" t="s">
        <v>147</v>
      </c>
      <c r="CX64" s="105">
        <v>8</v>
      </c>
      <c r="CY64" s="106">
        <f t="shared" si="59"/>
        <v>5130</v>
      </c>
      <c r="CZ64" s="106">
        <f t="shared" si="60"/>
        <v>32.400000000000006</v>
      </c>
      <c r="DA64" s="106"/>
      <c r="DB64" s="106"/>
      <c r="DC64" s="105"/>
      <c r="DD64" s="107"/>
      <c r="DE64" s="92">
        <f t="shared" si="21"/>
        <v>4793</v>
      </c>
      <c r="DF64" s="108">
        <f t="shared" si="22"/>
        <v>10</v>
      </c>
      <c r="DG64" s="112">
        <f t="shared" si="23"/>
        <v>53.47826086956502</v>
      </c>
      <c r="DH64" s="110">
        <f t="shared" si="24"/>
        <v>5250</v>
      </c>
      <c r="DI64" s="108">
        <f t="shared" si="25"/>
        <v>11</v>
      </c>
      <c r="DJ64" s="112">
        <f t="shared" si="26"/>
        <v>35.999999999999879</v>
      </c>
      <c r="DK64" s="110">
        <f t="shared" si="86"/>
        <v>10043</v>
      </c>
      <c r="DL64" s="108">
        <f t="shared" si="86"/>
        <v>21</v>
      </c>
      <c r="DM64" s="111">
        <f t="shared" si="86"/>
        <v>89.478260869564906</v>
      </c>
      <c r="DN64" s="76">
        <f t="shared" si="89"/>
        <v>7.0000000000000018</v>
      </c>
      <c r="DO64" s="76">
        <f t="shared" si="89"/>
        <v>47</v>
      </c>
      <c r="DP64" s="112"/>
      <c r="DQ64" s="112"/>
      <c r="DR64" s="113" t="s">
        <v>455</v>
      </c>
      <c r="DS64" s="112"/>
      <c r="DT64" s="112"/>
      <c r="DU64" s="111"/>
      <c r="DV64" s="114"/>
      <c r="DW64" s="80">
        <f t="shared" si="110"/>
        <v>21</v>
      </c>
      <c r="DX64" s="81">
        <f t="shared" si="29"/>
        <v>10153.478260869564</v>
      </c>
      <c r="DY64" s="80">
        <f t="shared" si="62"/>
        <v>10043</v>
      </c>
      <c r="DZ64" s="82">
        <f t="shared" si="63"/>
        <v>0</v>
      </c>
      <c r="EA64" s="82">
        <f t="shared" si="64"/>
        <v>4.6197800000000004</v>
      </c>
      <c r="EB64" s="82">
        <f t="shared" si="65"/>
        <v>5.8802199999999996</v>
      </c>
      <c r="EC64" s="82">
        <f t="shared" si="108"/>
        <v>5.88</v>
      </c>
      <c r="EF64" s="83">
        <f t="shared" si="107"/>
        <v>89.478260869564906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1"/>
        <v>TVA2011-T3-6x3-H9B14</v>
      </c>
      <c r="H65" s="46" t="str">
        <f t="shared" si="32"/>
        <v>A2011-T3TV60DH9</v>
      </c>
      <c r="I65" s="46" t="str">
        <f t="shared" si="33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4"/>
        <v>#DIV/0!</v>
      </c>
      <c r="T65" s="51">
        <f>'05.02'!BG65</f>
        <v>20</v>
      </c>
      <c r="U65" s="92">
        <v>20</v>
      </c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0</v>
      </c>
      <c r="AC65" s="93">
        <f t="shared" si="11"/>
        <v>0</v>
      </c>
      <c r="AD65" s="93">
        <f t="shared" si="12"/>
        <v>0</v>
      </c>
      <c r="AE65" s="93">
        <f t="shared" si="35"/>
        <v>0</v>
      </c>
      <c r="AF65" s="54">
        <f>AE65+'05.02'!AF65</f>
        <v>9679</v>
      </c>
      <c r="AG65" s="94">
        <f t="shared" si="66"/>
        <v>20</v>
      </c>
      <c r="AH65" s="56">
        <f t="shared" si="13"/>
        <v>0</v>
      </c>
      <c r="AI65" s="93"/>
      <c r="AJ65" s="93">
        <f t="shared" si="67"/>
        <v>0</v>
      </c>
      <c r="AK65" s="95">
        <f t="shared" si="36"/>
        <v>1</v>
      </c>
      <c r="AL65" s="58">
        <f t="shared" si="37"/>
        <v>0</v>
      </c>
      <c r="AM65" s="55">
        <f t="shared" si="68"/>
        <v>40</v>
      </c>
      <c r="AN65" s="93"/>
      <c r="AO65" s="96"/>
      <c r="AP65" s="96"/>
      <c r="AQ65" s="96"/>
      <c r="AR65" s="96"/>
      <c r="AS65" s="96"/>
      <c r="AT65" s="96">
        <f>$CJ65</f>
        <v>0</v>
      </c>
      <c r="AU65" s="96">
        <f t="shared" si="38"/>
        <v>0</v>
      </c>
      <c r="AV65" s="96">
        <f t="shared" si="38"/>
        <v>0</v>
      </c>
      <c r="AW65" s="96">
        <f t="shared" si="39"/>
        <v>0</v>
      </c>
      <c r="AX65" s="96">
        <f t="shared" si="40"/>
        <v>0</v>
      </c>
      <c r="AY65" s="94">
        <f t="shared" si="69"/>
        <v>0</v>
      </c>
      <c r="AZ65" s="94">
        <f t="shared" si="41"/>
        <v>0</v>
      </c>
      <c r="BA65" s="94">
        <f t="shared" si="42"/>
        <v>40</v>
      </c>
      <c r="BB65" s="97">
        <f t="shared" si="43"/>
        <v>0</v>
      </c>
      <c r="BC65" s="93"/>
      <c r="BD65" s="93">
        <f t="shared" si="44"/>
        <v>0</v>
      </c>
      <c r="BE65" s="95">
        <f t="shared" si="45"/>
        <v>1</v>
      </c>
      <c r="BF65" s="58">
        <f t="shared" si="46"/>
        <v>0</v>
      </c>
      <c r="BG65" s="94">
        <f t="shared" si="47"/>
        <v>40</v>
      </c>
      <c r="BH65" s="89"/>
      <c r="BI65" s="89"/>
      <c r="BJ65" s="92"/>
      <c r="BK65" s="89"/>
      <c r="BL65" s="89"/>
      <c r="BM65" s="89"/>
      <c r="BN65" s="92">
        <f>$CN65</f>
        <v>0</v>
      </c>
      <c r="BO65" s="92">
        <f t="shared" si="70"/>
        <v>0</v>
      </c>
      <c r="BP65" s="92">
        <f t="shared" si="70"/>
        <v>0</v>
      </c>
      <c r="BQ65" s="96">
        <f t="shared" si="48"/>
        <v>0</v>
      </c>
      <c r="BR65" s="96">
        <f t="shared" si="49"/>
        <v>0</v>
      </c>
      <c r="BS65" s="96">
        <f t="shared" si="71"/>
        <v>0</v>
      </c>
      <c r="BT65" s="96">
        <f t="shared" si="50"/>
        <v>0</v>
      </c>
      <c r="BU65" s="92">
        <f t="shared" si="16"/>
        <v>0</v>
      </c>
      <c r="BV65" s="98">
        <f t="shared" si="17"/>
        <v>0</v>
      </c>
      <c r="BW65" s="92">
        <f t="shared" si="18"/>
        <v>0</v>
      </c>
      <c r="BX65" s="98">
        <f t="shared" si="51"/>
        <v>0</v>
      </c>
      <c r="BY65" s="61">
        <f t="shared" si="73"/>
        <v>0</v>
      </c>
      <c r="BZ65" s="62">
        <f t="shared" si="52"/>
        <v>0</v>
      </c>
      <c r="CA65" s="98">
        <f t="shared" si="53"/>
        <v>0</v>
      </c>
      <c r="CB65" s="92">
        <f t="shared" si="98"/>
        <v>0</v>
      </c>
      <c r="CC65" s="92">
        <f t="shared" si="98"/>
        <v>0</v>
      </c>
      <c r="CD65" s="92">
        <f t="shared" si="98"/>
        <v>0</v>
      </c>
      <c r="CE65" s="99"/>
      <c r="CF65" s="99"/>
      <c r="CG65" s="51">
        <f t="shared" si="54"/>
        <v>0</v>
      </c>
      <c r="CH65" s="62">
        <f t="shared" si="55"/>
        <v>0</v>
      </c>
      <c r="CI65" s="89"/>
      <c r="CJ65" s="89"/>
      <c r="CK65" s="89"/>
      <c r="CL65" s="96"/>
      <c r="CM65" s="89"/>
      <c r="CN65" s="89"/>
      <c r="CO65" s="92"/>
      <c r="CP65" s="101"/>
      <c r="CQ65" s="102">
        <f t="shared" si="101"/>
        <v>0</v>
      </c>
      <c r="CR65" s="102">
        <f t="shared" si="101"/>
        <v>0</v>
      </c>
      <c r="CS65" s="102">
        <f t="shared" si="101"/>
        <v>0</v>
      </c>
      <c r="CT65" s="92">
        <f t="shared" si="57"/>
        <v>0</v>
      </c>
      <c r="CU65" s="92">
        <f t="shared" si="102"/>
        <v>0</v>
      </c>
      <c r="CV65" s="103">
        <f t="shared" si="102"/>
        <v>0</v>
      </c>
      <c r="CW65" s="104" t="s">
        <v>147</v>
      </c>
      <c r="CX65" s="105"/>
      <c r="CY65" s="106" t="e">
        <f t="shared" si="59"/>
        <v>#DIV/0!</v>
      </c>
      <c r="CZ65" s="106">
        <f t="shared" si="60"/>
        <v>0</v>
      </c>
      <c r="DA65" s="106"/>
      <c r="DB65" s="106"/>
      <c r="DC65" s="105"/>
      <c r="DD65" s="107"/>
      <c r="DE65" s="92">
        <f t="shared" si="21"/>
        <v>0</v>
      </c>
      <c r="DF65" s="108">
        <f t="shared" si="22"/>
        <v>0</v>
      </c>
      <c r="DG65" s="115">
        <f t="shared" si="23"/>
        <v>0</v>
      </c>
      <c r="DH65" s="110">
        <f t="shared" si="24"/>
        <v>0</v>
      </c>
      <c r="DI65" s="108">
        <f t="shared" si="25"/>
        <v>0</v>
      </c>
      <c r="DJ65" s="115">
        <f t="shared" si="26"/>
        <v>0</v>
      </c>
      <c r="DK65" s="110">
        <f t="shared" si="86"/>
        <v>0</v>
      </c>
      <c r="DL65" s="108">
        <f t="shared" si="86"/>
        <v>0</v>
      </c>
      <c r="DM65" s="111">
        <f t="shared" si="86"/>
        <v>0</v>
      </c>
      <c r="DN65" s="76">
        <f t="shared" si="89"/>
        <v>20</v>
      </c>
      <c r="DO65" s="76">
        <f t="shared" si="89"/>
        <v>20</v>
      </c>
      <c r="DP65" s="112"/>
      <c r="DQ65" s="112"/>
      <c r="DR65" s="113" t="s">
        <v>456</v>
      </c>
      <c r="DS65" s="112"/>
      <c r="DT65" s="112"/>
      <c r="DU65" s="111"/>
      <c r="DV65" s="114"/>
      <c r="DW65" s="80">
        <f t="shared" si="110"/>
        <v>0</v>
      </c>
      <c r="DX65" s="81">
        <f t="shared" si="29"/>
        <v>0</v>
      </c>
      <c r="DY65" s="80">
        <f t="shared" si="62"/>
        <v>0</v>
      </c>
      <c r="DZ65" s="82">
        <f t="shared" si="63"/>
        <v>0</v>
      </c>
      <c r="EA65" s="82">
        <f t="shared" si="64"/>
        <v>0</v>
      </c>
      <c r="EB65" s="82">
        <f t="shared" si="65"/>
        <v>0</v>
      </c>
      <c r="EC65" s="82">
        <f t="shared" si="108"/>
        <v>0</v>
      </c>
      <c r="EF65" s="83">
        <f t="shared" si="107"/>
        <v>0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1"/>
        <v>GAA5052-5.7x3-H9A14</v>
      </c>
      <c r="H66" s="46" t="str">
        <f t="shared" si="32"/>
        <v>A5052GA5.70DH9</v>
      </c>
      <c r="I66" s="46" t="str">
        <f t="shared" si="33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4"/>
        <v>52</v>
      </c>
      <c r="T66" s="51">
        <f>'05.02'!BG66</f>
        <v>12</v>
      </c>
      <c r="U66" s="92">
        <v>38</v>
      </c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2993</v>
      </c>
      <c r="AC66" s="93">
        <f t="shared" si="11"/>
        <v>0</v>
      </c>
      <c r="AD66" s="93">
        <f t="shared" si="12"/>
        <v>0</v>
      </c>
      <c r="AE66" s="93">
        <f t="shared" si="35"/>
        <v>2993</v>
      </c>
      <c r="AF66" s="54">
        <f>AE66+'05.02'!AF66</f>
        <v>17978</v>
      </c>
      <c r="AG66" s="94">
        <f t="shared" si="66"/>
        <v>12</v>
      </c>
      <c r="AH66" s="56">
        <f t="shared" si="13"/>
        <v>0</v>
      </c>
      <c r="AI66" s="93">
        <v>6</v>
      </c>
      <c r="AJ66" s="93">
        <f t="shared" si="67"/>
        <v>0</v>
      </c>
      <c r="AK66" s="95">
        <f t="shared" si="36"/>
        <v>1</v>
      </c>
      <c r="AL66" s="58">
        <f t="shared" si="37"/>
        <v>6</v>
      </c>
      <c r="AM66" s="55">
        <f t="shared" si="68"/>
        <v>44</v>
      </c>
      <c r="AN66" s="93"/>
      <c r="AO66" s="96"/>
      <c r="AP66" s="96"/>
      <c r="AQ66" s="96"/>
      <c r="AR66" s="96"/>
      <c r="AS66" s="96"/>
      <c r="AT66" s="96">
        <f>$CJ66</f>
        <v>217</v>
      </c>
      <c r="AU66" s="96">
        <f t="shared" si="38"/>
        <v>0</v>
      </c>
      <c r="AV66" s="96">
        <f t="shared" si="38"/>
        <v>0</v>
      </c>
      <c r="AW66" s="96">
        <f t="shared" si="39"/>
        <v>217</v>
      </c>
      <c r="AX66" s="96">
        <f t="shared" si="40"/>
        <v>1446</v>
      </c>
      <c r="AY66" s="94">
        <f t="shared" si="69"/>
        <v>1</v>
      </c>
      <c r="AZ66" s="94">
        <f t="shared" si="41"/>
        <v>6.666666666666667</v>
      </c>
      <c r="BA66" s="94">
        <f t="shared" si="42"/>
        <v>44</v>
      </c>
      <c r="BB66" s="97">
        <f t="shared" si="43"/>
        <v>0</v>
      </c>
      <c r="BC66" s="93">
        <v>6</v>
      </c>
      <c r="BD66" s="93">
        <f t="shared" si="44"/>
        <v>0</v>
      </c>
      <c r="BE66" s="95">
        <f t="shared" si="45"/>
        <v>1</v>
      </c>
      <c r="BF66" s="58">
        <f t="shared" si="46"/>
        <v>6</v>
      </c>
      <c r="BG66" s="94">
        <f t="shared" si="47"/>
        <v>38</v>
      </c>
      <c r="BH66" s="89"/>
      <c r="BI66" s="89"/>
      <c r="BJ66" s="89"/>
      <c r="BK66" s="92"/>
      <c r="BL66" s="89"/>
      <c r="BM66" s="92"/>
      <c r="BN66" s="92">
        <f>$CN66</f>
        <v>232</v>
      </c>
      <c r="BO66" s="92">
        <f t="shared" si="70"/>
        <v>0</v>
      </c>
      <c r="BP66" s="92">
        <f t="shared" si="70"/>
        <v>0</v>
      </c>
      <c r="BQ66" s="96">
        <f t="shared" si="48"/>
        <v>232</v>
      </c>
      <c r="BR66" s="96">
        <f t="shared" si="49"/>
        <v>1546</v>
      </c>
      <c r="BS66" s="96">
        <f t="shared" si="71"/>
        <v>16</v>
      </c>
      <c r="BT66" s="96">
        <f t="shared" si="50"/>
        <v>106.66666666666667</v>
      </c>
      <c r="BU66" s="92">
        <f t="shared" si="16"/>
        <v>2993</v>
      </c>
      <c r="BV66" s="98">
        <f t="shared" si="17"/>
        <v>12</v>
      </c>
      <c r="BW66" s="92">
        <f t="shared" si="18"/>
        <v>113.33333333333334</v>
      </c>
      <c r="BX66" s="98">
        <f t="shared" si="51"/>
        <v>2.448</v>
      </c>
      <c r="BY66" s="61">
        <f t="shared" si="73"/>
        <v>12</v>
      </c>
      <c r="BZ66" s="62">
        <f t="shared" si="52"/>
        <v>12</v>
      </c>
      <c r="CA66" s="98">
        <f t="shared" si="53"/>
        <v>0.44900000000000001</v>
      </c>
      <c r="CB66" s="92">
        <f t="shared" si="98"/>
        <v>2992</v>
      </c>
      <c r="CC66" s="92">
        <f t="shared" si="98"/>
        <v>17</v>
      </c>
      <c r="CD66" s="92">
        <f t="shared" si="98"/>
        <v>113.33333333333334</v>
      </c>
      <c r="CE66" s="99" t="s">
        <v>2</v>
      </c>
      <c r="CF66" s="99"/>
      <c r="CG66" s="51">
        <f t="shared" si="54"/>
        <v>1.9989999999999999</v>
      </c>
      <c r="CH66" s="62">
        <f t="shared" si="55"/>
        <v>1.9989999999999999</v>
      </c>
      <c r="CI66" s="89"/>
      <c r="CJ66" s="89">
        <v>217</v>
      </c>
      <c r="CK66" s="89"/>
      <c r="CL66" s="96"/>
      <c r="CM66" s="89"/>
      <c r="CN66" s="89">
        <v>232</v>
      </c>
      <c r="CO66" s="92"/>
      <c r="CP66" s="101"/>
      <c r="CQ66" s="102">
        <f t="shared" si="101"/>
        <v>1446</v>
      </c>
      <c r="CR66" s="102">
        <f t="shared" si="101"/>
        <v>0</v>
      </c>
      <c r="CS66" s="102">
        <f t="shared" si="101"/>
        <v>0</v>
      </c>
      <c r="CT66" s="92">
        <f t="shared" si="57"/>
        <v>1547</v>
      </c>
      <c r="CU66" s="92">
        <f t="shared" si="102"/>
        <v>0</v>
      </c>
      <c r="CV66" s="103">
        <f t="shared" si="102"/>
        <v>0</v>
      </c>
      <c r="CW66" s="104" t="s">
        <v>147</v>
      </c>
      <c r="CX66" s="105">
        <v>6</v>
      </c>
      <c r="CY66" s="106">
        <f t="shared" si="59"/>
        <v>6300</v>
      </c>
      <c r="CZ66" s="106">
        <f t="shared" si="60"/>
        <v>24.3</v>
      </c>
      <c r="DA66" s="106"/>
      <c r="DB66" s="106"/>
      <c r="DC66" s="105"/>
      <c r="DD66" s="107"/>
      <c r="DE66" s="92">
        <f t="shared" si="21"/>
        <v>1446</v>
      </c>
      <c r="DF66" s="108">
        <f t="shared" si="22"/>
        <v>6</v>
      </c>
      <c r="DG66" s="115">
        <f t="shared" si="23"/>
        <v>6.666666666666667</v>
      </c>
      <c r="DH66" s="110">
        <f t="shared" si="24"/>
        <v>1547</v>
      </c>
      <c r="DI66" s="108">
        <f t="shared" si="25"/>
        <v>6</v>
      </c>
      <c r="DJ66" s="112">
        <f t="shared" si="26"/>
        <v>106.66666666666667</v>
      </c>
      <c r="DK66" s="110">
        <f t="shared" si="86"/>
        <v>2993</v>
      </c>
      <c r="DL66" s="108">
        <f t="shared" si="86"/>
        <v>12</v>
      </c>
      <c r="DM66" s="111">
        <f t="shared" si="86"/>
        <v>113.33333333333334</v>
      </c>
      <c r="DN66" s="76">
        <f t="shared" si="89"/>
        <v>12</v>
      </c>
      <c r="DO66" s="76">
        <f t="shared" si="89"/>
        <v>38</v>
      </c>
      <c r="DP66" s="112"/>
      <c r="DQ66" s="112"/>
      <c r="DR66" s="113" t="s">
        <v>457</v>
      </c>
      <c r="DS66" s="112"/>
      <c r="DT66" s="112"/>
      <c r="DU66" s="111"/>
      <c r="DV66" s="114"/>
      <c r="DW66" s="80">
        <f t="shared" si="61"/>
        <v>3005</v>
      </c>
      <c r="DX66" s="81">
        <f t="shared" si="29"/>
        <v>3118.3333333333335</v>
      </c>
      <c r="DY66" s="80">
        <f t="shared" si="62"/>
        <v>2993</v>
      </c>
      <c r="DZ66" s="82">
        <f t="shared" si="63"/>
        <v>0</v>
      </c>
      <c r="EA66" s="82">
        <f t="shared" si="64"/>
        <v>0.44895000000000002</v>
      </c>
      <c r="EB66" s="82">
        <f t="shared" si="65"/>
        <v>1.99905</v>
      </c>
      <c r="EC66" s="82">
        <f t="shared" si="75"/>
        <v>1.99905</v>
      </c>
      <c r="EF66" s="83">
        <f t="shared" si="107"/>
        <v>113.33333333333334</v>
      </c>
    </row>
    <row r="67" spans="1:136" ht="14.1" customHeight="1">
      <c r="A67" s="84">
        <v>60</v>
      </c>
      <c r="B67" s="147" t="s">
        <v>309</v>
      </c>
      <c r="C67" s="148"/>
      <c r="D67" s="172" t="s">
        <v>310</v>
      </c>
      <c r="E67" s="149">
        <v>175</v>
      </c>
      <c r="F67" s="150" t="s">
        <v>147</v>
      </c>
      <c r="G67" s="45" t="str">
        <f t="shared" si="31"/>
        <v>IBC3604-H7x3-H11C14</v>
      </c>
      <c r="H67" s="46" t="str">
        <f t="shared" si="32"/>
        <v>C3604IB70HH11</v>
      </c>
      <c r="I67" s="46" t="str">
        <f t="shared" si="33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4"/>
        <v>30</v>
      </c>
      <c r="T67" s="51">
        <f>'05.02'!BG67</f>
        <v>-1</v>
      </c>
      <c r="U67" s="146"/>
      <c r="V67" s="100">
        <v>2.44</v>
      </c>
      <c r="W67" s="151">
        <f t="shared" si="5"/>
        <v>0</v>
      </c>
      <c r="X67" s="151">
        <f t="shared" si="6"/>
        <v>0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5"/>
        <v>0</v>
      </c>
      <c r="AF67" s="54">
        <f>AE67+'05.02'!AF67</f>
        <v>103</v>
      </c>
      <c r="AG67" s="94">
        <f t="shared" si="66"/>
        <v>-1</v>
      </c>
      <c r="AH67" s="56">
        <f t="shared" si="13"/>
        <v>0</v>
      </c>
      <c r="AI67" s="151"/>
      <c r="AJ67" s="93">
        <f t="shared" si="67"/>
        <v>0</v>
      </c>
      <c r="AK67" s="95">
        <f t="shared" si="36"/>
        <v>1</v>
      </c>
      <c r="AL67" s="58">
        <f t="shared" si="37"/>
        <v>0</v>
      </c>
      <c r="AM67" s="55">
        <f t="shared" si="68"/>
        <v>-1</v>
      </c>
      <c r="AN67" s="151"/>
      <c r="AO67" s="145"/>
      <c r="AP67" s="145">
        <f>$CJ67</f>
        <v>0</v>
      </c>
      <c r="AQ67" s="145"/>
      <c r="AR67" s="145"/>
      <c r="AS67" s="145"/>
      <c r="AT67" s="145"/>
      <c r="AU67" s="145">
        <f t="shared" si="38"/>
        <v>0</v>
      </c>
      <c r="AV67" s="145">
        <f t="shared" si="38"/>
        <v>0</v>
      </c>
      <c r="AW67" s="145">
        <f t="shared" si="39"/>
        <v>0</v>
      </c>
      <c r="AX67" s="145">
        <f t="shared" si="40"/>
        <v>0</v>
      </c>
      <c r="AY67" s="94">
        <f t="shared" si="69"/>
        <v>0</v>
      </c>
      <c r="AZ67" s="94">
        <f t="shared" si="41"/>
        <v>0</v>
      </c>
      <c r="BA67" s="94">
        <f t="shared" si="42"/>
        <v>-1</v>
      </c>
      <c r="BB67" s="97">
        <f t="shared" si="43"/>
        <v>0</v>
      </c>
      <c r="BC67" s="151"/>
      <c r="BD67" s="93">
        <f t="shared" si="44"/>
        <v>0</v>
      </c>
      <c r="BE67" s="152">
        <f t="shared" si="45"/>
        <v>1</v>
      </c>
      <c r="BF67" s="58">
        <f t="shared" si="46"/>
        <v>0</v>
      </c>
      <c r="BG67" s="94">
        <f t="shared" si="47"/>
        <v>-1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0"/>
        <v>0</v>
      </c>
      <c r="BP67" s="146">
        <f t="shared" si="70"/>
        <v>0</v>
      </c>
      <c r="BQ67" s="145">
        <f t="shared" si="48"/>
        <v>0</v>
      </c>
      <c r="BR67" s="145">
        <f t="shared" si="49"/>
        <v>0</v>
      </c>
      <c r="BS67" s="96">
        <f t="shared" si="71"/>
        <v>0</v>
      </c>
      <c r="BT67" s="145">
        <f t="shared" si="50"/>
        <v>0</v>
      </c>
      <c r="BU67" s="146">
        <f t="shared" si="16"/>
        <v>0</v>
      </c>
      <c r="BV67" s="153">
        <f t="shared" si="17"/>
        <v>0</v>
      </c>
      <c r="BW67" s="146">
        <f t="shared" si="18"/>
        <v>0</v>
      </c>
      <c r="BX67" s="153">
        <f t="shared" si="51"/>
        <v>0</v>
      </c>
      <c r="BY67" s="61">
        <f t="shared" si="73"/>
        <v>0</v>
      </c>
      <c r="BZ67" s="62">
        <f t="shared" si="52"/>
        <v>0</v>
      </c>
      <c r="CA67" s="153">
        <f t="shared" si="53"/>
        <v>0</v>
      </c>
      <c r="CB67" s="146">
        <f t="shared" si="98"/>
        <v>0</v>
      </c>
      <c r="CC67" s="146">
        <f t="shared" si="98"/>
        <v>0</v>
      </c>
      <c r="CD67" s="146">
        <f t="shared" si="98"/>
        <v>0</v>
      </c>
      <c r="CE67" s="150"/>
      <c r="CF67" s="150"/>
      <c r="CG67" s="51">
        <f t="shared" si="54"/>
        <v>0</v>
      </c>
      <c r="CH67" s="62">
        <f t="shared" si="55"/>
        <v>0</v>
      </c>
      <c r="CI67" s="150"/>
      <c r="CJ67" s="150"/>
      <c r="CK67" s="150"/>
      <c r="CL67" s="145"/>
      <c r="CM67" s="150"/>
      <c r="CN67" s="150"/>
      <c r="CO67" s="146"/>
      <c r="CP67" s="154"/>
      <c r="CQ67" s="102">
        <f t="shared" si="101"/>
        <v>0</v>
      </c>
      <c r="CR67" s="102">
        <f t="shared" si="101"/>
        <v>0</v>
      </c>
      <c r="CS67" s="102">
        <f t="shared" si="101"/>
        <v>0</v>
      </c>
      <c r="CT67" s="92">
        <f t="shared" si="57"/>
        <v>0</v>
      </c>
      <c r="CU67" s="92">
        <f t="shared" si="102"/>
        <v>0</v>
      </c>
      <c r="CV67" s="103">
        <f t="shared" si="102"/>
        <v>0</v>
      </c>
      <c r="CW67" s="155" t="s">
        <v>147</v>
      </c>
      <c r="CX67" s="156">
        <v>15</v>
      </c>
      <c r="CY67" s="157">
        <f t="shared" si="59"/>
        <v>2676</v>
      </c>
      <c r="CZ67" s="157">
        <f t="shared" si="60"/>
        <v>60.750000000000007</v>
      </c>
      <c r="DA67" s="157"/>
      <c r="DB67" s="157"/>
      <c r="DC67" s="156"/>
      <c r="DD67" s="158"/>
      <c r="DE67" s="92">
        <f t="shared" si="21"/>
        <v>0</v>
      </c>
      <c r="DF67" s="108">
        <f t="shared" si="22"/>
        <v>0</v>
      </c>
      <c r="DG67" s="115">
        <f t="shared" si="23"/>
        <v>0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6"/>
        <v>0</v>
      </c>
      <c r="DL67" s="108">
        <f t="shared" si="86"/>
        <v>0</v>
      </c>
      <c r="DM67" s="111">
        <f t="shared" si="86"/>
        <v>0</v>
      </c>
      <c r="DN67" s="76">
        <f t="shared" si="89"/>
        <v>-1</v>
      </c>
      <c r="DO67" s="76">
        <f t="shared" si="89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11">IFERROR(AL67+BF67,"")</f>
        <v>0</v>
      </c>
      <c r="DX67" s="159">
        <f t="shared" si="29"/>
        <v>0</v>
      </c>
      <c r="DY67" s="80">
        <f t="shared" si="62"/>
        <v>0</v>
      </c>
      <c r="DZ67" s="82">
        <f t="shared" si="63"/>
        <v>0</v>
      </c>
      <c r="EA67" s="82">
        <f t="shared" si="64"/>
        <v>0</v>
      </c>
      <c r="EB67" s="82">
        <f t="shared" si="65"/>
        <v>0</v>
      </c>
      <c r="EC67" s="82">
        <f>(BX67-CA67)+((AV67+BP67)/1000)</f>
        <v>0</v>
      </c>
      <c r="EF67" s="83">
        <f t="shared" si="107"/>
        <v>0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1"/>
        <v>TVA2011-T3-6.35x3-H9A14</v>
      </c>
      <c r="H68" s="46" t="str">
        <f t="shared" si="32"/>
        <v>A2011-T3TV6.350DH9</v>
      </c>
      <c r="I68" s="46" t="str">
        <f t="shared" si="33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4"/>
        <v>8</v>
      </c>
      <c r="T68" s="51">
        <f>'05.02'!BG68</f>
        <v>5</v>
      </c>
      <c r="U68" s="92">
        <v>50</v>
      </c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11170</v>
      </c>
      <c r="AC68" s="93">
        <f t="shared" si="11"/>
        <v>0</v>
      </c>
      <c r="AD68" s="93">
        <f t="shared" si="12"/>
        <v>0</v>
      </c>
      <c r="AE68" s="93">
        <f t="shared" si="35"/>
        <v>11170</v>
      </c>
      <c r="AF68" s="54">
        <f>AE68+'05.02'!AF68</f>
        <v>66685</v>
      </c>
      <c r="AG68" s="94">
        <f t="shared" si="66"/>
        <v>5</v>
      </c>
      <c r="AH68" s="56">
        <f t="shared" si="13"/>
        <v>0</v>
      </c>
      <c r="AI68" s="93">
        <v>14</v>
      </c>
      <c r="AJ68" s="93">
        <f t="shared" si="67"/>
        <v>0</v>
      </c>
      <c r="AK68" s="95">
        <f t="shared" si="36"/>
        <v>1</v>
      </c>
      <c r="AL68" s="58">
        <f t="shared" si="37"/>
        <v>14</v>
      </c>
      <c r="AM68" s="55">
        <f t="shared" si="68"/>
        <v>41</v>
      </c>
      <c r="AN68" s="93"/>
      <c r="AO68" s="96"/>
      <c r="AP68" s="96"/>
      <c r="AQ68" s="96"/>
      <c r="AR68" s="96"/>
      <c r="AS68" s="96"/>
      <c r="AT68" s="96">
        <f t="shared" ref="AT68:AT73" si="112">$CJ68</f>
        <v>2450</v>
      </c>
      <c r="AU68" s="96">
        <f t="shared" si="38"/>
        <v>0</v>
      </c>
      <c r="AV68" s="96">
        <f t="shared" si="38"/>
        <v>0</v>
      </c>
      <c r="AW68" s="96">
        <f t="shared" si="39"/>
        <v>2450</v>
      </c>
      <c r="AX68" s="96">
        <f t="shared" si="40"/>
        <v>6218</v>
      </c>
      <c r="AY68" s="94">
        <f t="shared" si="69"/>
        <v>17.44399999999996</v>
      </c>
      <c r="AZ68" s="94">
        <f t="shared" si="41"/>
        <v>44.274111675126797</v>
      </c>
      <c r="BA68" s="94">
        <f t="shared" si="42"/>
        <v>41</v>
      </c>
      <c r="BB68" s="97">
        <f t="shared" si="43"/>
        <v>0</v>
      </c>
      <c r="BC68" s="93">
        <v>11</v>
      </c>
      <c r="BD68" s="93">
        <f t="shared" si="44"/>
        <v>0</v>
      </c>
      <c r="BE68" s="95">
        <f t="shared" si="45"/>
        <v>1</v>
      </c>
      <c r="BF68" s="58">
        <f t="shared" si="46"/>
        <v>11</v>
      </c>
      <c r="BG68" s="94">
        <f t="shared" si="47"/>
        <v>30</v>
      </c>
      <c r="BH68" s="89"/>
      <c r="BI68" s="89"/>
      <c r="BJ68" s="92"/>
      <c r="BK68" s="89"/>
      <c r="BL68" s="89"/>
      <c r="BM68" s="89"/>
      <c r="BN68" s="92">
        <f t="shared" ref="BN68:BN73" si="113">$CN68</f>
        <v>1951</v>
      </c>
      <c r="BO68" s="92">
        <f t="shared" si="70"/>
        <v>0</v>
      </c>
      <c r="BP68" s="92">
        <f t="shared" si="70"/>
        <v>0</v>
      </c>
      <c r="BQ68" s="96">
        <f t="shared" si="48"/>
        <v>1951</v>
      </c>
      <c r="BR68" s="96">
        <f t="shared" si="49"/>
        <v>4951</v>
      </c>
      <c r="BS68" s="96">
        <f t="shared" si="71"/>
        <v>39.705999999999904</v>
      </c>
      <c r="BT68" s="96">
        <f t="shared" si="50"/>
        <v>100.77664974619265</v>
      </c>
      <c r="BU68" s="92">
        <f t="shared" si="16"/>
        <v>11170</v>
      </c>
      <c r="BV68" s="98">
        <f t="shared" si="17"/>
        <v>25</v>
      </c>
      <c r="BW68" s="92">
        <f t="shared" si="18"/>
        <v>145.05076142131944</v>
      </c>
      <c r="BX68" s="98">
        <f t="shared" si="51"/>
        <v>6.5</v>
      </c>
      <c r="BY68" s="61">
        <f t="shared" si="73"/>
        <v>25</v>
      </c>
      <c r="BZ68" s="62">
        <f t="shared" si="52"/>
        <v>25</v>
      </c>
      <c r="CA68" s="98">
        <f t="shared" si="53"/>
        <v>4.4009999999999998</v>
      </c>
      <c r="CB68" s="92">
        <f t="shared" si="98"/>
        <v>11169</v>
      </c>
      <c r="CC68" s="92">
        <f t="shared" si="98"/>
        <v>57.149999999999864</v>
      </c>
      <c r="CD68" s="92">
        <f t="shared" si="98"/>
        <v>145.05076142131944</v>
      </c>
      <c r="CE68" s="99"/>
      <c r="CF68" s="99"/>
      <c r="CG68" s="51">
        <f t="shared" si="54"/>
        <v>2.0990000000000002</v>
      </c>
      <c r="CH68" s="62">
        <f t="shared" si="55"/>
        <v>2.0990000000000002</v>
      </c>
      <c r="CI68" s="89"/>
      <c r="CJ68" s="89">
        <v>2450</v>
      </c>
      <c r="CK68" s="89"/>
      <c r="CL68" s="96"/>
      <c r="CM68" s="89"/>
      <c r="CN68" s="89">
        <v>1951</v>
      </c>
      <c r="CO68" s="92"/>
      <c r="CP68" s="101"/>
      <c r="CQ68" s="102">
        <f t="shared" si="101"/>
        <v>6218</v>
      </c>
      <c r="CR68" s="102">
        <f t="shared" si="101"/>
        <v>0</v>
      </c>
      <c r="CS68" s="102">
        <f t="shared" si="101"/>
        <v>0</v>
      </c>
      <c r="CT68" s="92">
        <f t="shared" si="57"/>
        <v>4952</v>
      </c>
      <c r="CU68" s="92">
        <f t="shared" si="102"/>
        <v>0</v>
      </c>
      <c r="CV68" s="103">
        <f t="shared" si="102"/>
        <v>0</v>
      </c>
      <c r="CW68" s="104" t="s">
        <v>147</v>
      </c>
      <c r="CX68" s="105">
        <v>23.98</v>
      </c>
      <c r="CY68" s="106">
        <f t="shared" si="59"/>
        <v>1763</v>
      </c>
      <c r="CZ68" s="106">
        <f t="shared" si="60"/>
        <v>97.119</v>
      </c>
      <c r="DA68" s="106"/>
      <c r="DB68" s="106"/>
      <c r="DC68" s="105"/>
      <c r="DD68" s="107"/>
      <c r="DE68" s="92">
        <f t="shared" si="21"/>
        <v>6218</v>
      </c>
      <c r="DF68" s="108">
        <f t="shared" si="22"/>
        <v>14</v>
      </c>
      <c r="DG68" s="115">
        <f t="shared" si="23"/>
        <v>44.274111675126797</v>
      </c>
      <c r="DH68" s="110">
        <f t="shared" si="24"/>
        <v>4952</v>
      </c>
      <c r="DI68" s="108">
        <f t="shared" si="25"/>
        <v>11</v>
      </c>
      <c r="DJ68" s="115">
        <f t="shared" si="26"/>
        <v>100.77664974619265</v>
      </c>
      <c r="DK68" s="110">
        <f t="shared" si="86"/>
        <v>11170</v>
      </c>
      <c r="DL68" s="108">
        <f t="shared" si="86"/>
        <v>25</v>
      </c>
      <c r="DM68" s="111">
        <f t="shared" si="86"/>
        <v>145.05076142131944</v>
      </c>
      <c r="DN68" s="76">
        <f t="shared" si="89"/>
        <v>5</v>
      </c>
      <c r="DO68" s="76">
        <f t="shared" si="89"/>
        <v>50</v>
      </c>
      <c r="DP68" s="112"/>
      <c r="DQ68" s="112"/>
      <c r="DR68" s="113" t="s">
        <v>458</v>
      </c>
      <c r="DS68" s="112"/>
      <c r="DT68" s="112"/>
      <c r="DU68" s="111"/>
      <c r="DV68" s="114"/>
      <c r="DW68" s="80">
        <f t="shared" si="111"/>
        <v>25</v>
      </c>
      <c r="DX68" s="81">
        <f t="shared" si="29"/>
        <v>11340.05076142132</v>
      </c>
      <c r="DY68" s="80">
        <f t="shared" si="62"/>
        <v>11170</v>
      </c>
      <c r="DZ68" s="82">
        <f t="shared" si="63"/>
        <v>0</v>
      </c>
      <c r="EA68" s="82">
        <f t="shared" si="64"/>
        <v>4.4009800000000006</v>
      </c>
      <c r="EB68" s="82">
        <f t="shared" si="65"/>
        <v>2.0990199999999994</v>
      </c>
      <c r="EC68" s="82">
        <f t="shared" si="75"/>
        <v>2.0990199999999994</v>
      </c>
      <c r="EF68" s="83">
        <f t="shared" si="107"/>
        <v>145.05076142131944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1"/>
        <v>GAA5052-5.7x3-H9A14</v>
      </c>
      <c r="H69" s="46" t="str">
        <f t="shared" si="32"/>
        <v>A5052GA5.70DH9</v>
      </c>
      <c r="I69" s="46" t="str">
        <f t="shared" si="33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4"/>
        <v>20</v>
      </c>
      <c r="T69" s="51">
        <f>'05.02'!BG69</f>
        <v>12</v>
      </c>
      <c r="U69" s="92">
        <v>38</v>
      </c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1733</v>
      </c>
      <c r="AC69" s="93">
        <f t="shared" si="11"/>
        <v>0</v>
      </c>
      <c r="AD69" s="93">
        <f t="shared" si="12"/>
        <v>33</v>
      </c>
      <c r="AE69" s="93">
        <f t="shared" si="35"/>
        <v>1733</v>
      </c>
      <c r="AF69" s="54">
        <f>AE69+'05.02'!AF69</f>
        <v>16538</v>
      </c>
      <c r="AG69" s="94">
        <f t="shared" si="66"/>
        <v>12</v>
      </c>
      <c r="AH69" s="56">
        <f t="shared" si="13"/>
        <v>0</v>
      </c>
      <c r="AI69" s="93">
        <v>7</v>
      </c>
      <c r="AJ69" s="93">
        <f t="shared" si="67"/>
        <v>47</v>
      </c>
      <c r="AK69" s="95">
        <f t="shared" si="36"/>
        <v>1.3055555555555558</v>
      </c>
      <c r="AL69" s="58">
        <f t="shared" si="37"/>
        <v>7.31</v>
      </c>
      <c r="AM69" s="55">
        <f t="shared" si="68"/>
        <v>42.69</v>
      </c>
      <c r="AN69" s="93"/>
      <c r="AO69" s="96"/>
      <c r="AP69" s="96"/>
      <c r="AQ69" s="96"/>
      <c r="AR69" s="96"/>
      <c r="AS69" s="96"/>
      <c r="AT69" s="96">
        <f t="shared" si="112"/>
        <v>260</v>
      </c>
      <c r="AU69" s="96">
        <f t="shared" si="38"/>
        <v>0</v>
      </c>
      <c r="AV69" s="96">
        <f t="shared" si="38"/>
        <v>5</v>
      </c>
      <c r="AW69" s="96">
        <f t="shared" si="39"/>
        <v>265</v>
      </c>
      <c r="AX69" s="96">
        <f t="shared" si="40"/>
        <v>1766</v>
      </c>
      <c r="AY69" s="94">
        <f t="shared" si="69"/>
        <v>1.8400000000000318</v>
      </c>
      <c r="AZ69" s="94">
        <f t="shared" si="41"/>
        <v>12.266666666666879</v>
      </c>
      <c r="BA69" s="94">
        <f t="shared" si="42"/>
        <v>42.69</v>
      </c>
      <c r="BB69" s="97">
        <f t="shared" si="43"/>
        <v>0.69</v>
      </c>
      <c r="BC69" s="93"/>
      <c r="BD69" s="93">
        <f t="shared" si="44"/>
        <v>0</v>
      </c>
      <c r="BE69" s="95">
        <f t="shared" si="45"/>
        <v>1</v>
      </c>
      <c r="BF69" s="58">
        <f t="shared" si="46"/>
        <v>0</v>
      </c>
      <c r="BG69" s="94">
        <f t="shared" si="47"/>
        <v>42.69</v>
      </c>
      <c r="BH69" s="89"/>
      <c r="BI69" s="89"/>
      <c r="BJ69" s="89"/>
      <c r="BK69" s="89"/>
      <c r="BL69" s="89"/>
      <c r="BM69" s="89"/>
      <c r="BN69" s="92">
        <f t="shared" si="113"/>
        <v>0</v>
      </c>
      <c r="BO69" s="92">
        <f t="shared" si="70"/>
        <v>0</v>
      </c>
      <c r="BP69" s="92">
        <f t="shared" si="70"/>
        <v>0</v>
      </c>
      <c r="BQ69" s="96">
        <f t="shared" si="48"/>
        <v>0</v>
      </c>
      <c r="BR69" s="96">
        <f t="shared" si="49"/>
        <v>0</v>
      </c>
      <c r="BS69" s="96">
        <f t="shared" si="71"/>
        <v>0</v>
      </c>
      <c r="BT69" s="96">
        <f>IF($V69="","",BS69/$V69)</f>
        <v>0</v>
      </c>
      <c r="BU69" s="92">
        <f t="shared" si="16"/>
        <v>1733</v>
      </c>
      <c r="BV69" s="98">
        <f t="shared" si="17"/>
        <v>7.31</v>
      </c>
      <c r="BW69" s="92">
        <f t="shared" si="18"/>
        <v>12.266666666666879</v>
      </c>
      <c r="BX69" s="98">
        <f t="shared" si="51"/>
        <v>1.4912399999999999</v>
      </c>
      <c r="BY69" s="61">
        <f t="shared" si="73"/>
        <v>7.31</v>
      </c>
      <c r="BZ69" s="62">
        <f t="shared" si="52"/>
        <v>7.31</v>
      </c>
      <c r="CA69" s="98">
        <f t="shared" si="53"/>
        <v>0.26500000000000001</v>
      </c>
      <c r="CB69" s="92">
        <f t="shared" si="98"/>
        <v>1766</v>
      </c>
      <c r="CC69" s="92">
        <f t="shared" si="98"/>
        <v>1.8400000000000318</v>
      </c>
      <c r="CD69" s="92">
        <f t="shared" si="98"/>
        <v>12.266666666666879</v>
      </c>
      <c r="CE69" s="99"/>
      <c r="CF69" s="99"/>
      <c r="CG69" s="51">
        <f t="shared" si="54"/>
        <v>1.2312399999999997</v>
      </c>
      <c r="CH69" s="62">
        <f t="shared" si="55"/>
        <v>1.2312399999999997</v>
      </c>
      <c r="CI69" s="89">
        <v>47</v>
      </c>
      <c r="CJ69" s="89">
        <v>260</v>
      </c>
      <c r="CK69" s="89"/>
      <c r="CL69" s="96">
        <v>5</v>
      </c>
      <c r="CM69" s="89"/>
      <c r="CN69" s="89"/>
      <c r="CO69" s="92"/>
      <c r="CP69" s="101"/>
      <c r="CQ69" s="102">
        <f t="shared" si="101"/>
        <v>1733</v>
      </c>
      <c r="CR69" s="102">
        <f t="shared" si="101"/>
        <v>0</v>
      </c>
      <c r="CS69" s="102">
        <f t="shared" si="101"/>
        <v>33</v>
      </c>
      <c r="CT69" s="92">
        <f t="shared" si="57"/>
        <v>0</v>
      </c>
      <c r="CU69" s="92">
        <f t="shared" si="102"/>
        <v>0</v>
      </c>
      <c r="CV69" s="103">
        <f t="shared" si="102"/>
        <v>0</v>
      </c>
      <c r="CW69" s="104" t="s">
        <v>147</v>
      </c>
      <c r="CX69" s="105">
        <v>16.8</v>
      </c>
      <c r="CY69" s="106">
        <f t="shared" si="59"/>
        <v>2453</v>
      </c>
      <c r="CZ69" s="106">
        <f t="shared" si="60"/>
        <v>68.040000000000006</v>
      </c>
      <c r="DA69" s="106"/>
      <c r="DB69" s="106"/>
      <c r="DC69" s="105"/>
      <c r="DD69" s="107"/>
      <c r="DE69" s="92">
        <f t="shared" si="21"/>
        <v>1733</v>
      </c>
      <c r="DF69" s="108">
        <f t="shared" si="22"/>
        <v>7.31</v>
      </c>
      <c r="DG69" s="115">
        <f t="shared" si="23"/>
        <v>12.266666666666879</v>
      </c>
      <c r="DH69" s="110">
        <f t="shared" si="24"/>
        <v>0</v>
      </c>
      <c r="DI69" s="108">
        <f t="shared" si="25"/>
        <v>0</v>
      </c>
      <c r="DJ69" s="112">
        <f t="shared" si="26"/>
        <v>0</v>
      </c>
      <c r="DK69" s="110">
        <f t="shared" si="86"/>
        <v>1733</v>
      </c>
      <c r="DL69" s="108">
        <f t="shared" si="86"/>
        <v>7.31</v>
      </c>
      <c r="DM69" s="111">
        <f t="shared" si="86"/>
        <v>12.266666666666879</v>
      </c>
      <c r="DN69" s="76">
        <f t="shared" si="89"/>
        <v>12</v>
      </c>
      <c r="DO69" s="76">
        <f t="shared" si="89"/>
        <v>38</v>
      </c>
      <c r="DP69" s="112"/>
      <c r="DQ69" s="112"/>
      <c r="DR69" s="113" t="s">
        <v>459</v>
      </c>
      <c r="DS69" s="112"/>
      <c r="DT69" s="112"/>
      <c r="DU69" s="111"/>
      <c r="DV69" s="114"/>
      <c r="DW69" s="80">
        <f t="shared" si="61"/>
        <v>1740.31</v>
      </c>
      <c r="DX69" s="81">
        <f t="shared" si="29"/>
        <v>1752.5766666666668</v>
      </c>
      <c r="DY69" s="80">
        <f t="shared" si="62"/>
        <v>1766</v>
      </c>
      <c r="DZ69" s="82">
        <f t="shared" si="63"/>
        <v>4.9500000000000004E-3</v>
      </c>
      <c r="EA69" s="82">
        <f t="shared" si="64"/>
        <v>0.25995000000000001</v>
      </c>
      <c r="EB69" s="82">
        <f t="shared" si="65"/>
        <v>1.23129</v>
      </c>
      <c r="EC69" s="82">
        <f t="shared" si="75"/>
        <v>1.23624</v>
      </c>
      <c r="EF69" s="83">
        <f t="shared" si="107"/>
        <v>12.266666666666879</v>
      </c>
    </row>
    <row r="70" spans="1:136" ht="14.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1"/>
        <v>YHC2700-5.5x3-H9A14</v>
      </c>
      <c r="H70" s="46" t="str">
        <f t="shared" si="32"/>
        <v>C2700YH5.50DH9</v>
      </c>
      <c r="I70" s="46" t="str">
        <f t="shared" si="33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4"/>
        <v>24</v>
      </c>
      <c r="T70" s="51">
        <f>'05.02'!BG70</f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>AE70+'05.02'!AF70</f>
        <v>0</v>
      </c>
      <c r="AG70" s="94">
        <f t="shared" si="66"/>
        <v>0</v>
      </c>
      <c r="AH70" s="56">
        <f t="shared" si="13"/>
        <v>0</v>
      </c>
      <c r="AI70" s="93"/>
      <c r="AJ70" s="93">
        <f t="shared" si="67"/>
        <v>0</v>
      </c>
      <c r="AK70" s="95">
        <f t="shared" si="36"/>
        <v>1</v>
      </c>
      <c r="AL70" s="58">
        <f t="shared" si="37"/>
        <v>0</v>
      </c>
      <c r="AM70" s="55">
        <f t="shared" si="68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8"/>
        <v>0</v>
      </c>
      <c r="AV70" s="96">
        <f t="shared" si="38"/>
        <v>0</v>
      </c>
      <c r="AW70" s="96">
        <f t="shared" si="39"/>
        <v>0</v>
      </c>
      <c r="AX70" s="96">
        <f>IF(V70="","",INT(AW70/$V70))</f>
        <v>0</v>
      </c>
      <c r="AY70" s="94">
        <f t="shared" si="69"/>
        <v>0</v>
      </c>
      <c r="AZ70" s="94">
        <f t="shared" si="41"/>
        <v>0</v>
      </c>
      <c r="BA70" s="94">
        <f t="shared" si="42"/>
        <v>0</v>
      </c>
      <c r="BB70" s="97">
        <f t="shared" si="43"/>
        <v>0</v>
      </c>
      <c r="BC70" s="93"/>
      <c r="BD70" s="93">
        <f t="shared" si="44"/>
        <v>0</v>
      </c>
      <c r="BE70" s="95">
        <f t="shared" si="45"/>
        <v>1</v>
      </c>
      <c r="BF70" s="58">
        <f t="shared" si="46"/>
        <v>0</v>
      </c>
      <c r="BG70" s="94">
        <f t="shared" si="47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0"/>
        <v>0</v>
      </c>
      <c r="BP70" s="92">
        <f t="shared" si="70"/>
        <v>0</v>
      </c>
      <c r="BQ70" s="96">
        <f t="shared" si="48"/>
        <v>0</v>
      </c>
      <c r="BR70" s="96">
        <f t="shared" si="49"/>
        <v>0</v>
      </c>
      <c r="BS70" s="96">
        <f t="shared" si="71"/>
        <v>0</v>
      </c>
      <c r="BT70" s="96">
        <f t="shared" si="50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1"/>
        <v>0</v>
      </c>
      <c r="BY70" s="61">
        <f t="shared" si="73"/>
        <v>0</v>
      </c>
      <c r="BZ70" s="62">
        <f t="shared" si="52"/>
        <v>0</v>
      </c>
      <c r="CA70" s="98">
        <f t="shared" si="53"/>
        <v>0</v>
      </c>
      <c r="CB70" s="92">
        <f t="shared" si="98"/>
        <v>0</v>
      </c>
      <c r="CC70" s="92">
        <f t="shared" si="98"/>
        <v>0</v>
      </c>
      <c r="CD70" s="92">
        <f t="shared" si="98"/>
        <v>0</v>
      </c>
      <c r="CE70" s="99"/>
      <c r="CF70" s="99"/>
      <c r="CG70" s="51">
        <f t="shared" si="54"/>
        <v>0</v>
      </c>
      <c r="CH70" s="62">
        <f t="shared" si="55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101"/>
        <v>0</v>
      </c>
      <c r="CR70" s="102">
        <f t="shared" si="101"/>
        <v>0</v>
      </c>
      <c r="CS70" s="102">
        <f t="shared" si="101"/>
        <v>0</v>
      </c>
      <c r="CT70" s="92">
        <f t="shared" si="57"/>
        <v>0</v>
      </c>
      <c r="CU70" s="92">
        <f t="shared" si="102"/>
        <v>0</v>
      </c>
      <c r="CV70" s="103">
        <f t="shared" si="102"/>
        <v>0</v>
      </c>
      <c r="CW70" s="104" t="s">
        <v>147</v>
      </c>
      <c r="CX70" s="105">
        <v>20</v>
      </c>
      <c r="CY70" s="106">
        <f t="shared" si="59"/>
        <v>2034</v>
      </c>
      <c r="CZ70" s="106">
        <f t="shared" si="60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6"/>
        <v>0</v>
      </c>
      <c r="DL70" s="108">
        <f t="shared" si="86"/>
        <v>0</v>
      </c>
      <c r="DM70" s="111">
        <f t="shared" si="86"/>
        <v>0</v>
      </c>
      <c r="DN70" s="76">
        <f t="shared" si="89"/>
        <v>0</v>
      </c>
      <c r="DO70" s="76">
        <f t="shared" si="89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1"/>
        <v>0</v>
      </c>
      <c r="DX70" s="81">
        <f t="shared" si="29"/>
        <v>0</v>
      </c>
      <c r="DY70" s="80">
        <f t="shared" si="62"/>
        <v>0</v>
      </c>
      <c r="DZ70" s="82">
        <f t="shared" si="63"/>
        <v>0</v>
      </c>
      <c r="EA70" s="82">
        <f t="shared" si="64"/>
        <v>0</v>
      </c>
      <c r="EB70" s="82">
        <f t="shared" si="65"/>
        <v>0</v>
      </c>
      <c r="EC70" s="82">
        <f>(BX70-CA70)+((AV70+BP70)/1000)</f>
        <v>0</v>
      </c>
      <c r="EF70" s="83">
        <f t="shared" si="107"/>
        <v>0</v>
      </c>
    </row>
    <row r="71" spans="1:136" ht="14.1" customHeight="1">
      <c r="A71" s="84">
        <v>64</v>
      </c>
      <c r="B71" s="85" t="s">
        <v>319</v>
      </c>
      <c r="C71" s="86"/>
      <c r="D71" s="119">
        <v>8400</v>
      </c>
      <c r="E71" s="88">
        <v>92</v>
      </c>
      <c r="F71" s="89" t="s">
        <v>147</v>
      </c>
      <c r="G71" s="45" t="str">
        <f t="shared" si="31"/>
        <v>IBC3604-6.2x3-H9B14</v>
      </c>
      <c r="H71" s="46" t="str">
        <f t="shared" si="32"/>
        <v>C3604IB6.20DH9</v>
      </c>
      <c r="I71" s="46" t="str">
        <f t="shared" si="33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4"/>
        <v>38</v>
      </c>
      <c r="T71" s="51">
        <f>'05.02'!BG71</f>
        <v>0</v>
      </c>
      <c r="U71" s="92"/>
      <c r="V71" s="100">
        <v>4.26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5"/>
        <v>0</v>
      </c>
      <c r="AF71" s="54">
        <f>AE71+'05.02'!AF71</f>
        <v>0</v>
      </c>
      <c r="AG71" s="94">
        <f t="shared" si="66"/>
        <v>0</v>
      </c>
      <c r="AH71" s="56">
        <f t="shared" si="13"/>
        <v>0</v>
      </c>
      <c r="AI71" s="93"/>
      <c r="AJ71" s="93">
        <f t="shared" si="67"/>
        <v>0</v>
      </c>
      <c r="AK71" s="95">
        <f t="shared" si="36"/>
        <v>1</v>
      </c>
      <c r="AL71" s="58">
        <f t="shared" si="37"/>
        <v>0</v>
      </c>
      <c r="AM71" s="55">
        <f t="shared" si="68"/>
        <v>0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8"/>
        <v>0</v>
      </c>
      <c r="AV71" s="96">
        <f t="shared" si="38"/>
        <v>0</v>
      </c>
      <c r="AW71" s="96">
        <f t="shared" si="39"/>
        <v>0</v>
      </c>
      <c r="AX71" s="96">
        <f t="shared" si="40"/>
        <v>0</v>
      </c>
      <c r="AY71" s="94">
        <f t="shared" si="69"/>
        <v>0</v>
      </c>
      <c r="AZ71" s="94">
        <f t="shared" si="41"/>
        <v>0</v>
      </c>
      <c r="BA71" s="94">
        <f t="shared" si="42"/>
        <v>0</v>
      </c>
      <c r="BB71" s="97">
        <f t="shared" si="43"/>
        <v>0</v>
      </c>
      <c r="BC71" s="93"/>
      <c r="BD71" s="93">
        <f t="shared" si="44"/>
        <v>0</v>
      </c>
      <c r="BE71" s="95">
        <f t="shared" si="45"/>
        <v>1</v>
      </c>
      <c r="BF71" s="58">
        <f t="shared" si="46"/>
        <v>0</v>
      </c>
      <c r="BG71" s="94">
        <f t="shared" si="47"/>
        <v>0</v>
      </c>
      <c r="BH71" s="89"/>
      <c r="BI71" s="89"/>
      <c r="BJ71" s="92">
        <f>$CN71</f>
        <v>0</v>
      </c>
      <c r="BK71" s="89"/>
      <c r="BL71" s="89"/>
      <c r="BM71" s="89"/>
      <c r="BN71" s="89"/>
      <c r="BO71" s="92">
        <f t="shared" si="70"/>
        <v>0</v>
      </c>
      <c r="BP71" s="92">
        <f t="shared" si="70"/>
        <v>0</v>
      </c>
      <c r="BQ71" s="96">
        <f t="shared" si="48"/>
        <v>0</v>
      </c>
      <c r="BR71" s="96">
        <f t="shared" si="49"/>
        <v>0</v>
      </c>
      <c r="BS71" s="96">
        <f t="shared" si="71"/>
        <v>0</v>
      </c>
      <c r="BT71" s="96">
        <f t="shared" si="50"/>
        <v>0</v>
      </c>
      <c r="BU71" s="92">
        <f t="shared" si="16"/>
        <v>0</v>
      </c>
      <c r="BV71" s="98">
        <f t="shared" si="17"/>
        <v>0</v>
      </c>
      <c r="BW71" s="92">
        <f t="shared" si="18"/>
        <v>0</v>
      </c>
      <c r="BX71" s="98">
        <f t="shared" si="51"/>
        <v>0</v>
      </c>
      <c r="BY71" s="61">
        <f t="shared" si="73"/>
        <v>0</v>
      </c>
      <c r="BZ71" s="62">
        <f t="shared" si="52"/>
        <v>0</v>
      </c>
      <c r="CA71" s="98">
        <f t="shared" si="53"/>
        <v>0</v>
      </c>
      <c r="CB71" s="92">
        <f t="shared" si="98"/>
        <v>0</v>
      </c>
      <c r="CC71" s="92">
        <f t="shared" si="98"/>
        <v>0</v>
      </c>
      <c r="CD71" s="92">
        <f t="shared" si="98"/>
        <v>0</v>
      </c>
      <c r="CE71" s="99"/>
      <c r="CF71" s="99"/>
      <c r="CG71" s="51">
        <f t="shared" si="54"/>
        <v>0</v>
      </c>
      <c r="CH71" s="62">
        <f t="shared" si="55"/>
        <v>0</v>
      </c>
      <c r="CI71" s="89"/>
      <c r="CJ71" s="89"/>
      <c r="CK71" s="89"/>
      <c r="CL71" s="96"/>
      <c r="CM71" s="89"/>
      <c r="CN71" s="89"/>
      <c r="CO71" s="92"/>
      <c r="CP71" s="101"/>
      <c r="CQ71" s="102">
        <f t="shared" si="101"/>
        <v>0</v>
      </c>
      <c r="CR71" s="102">
        <f t="shared" si="101"/>
        <v>0</v>
      </c>
      <c r="CS71" s="102">
        <f t="shared" si="101"/>
        <v>0</v>
      </c>
      <c r="CT71" s="92">
        <f t="shared" si="57"/>
        <v>0</v>
      </c>
      <c r="CU71" s="92">
        <f t="shared" si="102"/>
        <v>0</v>
      </c>
      <c r="CV71" s="103">
        <f t="shared" si="102"/>
        <v>0</v>
      </c>
      <c r="CW71" s="104" t="s">
        <v>147</v>
      </c>
      <c r="CX71" s="105">
        <v>23</v>
      </c>
      <c r="CY71" s="106">
        <f t="shared" si="59"/>
        <v>1713</v>
      </c>
      <c r="CZ71" s="106">
        <f t="shared" si="60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0</v>
      </c>
      <c r="DG71" s="115">
        <f t="shared" si="23"/>
        <v>0</v>
      </c>
      <c r="DH71" s="110">
        <f t="shared" si="24"/>
        <v>0</v>
      </c>
      <c r="DI71" s="108">
        <f t="shared" si="25"/>
        <v>0</v>
      </c>
      <c r="DJ71" s="112">
        <f t="shared" si="26"/>
        <v>0</v>
      </c>
      <c r="DK71" s="110">
        <f t="shared" si="86"/>
        <v>0</v>
      </c>
      <c r="DL71" s="108">
        <f t="shared" si="86"/>
        <v>0</v>
      </c>
      <c r="DM71" s="111">
        <f t="shared" si="86"/>
        <v>0</v>
      </c>
      <c r="DN71" s="76">
        <f t="shared" si="89"/>
        <v>0</v>
      </c>
      <c r="DO71" s="76">
        <f t="shared" si="89"/>
        <v>0</v>
      </c>
      <c r="DP71" s="112"/>
      <c r="DQ71" s="112"/>
      <c r="DR71" s="113"/>
      <c r="DS71" s="112"/>
      <c r="DT71" s="112"/>
      <c r="DU71" s="111"/>
      <c r="DV71" s="114"/>
      <c r="DW71" s="80">
        <f t="shared" si="61"/>
        <v>0</v>
      </c>
      <c r="DX71" s="81">
        <f t="shared" si="29"/>
        <v>0</v>
      </c>
      <c r="DY71" s="80">
        <f t="shared" si="62"/>
        <v>0</v>
      </c>
      <c r="DZ71" s="82">
        <f t="shared" si="63"/>
        <v>0</v>
      </c>
      <c r="EA71" s="82">
        <f t="shared" si="64"/>
        <v>0</v>
      </c>
      <c r="EB71" s="82">
        <f t="shared" si="65"/>
        <v>0</v>
      </c>
      <c r="EC71" s="82">
        <f t="shared" si="75"/>
        <v>0</v>
      </c>
      <c r="EF71" s="83">
        <f t="shared" si="107"/>
        <v>0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1"/>
        <v>TVA2011-T3-7.5x3-H9B14</v>
      </c>
      <c r="H72" s="46" t="str">
        <f t="shared" si="32"/>
        <v>A2011-T3TV7.50DH9</v>
      </c>
      <c r="I72" s="46" t="str">
        <f t="shared" si="33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4"/>
        <v>24</v>
      </c>
      <c r="T72" s="51">
        <f>'05.02'!BG72</f>
        <v>30</v>
      </c>
      <c r="U72" s="92"/>
      <c r="V72" s="100">
        <v>0.58299999999999996</v>
      </c>
      <c r="W72" s="93">
        <f t="shared" ref="W72:W103" si="114">IF(V72="","",INT((AO72+BI72)/$V72))</f>
        <v>0</v>
      </c>
      <c r="X72" s="93">
        <f t="shared" ref="X72:X106" si="115">IF(V72="","",INT((AP72+BJ72)/$V72))</f>
        <v>0</v>
      </c>
      <c r="Y72" s="93">
        <f t="shared" ref="Y72:Y106" si="116">IF(V72="","",INT((AQ72+BK72)/$V72))</f>
        <v>0</v>
      </c>
      <c r="Z72" s="93">
        <f t="shared" ref="Z72:Z106" si="117">IF(V72="","",INT((AR72+BL72)/$V72))</f>
        <v>0</v>
      </c>
      <c r="AA72" s="93">
        <f t="shared" ref="AA72:AA106" si="118">IF(V72="","",INT((AS72+BM72)/$V72))</f>
        <v>0</v>
      </c>
      <c r="AB72" s="93">
        <f t="shared" ref="AB72:AB106" si="119">IF(V72="","",INT((AT72+BN72)/$V72))</f>
        <v>0</v>
      </c>
      <c r="AC72" s="93">
        <f t="shared" ref="AC72:AC106" si="120">IF(V72="","",INT((AU72+BO72)/$V72))</f>
        <v>0</v>
      </c>
      <c r="AD72" s="93">
        <f t="shared" ref="AD72:AD106" si="121">IF(V72="","",INT((AV72+BP72)/$V72))</f>
        <v>0</v>
      </c>
      <c r="AE72" s="93">
        <f t="shared" si="35"/>
        <v>0</v>
      </c>
      <c r="AF72" s="54">
        <f>AE72+'05.02'!AF72</f>
        <v>0</v>
      </c>
      <c r="AG72" s="94">
        <f t="shared" si="66"/>
        <v>30</v>
      </c>
      <c r="AH72" s="56">
        <f t="shared" si="13"/>
        <v>0</v>
      </c>
      <c r="AI72" s="93"/>
      <c r="AJ72" s="93">
        <f t="shared" si="67"/>
        <v>0</v>
      </c>
      <c r="AK72" s="95">
        <f t="shared" si="36"/>
        <v>1</v>
      </c>
      <c r="AL72" s="58">
        <f t="shared" si="37"/>
        <v>0</v>
      </c>
      <c r="AM72" s="55">
        <f t="shared" si="68"/>
        <v>30</v>
      </c>
      <c r="AN72" s="93"/>
      <c r="AO72" s="96"/>
      <c r="AP72" s="96"/>
      <c r="AQ72" s="96"/>
      <c r="AR72" s="96"/>
      <c r="AS72" s="96"/>
      <c r="AT72" s="96">
        <f t="shared" si="112"/>
        <v>0</v>
      </c>
      <c r="AU72" s="96">
        <f t="shared" si="38"/>
        <v>0</v>
      </c>
      <c r="AV72" s="96">
        <f t="shared" si="38"/>
        <v>0</v>
      </c>
      <c r="AW72" s="96">
        <f t="shared" si="39"/>
        <v>0</v>
      </c>
      <c r="AX72" s="96">
        <f t="shared" si="40"/>
        <v>0</v>
      </c>
      <c r="AY72" s="94">
        <f t="shared" si="69"/>
        <v>0</v>
      </c>
      <c r="AZ72" s="94">
        <f t="shared" si="41"/>
        <v>0</v>
      </c>
      <c r="BA72" s="94">
        <f t="shared" si="42"/>
        <v>30</v>
      </c>
      <c r="BB72" s="97">
        <f t="shared" si="43"/>
        <v>0</v>
      </c>
      <c r="BC72" s="93"/>
      <c r="BD72" s="93">
        <f t="shared" si="44"/>
        <v>0</v>
      </c>
      <c r="BE72" s="95">
        <f t="shared" si="45"/>
        <v>1</v>
      </c>
      <c r="BF72" s="58">
        <f t="shared" si="46"/>
        <v>0</v>
      </c>
      <c r="BG72" s="94">
        <f t="shared" si="47"/>
        <v>30</v>
      </c>
      <c r="BH72" s="89"/>
      <c r="BI72" s="89"/>
      <c r="BJ72" s="89"/>
      <c r="BK72" s="89"/>
      <c r="BL72" s="89"/>
      <c r="BM72" s="89"/>
      <c r="BN72" s="92">
        <f t="shared" si="113"/>
        <v>0</v>
      </c>
      <c r="BO72" s="92">
        <f t="shared" si="70"/>
        <v>0</v>
      </c>
      <c r="BP72" s="92">
        <f t="shared" si="70"/>
        <v>0</v>
      </c>
      <c r="BQ72" s="96">
        <f t="shared" si="48"/>
        <v>0</v>
      </c>
      <c r="BR72" s="96">
        <f t="shared" si="49"/>
        <v>0</v>
      </c>
      <c r="BS72" s="96">
        <f t="shared" si="71"/>
        <v>0</v>
      </c>
      <c r="BT72" s="96">
        <f t="shared" si="50"/>
        <v>0</v>
      </c>
      <c r="BU72" s="92">
        <f t="shared" ref="BU72:BU106" si="122">IFERROR(AE72,"")</f>
        <v>0</v>
      </c>
      <c r="BV72" s="98">
        <f t="shared" si="17"/>
        <v>0</v>
      </c>
      <c r="BW72" s="92">
        <f t="shared" ref="BW72:BW106" si="123">IFERROR(BT72+AZ72,"")</f>
        <v>0</v>
      </c>
      <c r="BX72" s="98">
        <f t="shared" si="51"/>
        <v>0</v>
      </c>
      <c r="BY72" s="61">
        <f t="shared" si="73"/>
        <v>0</v>
      </c>
      <c r="BZ72" s="62">
        <f t="shared" si="52"/>
        <v>0</v>
      </c>
      <c r="CA72" s="98">
        <f t="shared" si="53"/>
        <v>0</v>
      </c>
      <c r="CB72" s="92">
        <f t="shared" ref="CB72:CD106" si="124">IFERROR(BR72+AX72,"")</f>
        <v>0</v>
      </c>
      <c r="CC72" s="92">
        <f t="shared" si="124"/>
        <v>0</v>
      </c>
      <c r="CD72" s="92">
        <f t="shared" si="124"/>
        <v>0</v>
      </c>
      <c r="CE72" s="99"/>
      <c r="CF72" s="99"/>
      <c r="CG72" s="51">
        <f t="shared" si="54"/>
        <v>0</v>
      </c>
      <c r="CH72" s="62">
        <f t="shared" si="55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101"/>
        <v>0</v>
      </c>
      <c r="CR72" s="102">
        <f t="shared" si="101"/>
        <v>0</v>
      </c>
      <c r="CS72" s="102">
        <f t="shared" si="101"/>
        <v>0</v>
      </c>
      <c r="CT72" s="92">
        <f t="shared" si="57"/>
        <v>0</v>
      </c>
      <c r="CU72" s="92">
        <f t="shared" si="102"/>
        <v>0</v>
      </c>
      <c r="CV72" s="103">
        <f t="shared" si="102"/>
        <v>0</v>
      </c>
      <c r="CW72" s="104" t="s">
        <v>147</v>
      </c>
      <c r="CX72" s="105">
        <v>8</v>
      </c>
      <c r="CY72" s="106">
        <f t="shared" si="59"/>
        <v>5107</v>
      </c>
      <c r="CZ72" s="106">
        <f t="shared" si="60"/>
        <v>32.400000000000006</v>
      </c>
      <c r="DA72" s="106"/>
      <c r="DB72" s="106"/>
      <c r="DC72" s="105"/>
      <c r="DD72" s="107"/>
      <c r="DE72" s="92">
        <f t="shared" ref="DE72:DE106" si="125">IFERROR(CQ72+CR72,"")</f>
        <v>0</v>
      </c>
      <c r="DF72" s="108">
        <f t="shared" ref="DF72:DF106" si="126">IFERROR(AL72,"")</f>
        <v>0</v>
      </c>
      <c r="DG72" s="115">
        <f t="shared" ref="DG72:DG106" si="127">IFERROR(AZ72,"")</f>
        <v>0</v>
      </c>
      <c r="DH72" s="110">
        <f t="shared" ref="DH72:DH106" si="128">IFERROR(CT72+CU72,"")</f>
        <v>0</v>
      </c>
      <c r="DI72" s="108">
        <f t="shared" ref="DI72:DI106" si="129">IFERROR(BF72,"")</f>
        <v>0</v>
      </c>
      <c r="DJ72" s="112">
        <f t="shared" ref="DJ72:DJ106" si="130">IFERROR(BT72,"")</f>
        <v>0</v>
      </c>
      <c r="DK72" s="110">
        <f t="shared" si="86"/>
        <v>0</v>
      </c>
      <c r="DL72" s="108">
        <f t="shared" si="86"/>
        <v>0</v>
      </c>
      <c r="DM72" s="111">
        <f t="shared" si="86"/>
        <v>0</v>
      </c>
      <c r="DN72" s="76">
        <f t="shared" si="89"/>
        <v>30</v>
      </c>
      <c r="DO72" s="76">
        <f t="shared" si="89"/>
        <v>0</v>
      </c>
      <c r="DP72" s="112"/>
      <c r="DQ72" s="112"/>
      <c r="DR72" s="113" t="s">
        <v>460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31">IFERROR(DK72+DL72+DM72,"")</f>
        <v>0</v>
      </c>
      <c r="DY72" s="80">
        <f t="shared" si="62"/>
        <v>0</v>
      </c>
      <c r="DZ72" s="82">
        <f t="shared" si="63"/>
        <v>0</v>
      </c>
      <c r="EA72" s="82">
        <f t="shared" si="64"/>
        <v>0</v>
      </c>
      <c r="EB72" s="82">
        <f t="shared" si="65"/>
        <v>0</v>
      </c>
      <c r="EC72" s="82">
        <f t="shared" si="75"/>
        <v>0</v>
      </c>
      <c r="EF72" s="83">
        <f t="shared" si="107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2">CONCATENATE(K73,J73,"-",IF(N73="D",L73,IF(N73="H",CONCATENATE(N73,L73),CONCATENATE(N73,L73,"x",M73))),"x",P73,"-",O73,R73)</f>
        <v>GAA5052-5.7x3-H9A14</v>
      </c>
      <c r="H73" s="46" t="str">
        <f t="shared" ref="H73:H106" si="133">CONCATENATE(J73,,K73,L73,M73,N73,O73)</f>
        <v>A5052GA5.70DH9</v>
      </c>
      <c r="I73" s="46" t="str">
        <f t="shared" ref="I73:I106" si="134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5">ROUND(CY73/E73,0)*2</f>
        <v>14</v>
      </c>
      <c r="T73" s="51">
        <f>'05.02'!BG73</f>
        <v>12.999999999999998</v>
      </c>
      <c r="U73" s="92">
        <v>37</v>
      </c>
      <c r="V73" s="100">
        <v>0.15</v>
      </c>
      <c r="W73" s="93">
        <f t="shared" si="114"/>
        <v>0</v>
      </c>
      <c r="X73" s="93">
        <f t="shared" si="115"/>
        <v>0</v>
      </c>
      <c r="Y73" s="93">
        <f t="shared" si="116"/>
        <v>0</v>
      </c>
      <c r="Z73" s="93">
        <f t="shared" si="117"/>
        <v>0</v>
      </c>
      <c r="AA73" s="93">
        <f t="shared" si="118"/>
        <v>0</v>
      </c>
      <c r="AB73" s="93">
        <f t="shared" si="119"/>
        <v>3053</v>
      </c>
      <c r="AC73" s="93">
        <f t="shared" si="120"/>
        <v>0</v>
      </c>
      <c r="AD73" s="93">
        <f t="shared" si="121"/>
        <v>26</v>
      </c>
      <c r="AE73" s="93">
        <f t="shared" ref="AE73:AE106" si="136">IF(V73="","",SUM(W73:AC73))</f>
        <v>3053</v>
      </c>
      <c r="AF73" s="54">
        <f>AE73+'05.02'!AF73</f>
        <v>17079</v>
      </c>
      <c r="AG73" s="94">
        <f t="shared" si="66"/>
        <v>12.999999999999998</v>
      </c>
      <c r="AH73" s="56">
        <f t="shared" ref="AH73:AH106" si="137">IFERROR(VALUE("0"&amp;RIGHT(AG73,(LEN(AG73)-LEN(TRUNC(AG73))))),"")</f>
        <v>0</v>
      </c>
      <c r="AI73" s="93">
        <v>7</v>
      </c>
      <c r="AJ73" s="93">
        <f t="shared" si="67"/>
        <v>9</v>
      </c>
      <c r="AK73" s="95">
        <f t="shared" ref="AK73:AK107" si="138">IF(V73="","",IF(AJ73=0,1,AJ73/$V73/$E73))</f>
        <v>0.24390243902439024</v>
      </c>
      <c r="AL73" s="58">
        <f t="shared" si="37"/>
        <v>6.25</v>
      </c>
      <c r="AM73" s="55">
        <f t="shared" si="68"/>
        <v>43.75</v>
      </c>
      <c r="AN73" s="93"/>
      <c r="AO73" s="96"/>
      <c r="AP73" s="96"/>
      <c r="AQ73" s="96"/>
      <c r="AR73" s="96"/>
      <c r="AS73" s="96"/>
      <c r="AT73" s="96">
        <f t="shared" si="112"/>
        <v>232</v>
      </c>
      <c r="AU73" s="96">
        <f t="shared" ref="AU73:AV106" si="139">CK73</f>
        <v>0</v>
      </c>
      <c r="AV73" s="96">
        <f t="shared" si="139"/>
        <v>0</v>
      </c>
      <c r="AW73" s="96">
        <f t="shared" ref="AW73:AW106" si="140">SUM(AO73:AV73)</f>
        <v>232</v>
      </c>
      <c r="AX73" s="96">
        <f t="shared" ref="AX73:AX106" si="141">IF(V73="","",INT(AW73/$V73))</f>
        <v>1546</v>
      </c>
      <c r="AY73" s="94">
        <f t="shared" si="69"/>
        <v>1.375</v>
      </c>
      <c r="AZ73" s="94">
        <f t="shared" ref="AZ73:AZ106" si="142">IF($V73="","",AY73/$V73)</f>
        <v>9.1666666666666679</v>
      </c>
      <c r="BA73" s="94">
        <f t="shared" si="42"/>
        <v>43.75</v>
      </c>
      <c r="BB73" s="97">
        <f t="shared" si="43"/>
        <v>0.75</v>
      </c>
      <c r="BC73" s="93">
        <v>6</v>
      </c>
      <c r="BD73" s="93">
        <f t="shared" ref="BD73:BD106" si="143">$CM73</f>
        <v>0</v>
      </c>
      <c r="BE73" s="95">
        <f t="shared" ref="BE73:BE106" si="144">IF(AA73="","",IF(BD73=0,1,BD73/$V73/$E73))</f>
        <v>1</v>
      </c>
      <c r="BF73" s="58">
        <f t="shared" si="46"/>
        <v>6.75</v>
      </c>
      <c r="BG73" s="94">
        <f t="shared" ref="BG73:BG106" si="145">IF(AA73="","",BA73-BF73)</f>
        <v>37</v>
      </c>
      <c r="BH73" s="89"/>
      <c r="BI73" s="89"/>
      <c r="BJ73" s="89"/>
      <c r="BK73" s="89"/>
      <c r="BL73" s="89"/>
      <c r="BM73" s="89"/>
      <c r="BN73" s="92">
        <f t="shared" si="113"/>
        <v>226</v>
      </c>
      <c r="BO73" s="92">
        <f t="shared" si="70"/>
        <v>0</v>
      </c>
      <c r="BP73" s="92">
        <f t="shared" si="70"/>
        <v>4</v>
      </c>
      <c r="BQ73" s="96">
        <f t="shared" ref="BQ73:BQ106" si="146">SUM(BI73:BP73)</f>
        <v>230</v>
      </c>
      <c r="BR73" s="96">
        <f t="shared" ref="BR73:BR106" si="147">IF(AA73="","",INT(BQ73/$V73))</f>
        <v>1533</v>
      </c>
      <c r="BS73" s="96">
        <f t="shared" si="71"/>
        <v>-19.074999999999989</v>
      </c>
      <c r="BT73" s="96">
        <f t="shared" ref="BT73:BT106" si="148">IF($V73="","",BS73/$V73)</f>
        <v>-127.1666666666666</v>
      </c>
      <c r="BU73" s="92">
        <f t="shared" si="122"/>
        <v>3053</v>
      </c>
      <c r="BV73" s="98">
        <f t="shared" si="17"/>
        <v>13</v>
      </c>
      <c r="BW73" s="92">
        <f t="shared" si="123"/>
        <v>-117.99999999999993</v>
      </c>
      <c r="BX73" s="98">
        <f t="shared" ref="BX73:BX106" si="149">IF($Q73="","",(BF73+AL73)*$Q73)</f>
        <v>2.6519999999999997</v>
      </c>
      <c r="BY73" s="61">
        <f t="shared" si="73"/>
        <v>13</v>
      </c>
      <c r="BZ73" s="62">
        <f t="shared" ref="BZ73:BZ108" si="150">BY73</f>
        <v>13</v>
      </c>
      <c r="CA73" s="98">
        <f t="shared" ref="CA73:CA106" si="151">IFERROR((BQ73+AW73)/1000,"")</f>
        <v>0.46200000000000002</v>
      </c>
      <c r="CB73" s="92">
        <f t="shared" si="124"/>
        <v>3079</v>
      </c>
      <c r="CC73" s="92">
        <f t="shared" si="124"/>
        <v>-17.699999999999989</v>
      </c>
      <c r="CD73" s="92">
        <f t="shared" si="124"/>
        <v>-117.99999999999993</v>
      </c>
      <c r="CE73" s="99"/>
      <c r="CF73" s="99"/>
      <c r="CG73" s="51">
        <f t="shared" ref="CG73:CG106" si="152">IF(BX73="",0,(BX73-CA73)+((AV73+BP73)/1000))</f>
        <v>2.1939999999999995</v>
      </c>
      <c r="CH73" s="62">
        <f t="shared" ref="CH73:CH108" si="153">CG73</f>
        <v>2.1939999999999995</v>
      </c>
      <c r="CI73" s="89">
        <v>9</v>
      </c>
      <c r="CJ73" s="89">
        <v>232</v>
      </c>
      <c r="CK73" s="89"/>
      <c r="CL73" s="96"/>
      <c r="CM73" s="89"/>
      <c r="CN73" s="89">
        <v>226</v>
      </c>
      <c r="CO73" s="92"/>
      <c r="CP73" s="101">
        <v>4</v>
      </c>
      <c r="CQ73" s="102">
        <f t="shared" si="101"/>
        <v>1546</v>
      </c>
      <c r="CR73" s="102">
        <f t="shared" si="101"/>
        <v>0</v>
      </c>
      <c r="CS73" s="102">
        <f t="shared" si="101"/>
        <v>0</v>
      </c>
      <c r="CT73" s="92">
        <f t="shared" ref="CT73:CT106" si="154">INT(IFERROR( AE73-CQ73-CU73-CR73,0))</f>
        <v>1507</v>
      </c>
      <c r="CU73" s="92">
        <f t="shared" si="102"/>
        <v>0</v>
      </c>
      <c r="CV73" s="103">
        <f t="shared" si="102"/>
        <v>26</v>
      </c>
      <c r="CW73" s="104" t="s">
        <v>147</v>
      </c>
      <c r="CX73" s="105">
        <v>23.04</v>
      </c>
      <c r="CY73" s="106">
        <f t="shared" ref="CY73:CY106" si="155">INT(60/CX73*60*(12-(CEILING((60/CX73*60*12)/E73,1)*IF(CW73="T",0.45,IF(CW73="",5,3))/60)))</f>
        <v>1812</v>
      </c>
      <c r="CZ73" s="106">
        <f t="shared" ref="CZ73:CZ106" si="156">IF(CX73="",0,(IF(CW73="",360,180)/(60/CX73))*1.35)</f>
        <v>93.311999999999998</v>
      </c>
      <c r="DA73" s="106"/>
      <c r="DB73" s="106"/>
      <c r="DC73" s="105"/>
      <c r="DD73" s="107"/>
      <c r="DE73" s="92">
        <f t="shared" si="125"/>
        <v>1546</v>
      </c>
      <c r="DF73" s="108">
        <f t="shared" si="126"/>
        <v>6.25</v>
      </c>
      <c r="DG73" s="115">
        <f t="shared" si="127"/>
        <v>9.1666666666666679</v>
      </c>
      <c r="DH73" s="110">
        <f t="shared" si="128"/>
        <v>1507</v>
      </c>
      <c r="DI73" s="108">
        <f t="shared" si="129"/>
        <v>6.75</v>
      </c>
      <c r="DJ73" s="112">
        <f t="shared" si="130"/>
        <v>-127.1666666666666</v>
      </c>
      <c r="DK73" s="110">
        <f t="shared" si="86"/>
        <v>3053</v>
      </c>
      <c r="DL73" s="108">
        <f t="shared" si="86"/>
        <v>13</v>
      </c>
      <c r="DM73" s="111">
        <f t="shared" si="86"/>
        <v>-117.99999999999993</v>
      </c>
      <c r="DN73" s="76">
        <f t="shared" si="89"/>
        <v>12.999999999999998</v>
      </c>
      <c r="DO73" s="76">
        <f t="shared" si="89"/>
        <v>37</v>
      </c>
      <c r="DP73" s="112"/>
      <c r="DQ73" s="112"/>
      <c r="DR73" s="113" t="s">
        <v>461</v>
      </c>
      <c r="DS73" s="112"/>
      <c r="DT73" s="112"/>
      <c r="DU73" s="111"/>
      <c r="DV73" s="114"/>
      <c r="DW73" s="80">
        <f t="shared" ref="DW73:DW106" si="157">IFERROR(BU73+BV73,"")</f>
        <v>3066</v>
      </c>
      <c r="DX73" s="81">
        <f t="shared" si="131"/>
        <v>2948</v>
      </c>
      <c r="DY73" s="80">
        <f t="shared" ref="DY73:DY106" si="158">CQ73+CR73+CS73+CT73+CU73+CV73</f>
        <v>3079</v>
      </c>
      <c r="DZ73" s="82">
        <f t="shared" ref="DZ73:DZ106" si="159">IFERROR((AD73*V73/1000),0)</f>
        <v>3.8999999999999998E-3</v>
      </c>
      <c r="EA73" s="82">
        <f t="shared" ref="EA73:EA106" si="160">IFERROR((AE73*V73/1000),0)</f>
        <v>0.45794999999999997</v>
      </c>
      <c r="EB73" s="82">
        <f t="shared" ref="EB73:EB106" si="161">BX73-EA73</f>
        <v>2.1940499999999998</v>
      </c>
      <c r="EC73" s="82">
        <f t="shared" si="75"/>
        <v>2.1979499999999996</v>
      </c>
      <c r="EF73" s="83">
        <f t="shared" si="107"/>
        <v>-117.99999999999993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2"/>
        <v>IBC3604-7x3-H9D14</v>
      </c>
      <c r="H74" s="46" t="str">
        <f t="shared" si="133"/>
        <v>C3604IB70DH9</v>
      </c>
      <c r="I74" s="46" t="str">
        <f t="shared" si="134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5"/>
        <v>28</v>
      </c>
      <c r="T74" s="51">
        <f>'05.02'!BG74</f>
        <v>23</v>
      </c>
      <c r="U74" s="92">
        <v>57</v>
      </c>
      <c r="V74" s="100">
        <v>3.3769999999999998</v>
      </c>
      <c r="W74" s="93">
        <f t="shared" si="114"/>
        <v>0</v>
      </c>
      <c r="X74" s="93">
        <f t="shared" si="115"/>
        <v>3756</v>
      </c>
      <c r="Y74" s="93">
        <f t="shared" si="116"/>
        <v>0</v>
      </c>
      <c r="Z74" s="93">
        <f t="shared" si="117"/>
        <v>0</v>
      </c>
      <c r="AA74" s="93">
        <f t="shared" si="118"/>
        <v>0</v>
      </c>
      <c r="AB74" s="93">
        <f t="shared" si="119"/>
        <v>0</v>
      </c>
      <c r="AC74" s="93">
        <f t="shared" si="120"/>
        <v>0</v>
      </c>
      <c r="AD74" s="93">
        <f t="shared" si="121"/>
        <v>20</v>
      </c>
      <c r="AE74" s="93">
        <f t="shared" si="136"/>
        <v>3756</v>
      </c>
      <c r="AF74" s="54">
        <f>AE74+'05.02'!AF74</f>
        <v>18992</v>
      </c>
      <c r="AG74" s="94">
        <f t="shared" ref="AG74:AG106" si="162">T74</f>
        <v>23</v>
      </c>
      <c r="AH74" s="56">
        <f t="shared" si="137"/>
        <v>0</v>
      </c>
      <c r="AI74" s="93">
        <v>14</v>
      </c>
      <c r="AJ74" s="93">
        <f t="shared" ref="AJ74:AJ106" si="163">$CI74</f>
        <v>0</v>
      </c>
      <c r="AK74" s="95">
        <f t="shared" si="138"/>
        <v>1</v>
      </c>
      <c r="AL74" s="58">
        <f t="shared" si="37"/>
        <v>14</v>
      </c>
      <c r="AM74" s="55">
        <f t="shared" ref="AM74:AM106" si="164">IF(V74="","",AG74+U74-AL74)</f>
        <v>66</v>
      </c>
      <c r="AN74" s="93"/>
      <c r="AO74" s="96"/>
      <c r="AP74" s="96">
        <f>$CJ74</f>
        <v>6461</v>
      </c>
      <c r="AQ74" s="96"/>
      <c r="AR74" s="96"/>
      <c r="AS74" s="96"/>
      <c r="AT74" s="96"/>
      <c r="AU74" s="96">
        <f t="shared" si="139"/>
        <v>0</v>
      </c>
      <c r="AV74" s="96">
        <f t="shared" si="139"/>
        <v>0</v>
      </c>
      <c r="AW74" s="96">
        <f t="shared" si="140"/>
        <v>6461</v>
      </c>
      <c r="AX74" s="96">
        <f t="shared" si="141"/>
        <v>1913</v>
      </c>
      <c r="AY74" s="94">
        <f t="shared" ref="AY74:AY106" si="165">IF(V74="","",AW74-AL74*$E74*$V74)</f>
        <v>78.470000000000255</v>
      </c>
      <c r="AZ74" s="94">
        <f t="shared" si="142"/>
        <v>23.236600533017548</v>
      </c>
      <c r="BA74" s="94">
        <f t="shared" si="42"/>
        <v>66</v>
      </c>
      <c r="BB74" s="97">
        <f t="shared" si="43"/>
        <v>0</v>
      </c>
      <c r="BC74" s="93">
        <v>14</v>
      </c>
      <c r="BD74" s="93">
        <f t="shared" si="143"/>
        <v>0</v>
      </c>
      <c r="BE74" s="95">
        <f t="shared" si="144"/>
        <v>1</v>
      </c>
      <c r="BF74" s="58">
        <f t="shared" si="46"/>
        <v>14</v>
      </c>
      <c r="BG74" s="94">
        <f t="shared" si="145"/>
        <v>52</v>
      </c>
      <c r="BH74" s="89"/>
      <c r="BI74" s="89"/>
      <c r="BJ74" s="92">
        <f>$CN74</f>
        <v>6225</v>
      </c>
      <c r="BK74" s="89"/>
      <c r="BL74" s="89"/>
      <c r="BM74" s="89"/>
      <c r="BN74" s="89"/>
      <c r="BO74" s="92">
        <f t="shared" ref="BO74:BP103" si="166">CO74</f>
        <v>0</v>
      </c>
      <c r="BP74" s="92">
        <f t="shared" si="166"/>
        <v>70</v>
      </c>
      <c r="BQ74" s="96">
        <f t="shared" si="146"/>
        <v>6295</v>
      </c>
      <c r="BR74" s="96">
        <f t="shared" si="147"/>
        <v>1864</v>
      </c>
      <c r="BS74" s="96">
        <f t="shared" ref="BS74:BS106" si="167">IF(AA74="","",-BF74*$E74*$V74+BQ74)</f>
        <v>-87.529999999999745</v>
      </c>
      <c r="BT74" s="96">
        <f t="shared" si="148"/>
        <v>-25.919455137696108</v>
      </c>
      <c r="BU74" s="92">
        <f t="shared" si="122"/>
        <v>3756</v>
      </c>
      <c r="BV74" s="98">
        <f t="shared" ref="BV74:BV106" si="168">IFERROR(BF74+AL74,"")</f>
        <v>28</v>
      </c>
      <c r="BW74" s="92">
        <f t="shared" si="123"/>
        <v>-2.6828546046785604</v>
      </c>
      <c r="BX74" s="98">
        <f t="shared" si="149"/>
        <v>27.439999999999998</v>
      </c>
      <c r="BY74" s="61">
        <f>IFERROR(BF74+AL74,0)</f>
        <v>28</v>
      </c>
      <c r="BZ74" s="62">
        <f t="shared" si="150"/>
        <v>28</v>
      </c>
      <c r="CA74" s="98">
        <f t="shared" si="151"/>
        <v>12.756</v>
      </c>
      <c r="CB74" s="92">
        <f t="shared" si="124"/>
        <v>3777</v>
      </c>
      <c r="CC74" s="92">
        <f t="shared" si="124"/>
        <v>-9.0599999999994907</v>
      </c>
      <c r="CD74" s="92">
        <f t="shared" si="124"/>
        <v>-2.6828546046785604</v>
      </c>
      <c r="CE74" s="99"/>
      <c r="CF74" s="99"/>
      <c r="CG74" s="51">
        <f t="shared" si="152"/>
        <v>14.753999999999998</v>
      </c>
      <c r="CH74" s="62">
        <f t="shared" si="153"/>
        <v>14.753999999999998</v>
      </c>
      <c r="CI74" s="89"/>
      <c r="CJ74" s="89">
        <v>6461</v>
      </c>
      <c r="CK74" s="89"/>
      <c r="CL74" s="96"/>
      <c r="CM74" s="89"/>
      <c r="CN74" s="89">
        <v>6225</v>
      </c>
      <c r="CO74" s="92"/>
      <c r="CP74" s="101">
        <v>70</v>
      </c>
      <c r="CQ74" s="102">
        <f t="shared" si="101"/>
        <v>1913</v>
      </c>
      <c r="CR74" s="102">
        <f t="shared" si="101"/>
        <v>0</v>
      </c>
      <c r="CS74" s="102">
        <f t="shared" si="101"/>
        <v>0</v>
      </c>
      <c r="CT74" s="92">
        <f t="shared" si="154"/>
        <v>1843</v>
      </c>
      <c r="CU74" s="92">
        <f t="shared" si="102"/>
        <v>0</v>
      </c>
      <c r="CV74" s="103">
        <f t="shared" si="102"/>
        <v>20</v>
      </c>
      <c r="CW74" s="104" t="s">
        <v>147</v>
      </c>
      <c r="CX74" s="105">
        <v>22</v>
      </c>
      <c r="CY74" s="106">
        <f t="shared" si="155"/>
        <v>1840</v>
      </c>
      <c r="CZ74" s="106">
        <f t="shared" si="156"/>
        <v>89.100000000000009</v>
      </c>
      <c r="DA74" s="106"/>
      <c r="DB74" s="106"/>
      <c r="DC74" s="105"/>
      <c r="DD74" s="107"/>
      <c r="DE74" s="92">
        <f t="shared" si="125"/>
        <v>1913</v>
      </c>
      <c r="DF74" s="108">
        <f t="shared" si="126"/>
        <v>14</v>
      </c>
      <c r="DG74" s="115">
        <f t="shared" si="127"/>
        <v>23.236600533017548</v>
      </c>
      <c r="DH74" s="110">
        <f t="shared" si="128"/>
        <v>1843</v>
      </c>
      <c r="DI74" s="108">
        <f t="shared" si="129"/>
        <v>14</v>
      </c>
      <c r="DJ74" s="112">
        <f t="shared" si="130"/>
        <v>-25.919455137696108</v>
      </c>
      <c r="DK74" s="110">
        <f t="shared" si="86"/>
        <v>3756</v>
      </c>
      <c r="DL74" s="108">
        <f t="shared" si="86"/>
        <v>28</v>
      </c>
      <c r="DM74" s="111">
        <f t="shared" si="86"/>
        <v>-2.6828546046785604</v>
      </c>
      <c r="DN74" s="76">
        <f t="shared" si="89"/>
        <v>23</v>
      </c>
      <c r="DO74" s="76">
        <f t="shared" si="89"/>
        <v>57</v>
      </c>
      <c r="DP74" s="112"/>
      <c r="DQ74" s="112"/>
      <c r="DR74" s="113" t="s">
        <v>462</v>
      </c>
      <c r="DS74" s="112"/>
      <c r="DT74" s="112"/>
      <c r="DU74" s="111"/>
      <c r="DV74" s="114"/>
      <c r="DW74" s="80">
        <f t="shared" ref="DW74:DW76" si="169">IFERROR(AL74+BF74,"")</f>
        <v>28</v>
      </c>
      <c r="DX74" s="81">
        <f t="shared" si="131"/>
        <v>3781.3171453953214</v>
      </c>
      <c r="DY74" s="80">
        <f t="shared" si="158"/>
        <v>3776</v>
      </c>
      <c r="DZ74" s="82">
        <f t="shared" si="159"/>
        <v>6.7539999999999989E-2</v>
      </c>
      <c r="EA74" s="82">
        <f t="shared" si="160"/>
        <v>12.684011999999999</v>
      </c>
      <c r="EB74" s="82">
        <f t="shared" si="161"/>
        <v>14.755987999999999</v>
      </c>
      <c r="EC74" s="82">
        <f t="shared" ref="EC74:EC75" si="170">(BX74-CA74)+((AV74+BP74)/1000)</f>
        <v>14.753999999999998</v>
      </c>
      <c r="EF74" s="83">
        <f t="shared" si="107"/>
        <v>-2.6828546046785604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2"/>
        <v>IBC3604-5x3-H9B14</v>
      </c>
      <c r="H75" s="46" t="str">
        <f t="shared" si="133"/>
        <v>C3604IB50DH9</v>
      </c>
      <c r="I75" s="46" t="str">
        <f t="shared" si="134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5"/>
        <v>82</v>
      </c>
      <c r="T75" s="51">
        <f>'05.02'!BG75</f>
        <v>220</v>
      </c>
      <c r="U75" s="92"/>
      <c r="V75" s="100">
        <v>2.65</v>
      </c>
      <c r="W75" s="93">
        <f t="shared" si="114"/>
        <v>0</v>
      </c>
      <c r="X75" s="93">
        <f t="shared" si="115"/>
        <v>0</v>
      </c>
      <c r="Y75" s="93">
        <f t="shared" si="116"/>
        <v>0</v>
      </c>
      <c r="Z75" s="93">
        <f t="shared" si="117"/>
        <v>0</v>
      </c>
      <c r="AA75" s="93">
        <f t="shared" si="118"/>
        <v>0</v>
      </c>
      <c r="AB75" s="93">
        <f t="shared" si="119"/>
        <v>0</v>
      </c>
      <c r="AC75" s="93">
        <f t="shared" si="120"/>
        <v>0</v>
      </c>
      <c r="AD75" s="93">
        <f t="shared" si="121"/>
        <v>0</v>
      </c>
      <c r="AE75" s="93">
        <f t="shared" si="136"/>
        <v>0</v>
      </c>
      <c r="AF75" s="54">
        <f>AE75+'05.02'!AF75</f>
        <v>0</v>
      </c>
      <c r="AG75" s="94">
        <f t="shared" si="162"/>
        <v>220</v>
      </c>
      <c r="AH75" s="56">
        <f t="shared" si="137"/>
        <v>0</v>
      </c>
      <c r="AI75" s="93"/>
      <c r="AJ75" s="93">
        <f t="shared" si="163"/>
        <v>0</v>
      </c>
      <c r="AK75" s="95">
        <f t="shared" si="138"/>
        <v>1</v>
      </c>
      <c r="AL75" s="58">
        <f t="shared" si="37"/>
        <v>0</v>
      </c>
      <c r="AM75" s="55">
        <f t="shared" si="164"/>
        <v>220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39"/>
        <v>0</v>
      </c>
      <c r="AV75" s="96">
        <f t="shared" si="139"/>
        <v>0</v>
      </c>
      <c r="AW75" s="96">
        <f t="shared" si="140"/>
        <v>0</v>
      </c>
      <c r="AX75" s="96">
        <f t="shared" si="141"/>
        <v>0</v>
      </c>
      <c r="AY75" s="94">
        <f t="shared" si="165"/>
        <v>0</v>
      </c>
      <c r="AZ75" s="94">
        <f t="shared" si="142"/>
        <v>0</v>
      </c>
      <c r="BA75" s="94">
        <f t="shared" ref="BA75:BA106" si="171">AM75</f>
        <v>220</v>
      </c>
      <c r="BB75" s="97">
        <f t="shared" ref="BB75:BB106" si="172">VALUE("0"&amp;RIGHT(BA75,(LEN(BA75)-LEN(TRUNC(BA75)))))</f>
        <v>0</v>
      </c>
      <c r="BC75" s="93"/>
      <c r="BD75" s="93">
        <f t="shared" si="143"/>
        <v>0</v>
      </c>
      <c r="BE75" s="95">
        <f t="shared" si="144"/>
        <v>1</v>
      </c>
      <c r="BF75" s="58">
        <f t="shared" si="46"/>
        <v>0</v>
      </c>
      <c r="BG75" s="94">
        <f t="shared" si="145"/>
        <v>220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6"/>
        <v>0</v>
      </c>
      <c r="BP75" s="92">
        <f t="shared" si="166"/>
        <v>0</v>
      </c>
      <c r="BQ75" s="96">
        <f t="shared" si="146"/>
        <v>0</v>
      </c>
      <c r="BR75" s="96">
        <f t="shared" si="147"/>
        <v>0</v>
      </c>
      <c r="BS75" s="96">
        <f t="shared" si="167"/>
        <v>0</v>
      </c>
      <c r="BT75" s="96">
        <f t="shared" si="148"/>
        <v>0</v>
      </c>
      <c r="BU75" s="92">
        <f t="shared" si="122"/>
        <v>0</v>
      </c>
      <c r="BV75" s="98">
        <f t="shared" si="168"/>
        <v>0</v>
      </c>
      <c r="BW75" s="92">
        <f t="shared" si="123"/>
        <v>0</v>
      </c>
      <c r="BX75" s="98">
        <f t="shared" si="149"/>
        <v>0</v>
      </c>
      <c r="BY75" s="61">
        <f t="shared" ref="BY75:BY106" si="173">IFERROR(BF75+AL75,0)</f>
        <v>0</v>
      </c>
      <c r="BZ75" s="62">
        <f t="shared" si="150"/>
        <v>0</v>
      </c>
      <c r="CA75" s="98">
        <f t="shared" si="151"/>
        <v>0</v>
      </c>
      <c r="CB75" s="92">
        <f t="shared" si="124"/>
        <v>0</v>
      </c>
      <c r="CC75" s="92">
        <f t="shared" si="124"/>
        <v>0</v>
      </c>
      <c r="CD75" s="92">
        <f t="shared" si="124"/>
        <v>0</v>
      </c>
      <c r="CE75" s="99"/>
      <c r="CF75" s="99"/>
      <c r="CG75" s="51">
        <f t="shared" si="152"/>
        <v>0</v>
      </c>
      <c r="CH75" s="62">
        <f t="shared" si="153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101"/>
        <v>0</v>
      </c>
      <c r="CR75" s="102">
        <f t="shared" si="101"/>
        <v>0</v>
      </c>
      <c r="CS75" s="102">
        <f t="shared" si="101"/>
        <v>0</v>
      </c>
      <c r="CT75" s="92">
        <f t="shared" si="154"/>
        <v>0</v>
      </c>
      <c r="CU75" s="92">
        <f t="shared" si="102"/>
        <v>0</v>
      </c>
      <c r="CV75" s="103">
        <f t="shared" si="102"/>
        <v>0</v>
      </c>
      <c r="CW75" s="104" t="s">
        <v>147</v>
      </c>
      <c r="CX75" s="105">
        <v>11</v>
      </c>
      <c r="CY75" s="106">
        <f t="shared" si="155"/>
        <v>3043</v>
      </c>
      <c r="CZ75" s="106">
        <f t="shared" si="156"/>
        <v>44.550000000000004</v>
      </c>
      <c r="DA75" s="106"/>
      <c r="DB75" s="106"/>
      <c r="DC75" s="105"/>
      <c r="DD75" s="107"/>
      <c r="DE75" s="92">
        <f t="shared" si="125"/>
        <v>0</v>
      </c>
      <c r="DF75" s="108">
        <f t="shared" si="126"/>
        <v>0</v>
      </c>
      <c r="DG75" s="115">
        <f t="shared" si="127"/>
        <v>0</v>
      </c>
      <c r="DH75" s="110">
        <f t="shared" si="128"/>
        <v>0</v>
      </c>
      <c r="DI75" s="108">
        <f t="shared" si="129"/>
        <v>0</v>
      </c>
      <c r="DJ75" s="112">
        <f t="shared" si="130"/>
        <v>0</v>
      </c>
      <c r="DK75" s="110">
        <f t="shared" si="86"/>
        <v>0</v>
      </c>
      <c r="DL75" s="108">
        <f t="shared" si="86"/>
        <v>0</v>
      </c>
      <c r="DM75" s="111">
        <f t="shared" si="86"/>
        <v>0</v>
      </c>
      <c r="DN75" s="76">
        <f t="shared" si="89"/>
        <v>220</v>
      </c>
      <c r="DO75" s="76">
        <f t="shared" si="89"/>
        <v>0</v>
      </c>
      <c r="DP75" s="112"/>
      <c r="DQ75" s="112"/>
      <c r="DR75" s="113" t="s">
        <v>463</v>
      </c>
      <c r="DS75" s="112"/>
      <c r="DT75" s="112"/>
      <c r="DU75" s="111"/>
      <c r="DV75" s="114"/>
      <c r="DW75" s="80">
        <f t="shared" si="169"/>
        <v>0</v>
      </c>
      <c r="DX75" s="81">
        <f t="shared" si="131"/>
        <v>0</v>
      </c>
      <c r="DY75" s="80">
        <f t="shared" si="158"/>
        <v>0</v>
      </c>
      <c r="DZ75" s="82">
        <f t="shared" si="159"/>
        <v>0</v>
      </c>
      <c r="EA75" s="82">
        <f t="shared" si="160"/>
        <v>0</v>
      </c>
      <c r="EB75" s="82">
        <f t="shared" si="161"/>
        <v>0</v>
      </c>
      <c r="EC75" s="82">
        <f t="shared" si="170"/>
        <v>0</v>
      </c>
      <c r="EF75" s="83">
        <f t="shared" si="107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2"/>
        <v>GAA5052-5.7x3-H9A14</v>
      </c>
      <c r="H76" s="46" t="str">
        <f t="shared" si="133"/>
        <v>A5052GA5.70DH9</v>
      </c>
      <c r="I76" s="46" t="str">
        <f t="shared" si="134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5"/>
        <v>22</v>
      </c>
      <c r="T76" s="51">
        <f>'05.02'!BG76</f>
        <v>13</v>
      </c>
      <c r="U76" s="92">
        <v>37</v>
      </c>
      <c r="V76" s="100">
        <v>0.15</v>
      </c>
      <c r="W76" s="93">
        <f t="shared" si="114"/>
        <v>0</v>
      </c>
      <c r="X76" s="93">
        <f t="shared" si="115"/>
        <v>0</v>
      </c>
      <c r="Y76" s="93">
        <f t="shared" si="116"/>
        <v>0</v>
      </c>
      <c r="Z76" s="93">
        <f t="shared" si="117"/>
        <v>0</v>
      </c>
      <c r="AA76" s="93">
        <f t="shared" si="118"/>
        <v>0</v>
      </c>
      <c r="AB76" s="93">
        <f t="shared" si="119"/>
        <v>800</v>
      </c>
      <c r="AC76" s="93">
        <f t="shared" si="120"/>
        <v>0</v>
      </c>
      <c r="AD76" s="93">
        <f t="shared" si="121"/>
        <v>0</v>
      </c>
      <c r="AE76" s="93">
        <f t="shared" si="136"/>
        <v>800</v>
      </c>
      <c r="AF76" s="54">
        <f>AE76+'05.02'!AF76</f>
        <v>14925</v>
      </c>
      <c r="AG76" s="94">
        <f t="shared" si="162"/>
        <v>13</v>
      </c>
      <c r="AH76" s="56">
        <f t="shared" si="137"/>
        <v>0</v>
      </c>
      <c r="AI76" s="93">
        <v>3</v>
      </c>
      <c r="AJ76" s="93">
        <f t="shared" si="163"/>
        <v>0</v>
      </c>
      <c r="AK76" s="95">
        <f t="shared" si="138"/>
        <v>1</v>
      </c>
      <c r="AL76" s="58">
        <f t="shared" ref="AL76:AL108" si="174">IF(V76="","",MAX(ROUNDUP((IF(AI76+AJ76=0,0,AH76)+AI76+AK76-1),2),0))</f>
        <v>3</v>
      </c>
      <c r="AM76" s="55">
        <f t="shared" si="164"/>
        <v>47</v>
      </c>
      <c r="AN76" s="93"/>
      <c r="AO76" s="96"/>
      <c r="AP76" s="96"/>
      <c r="AQ76" s="96"/>
      <c r="AR76" s="96"/>
      <c r="AS76" s="96"/>
      <c r="AT76" s="96">
        <f>$CJ76</f>
        <v>120</v>
      </c>
      <c r="AU76" s="96">
        <f t="shared" si="139"/>
        <v>0</v>
      </c>
      <c r="AV76" s="96">
        <f t="shared" si="139"/>
        <v>0</v>
      </c>
      <c r="AW76" s="96">
        <f t="shared" si="140"/>
        <v>120</v>
      </c>
      <c r="AX76" s="96">
        <f t="shared" si="141"/>
        <v>800</v>
      </c>
      <c r="AY76" s="94">
        <f t="shared" si="165"/>
        <v>12</v>
      </c>
      <c r="AZ76" s="94">
        <f t="shared" si="142"/>
        <v>80</v>
      </c>
      <c r="BA76" s="94">
        <f t="shared" si="171"/>
        <v>47</v>
      </c>
      <c r="BB76" s="97">
        <f t="shared" si="172"/>
        <v>0</v>
      </c>
      <c r="BC76" s="93"/>
      <c r="BD76" s="93">
        <f t="shared" si="143"/>
        <v>0</v>
      </c>
      <c r="BE76" s="95">
        <f t="shared" si="144"/>
        <v>1</v>
      </c>
      <c r="BF76" s="58">
        <f t="shared" si="46"/>
        <v>0</v>
      </c>
      <c r="BG76" s="94">
        <f t="shared" si="145"/>
        <v>47</v>
      </c>
      <c r="BH76" s="89"/>
      <c r="BI76" s="89"/>
      <c r="BJ76" s="92"/>
      <c r="BK76" s="89"/>
      <c r="BL76" s="89"/>
      <c r="BM76" s="89"/>
      <c r="BN76" s="92">
        <f>$CN76</f>
        <v>0</v>
      </c>
      <c r="BO76" s="92">
        <f t="shared" si="166"/>
        <v>0</v>
      </c>
      <c r="BP76" s="92">
        <f t="shared" si="166"/>
        <v>0</v>
      </c>
      <c r="BQ76" s="96">
        <f t="shared" si="146"/>
        <v>0</v>
      </c>
      <c r="BR76" s="96">
        <f t="shared" si="147"/>
        <v>0</v>
      </c>
      <c r="BS76" s="96">
        <f t="shared" si="167"/>
        <v>0</v>
      </c>
      <c r="BT76" s="96">
        <f t="shared" si="148"/>
        <v>0</v>
      </c>
      <c r="BU76" s="92">
        <f t="shared" si="122"/>
        <v>800</v>
      </c>
      <c r="BV76" s="98">
        <f t="shared" si="168"/>
        <v>3</v>
      </c>
      <c r="BW76" s="92">
        <f t="shared" si="123"/>
        <v>80</v>
      </c>
      <c r="BX76" s="98">
        <f t="shared" si="149"/>
        <v>0.61199999999999999</v>
      </c>
      <c r="BY76" s="61">
        <f>IFERROR(BF76+AL76,0)</f>
        <v>3</v>
      </c>
      <c r="BZ76" s="62">
        <f t="shared" si="150"/>
        <v>3</v>
      </c>
      <c r="CA76" s="98">
        <f t="shared" si="151"/>
        <v>0.12</v>
      </c>
      <c r="CB76" s="92">
        <f t="shared" si="124"/>
        <v>800</v>
      </c>
      <c r="CC76" s="92">
        <f t="shared" si="124"/>
        <v>12</v>
      </c>
      <c r="CD76" s="92">
        <f t="shared" si="124"/>
        <v>80</v>
      </c>
      <c r="CE76" s="99"/>
      <c r="CF76" s="99"/>
      <c r="CG76" s="51">
        <f t="shared" si="152"/>
        <v>0.49199999999999999</v>
      </c>
      <c r="CH76" s="62">
        <f t="shared" si="153"/>
        <v>0.49199999999999999</v>
      </c>
      <c r="CI76" s="89"/>
      <c r="CJ76" s="89">
        <v>120</v>
      </c>
      <c r="CK76" s="89"/>
      <c r="CL76" s="96"/>
      <c r="CM76" s="89"/>
      <c r="CN76" s="89"/>
      <c r="CO76" s="92"/>
      <c r="CP76" s="101"/>
      <c r="CQ76" s="102">
        <f t="shared" si="101"/>
        <v>800</v>
      </c>
      <c r="CR76" s="102">
        <f t="shared" si="101"/>
        <v>0</v>
      </c>
      <c r="CS76" s="102">
        <f t="shared" si="101"/>
        <v>0</v>
      </c>
      <c r="CT76" s="92">
        <f t="shared" si="154"/>
        <v>0</v>
      </c>
      <c r="CU76" s="92">
        <f t="shared" si="102"/>
        <v>0</v>
      </c>
      <c r="CV76" s="103">
        <f t="shared" si="102"/>
        <v>0</v>
      </c>
      <c r="CW76" s="104" t="s">
        <v>147</v>
      </c>
      <c r="CX76" s="105">
        <v>16</v>
      </c>
      <c r="CY76" s="106">
        <f t="shared" si="155"/>
        <v>2565</v>
      </c>
      <c r="CZ76" s="106">
        <f t="shared" si="156"/>
        <v>64.800000000000011</v>
      </c>
      <c r="DA76" s="106"/>
      <c r="DB76" s="106"/>
      <c r="DC76" s="105"/>
      <c r="DD76" s="107"/>
      <c r="DE76" s="92">
        <f t="shared" si="125"/>
        <v>800</v>
      </c>
      <c r="DF76" s="108">
        <f t="shared" si="126"/>
        <v>3</v>
      </c>
      <c r="DG76" s="115">
        <f t="shared" si="127"/>
        <v>80</v>
      </c>
      <c r="DH76" s="110">
        <f t="shared" si="128"/>
        <v>0</v>
      </c>
      <c r="DI76" s="108">
        <f t="shared" si="129"/>
        <v>0</v>
      </c>
      <c r="DJ76" s="112">
        <f t="shared" si="130"/>
        <v>0</v>
      </c>
      <c r="DK76" s="110">
        <f t="shared" si="86"/>
        <v>800</v>
      </c>
      <c r="DL76" s="108">
        <f t="shared" si="86"/>
        <v>3</v>
      </c>
      <c r="DM76" s="111">
        <f t="shared" si="86"/>
        <v>80</v>
      </c>
      <c r="DN76" s="76">
        <f t="shared" si="89"/>
        <v>13</v>
      </c>
      <c r="DO76" s="76">
        <f t="shared" si="89"/>
        <v>37</v>
      </c>
      <c r="DP76" s="112"/>
      <c r="DQ76" s="112"/>
      <c r="DR76" s="113" t="s">
        <v>464</v>
      </c>
      <c r="DS76" s="112"/>
      <c r="DT76" s="112"/>
      <c r="DU76" s="111"/>
      <c r="DV76" s="114"/>
      <c r="DW76" s="80">
        <f t="shared" si="169"/>
        <v>3</v>
      </c>
      <c r="DX76" s="81">
        <f t="shared" si="131"/>
        <v>883</v>
      </c>
      <c r="DY76" s="80">
        <f t="shared" si="158"/>
        <v>800</v>
      </c>
      <c r="DZ76" s="82">
        <f t="shared" si="159"/>
        <v>0</v>
      </c>
      <c r="EA76" s="82">
        <f t="shared" si="160"/>
        <v>0.12</v>
      </c>
      <c r="EB76" s="82">
        <f t="shared" si="161"/>
        <v>0.49199999999999999</v>
      </c>
      <c r="EC76" s="82">
        <f t="shared" si="75"/>
        <v>0.49199999999999999</v>
      </c>
      <c r="EF76" s="83">
        <f t="shared" si="107"/>
        <v>80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2"/>
        <v>GAA5052-5.7x3-H9A14</v>
      </c>
      <c r="H77" s="46" t="str">
        <f t="shared" si="133"/>
        <v>A5052GA5.70DH9</v>
      </c>
      <c r="I77" s="46" t="str">
        <f t="shared" si="134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5"/>
        <v>16</v>
      </c>
      <c r="T77" s="51">
        <f>'05.02'!BG77</f>
        <v>16</v>
      </c>
      <c r="U77" s="92">
        <v>34</v>
      </c>
      <c r="V77" s="100">
        <v>0.15</v>
      </c>
      <c r="W77" s="93">
        <f t="shared" si="114"/>
        <v>0</v>
      </c>
      <c r="X77" s="93">
        <f t="shared" si="115"/>
        <v>0</v>
      </c>
      <c r="Y77" s="93">
        <f t="shared" si="116"/>
        <v>0</v>
      </c>
      <c r="Z77" s="93">
        <f t="shared" si="117"/>
        <v>0</v>
      </c>
      <c r="AA77" s="93">
        <f t="shared" si="118"/>
        <v>0</v>
      </c>
      <c r="AB77" s="93">
        <f t="shared" si="119"/>
        <v>2806</v>
      </c>
      <c r="AC77" s="93">
        <f t="shared" si="120"/>
        <v>0</v>
      </c>
      <c r="AD77" s="93">
        <f t="shared" si="121"/>
        <v>33</v>
      </c>
      <c r="AE77" s="93">
        <f t="shared" si="136"/>
        <v>2806</v>
      </c>
      <c r="AF77" s="54">
        <f>AE77+'05.02'!AF77</f>
        <v>13232</v>
      </c>
      <c r="AG77" s="94">
        <f t="shared" si="162"/>
        <v>16</v>
      </c>
      <c r="AH77" s="56">
        <f t="shared" si="137"/>
        <v>0</v>
      </c>
      <c r="AI77" s="93">
        <v>6</v>
      </c>
      <c r="AJ77" s="93">
        <f t="shared" si="163"/>
        <v>0</v>
      </c>
      <c r="AK77" s="95">
        <f t="shared" si="138"/>
        <v>1</v>
      </c>
      <c r="AL77" s="58">
        <f t="shared" si="174"/>
        <v>6</v>
      </c>
      <c r="AM77" s="55">
        <f t="shared" si="164"/>
        <v>44</v>
      </c>
      <c r="AN77" s="93"/>
      <c r="AO77" s="96"/>
      <c r="AP77" s="96"/>
      <c r="AQ77" s="96"/>
      <c r="AR77" s="96"/>
      <c r="AS77" s="96"/>
      <c r="AT77" s="96">
        <f>$CJ77</f>
        <v>227</v>
      </c>
      <c r="AU77" s="96">
        <f t="shared" si="139"/>
        <v>0</v>
      </c>
      <c r="AV77" s="96">
        <f t="shared" si="139"/>
        <v>0</v>
      </c>
      <c r="AW77" s="96">
        <f t="shared" si="140"/>
        <v>227</v>
      </c>
      <c r="AX77" s="96">
        <f t="shared" si="141"/>
        <v>1513</v>
      </c>
      <c r="AY77" s="94">
        <f t="shared" si="165"/>
        <v>11</v>
      </c>
      <c r="AZ77" s="94">
        <f t="shared" si="142"/>
        <v>73.333333333333343</v>
      </c>
      <c r="BA77" s="94">
        <f t="shared" si="171"/>
        <v>44</v>
      </c>
      <c r="BB77" s="97">
        <f t="shared" si="172"/>
        <v>0</v>
      </c>
      <c r="BC77" s="93">
        <v>6</v>
      </c>
      <c r="BD77" s="93">
        <f t="shared" si="143"/>
        <v>0</v>
      </c>
      <c r="BE77" s="95">
        <f t="shared" si="144"/>
        <v>1</v>
      </c>
      <c r="BF77" s="58">
        <f t="shared" ref="BF77:BF106" si="175">IF(V77="","",MAX(ROUNDUP((IF(BC77+BD77=0,0,BB77)+BC77+BE77-1),2),0))</f>
        <v>6</v>
      </c>
      <c r="BG77" s="94">
        <f t="shared" si="145"/>
        <v>38</v>
      </c>
      <c r="BH77" s="89"/>
      <c r="BI77" s="89"/>
      <c r="BJ77" s="89"/>
      <c r="BK77" s="89"/>
      <c r="BL77" s="89"/>
      <c r="BM77" s="89"/>
      <c r="BN77" s="92">
        <f>$CN77</f>
        <v>194</v>
      </c>
      <c r="BO77" s="92">
        <f t="shared" si="166"/>
        <v>0</v>
      </c>
      <c r="BP77" s="92">
        <f t="shared" si="166"/>
        <v>5</v>
      </c>
      <c r="BQ77" s="96">
        <f t="shared" si="146"/>
        <v>199</v>
      </c>
      <c r="BR77" s="96">
        <f t="shared" si="147"/>
        <v>1326</v>
      </c>
      <c r="BS77" s="96">
        <f t="shared" si="167"/>
        <v>-17</v>
      </c>
      <c r="BT77" s="96">
        <f t="shared" si="148"/>
        <v>-113.33333333333334</v>
      </c>
      <c r="BU77" s="92">
        <f t="shared" si="122"/>
        <v>2806</v>
      </c>
      <c r="BV77" s="98">
        <f t="shared" si="168"/>
        <v>12</v>
      </c>
      <c r="BW77" s="92">
        <f t="shared" si="123"/>
        <v>-40</v>
      </c>
      <c r="BX77" s="98">
        <f t="shared" si="149"/>
        <v>2.448</v>
      </c>
      <c r="BY77" s="61">
        <f t="shared" si="173"/>
        <v>12</v>
      </c>
      <c r="BZ77" s="62">
        <f t="shared" si="150"/>
        <v>12</v>
      </c>
      <c r="CA77" s="98">
        <f t="shared" si="151"/>
        <v>0.42599999999999999</v>
      </c>
      <c r="CB77" s="92">
        <f t="shared" si="124"/>
        <v>2839</v>
      </c>
      <c r="CC77" s="92">
        <f t="shared" si="124"/>
        <v>-6</v>
      </c>
      <c r="CD77" s="92">
        <f t="shared" si="124"/>
        <v>-40</v>
      </c>
      <c r="CE77" s="99"/>
      <c r="CF77" s="99"/>
      <c r="CG77" s="51">
        <f t="shared" si="152"/>
        <v>2.0269999999999997</v>
      </c>
      <c r="CH77" s="62">
        <f t="shared" si="153"/>
        <v>2.0269999999999997</v>
      </c>
      <c r="CI77" s="89"/>
      <c r="CJ77" s="89">
        <v>227</v>
      </c>
      <c r="CK77" s="89"/>
      <c r="CL77" s="96"/>
      <c r="CM77" s="89"/>
      <c r="CN77" s="89">
        <v>194</v>
      </c>
      <c r="CO77" s="92"/>
      <c r="CP77" s="101">
        <v>5</v>
      </c>
      <c r="CQ77" s="102">
        <f t="shared" si="101"/>
        <v>1513</v>
      </c>
      <c r="CR77" s="102">
        <f t="shared" si="101"/>
        <v>0</v>
      </c>
      <c r="CS77" s="102">
        <f t="shared" si="101"/>
        <v>0</v>
      </c>
      <c r="CT77" s="92">
        <f t="shared" si="154"/>
        <v>1293</v>
      </c>
      <c r="CU77" s="92">
        <f t="shared" si="102"/>
        <v>0</v>
      </c>
      <c r="CV77" s="103">
        <f t="shared" si="102"/>
        <v>33</v>
      </c>
      <c r="CW77" s="104" t="s">
        <v>147</v>
      </c>
      <c r="CX77" s="105">
        <v>21.26</v>
      </c>
      <c r="CY77" s="106">
        <f t="shared" si="155"/>
        <v>1955</v>
      </c>
      <c r="CZ77" s="106">
        <f t="shared" si="156"/>
        <v>86.103000000000023</v>
      </c>
      <c r="DA77" s="106"/>
      <c r="DB77" s="106"/>
      <c r="DC77" s="105"/>
      <c r="DD77" s="107"/>
      <c r="DE77" s="92">
        <f t="shared" si="125"/>
        <v>1513</v>
      </c>
      <c r="DF77" s="108">
        <f t="shared" si="126"/>
        <v>6</v>
      </c>
      <c r="DG77" s="115">
        <f t="shared" si="127"/>
        <v>73.333333333333343</v>
      </c>
      <c r="DH77" s="110">
        <f t="shared" si="128"/>
        <v>1293</v>
      </c>
      <c r="DI77" s="108">
        <f t="shared" si="129"/>
        <v>6</v>
      </c>
      <c r="DJ77" s="112">
        <f t="shared" si="130"/>
        <v>-113.33333333333334</v>
      </c>
      <c r="DK77" s="110">
        <f t="shared" si="86"/>
        <v>2806</v>
      </c>
      <c r="DL77" s="108">
        <f t="shared" si="86"/>
        <v>12</v>
      </c>
      <c r="DM77" s="111">
        <f t="shared" si="86"/>
        <v>-40</v>
      </c>
      <c r="DN77" s="76">
        <f t="shared" si="89"/>
        <v>16</v>
      </c>
      <c r="DO77" s="76">
        <f t="shared" si="89"/>
        <v>34</v>
      </c>
      <c r="DP77" s="112"/>
      <c r="DQ77" s="112"/>
      <c r="DR77" s="113" t="s">
        <v>465</v>
      </c>
      <c r="DS77" s="112"/>
      <c r="DT77" s="112"/>
      <c r="DU77" s="111"/>
      <c r="DV77" s="114"/>
      <c r="DW77" s="80">
        <f t="shared" si="157"/>
        <v>2818</v>
      </c>
      <c r="DX77" s="81">
        <f t="shared" si="131"/>
        <v>2778</v>
      </c>
      <c r="DY77" s="80">
        <f t="shared" si="158"/>
        <v>2839</v>
      </c>
      <c r="DZ77" s="82">
        <f t="shared" si="159"/>
        <v>4.9500000000000004E-3</v>
      </c>
      <c r="EA77" s="82">
        <f t="shared" si="160"/>
        <v>0.4209</v>
      </c>
      <c r="EB77" s="82">
        <f t="shared" si="161"/>
        <v>2.0270999999999999</v>
      </c>
      <c r="EC77" s="82">
        <f t="shared" si="75"/>
        <v>2.0320499999999999</v>
      </c>
      <c r="EF77" s="83">
        <f t="shared" si="107"/>
        <v>-40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2"/>
        <v>TTS22C-2x2-H9A12</v>
      </c>
      <c r="H78" s="46" t="str">
        <f t="shared" si="133"/>
        <v>S22CTT20DH9</v>
      </c>
      <c r="I78" s="46" t="str">
        <f t="shared" si="134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5"/>
        <v>16</v>
      </c>
      <c r="T78" s="51">
        <f>'05.02'!BG78</f>
        <v>16</v>
      </c>
      <c r="U78" s="92">
        <v>34</v>
      </c>
      <c r="V78" s="100">
        <v>3.5000000000000003E-2</v>
      </c>
      <c r="W78" s="93">
        <f t="shared" si="114"/>
        <v>0</v>
      </c>
      <c r="X78" s="93">
        <f t="shared" si="115"/>
        <v>0</v>
      </c>
      <c r="Y78" s="93">
        <f t="shared" si="116"/>
        <v>0</v>
      </c>
      <c r="Z78" s="93">
        <f t="shared" si="117"/>
        <v>7428</v>
      </c>
      <c r="AA78" s="93">
        <f t="shared" si="118"/>
        <v>0</v>
      </c>
      <c r="AB78" s="93">
        <f t="shared" si="119"/>
        <v>0</v>
      </c>
      <c r="AC78" s="93">
        <f t="shared" si="120"/>
        <v>0</v>
      </c>
      <c r="AD78" s="93">
        <f t="shared" si="121"/>
        <v>0</v>
      </c>
      <c r="AE78" s="93">
        <f t="shared" si="136"/>
        <v>7428</v>
      </c>
      <c r="AF78" s="54">
        <f>AE78+'05.02'!AF78</f>
        <v>41996</v>
      </c>
      <c r="AG78" s="94">
        <f t="shared" si="162"/>
        <v>16</v>
      </c>
      <c r="AH78" s="56">
        <f t="shared" si="137"/>
        <v>0</v>
      </c>
      <c r="AI78" s="93">
        <v>7</v>
      </c>
      <c r="AJ78" s="93">
        <f t="shared" si="163"/>
        <v>0</v>
      </c>
      <c r="AK78" s="95">
        <f t="shared" si="138"/>
        <v>1</v>
      </c>
      <c r="AL78" s="58">
        <f t="shared" si="174"/>
        <v>7</v>
      </c>
      <c r="AM78" s="55">
        <f t="shared" si="164"/>
        <v>43</v>
      </c>
      <c r="AN78" s="93"/>
      <c r="AO78" s="96"/>
      <c r="AP78" s="96"/>
      <c r="AQ78" s="96"/>
      <c r="AR78" s="96">
        <f>$CJ78</f>
        <v>130</v>
      </c>
      <c r="AS78" s="96"/>
      <c r="AT78" s="96"/>
      <c r="AU78" s="96">
        <f t="shared" si="139"/>
        <v>0</v>
      </c>
      <c r="AV78" s="96">
        <f t="shared" si="139"/>
        <v>0</v>
      </c>
      <c r="AW78" s="96">
        <f t="shared" si="140"/>
        <v>130</v>
      </c>
      <c r="AX78" s="96">
        <f t="shared" si="141"/>
        <v>3714</v>
      </c>
      <c r="AY78" s="94">
        <f t="shared" si="165"/>
        <v>7.2549999999999812</v>
      </c>
      <c r="AZ78" s="94">
        <f t="shared" si="142"/>
        <v>207.28571428571374</v>
      </c>
      <c r="BA78" s="94">
        <f t="shared" si="171"/>
        <v>43</v>
      </c>
      <c r="BB78" s="97">
        <f t="shared" si="172"/>
        <v>0</v>
      </c>
      <c r="BC78" s="93">
        <v>7</v>
      </c>
      <c r="BD78" s="93">
        <f t="shared" si="143"/>
        <v>0</v>
      </c>
      <c r="BE78" s="95">
        <f t="shared" si="144"/>
        <v>1</v>
      </c>
      <c r="BF78" s="58">
        <f t="shared" si="175"/>
        <v>7</v>
      </c>
      <c r="BG78" s="94">
        <f t="shared" si="145"/>
        <v>36</v>
      </c>
      <c r="BH78" s="89"/>
      <c r="BI78" s="89"/>
      <c r="BJ78" s="89"/>
      <c r="BK78" s="89"/>
      <c r="BL78" s="92">
        <f>$CN78</f>
        <v>130</v>
      </c>
      <c r="BM78" s="89"/>
      <c r="BN78" s="89"/>
      <c r="BO78" s="92">
        <f t="shared" si="166"/>
        <v>0</v>
      </c>
      <c r="BP78" s="92">
        <f t="shared" si="166"/>
        <v>0</v>
      </c>
      <c r="BQ78" s="96">
        <f t="shared" si="146"/>
        <v>130</v>
      </c>
      <c r="BR78" s="96">
        <f t="shared" si="147"/>
        <v>3714</v>
      </c>
      <c r="BS78" s="96">
        <f t="shared" si="167"/>
        <v>7.2549999999999812</v>
      </c>
      <c r="BT78" s="96">
        <f t="shared" si="148"/>
        <v>207.28571428571374</v>
      </c>
      <c r="BU78" s="92">
        <f t="shared" si="122"/>
        <v>7428</v>
      </c>
      <c r="BV78" s="98">
        <f t="shared" si="168"/>
        <v>14</v>
      </c>
      <c r="BW78" s="92">
        <f t="shared" si="123"/>
        <v>414.57142857142748</v>
      </c>
      <c r="BX78" s="98" t="str">
        <f t="shared" si="149"/>
        <v/>
      </c>
      <c r="BY78" s="61">
        <f t="shared" si="173"/>
        <v>14</v>
      </c>
      <c r="BZ78" s="62">
        <f t="shared" si="150"/>
        <v>14</v>
      </c>
      <c r="CA78" s="98">
        <f t="shared" si="151"/>
        <v>0.26</v>
      </c>
      <c r="CB78" s="92">
        <f t="shared" si="124"/>
        <v>7428</v>
      </c>
      <c r="CC78" s="92">
        <f t="shared" si="124"/>
        <v>14.509999999999962</v>
      </c>
      <c r="CD78" s="92">
        <f t="shared" si="124"/>
        <v>414.57142857142748</v>
      </c>
      <c r="CE78" s="99"/>
      <c r="CF78" s="99"/>
      <c r="CG78" s="51">
        <f t="shared" si="152"/>
        <v>0</v>
      </c>
      <c r="CH78" s="62">
        <f t="shared" si="153"/>
        <v>0</v>
      </c>
      <c r="CI78" s="89"/>
      <c r="CJ78" s="89">
        <v>130</v>
      </c>
      <c r="CK78" s="89"/>
      <c r="CL78" s="96"/>
      <c r="CM78" s="89"/>
      <c r="CN78" s="89">
        <v>130</v>
      </c>
      <c r="CO78" s="92"/>
      <c r="CP78" s="101"/>
      <c r="CQ78" s="102">
        <f t="shared" si="101"/>
        <v>3714</v>
      </c>
      <c r="CR78" s="102">
        <f t="shared" si="101"/>
        <v>0</v>
      </c>
      <c r="CS78" s="102">
        <f t="shared" si="101"/>
        <v>0</v>
      </c>
      <c r="CT78" s="92">
        <f t="shared" si="154"/>
        <v>3714</v>
      </c>
      <c r="CU78" s="92">
        <f t="shared" si="102"/>
        <v>0</v>
      </c>
      <c r="CV78" s="103">
        <f t="shared" si="102"/>
        <v>0</v>
      </c>
      <c r="CW78" s="104" t="s">
        <v>147</v>
      </c>
      <c r="CX78" s="105">
        <v>9.85</v>
      </c>
      <c r="CY78" s="106">
        <f t="shared" si="155"/>
        <v>4221</v>
      </c>
      <c r="CZ78" s="106">
        <f t="shared" si="156"/>
        <v>39.892499999999998</v>
      </c>
      <c r="DA78" s="106"/>
      <c r="DB78" s="106"/>
      <c r="DC78" s="105"/>
      <c r="DD78" s="107"/>
      <c r="DE78" s="92">
        <f t="shared" si="125"/>
        <v>3714</v>
      </c>
      <c r="DF78" s="108">
        <f t="shared" si="126"/>
        <v>7</v>
      </c>
      <c r="DG78" s="115">
        <f t="shared" si="127"/>
        <v>207.28571428571374</v>
      </c>
      <c r="DH78" s="110">
        <f t="shared" si="128"/>
        <v>3714</v>
      </c>
      <c r="DI78" s="108">
        <f t="shared" si="129"/>
        <v>7</v>
      </c>
      <c r="DJ78" s="115">
        <f t="shared" si="130"/>
        <v>207.28571428571374</v>
      </c>
      <c r="DK78" s="110">
        <f t="shared" si="86"/>
        <v>7428</v>
      </c>
      <c r="DL78" s="108">
        <f t="shared" si="86"/>
        <v>14</v>
      </c>
      <c r="DM78" s="111">
        <f t="shared" si="86"/>
        <v>414.57142857142748</v>
      </c>
      <c r="DN78" s="76">
        <f t="shared" si="89"/>
        <v>16</v>
      </c>
      <c r="DO78" s="76">
        <f t="shared" si="89"/>
        <v>34</v>
      </c>
      <c r="DP78" s="112"/>
      <c r="DQ78" s="112"/>
      <c r="DR78" s="113" t="s">
        <v>466</v>
      </c>
      <c r="DS78" s="112"/>
      <c r="DT78" s="112"/>
      <c r="DU78" s="111"/>
      <c r="DV78" s="114"/>
      <c r="DW78" s="80">
        <f t="shared" si="157"/>
        <v>7442</v>
      </c>
      <c r="DX78" s="81">
        <f t="shared" si="131"/>
        <v>7856.5714285714275</v>
      </c>
      <c r="DY78" s="80">
        <f t="shared" si="158"/>
        <v>7428</v>
      </c>
      <c r="DZ78" s="82">
        <f t="shared" si="159"/>
        <v>0</v>
      </c>
      <c r="EA78" s="82">
        <f t="shared" si="160"/>
        <v>0.25998000000000004</v>
      </c>
      <c r="EB78" s="82" t="e">
        <f t="shared" si="161"/>
        <v>#VALUE!</v>
      </c>
      <c r="EC78" s="82" t="e">
        <f t="shared" si="75"/>
        <v>#VALUE!</v>
      </c>
      <c r="EF78" s="83">
        <f t="shared" si="107"/>
        <v>414.57142857142748</v>
      </c>
    </row>
    <row r="79" spans="1:136" ht="15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2"/>
        <v>IBC3604-6x3-H9B13</v>
      </c>
      <c r="H79" s="46" t="str">
        <f t="shared" si="133"/>
        <v>C3604IB60DH9</v>
      </c>
      <c r="I79" s="46" t="str">
        <f t="shared" si="134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5"/>
        <v>10</v>
      </c>
      <c r="T79" s="51">
        <f>'05.02'!BG79</f>
        <v>0</v>
      </c>
      <c r="U79" s="92"/>
      <c r="V79" s="100">
        <v>0.67</v>
      </c>
      <c r="W79" s="93">
        <f t="shared" si="114"/>
        <v>0</v>
      </c>
      <c r="X79" s="93">
        <f t="shared" si="115"/>
        <v>0</v>
      </c>
      <c r="Y79" s="93">
        <f t="shared" si="116"/>
        <v>0</v>
      </c>
      <c r="Z79" s="93">
        <f t="shared" si="117"/>
        <v>0</v>
      </c>
      <c r="AA79" s="93">
        <f t="shared" si="118"/>
        <v>0</v>
      </c>
      <c r="AB79" s="93">
        <f t="shared" si="119"/>
        <v>0</v>
      </c>
      <c r="AC79" s="93">
        <f t="shared" si="120"/>
        <v>0</v>
      </c>
      <c r="AD79" s="93">
        <f t="shared" si="121"/>
        <v>0</v>
      </c>
      <c r="AE79" s="93">
        <f t="shared" si="136"/>
        <v>0</v>
      </c>
      <c r="AF79" s="54">
        <f>AE79+'05.02'!AF79</f>
        <v>0</v>
      </c>
      <c r="AG79" s="94">
        <f t="shared" si="162"/>
        <v>0</v>
      </c>
      <c r="AH79" s="56">
        <f t="shared" si="137"/>
        <v>0</v>
      </c>
      <c r="AI79" s="93"/>
      <c r="AJ79" s="93">
        <f t="shared" si="163"/>
        <v>0</v>
      </c>
      <c r="AK79" s="95">
        <f t="shared" si="138"/>
        <v>1</v>
      </c>
      <c r="AL79" s="58">
        <f t="shared" si="174"/>
        <v>0</v>
      </c>
      <c r="AM79" s="55">
        <f t="shared" si="164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39"/>
        <v>0</v>
      </c>
      <c r="AV79" s="96">
        <f t="shared" si="139"/>
        <v>0</v>
      </c>
      <c r="AW79" s="96">
        <f t="shared" si="140"/>
        <v>0</v>
      </c>
      <c r="AX79" s="96">
        <f t="shared" si="141"/>
        <v>0</v>
      </c>
      <c r="AY79" s="94">
        <f t="shared" si="165"/>
        <v>0</v>
      </c>
      <c r="AZ79" s="94">
        <f t="shared" si="142"/>
        <v>0</v>
      </c>
      <c r="BA79" s="94">
        <f t="shared" si="171"/>
        <v>0</v>
      </c>
      <c r="BB79" s="97">
        <f t="shared" si="172"/>
        <v>0</v>
      </c>
      <c r="BC79" s="93"/>
      <c r="BD79" s="93">
        <f t="shared" si="143"/>
        <v>0</v>
      </c>
      <c r="BE79" s="95">
        <f t="shared" si="144"/>
        <v>1</v>
      </c>
      <c r="BF79" s="58">
        <f t="shared" si="175"/>
        <v>0</v>
      </c>
      <c r="BG79" s="94">
        <f t="shared" si="145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6"/>
        <v>0</v>
      </c>
      <c r="BP79" s="92">
        <f t="shared" si="166"/>
        <v>0</v>
      </c>
      <c r="BQ79" s="96">
        <f t="shared" si="146"/>
        <v>0</v>
      </c>
      <c r="BR79" s="96">
        <f t="shared" si="147"/>
        <v>0</v>
      </c>
      <c r="BS79" s="96">
        <f t="shared" si="167"/>
        <v>0</v>
      </c>
      <c r="BT79" s="96">
        <f t="shared" si="148"/>
        <v>0</v>
      </c>
      <c r="BU79" s="92">
        <f t="shared" si="122"/>
        <v>0</v>
      </c>
      <c r="BV79" s="98">
        <f t="shared" si="168"/>
        <v>0</v>
      </c>
      <c r="BW79" s="92">
        <f t="shared" si="123"/>
        <v>0</v>
      </c>
      <c r="BX79" s="98">
        <f t="shared" si="149"/>
        <v>0</v>
      </c>
      <c r="BY79" s="61">
        <f t="shared" si="173"/>
        <v>0</v>
      </c>
      <c r="BZ79" s="62">
        <f t="shared" si="150"/>
        <v>0</v>
      </c>
      <c r="CA79" s="98">
        <f t="shared" si="151"/>
        <v>0</v>
      </c>
      <c r="CB79" s="92">
        <f t="shared" si="124"/>
        <v>0</v>
      </c>
      <c r="CC79" s="92">
        <f t="shared" si="124"/>
        <v>0</v>
      </c>
      <c r="CD79" s="92">
        <f t="shared" si="124"/>
        <v>0</v>
      </c>
      <c r="CE79" s="99"/>
      <c r="CF79" s="99"/>
      <c r="CG79" s="51">
        <f t="shared" si="152"/>
        <v>0</v>
      </c>
      <c r="CH79" s="62">
        <f t="shared" si="153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101"/>
        <v>0</v>
      </c>
      <c r="CR79" s="102">
        <f t="shared" si="101"/>
        <v>0</v>
      </c>
      <c r="CS79" s="102">
        <f t="shared" si="101"/>
        <v>0</v>
      </c>
      <c r="CT79" s="92">
        <f t="shared" si="154"/>
        <v>0</v>
      </c>
      <c r="CU79" s="92">
        <f t="shared" si="102"/>
        <v>0</v>
      </c>
      <c r="CV79" s="103">
        <f t="shared" si="102"/>
        <v>0</v>
      </c>
      <c r="CW79" s="104" t="s">
        <v>147</v>
      </c>
      <c r="CX79" s="105">
        <v>20</v>
      </c>
      <c r="CY79" s="106">
        <f t="shared" si="155"/>
        <v>2106</v>
      </c>
      <c r="CZ79" s="106">
        <f t="shared" si="156"/>
        <v>81</v>
      </c>
      <c r="DA79" s="106"/>
      <c r="DB79" s="106"/>
      <c r="DC79" s="105"/>
      <c r="DD79" s="107"/>
      <c r="DE79" s="92">
        <f t="shared" si="125"/>
        <v>0</v>
      </c>
      <c r="DF79" s="108">
        <f t="shared" si="126"/>
        <v>0</v>
      </c>
      <c r="DG79" s="115">
        <f t="shared" si="127"/>
        <v>0</v>
      </c>
      <c r="DH79" s="110">
        <f t="shared" si="128"/>
        <v>0</v>
      </c>
      <c r="DI79" s="108">
        <f t="shared" si="129"/>
        <v>0</v>
      </c>
      <c r="DJ79" s="112">
        <f t="shared" si="130"/>
        <v>0</v>
      </c>
      <c r="DK79" s="110">
        <f t="shared" si="86"/>
        <v>0</v>
      </c>
      <c r="DL79" s="108">
        <f t="shared" si="86"/>
        <v>0</v>
      </c>
      <c r="DM79" s="111">
        <f t="shared" si="86"/>
        <v>0</v>
      </c>
      <c r="DN79" s="76">
        <f t="shared" si="89"/>
        <v>0</v>
      </c>
      <c r="DO79" s="76">
        <f t="shared" si="89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7"/>
        <v>0</v>
      </c>
      <c r="DX79" s="81">
        <f t="shared" si="131"/>
        <v>0</v>
      </c>
      <c r="DY79" s="80">
        <f t="shared" si="158"/>
        <v>0</v>
      </c>
      <c r="DZ79" s="82">
        <f t="shared" si="159"/>
        <v>0</v>
      </c>
      <c r="EA79" s="82">
        <f t="shared" si="160"/>
        <v>0</v>
      </c>
      <c r="EB79" s="82">
        <f t="shared" si="161"/>
        <v>0</v>
      </c>
      <c r="EC79" s="82">
        <f t="shared" ref="EC79:EC82" si="176">(BX79-CA79)+((AV79+BP79)/1000)</f>
        <v>0</v>
      </c>
      <c r="EF79" s="83">
        <f t="shared" si="107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2"/>
        <v>YHC2700-5.5x3-H9A14</v>
      </c>
      <c r="H80" s="46" t="str">
        <f t="shared" si="133"/>
        <v>C2700YH5.50DH9</v>
      </c>
      <c r="I80" s="46" t="str">
        <f t="shared" si="134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5"/>
        <v>46</v>
      </c>
      <c r="T80" s="51">
        <f>'05.02'!BG80</f>
        <v>22</v>
      </c>
      <c r="U80" s="92">
        <v>48</v>
      </c>
      <c r="V80" s="100">
        <v>1.1000000000000001</v>
      </c>
      <c r="W80" s="93">
        <f t="shared" si="114"/>
        <v>0</v>
      </c>
      <c r="X80" s="93">
        <f t="shared" si="115"/>
        <v>2457</v>
      </c>
      <c r="Y80" s="93">
        <f t="shared" si="116"/>
        <v>0</v>
      </c>
      <c r="Z80" s="93">
        <f t="shared" si="117"/>
        <v>0</v>
      </c>
      <c r="AA80" s="93">
        <f t="shared" si="118"/>
        <v>0</v>
      </c>
      <c r="AB80" s="93">
        <f t="shared" si="119"/>
        <v>0</v>
      </c>
      <c r="AC80" s="93">
        <f t="shared" si="120"/>
        <v>0</v>
      </c>
      <c r="AD80" s="93">
        <f t="shared" si="121"/>
        <v>18</v>
      </c>
      <c r="AE80" s="93">
        <f t="shared" si="136"/>
        <v>2457</v>
      </c>
      <c r="AF80" s="54">
        <f>AE80+'05.02'!AF80</f>
        <v>14157</v>
      </c>
      <c r="AG80" s="94">
        <f t="shared" si="162"/>
        <v>22</v>
      </c>
      <c r="AH80" s="56">
        <f t="shared" si="137"/>
        <v>0</v>
      </c>
      <c r="AI80" s="93">
        <v>10</v>
      </c>
      <c r="AJ80" s="93">
        <f t="shared" si="163"/>
        <v>90</v>
      </c>
      <c r="AK80" s="95">
        <f t="shared" si="138"/>
        <v>0.49586776859504128</v>
      </c>
      <c r="AL80" s="58">
        <f t="shared" si="174"/>
        <v>9.5</v>
      </c>
      <c r="AM80" s="55">
        <f t="shared" si="164"/>
        <v>60.5</v>
      </c>
      <c r="AN80" s="93"/>
      <c r="AO80" s="96"/>
      <c r="AP80" s="96">
        <f>$CJ80</f>
        <v>1761</v>
      </c>
      <c r="AQ80" s="96"/>
      <c r="AR80" s="96"/>
      <c r="AS80" s="96"/>
      <c r="AT80" s="96"/>
      <c r="AU80" s="96">
        <f t="shared" si="139"/>
        <v>0</v>
      </c>
      <c r="AV80" s="96">
        <f t="shared" si="139"/>
        <v>0</v>
      </c>
      <c r="AW80" s="96">
        <f t="shared" si="140"/>
        <v>1761</v>
      </c>
      <c r="AX80" s="96">
        <f t="shared" si="141"/>
        <v>1600</v>
      </c>
      <c r="AY80" s="94">
        <f t="shared" si="165"/>
        <v>36.749999999999773</v>
      </c>
      <c r="AZ80" s="94">
        <f t="shared" si="142"/>
        <v>33.4090909090907</v>
      </c>
      <c r="BA80" s="94">
        <f t="shared" si="171"/>
        <v>60.5</v>
      </c>
      <c r="BB80" s="97">
        <f t="shared" si="172"/>
        <v>0.5</v>
      </c>
      <c r="BC80" s="93">
        <v>5</v>
      </c>
      <c r="BD80" s="93">
        <f t="shared" si="143"/>
        <v>0</v>
      </c>
      <c r="BE80" s="95">
        <f t="shared" si="144"/>
        <v>1</v>
      </c>
      <c r="BF80" s="58">
        <f t="shared" si="175"/>
        <v>5.5</v>
      </c>
      <c r="BG80" s="94">
        <f t="shared" si="145"/>
        <v>55</v>
      </c>
      <c r="BH80" s="89"/>
      <c r="BI80" s="89"/>
      <c r="BJ80" s="92">
        <f>$CN80</f>
        <v>942</v>
      </c>
      <c r="BK80" s="89"/>
      <c r="BL80" s="89"/>
      <c r="BM80" s="89"/>
      <c r="BN80" s="92"/>
      <c r="BO80" s="92">
        <f t="shared" si="166"/>
        <v>0</v>
      </c>
      <c r="BP80" s="92">
        <f t="shared" si="166"/>
        <v>20</v>
      </c>
      <c r="BQ80" s="96">
        <f t="shared" si="146"/>
        <v>962</v>
      </c>
      <c r="BR80" s="96">
        <f t="shared" si="147"/>
        <v>874</v>
      </c>
      <c r="BS80" s="96">
        <f t="shared" si="167"/>
        <v>-36.250000000000114</v>
      </c>
      <c r="BT80" s="96">
        <f t="shared" si="148"/>
        <v>-32.954545454545553</v>
      </c>
      <c r="BU80" s="92">
        <f t="shared" si="122"/>
        <v>2457</v>
      </c>
      <c r="BV80" s="98">
        <f t="shared" si="168"/>
        <v>15</v>
      </c>
      <c r="BW80" s="92">
        <f t="shared" si="123"/>
        <v>0.45454545454514772</v>
      </c>
      <c r="BX80" s="98">
        <f t="shared" si="149"/>
        <v>8.9849999999999994</v>
      </c>
      <c r="BY80" s="61">
        <f t="shared" si="173"/>
        <v>15</v>
      </c>
      <c r="BZ80" s="62">
        <f t="shared" si="150"/>
        <v>15</v>
      </c>
      <c r="CA80" s="98">
        <f t="shared" si="151"/>
        <v>2.7229999999999999</v>
      </c>
      <c r="CB80" s="92">
        <f>IFERROR(BR80+AX80,"")</f>
        <v>2474</v>
      </c>
      <c r="CC80" s="92">
        <f t="shared" si="124"/>
        <v>0.49999999999965894</v>
      </c>
      <c r="CD80" s="92">
        <f t="shared" si="124"/>
        <v>0.45454545454514772</v>
      </c>
      <c r="CE80" s="99"/>
      <c r="CF80" s="99"/>
      <c r="CG80" s="51">
        <f t="shared" si="152"/>
        <v>6.2819999999999991</v>
      </c>
      <c r="CH80" s="62">
        <f t="shared" si="153"/>
        <v>6.2819999999999991</v>
      </c>
      <c r="CI80" s="89">
        <v>90</v>
      </c>
      <c r="CJ80" s="89">
        <v>1761</v>
      </c>
      <c r="CK80" s="89"/>
      <c r="CL80" s="96"/>
      <c r="CM80" s="89"/>
      <c r="CN80" s="89">
        <v>942</v>
      </c>
      <c r="CO80" s="92"/>
      <c r="CP80" s="101">
        <v>20</v>
      </c>
      <c r="CQ80" s="102">
        <f t="shared" si="101"/>
        <v>1600</v>
      </c>
      <c r="CR80" s="102">
        <f t="shared" si="101"/>
        <v>0</v>
      </c>
      <c r="CS80" s="102">
        <f t="shared" si="101"/>
        <v>0</v>
      </c>
      <c r="CT80" s="92">
        <f t="shared" si="154"/>
        <v>857</v>
      </c>
      <c r="CU80" s="92">
        <f t="shared" si="102"/>
        <v>0</v>
      </c>
      <c r="CV80" s="103">
        <f t="shared" si="102"/>
        <v>18</v>
      </c>
      <c r="CW80" s="104" t="s">
        <v>147</v>
      </c>
      <c r="CX80" s="105">
        <v>10</v>
      </c>
      <c r="CY80" s="106">
        <f t="shared" si="155"/>
        <v>3834</v>
      </c>
      <c r="CZ80" s="106">
        <f t="shared" si="156"/>
        <v>40.5</v>
      </c>
      <c r="DA80" s="106"/>
      <c r="DB80" s="106"/>
      <c r="DC80" s="105"/>
      <c r="DD80" s="107"/>
      <c r="DE80" s="92">
        <f t="shared" si="125"/>
        <v>1600</v>
      </c>
      <c r="DF80" s="108">
        <f t="shared" si="126"/>
        <v>9.5</v>
      </c>
      <c r="DG80" s="115">
        <f t="shared" si="127"/>
        <v>33.4090909090907</v>
      </c>
      <c r="DH80" s="110">
        <f t="shared" si="128"/>
        <v>857</v>
      </c>
      <c r="DI80" s="108">
        <f t="shared" si="129"/>
        <v>5.5</v>
      </c>
      <c r="DJ80" s="112">
        <f t="shared" si="130"/>
        <v>-32.954545454545553</v>
      </c>
      <c r="DK80" s="110">
        <f t="shared" si="86"/>
        <v>2457</v>
      </c>
      <c r="DL80" s="108">
        <f t="shared" si="86"/>
        <v>15</v>
      </c>
      <c r="DM80" s="111">
        <f t="shared" si="86"/>
        <v>0.45454545454514772</v>
      </c>
      <c r="DN80" s="76">
        <f t="shared" si="89"/>
        <v>22</v>
      </c>
      <c r="DO80" s="76">
        <f t="shared" si="89"/>
        <v>48</v>
      </c>
      <c r="DP80" s="112"/>
      <c r="DQ80" s="112"/>
      <c r="DR80" s="113" t="s">
        <v>467</v>
      </c>
      <c r="DS80" s="112"/>
      <c r="DT80" s="112"/>
      <c r="DU80" s="111"/>
      <c r="DV80" s="114"/>
      <c r="DW80" s="80">
        <f t="shared" si="157"/>
        <v>2472</v>
      </c>
      <c r="DX80" s="81">
        <f t="shared" si="131"/>
        <v>2472.454545454545</v>
      </c>
      <c r="DY80" s="80">
        <f t="shared" si="158"/>
        <v>2475</v>
      </c>
      <c r="DZ80" s="82">
        <f t="shared" si="159"/>
        <v>1.9800000000000002E-2</v>
      </c>
      <c r="EA80" s="82">
        <f t="shared" si="160"/>
        <v>2.7027000000000001</v>
      </c>
      <c r="EB80" s="82">
        <f t="shared" si="161"/>
        <v>6.2822999999999993</v>
      </c>
      <c r="EC80" s="82">
        <f t="shared" si="176"/>
        <v>6.2819999999999991</v>
      </c>
      <c r="EF80" s="83">
        <f t="shared" si="107"/>
        <v>0.45454545454514772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2"/>
        <v>IBC3604-7x3-H9D14</v>
      </c>
      <c r="H81" s="46" t="str">
        <f t="shared" si="133"/>
        <v>C3604IB70DH9</v>
      </c>
      <c r="I81" s="46" t="str">
        <f t="shared" si="134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5"/>
        <v>34</v>
      </c>
      <c r="T81" s="51">
        <f>'05.02'!BG81</f>
        <v>18</v>
      </c>
      <c r="U81" s="92">
        <v>72</v>
      </c>
      <c r="V81" s="100">
        <v>2.12</v>
      </c>
      <c r="W81" s="93">
        <f t="shared" si="114"/>
        <v>0</v>
      </c>
      <c r="X81" s="93">
        <f t="shared" si="115"/>
        <v>5789</v>
      </c>
      <c r="Y81" s="93">
        <f t="shared" si="116"/>
        <v>0</v>
      </c>
      <c r="Z81" s="93">
        <f t="shared" si="117"/>
        <v>0</v>
      </c>
      <c r="AA81" s="93">
        <f t="shared" si="118"/>
        <v>0</v>
      </c>
      <c r="AB81" s="93">
        <f t="shared" si="119"/>
        <v>0</v>
      </c>
      <c r="AC81" s="93">
        <f t="shared" si="120"/>
        <v>0</v>
      </c>
      <c r="AD81" s="93">
        <f t="shared" si="121"/>
        <v>23</v>
      </c>
      <c r="AE81" s="93">
        <f t="shared" si="136"/>
        <v>5789</v>
      </c>
      <c r="AF81" s="54">
        <f>AE81+'05.02'!AF81</f>
        <v>31162</v>
      </c>
      <c r="AG81" s="94">
        <f t="shared" si="162"/>
        <v>18</v>
      </c>
      <c r="AH81" s="56">
        <f t="shared" si="137"/>
        <v>0</v>
      </c>
      <c r="AI81" s="93">
        <v>16</v>
      </c>
      <c r="AJ81" s="93">
        <f t="shared" si="163"/>
        <v>0</v>
      </c>
      <c r="AK81" s="95">
        <f t="shared" si="138"/>
        <v>1</v>
      </c>
      <c r="AL81" s="58">
        <f t="shared" si="174"/>
        <v>16</v>
      </c>
      <c r="AM81" s="55">
        <f t="shared" si="164"/>
        <v>74</v>
      </c>
      <c r="AN81" s="93"/>
      <c r="AO81" s="96"/>
      <c r="AP81" s="96">
        <f>$CJ81</f>
        <v>6015</v>
      </c>
      <c r="AQ81" s="96"/>
      <c r="AR81" s="96"/>
      <c r="AS81" s="96"/>
      <c r="AT81" s="96"/>
      <c r="AU81" s="96">
        <f t="shared" si="139"/>
        <v>0</v>
      </c>
      <c r="AV81" s="96">
        <f t="shared" si="139"/>
        <v>0</v>
      </c>
      <c r="AW81" s="96">
        <f t="shared" si="140"/>
        <v>6015</v>
      </c>
      <c r="AX81" s="96">
        <f t="shared" si="141"/>
        <v>2837</v>
      </c>
      <c r="AY81" s="94">
        <f t="shared" si="165"/>
        <v>146.84000000000015</v>
      </c>
      <c r="AZ81" s="94">
        <f t="shared" si="142"/>
        <v>69.264150943396288</v>
      </c>
      <c r="BA81" s="94">
        <f t="shared" si="171"/>
        <v>74</v>
      </c>
      <c r="BB81" s="97">
        <f t="shared" si="172"/>
        <v>0</v>
      </c>
      <c r="BC81" s="93">
        <v>17</v>
      </c>
      <c r="BD81" s="93">
        <f t="shared" si="143"/>
        <v>410</v>
      </c>
      <c r="BE81" s="95">
        <f t="shared" si="144"/>
        <v>1.1178972625149961</v>
      </c>
      <c r="BF81" s="58">
        <f t="shared" si="175"/>
        <v>17.12</v>
      </c>
      <c r="BG81" s="94">
        <f t="shared" si="145"/>
        <v>56.879999999999995</v>
      </c>
      <c r="BH81" s="89"/>
      <c r="BI81" s="89"/>
      <c r="BJ81" s="92">
        <f>$CN81</f>
        <v>6259</v>
      </c>
      <c r="BK81" s="89"/>
      <c r="BL81" s="89"/>
      <c r="BM81" s="89"/>
      <c r="BN81" s="89"/>
      <c r="BO81" s="92">
        <f t="shared" si="166"/>
        <v>0</v>
      </c>
      <c r="BP81" s="92">
        <f t="shared" si="166"/>
        <v>50</v>
      </c>
      <c r="BQ81" s="96">
        <f t="shared" si="146"/>
        <v>6309</v>
      </c>
      <c r="BR81" s="96">
        <f t="shared" si="147"/>
        <v>2975</v>
      </c>
      <c r="BS81" s="96">
        <f t="shared" si="167"/>
        <v>30.068799999999101</v>
      </c>
      <c r="BT81" s="96">
        <f t="shared" si="148"/>
        <v>14.18339622641467</v>
      </c>
      <c r="BU81" s="92">
        <f t="shared" si="122"/>
        <v>5789</v>
      </c>
      <c r="BV81" s="98">
        <f t="shared" si="168"/>
        <v>33.120000000000005</v>
      </c>
      <c r="BW81" s="92">
        <f t="shared" si="123"/>
        <v>83.44754716981096</v>
      </c>
      <c r="BX81" s="98">
        <f t="shared" si="149"/>
        <v>32.457600000000006</v>
      </c>
      <c r="BY81" s="61">
        <f t="shared" si="173"/>
        <v>33.120000000000005</v>
      </c>
      <c r="BZ81" s="62">
        <f t="shared" si="150"/>
        <v>33.120000000000005</v>
      </c>
      <c r="CA81" s="98">
        <f t="shared" si="151"/>
        <v>12.324</v>
      </c>
      <c r="CB81" s="92">
        <f t="shared" si="124"/>
        <v>5812</v>
      </c>
      <c r="CC81" s="92">
        <f t="shared" si="124"/>
        <v>176.90879999999925</v>
      </c>
      <c r="CD81" s="92">
        <f t="shared" si="124"/>
        <v>83.44754716981096</v>
      </c>
      <c r="CE81" s="99"/>
      <c r="CF81" s="99"/>
      <c r="CG81" s="51">
        <f t="shared" si="152"/>
        <v>20.183600000000009</v>
      </c>
      <c r="CH81" s="62">
        <f t="shared" si="153"/>
        <v>20.183600000000009</v>
      </c>
      <c r="CI81" s="89"/>
      <c r="CJ81" s="89">
        <v>6015</v>
      </c>
      <c r="CK81" s="89"/>
      <c r="CL81" s="96"/>
      <c r="CM81" s="89">
        <v>410</v>
      </c>
      <c r="CN81" s="89">
        <v>6259</v>
      </c>
      <c r="CO81" s="92"/>
      <c r="CP81" s="101">
        <v>50</v>
      </c>
      <c r="CQ81" s="102">
        <f t="shared" si="101"/>
        <v>2837</v>
      </c>
      <c r="CR81" s="102">
        <f t="shared" si="101"/>
        <v>0</v>
      </c>
      <c r="CS81" s="102">
        <f t="shared" si="101"/>
        <v>0</v>
      </c>
      <c r="CT81" s="92">
        <f t="shared" si="154"/>
        <v>2952</v>
      </c>
      <c r="CU81" s="92">
        <f t="shared" si="102"/>
        <v>0</v>
      </c>
      <c r="CV81" s="103">
        <f t="shared" si="102"/>
        <v>23</v>
      </c>
      <c r="CW81" s="104" t="s">
        <v>147</v>
      </c>
      <c r="CX81" s="105">
        <v>13.35</v>
      </c>
      <c r="CY81" s="106">
        <f t="shared" si="155"/>
        <v>2979</v>
      </c>
      <c r="CZ81" s="106">
        <f t="shared" si="156"/>
        <v>54.067500000000003</v>
      </c>
      <c r="DA81" s="106"/>
      <c r="DB81" s="106"/>
      <c r="DC81" s="105"/>
      <c r="DD81" s="107"/>
      <c r="DE81" s="92">
        <f t="shared" si="125"/>
        <v>2837</v>
      </c>
      <c r="DF81" s="108">
        <f t="shared" si="126"/>
        <v>16</v>
      </c>
      <c r="DG81" s="115">
        <f t="shared" si="127"/>
        <v>69.264150943396288</v>
      </c>
      <c r="DH81" s="110">
        <f t="shared" si="128"/>
        <v>2952</v>
      </c>
      <c r="DI81" s="108">
        <f t="shared" si="129"/>
        <v>17.12</v>
      </c>
      <c r="DJ81" s="112">
        <f t="shared" si="130"/>
        <v>14.18339622641467</v>
      </c>
      <c r="DK81" s="110">
        <f t="shared" si="86"/>
        <v>5789</v>
      </c>
      <c r="DL81" s="108">
        <f t="shared" si="86"/>
        <v>33.120000000000005</v>
      </c>
      <c r="DM81" s="111">
        <f t="shared" si="86"/>
        <v>83.44754716981096</v>
      </c>
      <c r="DN81" s="76">
        <f t="shared" si="89"/>
        <v>18</v>
      </c>
      <c r="DO81" s="76">
        <f t="shared" si="89"/>
        <v>72</v>
      </c>
      <c r="DP81" s="112"/>
      <c r="DQ81" s="112"/>
      <c r="DR81" s="113" t="s">
        <v>468</v>
      </c>
      <c r="DS81" s="112"/>
      <c r="DT81" s="112"/>
      <c r="DU81" s="111"/>
      <c r="DV81" s="114"/>
      <c r="DW81" s="80">
        <f t="shared" ref="DW81:DW82" si="177">IFERROR(AL81+BF81,"")</f>
        <v>33.120000000000005</v>
      </c>
      <c r="DX81" s="81">
        <f t="shared" si="131"/>
        <v>5905.5675471698105</v>
      </c>
      <c r="DY81" s="80">
        <f t="shared" si="158"/>
        <v>5812</v>
      </c>
      <c r="DZ81" s="82">
        <f t="shared" si="159"/>
        <v>4.8760000000000005E-2</v>
      </c>
      <c r="EA81" s="82">
        <f t="shared" si="160"/>
        <v>12.272680000000001</v>
      </c>
      <c r="EB81" s="82">
        <f t="shared" si="161"/>
        <v>20.184920000000005</v>
      </c>
      <c r="EC81" s="82">
        <f t="shared" si="176"/>
        <v>20.183600000000009</v>
      </c>
      <c r="EF81" s="83">
        <f t="shared" si="107"/>
        <v>83.44754716981096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2"/>
        <v>IBC3602-7.5x3-H9B14</v>
      </c>
      <c r="H82" s="46" t="str">
        <f t="shared" si="133"/>
        <v>C3602IB7.50DH9</v>
      </c>
      <c r="I82" s="46" t="str">
        <f t="shared" si="134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5"/>
        <v>34</v>
      </c>
      <c r="T82" s="51">
        <f>'05.02'!BG82</f>
        <v>13</v>
      </c>
      <c r="U82" s="92">
        <v>77</v>
      </c>
      <c r="V82" s="174">
        <v>1.23</v>
      </c>
      <c r="W82" s="93">
        <f t="shared" si="114"/>
        <v>0</v>
      </c>
      <c r="X82" s="93">
        <f t="shared" si="115"/>
        <v>0</v>
      </c>
      <c r="Y82" s="93">
        <f t="shared" si="116"/>
        <v>6343</v>
      </c>
      <c r="Z82" s="93">
        <f t="shared" si="117"/>
        <v>0</v>
      </c>
      <c r="AA82" s="93">
        <f t="shared" si="118"/>
        <v>0</v>
      </c>
      <c r="AB82" s="93">
        <f t="shared" si="119"/>
        <v>0</v>
      </c>
      <c r="AC82" s="93">
        <f t="shared" si="120"/>
        <v>0</v>
      </c>
      <c r="AD82" s="93">
        <f t="shared" si="121"/>
        <v>0</v>
      </c>
      <c r="AE82" s="93">
        <f t="shared" si="136"/>
        <v>6343</v>
      </c>
      <c r="AF82" s="54">
        <f>AE82+'05.02'!AF82</f>
        <v>35471</v>
      </c>
      <c r="AG82" s="94">
        <f t="shared" si="162"/>
        <v>13</v>
      </c>
      <c r="AH82" s="56">
        <f t="shared" si="137"/>
        <v>0</v>
      </c>
      <c r="AI82" s="93">
        <v>19</v>
      </c>
      <c r="AJ82" s="93">
        <f t="shared" si="163"/>
        <v>0</v>
      </c>
      <c r="AK82" s="95">
        <f t="shared" si="138"/>
        <v>1</v>
      </c>
      <c r="AL82" s="58">
        <f t="shared" si="174"/>
        <v>19</v>
      </c>
      <c r="AM82" s="55">
        <f t="shared" si="164"/>
        <v>71</v>
      </c>
      <c r="AN82" s="93"/>
      <c r="AO82" s="96"/>
      <c r="AP82" s="96"/>
      <c r="AQ82" s="96">
        <f>$CJ82</f>
        <v>3856</v>
      </c>
      <c r="AR82" s="96"/>
      <c r="AS82" s="96"/>
      <c r="AT82" s="96"/>
      <c r="AU82" s="96">
        <f t="shared" si="139"/>
        <v>0</v>
      </c>
      <c r="AV82" s="96">
        <f t="shared" si="139"/>
        <v>0</v>
      </c>
      <c r="AW82" s="96">
        <f t="shared" si="140"/>
        <v>3856</v>
      </c>
      <c r="AX82" s="96">
        <f t="shared" si="141"/>
        <v>3134</v>
      </c>
      <c r="AY82" s="94">
        <f t="shared" si="165"/>
        <v>93.429999999999836</v>
      </c>
      <c r="AZ82" s="94">
        <f t="shared" si="142"/>
        <v>75.959349593495801</v>
      </c>
      <c r="BA82" s="94">
        <f t="shared" si="171"/>
        <v>71</v>
      </c>
      <c r="BB82" s="97">
        <f t="shared" si="172"/>
        <v>0</v>
      </c>
      <c r="BC82" s="93">
        <v>20</v>
      </c>
      <c r="BD82" s="93">
        <f t="shared" si="143"/>
        <v>200</v>
      </c>
      <c r="BE82" s="95">
        <f t="shared" si="144"/>
        <v>1.0099479876786346</v>
      </c>
      <c r="BF82" s="58">
        <f t="shared" si="175"/>
        <v>20.010000000000002</v>
      </c>
      <c r="BG82" s="94">
        <f t="shared" si="145"/>
        <v>50.989999999999995</v>
      </c>
      <c r="BH82" s="89"/>
      <c r="BI82" s="89"/>
      <c r="BJ82" s="89"/>
      <c r="BK82" s="92">
        <f>$CN82</f>
        <v>3947</v>
      </c>
      <c r="BL82" s="89"/>
      <c r="BM82" s="89"/>
      <c r="BN82" s="89"/>
      <c r="BO82" s="92">
        <f t="shared" si="166"/>
        <v>0</v>
      </c>
      <c r="BP82" s="92">
        <f t="shared" si="166"/>
        <v>0</v>
      </c>
      <c r="BQ82" s="96">
        <f t="shared" si="146"/>
        <v>3947</v>
      </c>
      <c r="BR82" s="96">
        <f t="shared" si="147"/>
        <v>3208</v>
      </c>
      <c r="BS82" s="96">
        <f t="shared" si="167"/>
        <v>-15.580300000000079</v>
      </c>
      <c r="BT82" s="96">
        <f t="shared" si="148"/>
        <v>-12.666910569105756</v>
      </c>
      <c r="BU82" s="92">
        <f t="shared" si="122"/>
        <v>6343</v>
      </c>
      <c r="BV82" s="98">
        <f t="shared" si="168"/>
        <v>39.010000000000005</v>
      </c>
      <c r="BW82" s="92">
        <f t="shared" si="123"/>
        <v>63.292439024390049</v>
      </c>
      <c r="BX82" s="98">
        <f t="shared" si="149"/>
        <v>43.730210000000007</v>
      </c>
      <c r="BY82" s="61">
        <f t="shared" si="173"/>
        <v>39.010000000000005</v>
      </c>
      <c r="BZ82" s="62">
        <f t="shared" si="150"/>
        <v>39.010000000000005</v>
      </c>
      <c r="CA82" s="98">
        <f t="shared" si="151"/>
        <v>7.8029999999999999</v>
      </c>
      <c r="CB82" s="92">
        <f t="shared" si="124"/>
        <v>6342</v>
      </c>
      <c r="CC82" s="92">
        <f t="shared" si="124"/>
        <v>77.849699999999757</v>
      </c>
      <c r="CD82" s="92">
        <f t="shared" si="124"/>
        <v>63.292439024390049</v>
      </c>
      <c r="CE82" s="99"/>
      <c r="CF82" s="99"/>
      <c r="CG82" s="51">
        <f t="shared" si="152"/>
        <v>35.927210000000009</v>
      </c>
      <c r="CH82" s="62">
        <f t="shared" si="153"/>
        <v>35.927210000000009</v>
      </c>
      <c r="CI82" s="89"/>
      <c r="CJ82" s="89">
        <v>3856</v>
      </c>
      <c r="CK82" s="89"/>
      <c r="CL82" s="96"/>
      <c r="CM82" s="89">
        <v>200</v>
      </c>
      <c r="CN82" s="89">
        <v>3947</v>
      </c>
      <c r="CO82" s="92"/>
      <c r="CP82" s="101"/>
      <c r="CQ82" s="102">
        <f t="shared" si="101"/>
        <v>3134</v>
      </c>
      <c r="CR82" s="102">
        <f t="shared" si="101"/>
        <v>0</v>
      </c>
      <c r="CS82" s="102">
        <f t="shared" si="101"/>
        <v>0</v>
      </c>
      <c r="CT82" s="92">
        <f t="shared" si="154"/>
        <v>3209</v>
      </c>
      <c r="CU82" s="92">
        <f t="shared" si="102"/>
        <v>0</v>
      </c>
      <c r="CV82" s="103">
        <f t="shared" si="102"/>
        <v>0</v>
      </c>
      <c r="CW82" s="104" t="s">
        <v>147</v>
      </c>
      <c r="CX82" s="105">
        <v>15</v>
      </c>
      <c r="CY82" s="106">
        <f t="shared" si="155"/>
        <v>2664</v>
      </c>
      <c r="CZ82" s="106">
        <f t="shared" si="156"/>
        <v>60.750000000000007</v>
      </c>
      <c r="DA82" s="106"/>
      <c r="DB82" s="106"/>
      <c r="DC82" s="105"/>
      <c r="DD82" s="107"/>
      <c r="DE82" s="92">
        <f t="shared" si="125"/>
        <v>3134</v>
      </c>
      <c r="DF82" s="108">
        <f t="shared" si="126"/>
        <v>19</v>
      </c>
      <c r="DG82" s="115">
        <f t="shared" si="127"/>
        <v>75.959349593495801</v>
      </c>
      <c r="DH82" s="110">
        <f t="shared" si="128"/>
        <v>3209</v>
      </c>
      <c r="DI82" s="108">
        <f t="shared" si="129"/>
        <v>20.010000000000002</v>
      </c>
      <c r="DJ82" s="112">
        <f t="shared" si="130"/>
        <v>-12.666910569105756</v>
      </c>
      <c r="DK82" s="110">
        <f t="shared" si="86"/>
        <v>6343</v>
      </c>
      <c r="DL82" s="108">
        <f t="shared" si="86"/>
        <v>39.010000000000005</v>
      </c>
      <c r="DM82" s="111">
        <f t="shared" si="86"/>
        <v>63.292439024390049</v>
      </c>
      <c r="DN82" s="76">
        <f t="shared" si="89"/>
        <v>13</v>
      </c>
      <c r="DO82" s="76">
        <f t="shared" si="89"/>
        <v>77</v>
      </c>
      <c r="DP82" s="112"/>
      <c r="DQ82" s="112"/>
      <c r="DR82" s="113" t="s">
        <v>469</v>
      </c>
      <c r="DS82" s="112"/>
      <c r="DT82" s="112"/>
      <c r="DU82" s="111"/>
      <c r="DV82" s="114"/>
      <c r="DW82" s="80">
        <f t="shared" si="177"/>
        <v>39.010000000000005</v>
      </c>
      <c r="DX82" s="81">
        <f t="shared" si="131"/>
        <v>6445.30243902439</v>
      </c>
      <c r="DY82" s="80">
        <f t="shared" si="158"/>
        <v>6343</v>
      </c>
      <c r="DZ82" s="82">
        <f t="shared" si="159"/>
        <v>0</v>
      </c>
      <c r="EA82" s="82">
        <f t="shared" si="160"/>
        <v>7.8018900000000002</v>
      </c>
      <c r="EB82" s="82">
        <f t="shared" si="161"/>
        <v>35.928320000000006</v>
      </c>
      <c r="EC82" s="82">
        <f t="shared" si="176"/>
        <v>35.927210000000009</v>
      </c>
      <c r="EF82" s="83">
        <f t="shared" si="107"/>
        <v>63.292439024390049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2"/>
        <v>GWA6063-T5-7.5x3-H9B14</v>
      </c>
      <c r="H83" s="46" t="str">
        <f t="shared" si="133"/>
        <v>A6063-T5GW7.50DH9</v>
      </c>
      <c r="I83" s="46" t="str">
        <f t="shared" si="134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5"/>
        <v>18</v>
      </c>
      <c r="T83" s="51">
        <f>'05.02'!BG83</f>
        <v>46</v>
      </c>
      <c r="U83" s="92"/>
      <c r="V83" s="100">
        <v>0.70299999999999996</v>
      </c>
      <c r="W83" s="93">
        <f t="shared" si="114"/>
        <v>0</v>
      </c>
      <c r="X83" s="93">
        <f t="shared" si="115"/>
        <v>0</v>
      </c>
      <c r="Y83" s="93">
        <f t="shared" si="116"/>
        <v>0</v>
      </c>
      <c r="Z83" s="93">
        <f t="shared" si="117"/>
        <v>0</v>
      </c>
      <c r="AA83" s="93">
        <f t="shared" si="118"/>
        <v>0</v>
      </c>
      <c r="AB83" s="93">
        <f t="shared" si="119"/>
        <v>0</v>
      </c>
      <c r="AC83" s="93">
        <f t="shared" si="120"/>
        <v>0</v>
      </c>
      <c r="AD83" s="93">
        <f t="shared" si="121"/>
        <v>0</v>
      </c>
      <c r="AE83" s="93">
        <f t="shared" si="136"/>
        <v>0</v>
      </c>
      <c r="AF83" s="54">
        <f>AE83+'05.02'!AF83</f>
        <v>0</v>
      </c>
      <c r="AG83" s="94">
        <f t="shared" si="162"/>
        <v>46</v>
      </c>
      <c r="AH83" s="56">
        <f t="shared" si="137"/>
        <v>0</v>
      </c>
      <c r="AI83" s="93"/>
      <c r="AJ83" s="93">
        <f t="shared" si="163"/>
        <v>0</v>
      </c>
      <c r="AK83" s="95">
        <f t="shared" si="138"/>
        <v>1</v>
      </c>
      <c r="AL83" s="58">
        <f t="shared" si="174"/>
        <v>0</v>
      </c>
      <c r="AM83" s="55">
        <f t="shared" si="164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39"/>
        <v>0</v>
      </c>
      <c r="AV83" s="96">
        <f t="shared" si="139"/>
        <v>0</v>
      </c>
      <c r="AW83" s="96">
        <f t="shared" si="140"/>
        <v>0</v>
      </c>
      <c r="AX83" s="96">
        <f t="shared" si="141"/>
        <v>0</v>
      </c>
      <c r="AY83" s="94">
        <f t="shared" si="165"/>
        <v>0</v>
      </c>
      <c r="AZ83" s="94">
        <f t="shared" si="142"/>
        <v>0</v>
      </c>
      <c r="BA83" s="94">
        <f t="shared" si="171"/>
        <v>46</v>
      </c>
      <c r="BB83" s="97">
        <f t="shared" si="172"/>
        <v>0</v>
      </c>
      <c r="BC83" s="93"/>
      <c r="BD83" s="93">
        <f t="shared" si="143"/>
        <v>0</v>
      </c>
      <c r="BE83" s="95">
        <f t="shared" si="144"/>
        <v>1</v>
      </c>
      <c r="BF83" s="58">
        <f t="shared" si="175"/>
        <v>0</v>
      </c>
      <c r="BG83" s="94">
        <f t="shared" si="145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6"/>
        <v>0</v>
      </c>
      <c r="BP83" s="92">
        <f t="shared" si="166"/>
        <v>0</v>
      </c>
      <c r="BQ83" s="96">
        <f t="shared" si="146"/>
        <v>0</v>
      </c>
      <c r="BR83" s="96">
        <f t="shared" si="147"/>
        <v>0</v>
      </c>
      <c r="BS83" s="96">
        <f t="shared" si="167"/>
        <v>0</v>
      </c>
      <c r="BT83" s="96">
        <f t="shared" si="148"/>
        <v>0</v>
      </c>
      <c r="BU83" s="92">
        <f t="shared" si="122"/>
        <v>0</v>
      </c>
      <c r="BV83" s="98">
        <f t="shared" si="168"/>
        <v>0</v>
      </c>
      <c r="BW83" s="92">
        <f t="shared" si="123"/>
        <v>0</v>
      </c>
      <c r="BX83" s="98">
        <f t="shared" si="149"/>
        <v>0</v>
      </c>
      <c r="BY83" s="61">
        <f t="shared" si="173"/>
        <v>0</v>
      </c>
      <c r="BZ83" s="62">
        <f t="shared" si="150"/>
        <v>0</v>
      </c>
      <c r="CA83" s="98">
        <f t="shared" si="151"/>
        <v>0</v>
      </c>
      <c r="CB83" s="92">
        <f t="shared" si="124"/>
        <v>0</v>
      </c>
      <c r="CC83" s="92">
        <f t="shared" si="124"/>
        <v>0</v>
      </c>
      <c r="CD83" s="92">
        <f t="shared" si="124"/>
        <v>0</v>
      </c>
      <c r="CE83" s="99"/>
      <c r="CF83" s="99"/>
      <c r="CG83" s="51">
        <f t="shared" si="152"/>
        <v>0</v>
      </c>
      <c r="CH83" s="62">
        <f t="shared" si="153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101"/>
        <v>0</v>
      </c>
      <c r="CR83" s="102">
        <f t="shared" si="101"/>
        <v>0</v>
      </c>
      <c r="CS83" s="102">
        <f t="shared" si="101"/>
        <v>0</v>
      </c>
      <c r="CT83" s="92">
        <f t="shared" si="154"/>
        <v>0</v>
      </c>
      <c r="CU83" s="92">
        <f t="shared" si="102"/>
        <v>0</v>
      </c>
      <c r="CV83" s="103">
        <f t="shared" si="102"/>
        <v>0</v>
      </c>
      <c r="CW83" s="104" t="s">
        <v>147</v>
      </c>
      <c r="CX83" s="105">
        <v>18.5</v>
      </c>
      <c r="CY83" s="106">
        <f t="shared" si="155"/>
        <v>2237</v>
      </c>
      <c r="CZ83" s="106">
        <f t="shared" si="156"/>
        <v>74.925000000000011</v>
      </c>
      <c r="DA83" s="106"/>
      <c r="DB83" s="106"/>
      <c r="DC83" s="105"/>
      <c r="DD83" s="107"/>
      <c r="DE83" s="92">
        <f t="shared" si="125"/>
        <v>0</v>
      </c>
      <c r="DF83" s="108">
        <f t="shared" si="126"/>
        <v>0</v>
      </c>
      <c r="DG83" s="115">
        <f t="shared" si="127"/>
        <v>0</v>
      </c>
      <c r="DH83" s="110">
        <f t="shared" si="128"/>
        <v>0</v>
      </c>
      <c r="DI83" s="108">
        <f t="shared" si="129"/>
        <v>0</v>
      </c>
      <c r="DJ83" s="112">
        <f t="shared" si="130"/>
        <v>0</v>
      </c>
      <c r="DK83" s="110">
        <f t="shared" si="86"/>
        <v>0</v>
      </c>
      <c r="DL83" s="108">
        <f t="shared" si="86"/>
        <v>0</v>
      </c>
      <c r="DM83" s="111">
        <f t="shared" si="86"/>
        <v>0</v>
      </c>
      <c r="DN83" s="76">
        <f t="shared" si="89"/>
        <v>46</v>
      </c>
      <c r="DO83" s="76">
        <f t="shared" si="89"/>
        <v>0</v>
      </c>
      <c r="DP83" s="112"/>
      <c r="DQ83" s="112"/>
      <c r="DR83" s="113" t="s">
        <v>470</v>
      </c>
      <c r="DS83" s="112"/>
      <c r="DT83" s="112"/>
      <c r="DU83" s="111"/>
      <c r="DV83" s="114"/>
      <c r="DW83" s="80">
        <f t="shared" si="157"/>
        <v>0</v>
      </c>
      <c r="DX83" s="81">
        <f t="shared" si="131"/>
        <v>0</v>
      </c>
      <c r="DY83" s="80">
        <f t="shared" si="158"/>
        <v>0</v>
      </c>
      <c r="DZ83" s="82">
        <f t="shared" si="159"/>
        <v>0</v>
      </c>
      <c r="EA83" s="82">
        <f t="shared" si="160"/>
        <v>0</v>
      </c>
      <c r="EB83" s="82">
        <f t="shared" si="161"/>
        <v>0</v>
      </c>
      <c r="EC83" s="82">
        <f t="shared" ref="EC83:EC106" si="178">EB83+DZ83</f>
        <v>0</v>
      </c>
      <c r="EF83" s="83">
        <f t="shared" si="107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2"/>
        <v>GAA5052-5.7x3-H9A14</v>
      </c>
      <c r="H84" s="46" t="str">
        <f t="shared" si="133"/>
        <v>A5052GA5.70DH9</v>
      </c>
      <c r="I84" s="46" t="str">
        <f t="shared" si="134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5"/>
        <v>30</v>
      </c>
      <c r="T84" s="51">
        <f>'05.02'!BG84</f>
        <v>12</v>
      </c>
      <c r="U84" s="92">
        <v>38</v>
      </c>
      <c r="V84" s="100">
        <v>0.15</v>
      </c>
      <c r="W84" s="93">
        <f t="shared" si="114"/>
        <v>0</v>
      </c>
      <c r="X84" s="93">
        <f t="shared" si="115"/>
        <v>0</v>
      </c>
      <c r="Y84" s="93">
        <f t="shared" si="116"/>
        <v>0</v>
      </c>
      <c r="Z84" s="93">
        <f t="shared" si="117"/>
        <v>0</v>
      </c>
      <c r="AA84" s="93">
        <f t="shared" si="118"/>
        <v>0</v>
      </c>
      <c r="AB84" s="93">
        <f t="shared" si="119"/>
        <v>3266</v>
      </c>
      <c r="AC84" s="93">
        <f t="shared" si="120"/>
        <v>0</v>
      </c>
      <c r="AD84" s="93">
        <f t="shared" si="121"/>
        <v>46</v>
      </c>
      <c r="AE84" s="93">
        <f t="shared" si="136"/>
        <v>3266</v>
      </c>
      <c r="AF84" s="54">
        <f>AE84+'05.02'!AF84</f>
        <v>18225</v>
      </c>
      <c r="AG84" s="94">
        <f t="shared" si="162"/>
        <v>12</v>
      </c>
      <c r="AH84" s="56">
        <f t="shared" si="137"/>
        <v>0</v>
      </c>
      <c r="AI84" s="93">
        <v>7</v>
      </c>
      <c r="AJ84" s="93">
        <f t="shared" si="163"/>
        <v>0</v>
      </c>
      <c r="AK84" s="95">
        <f t="shared" si="138"/>
        <v>1</v>
      </c>
      <c r="AL84" s="58">
        <f t="shared" si="174"/>
        <v>7</v>
      </c>
      <c r="AM84" s="55">
        <f t="shared" si="164"/>
        <v>43</v>
      </c>
      <c r="AN84" s="93"/>
      <c r="AO84" s="96"/>
      <c r="AP84" s="96"/>
      <c r="AQ84" s="96"/>
      <c r="AR84" s="96"/>
      <c r="AS84" s="96"/>
      <c r="AT84" s="96">
        <f>$CJ84</f>
        <v>250</v>
      </c>
      <c r="AU84" s="96">
        <f t="shared" si="139"/>
        <v>0</v>
      </c>
      <c r="AV84" s="96">
        <f t="shared" si="139"/>
        <v>0</v>
      </c>
      <c r="AW84" s="96">
        <f t="shared" ref="AW84" si="179">SUM(AO84:AV84)</f>
        <v>250</v>
      </c>
      <c r="AX84" s="96">
        <f t="shared" si="141"/>
        <v>1666</v>
      </c>
      <c r="AY84" s="94">
        <f t="shared" si="165"/>
        <v>-2</v>
      </c>
      <c r="AZ84" s="94">
        <f t="shared" si="142"/>
        <v>-13.333333333333334</v>
      </c>
      <c r="BA84" s="94">
        <f t="shared" si="171"/>
        <v>43</v>
      </c>
      <c r="BB84" s="97">
        <f t="shared" si="172"/>
        <v>0</v>
      </c>
      <c r="BC84" s="93">
        <v>7</v>
      </c>
      <c r="BD84" s="93">
        <f t="shared" si="143"/>
        <v>0</v>
      </c>
      <c r="BE84" s="95">
        <f t="shared" si="144"/>
        <v>1</v>
      </c>
      <c r="BF84" s="58">
        <f t="shared" si="175"/>
        <v>7</v>
      </c>
      <c r="BG84" s="94">
        <f t="shared" si="145"/>
        <v>36</v>
      </c>
      <c r="BH84" s="89"/>
      <c r="BI84" s="89"/>
      <c r="BJ84" s="92"/>
      <c r="BK84" s="89"/>
      <c r="BL84" s="89"/>
      <c r="BM84" s="89"/>
      <c r="BN84" s="92">
        <f>$CN84</f>
        <v>240</v>
      </c>
      <c r="BO84" s="92">
        <f t="shared" si="166"/>
        <v>0</v>
      </c>
      <c r="BP84" s="92">
        <f t="shared" si="166"/>
        <v>7</v>
      </c>
      <c r="BQ84" s="96">
        <f t="shared" si="146"/>
        <v>247</v>
      </c>
      <c r="BR84" s="96">
        <f t="shared" si="147"/>
        <v>1646</v>
      </c>
      <c r="BS84" s="96">
        <f t="shared" si="167"/>
        <v>-5</v>
      </c>
      <c r="BT84" s="96">
        <f t="shared" si="148"/>
        <v>-33.333333333333336</v>
      </c>
      <c r="BU84" s="92">
        <f t="shared" si="122"/>
        <v>3266</v>
      </c>
      <c r="BV84" s="98">
        <f t="shared" si="168"/>
        <v>14</v>
      </c>
      <c r="BW84" s="92">
        <f t="shared" si="123"/>
        <v>-46.666666666666671</v>
      </c>
      <c r="BX84" s="98">
        <f t="shared" si="149"/>
        <v>2.8559999999999999</v>
      </c>
      <c r="BY84" s="61">
        <f t="shared" si="173"/>
        <v>14</v>
      </c>
      <c r="BZ84" s="62">
        <f t="shared" si="150"/>
        <v>14</v>
      </c>
      <c r="CA84" s="98">
        <f t="shared" si="151"/>
        <v>0.497</v>
      </c>
      <c r="CB84" s="92">
        <f t="shared" si="124"/>
        <v>3312</v>
      </c>
      <c r="CC84" s="92">
        <f t="shared" si="124"/>
        <v>-7</v>
      </c>
      <c r="CD84" s="92">
        <f t="shared" si="124"/>
        <v>-46.666666666666671</v>
      </c>
      <c r="CE84" s="99"/>
      <c r="CF84" s="99"/>
      <c r="CG84" s="51">
        <f t="shared" si="152"/>
        <v>2.3660000000000001</v>
      </c>
      <c r="CH84" s="62">
        <f t="shared" si="153"/>
        <v>2.3660000000000001</v>
      </c>
      <c r="CI84" s="89"/>
      <c r="CJ84" s="89">
        <v>250</v>
      </c>
      <c r="CK84" s="89"/>
      <c r="CL84" s="96"/>
      <c r="CM84" s="89"/>
      <c r="CN84" s="89">
        <v>240</v>
      </c>
      <c r="CO84" s="92"/>
      <c r="CP84" s="101">
        <v>7</v>
      </c>
      <c r="CQ84" s="102">
        <f t="shared" si="101"/>
        <v>1666</v>
      </c>
      <c r="CR84" s="102">
        <f t="shared" si="101"/>
        <v>0</v>
      </c>
      <c r="CS84" s="102">
        <f t="shared" si="101"/>
        <v>0</v>
      </c>
      <c r="CT84" s="92">
        <f t="shared" si="154"/>
        <v>1600</v>
      </c>
      <c r="CU84" s="92">
        <f t="shared" si="102"/>
        <v>0</v>
      </c>
      <c r="CV84" s="103">
        <f t="shared" si="102"/>
        <v>46</v>
      </c>
      <c r="CW84" s="104" t="s">
        <v>147</v>
      </c>
      <c r="CX84" s="105">
        <v>11</v>
      </c>
      <c r="CY84" s="106">
        <f t="shared" si="155"/>
        <v>3649</v>
      </c>
      <c r="CZ84" s="106">
        <f t="shared" si="156"/>
        <v>44.550000000000004</v>
      </c>
      <c r="DA84" s="106"/>
      <c r="DB84" s="106"/>
      <c r="DC84" s="105"/>
      <c r="DD84" s="107"/>
      <c r="DE84" s="92">
        <f t="shared" si="125"/>
        <v>1666</v>
      </c>
      <c r="DF84" s="108">
        <f t="shared" si="126"/>
        <v>7</v>
      </c>
      <c r="DG84" s="115">
        <f t="shared" si="127"/>
        <v>-13.333333333333334</v>
      </c>
      <c r="DH84" s="110">
        <f t="shared" si="128"/>
        <v>1600</v>
      </c>
      <c r="DI84" s="108">
        <f t="shared" si="129"/>
        <v>7</v>
      </c>
      <c r="DJ84" s="112">
        <f t="shared" si="130"/>
        <v>-33.333333333333336</v>
      </c>
      <c r="DK84" s="110">
        <f t="shared" si="86"/>
        <v>3266</v>
      </c>
      <c r="DL84" s="108">
        <f t="shared" si="86"/>
        <v>14</v>
      </c>
      <c r="DM84" s="111">
        <f t="shared" si="86"/>
        <v>-46.666666666666671</v>
      </c>
      <c r="DN84" s="76">
        <f t="shared" si="89"/>
        <v>12</v>
      </c>
      <c r="DO84" s="76">
        <f t="shared" si="89"/>
        <v>38</v>
      </c>
      <c r="DP84" s="112"/>
      <c r="DQ84" s="112"/>
      <c r="DR84" s="113" t="s">
        <v>471</v>
      </c>
      <c r="DS84" s="112"/>
      <c r="DT84" s="112"/>
      <c r="DU84" s="111"/>
      <c r="DV84" s="114"/>
      <c r="DW84" s="80">
        <f t="shared" si="157"/>
        <v>3280</v>
      </c>
      <c r="DX84" s="81">
        <f t="shared" si="131"/>
        <v>3233.3333333333335</v>
      </c>
      <c r="DY84" s="80">
        <f t="shared" si="158"/>
        <v>3312</v>
      </c>
      <c r="DZ84" s="82">
        <f t="shared" si="159"/>
        <v>6.8999999999999999E-3</v>
      </c>
      <c r="EA84" s="82">
        <f t="shared" si="160"/>
        <v>0.4899</v>
      </c>
      <c r="EB84" s="82">
        <f t="shared" si="161"/>
        <v>2.3660999999999999</v>
      </c>
      <c r="EC84" s="82">
        <f t="shared" si="178"/>
        <v>2.3729999999999998</v>
      </c>
      <c r="EF84" s="83">
        <f t="shared" si="107"/>
        <v>-46.666666666666671</v>
      </c>
    </row>
    <row r="85" spans="1:136" ht="15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2"/>
        <v>TVSUS303Cu-H15.87x2.5-H11B14</v>
      </c>
      <c r="H85" s="46" t="str">
        <f t="shared" si="133"/>
        <v>SUS303CuTV15.870HH11</v>
      </c>
      <c r="I85" s="46" t="str">
        <f t="shared" si="134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f>'05.02'!BG85</f>
        <v>0</v>
      </c>
      <c r="U85" s="92"/>
      <c r="V85" s="100">
        <v>27.35</v>
      </c>
      <c r="W85" s="93">
        <f t="shared" si="114"/>
        <v>0</v>
      </c>
      <c r="X85" s="93">
        <f t="shared" si="115"/>
        <v>0</v>
      </c>
      <c r="Y85" s="93">
        <f t="shared" si="116"/>
        <v>0</v>
      </c>
      <c r="Z85" s="93">
        <f t="shared" si="117"/>
        <v>0</v>
      </c>
      <c r="AA85" s="93">
        <f t="shared" si="118"/>
        <v>0</v>
      </c>
      <c r="AB85" s="93">
        <f t="shared" si="119"/>
        <v>0</v>
      </c>
      <c r="AC85" s="93">
        <f t="shared" si="120"/>
        <v>0</v>
      </c>
      <c r="AD85" s="93">
        <f t="shared" si="121"/>
        <v>0</v>
      </c>
      <c r="AE85" s="93">
        <f t="shared" si="136"/>
        <v>0</v>
      </c>
      <c r="AF85" s="54">
        <f>AE85+'05.02'!AF85</f>
        <v>0</v>
      </c>
      <c r="AG85" s="94">
        <f t="shared" si="162"/>
        <v>0</v>
      </c>
      <c r="AH85" s="56">
        <f t="shared" si="137"/>
        <v>0</v>
      </c>
      <c r="AI85" s="93"/>
      <c r="AJ85" s="93">
        <f t="shared" si="163"/>
        <v>0</v>
      </c>
      <c r="AK85" s="95">
        <f t="shared" si="138"/>
        <v>1</v>
      </c>
      <c r="AL85" s="58">
        <f t="shared" si="174"/>
        <v>0</v>
      </c>
      <c r="AM85" s="55">
        <f t="shared" si="164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39"/>
        <v>0</v>
      </c>
      <c r="AV85" s="96">
        <f t="shared" si="139"/>
        <v>0</v>
      </c>
      <c r="AW85" s="96">
        <f t="shared" si="140"/>
        <v>0</v>
      </c>
      <c r="AX85" s="96">
        <f t="shared" si="141"/>
        <v>0</v>
      </c>
      <c r="AY85" s="94">
        <f t="shared" si="165"/>
        <v>0</v>
      </c>
      <c r="AZ85" s="94">
        <f t="shared" si="142"/>
        <v>0</v>
      </c>
      <c r="BA85" s="94">
        <f t="shared" si="171"/>
        <v>0</v>
      </c>
      <c r="BB85" s="97">
        <f t="shared" si="172"/>
        <v>0</v>
      </c>
      <c r="BC85" s="93"/>
      <c r="BD85" s="93">
        <f t="shared" si="143"/>
        <v>0</v>
      </c>
      <c r="BE85" s="95">
        <f t="shared" si="144"/>
        <v>1</v>
      </c>
      <c r="BF85" s="58">
        <f t="shared" si="175"/>
        <v>0</v>
      </c>
      <c r="BG85" s="94">
        <f t="shared" si="145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6"/>
        <v>0</v>
      </c>
      <c r="BP85" s="92">
        <f t="shared" si="166"/>
        <v>0</v>
      </c>
      <c r="BQ85" s="96">
        <f t="shared" si="146"/>
        <v>0</v>
      </c>
      <c r="BR85" s="96">
        <f t="shared" si="147"/>
        <v>0</v>
      </c>
      <c r="BS85" s="96">
        <f t="shared" si="167"/>
        <v>0</v>
      </c>
      <c r="BT85" s="96">
        <f t="shared" si="148"/>
        <v>0</v>
      </c>
      <c r="BU85" s="92">
        <f t="shared" si="122"/>
        <v>0</v>
      </c>
      <c r="BV85" s="98">
        <f t="shared" si="168"/>
        <v>0</v>
      </c>
      <c r="BW85" s="92">
        <f t="shared" si="123"/>
        <v>0</v>
      </c>
      <c r="BX85" s="98">
        <f t="shared" si="149"/>
        <v>0</v>
      </c>
      <c r="BY85" s="61">
        <f t="shared" si="173"/>
        <v>0</v>
      </c>
      <c r="BZ85" s="62">
        <f t="shared" si="150"/>
        <v>0</v>
      </c>
      <c r="CA85" s="98">
        <f t="shared" si="151"/>
        <v>0</v>
      </c>
      <c r="CB85" s="92">
        <f t="shared" si="124"/>
        <v>0</v>
      </c>
      <c r="CC85" s="92">
        <f t="shared" si="124"/>
        <v>0</v>
      </c>
      <c r="CD85" s="92">
        <f t="shared" si="124"/>
        <v>0</v>
      </c>
      <c r="CE85" s="99"/>
      <c r="CF85" s="99"/>
      <c r="CG85" s="51">
        <f t="shared" si="152"/>
        <v>0</v>
      </c>
      <c r="CH85" s="62">
        <f t="shared" si="153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101"/>
        <v>0</v>
      </c>
      <c r="CR85" s="102">
        <f t="shared" si="101"/>
        <v>0</v>
      </c>
      <c r="CS85" s="102">
        <f t="shared" si="101"/>
        <v>0</v>
      </c>
      <c r="CT85" s="92">
        <f t="shared" si="154"/>
        <v>0</v>
      </c>
      <c r="CU85" s="92">
        <f t="shared" si="102"/>
        <v>0</v>
      </c>
      <c r="CV85" s="103">
        <f t="shared" si="102"/>
        <v>0</v>
      </c>
      <c r="CW85" s="104"/>
      <c r="CX85" s="105">
        <v>100</v>
      </c>
      <c r="CY85" s="106">
        <f t="shared" si="155"/>
        <v>414</v>
      </c>
      <c r="CZ85" s="106">
        <f t="shared" si="156"/>
        <v>810</v>
      </c>
      <c r="DA85" s="106"/>
      <c r="DB85" s="106"/>
      <c r="DC85" s="105"/>
      <c r="DD85" s="107"/>
      <c r="DE85" s="92">
        <f t="shared" si="125"/>
        <v>0</v>
      </c>
      <c r="DF85" s="108">
        <f t="shared" si="126"/>
        <v>0</v>
      </c>
      <c r="DG85" s="115">
        <f t="shared" si="127"/>
        <v>0</v>
      </c>
      <c r="DH85" s="110">
        <f t="shared" si="128"/>
        <v>0</v>
      </c>
      <c r="DI85" s="108">
        <f t="shared" si="129"/>
        <v>0</v>
      </c>
      <c r="DJ85" s="112">
        <f t="shared" si="130"/>
        <v>0</v>
      </c>
      <c r="DK85" s="110">
        <f t="shared" si="86"/>
        <v>0</v>
      </c>
      <c r="DL85" s="108">
        <f t="shared" si="86"/>
        <v>0</v>
      </c>
      <c r="DM85" s="111">
        <f t="shared" si="86"/>
        <v>0</v>
      </c>
      <c r="DN85" s="76">
        <f t="shared" si="89"/>
        <v>0</v>
      </c>
      <c r="DO85" s="76">
        <f t="shared" si="89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7"/>
        <v>0</v>
      </c>
      <c r="DX85" s="81">
        <f t="shared" si="131"/>
        <v>0</v>
      </c>
      <c r="DY85" s="80">
        <f t="shared" si="158"/>
        <v>0</v>
      </c>
      <c r="DZ85" s="82">
        <f t="shared" si="159"/>
        <v>0</v>
      </c>
      <c r="EA85" s="82">
        <f t="shared" si="160"/>
        <v>0</v>
      </c>
      <c r="EB85" s="82">
        <f t="shared" si="161"/>
        <v>0</v>
      </c>
      <c r="EC85" s="82">
        <f t="shared" ref="EC85:EC86" si="180">(BX85-CA85)+((AV85+BP85)/1000)</f>
        <v>0</v>
      </c>
      <c r="EF85" s="83">
        <f t="shared" si="107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2"/>
        <v>TVSUS303Cu-24x2.5-H9A15</v>
      </c>
      <c r="H86" s="46" t="str">
        <f t="shared" si="133"/>
        <v>SUS303CuTV240DH9</v>
      </c>
      <c r="I86" s="46" t="str">
        <f t="shared" si="134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5"/>
        <v>16</v>
      </c>
      <c r="T86" s="51">
        <f>'05.02'!BG86</f>
        <v>4</v>
      </c>
      <c r="U86" s="92">
        <v>6</v>
      </c>
      <c r="V86" s="100">
        <v>59.75</v>
      </c>
      <c r="W86" s="93">
        <f t="shared" si="114"/>
        <v>77</v>
      </c>
      <c r="X86" s="93">
        <f t="shared" si="115"/>
        <v>0</v>
      </c>
      <c r="Y86" s="93">
        <f t="shared" si="116"/>
        <v>0</v>
      </c>
      <c r="Z86" s="93">
        <f t="shared" si="117"/>
        <v>0</v>
      </c>
      <c r="AA86" s="93">
        <f t="shared" si="118"/>
        <v>0</v>
      </c>
      <c r="AB86" s="93">
        <f t="shared" si="119"/>
        <v>0</v>
      </c>
      <c r="AC86" s="93">
        <f t="shared" si="120"/>
        <v>0</v>
      </c>
      <c r="AD86" s="93">
        <f t="shared" si="121"/>
        <v>51</v>
      </c>
      <c r="AE86" s="93">
        <f t="shared" si="136"/>
        <v>77</v>
      </c>
      <c r="AF86" s="54">
        <f>AE86+'05.02'!AF86</f>
        <v>845</v>
      </c>
      <c r="AG86" s="94">
        <f t="shared" si="162"/>
        <v>4</v>
      </c>
      <c r="AH86" s="56">
        <f t="shared" si="137"/>
        <v>0</v>
      </c>
      <c r="AI86" s="93">
        <v>1</v>
      </c>
      <c r="AJ86" s="93">
        <f t="shared" si="163"/>
        <v>0</v>
      </c>
      <c r="AK86" s="95">
        <f t="shared" si="138"/>
        <v>1</v>
      </c>
      <c r="AL86" s="58">
        <f t="shared" si="174"/>
        <v>1</v>
      </c>
      <c r="AM86" s="55">
        <f t="shared" si="164"/>
        <v>9</v>
      </c>
      <c r="AN86" s="93"/>
      <c r="AO86" s="96">
        <f>$CJ86</f>
        <v>1852.25</v>
      </c>
      <c r="AP86" s="96"/>
      <c r="AQ86" s="96"/>
      <c r="AR86" s="96"/>
      <c r="AS86" s="96"/>
      <c r="AT86" s="96"/>
      <c r="AU86" s="96">
        <f t="shared" si="139"/>
        <v>0</v>
      </c>
      <c r="AV86" s="96">
        <f t="shared" si="139"/>
        <v>2000</v>
      </c>
      <c r="AW86" s="96">
        <f t="shared" si="140"/>
        <v>3852.25</v>
      </c>
      <c r="AX86" s="96">
        <f t="shared" si="141"/>
        <v>64</v>
      </c>
      <c r="AY86" s="94">
        <f t="shared" si="165"/>
        <v>28.25</v>
      </c>
      <c r="AZ86" s="94">
        <f t="shared" si="142"/>
        <v>0.47280334728033474</v>
      </c>
      <c r="BA86" s="94">
        <f t="shared" si="171"/>
        <v>9</v>
      </c>
      <c r="BB86" s="97">
        <f t="shared" si="172"/>
        <v>0</v>
      </c>
      <c r="BC86" s="93">
        <v>1</v>
      </c>
      <c r="BD86" s="93">
        <f t="shared" si="143"/>
        <v>0</v>
      </c>
      <c r="BE86" s="95">
        <f t="shared" si="144"/>
        <v>1</v>
      </c>
      <c r="BF86" s="58">
        <f t="shared" si="175"/>
        <v>1</v>
      </c>
      <c r="BG86" s="94">
        <f t="shared" si="145"/>
        <v>8</v>
      </c>
      <c r="BH86" s="89"/>
      <c r="BI86" s="92">
        <f>$CN86</f>
        <v>2748.5</v>
      </c>
      <c r="BJ86" s="92"/>
      <c r="BK86" s="89"/>
      <c r="BL86" s="89"/>
      <c r="BM86" s="89"/>
      <c r="BN86" s="89"/>
      <c r="BO86" s="92">
        <f t="shared" si="166"/>
        <v>0</v>
      </c>
      <c r="BP86" s="92">
        <f t="shared" si="166"/>
        <v>1100</v>
      </c>
      <c r="BQ86" s="96">
        <f t="shared" si="146"/>
        <v>3848.5</v>
      </c>
      <c r="BR86" s="96">
        <f t="shared" si="147"/>
        <v>64</v>
      </c>
      <c r="BS86" s="96">
        <f t="shared" si="167"/>
        <v>24.5</v>
      </c>
      <c r="BT86" s="96">
        <f t="shared" si="148"/>
        <v>0.41004184100418412</v>
      </c>
      <c r="BU86" s="92">
        <f t="shared" si="122"/>
        <v>77</v>
      </c>
      <c r="BV86" s="98">
        <f t="shared" si="168"/>
        <v>2</v>
      </c>
      <c r="BW86" s="92">
        <f t="shared" si="123"/>
        <v>0.88284518828451886</v>
      </c>
      <c r="BX86" s="98">
        <f t="shared" si="149"/>
        <v>18.100000000000001</v>
      </c>
      <c r="BY86" s="61">
        <f t="shared" si="173"/>
        <v>2</v>
      </c>
      <c r="BZ86" s="62">
        <f t="shared" si="150"/>
        <v>2</v>
      </c>
      <c r="CA86" s="98">
        <f t="shared" si="151"/>
        <v>7.7007500000000002</v>
      </c>
      <c r="CB86" s="92">
        <f t="shared" si="124"/>
        <v>128</v>
      </c>
      <c r="CC86" s="92">
        <f t="shared" si="124"/>
        <v>52.75</v>
      </c>
      <c r="CD86" s="92">
        <f t="shared" si="124"/>
        <v>0.88284518828451886</v>
      </c>
      <c r="CE86" s="99"/>
      <c r="CF86" s="99"/>
      <c r="CG86" s="51">
        <f t="shared" si="152"/>
        <v>13.499250000000002</v>
      </c>
      <c r="CH86" s="62">
        <f t="shared" si="153"/>
        <v>13.499250000000002</v>
      </c>
      <c r="CI86" s="89"/>
      <c r="CJ86" s="89">
        <f>31*59.75</f>
        <v>1852.25</v>
      </c>
      <c r="CK86" s="89"/>
      <c r="CL86" s="96">
        <v>2000</v>
      </c>
      <c r="CM86" s="89"/>
      <c r="CN86" s="89">
        <f>46*59.75</f>
        <v>2748.5</v>
      </c>
      <c r="CO86" s="92"/>
      <c r="CP86" s="101">
        <v>1100</v>
      </c>
      <c r="CQ86" s="102">
        <f t="shared" si="101"/>
        <v>31</v>
      </c>
      <c r="CR86" s="102">
        <f t="shared" si="101"/>
        <v>0</v>
      </c>
      <c r="CS86" s="102">
        <f t="shared" si="101"/>
        <v>33</v>
      </c>
      <c r="CT86" s="92">
        <f t="shared" si="154"/>
        <v>46</v>
      </c>
      <c r="CU86" s="92">
        <f t="shared" si="102"/>
        <v>0</v>
      </c>
      <c r="CV86" s="103">
        <f t="shared" si="102"/>
        <v>18</v>
      </c>
      <c r="CW86" s="104"/>
      <c r="CX86" s="105">
        <v>80</v>
      </c>
      <c r="CY86" s="106">
        <f t="shared" si="155"/>
        <v>506</v>
      </c>
      <c r="CZ86" s="106">
        <f t="shared" si="156"/>
        <v>648</v>
      </c>
      <c r="DA86" s="106"/>
      <c r="DB86" s="106"/>
      <c r="DC86" s="105"/>
      <c r="DD86" s="107"/>
      <c r="DE86" s="92">
        <f t="shared" si="125"/>
        <v>31</v>
      </c>
      <c r="DF86" s="108">
        <f t="shared" si="126"/>
        <v>1</v>
      </c>
      <c r="DG86" s="115">
        <f t="shared" si="127"/>
        <v>0.47280334728033474</v>
      </c>
      <c r="DH86" s="110">
        <f t="shared" si="128"/>
        <v>46</v>
      </c>
      <c r="DI86" s="108">
        <f t="shared" si="129"/>
        <v>1</v>
      </c>
      <c r="DJ86" s="112">
        <f t="shared" si="130"/>
        <v>0.41004184100418412</v>
      </c>
      <c r="DK86" s="110">
        <f t="shared" si="86"/>
        <v>77</v>
      </c>
      <c r="DL86" s="108">
        <f t="shared" si="86"/>
        <v>2</v>
      </c>
      <c r="DM86" s="111">
        <f t="shared" si="86"/>
        <v>0.88284518828451886</v>
      </c>
      <c r="DN86" s="76">
        <f t="shared" si="89"/>
        <v>4</v>
      </c>
      <c r="DO86" s="76">
        <f t="shared" si="89"/>
        <v>6</v>
      </c>
      <c r="DP86" s="112"/>
      <c r="DQ86" s="112"/>
      <c r="DR86" s="113" t="s">
        <v>472</v>
      </c>
      <c r="DS86" s="112"/>
      <c r="DT86" s="112"/>
      <c r="DU86" s="111"/>
      <c r="DV86" s="114"/>
      <c r="DW86" s="80">
        <f>IFERROR(AL86+BF86,"")</f>
        <v>2</v>
      </c>
      <c r="DX86" s="81">
        <f t="shared" si="131"/>
        <v>79.88284518828452</v>
      </c>
      <c r="DY86" s="80">
        <f t="shared" si="158"/>
        <v>128</v>
      </c>
      <c r="DZ86" s="82">
        <f t="shared" si="159"/>
        <v>3.04725</v>
      </c>
      <c r="EA86" s="82">
        <f t="shared" si="160"/>
        <v>4.6007499999999997</v>
      </c>
      <c r="EB86" s="82">
        <f t="shared" si="161"/>
        <v>13.499250000000002</v>
      </c>
      <c r="EC86" s="82">
        <f t="shared" si="180"/>
        <v>13.499250000000002</v>
      </c>
      <c r="EF86" s="83">
        <f t="shared" si="107"/>
        <v>0.88284518828451886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2"/>
        <v>TVSUS303-7.5x2.5-H9A14</v>
      </c>
      <c r="H87" s="46" t="str">
        <f t="shared" si="133"/>
        <v>SUS303TV7.50DH9</v>
      </c>
      <c r="I87" s="46" t="str">
        <f t="shared" si="134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5"/>
        <v>2</v>
      </c>
      <c r="T87" s="51">
        <f>'05.02'!BG87</f>
        <v>2</v>
      </c>
      <c r="U87" s="92">
        <v>13</v>
      </c>
      <c r="V87" s="100">
        <v>0.7</v>
      </c>
      <c r="W87" s="93">
        <f t="shared" si="114"/>
        <v>0</v>
      </c>
      <c r="X87" s="93">
        <f t="shared" si="115"/>
        <v>0</v>
      </c>
      <c r="Y87" s="93">
        <f t="shared" si="116"/>
        <v>0</v>
      </c>
      <c r="Z87" s="93">
        <f t="shared" si="117"/>
        <v>0</v>
      </c>
      <c r="AA87" s="93">
        <f t="shared" si="118"/>
        <v>0</v>
      </c>
      <c r="AB87" s="93">
        <f t="shared" si="119"/>
        <v>845</v>
      </c>
      <c r="AC87" s="93">
        <f t="shared" si="120"/>
        <v>0</v>
      </c>
      <c r="AD87" s="93">
        <f t="shared" si="121"/>
        <v>0</v>
      </c>
      <c r="AE87" s="93">
        <f t="shared" si="136"/>
        <v>845</v>
      </c>
      <c r="AF87" s="54">
        <f>AE87+'05.02'!AF87</f>
        <v>4788</v>
      </c>
      <c r="AG87" s="94">
        <f t="shared" si="162"/>
        <v>2</v>
      </c>
      <c r="AH87" s="56">
        <f t="shared" si="137"/>
        <v>0</v>
      </c>
      <c r="AI87" s="93">
        <v>2</v>
      </c>
      <c r="AJ87" s="93">
        <f t="shared" si="163"/>
        <v>80</v>
      </c>
      <c r="AK87" s="95">
        <f t="shared" si="138"/>
        <v>0.51020408163265307</v>
      </c>
      <c r="AL87" s="58">
        <f t="shared" si="174"/>
        <v>1.52</v>
      </c>
      <c r="AM87" s="55">
        <f t="shared" si="164"/>
        <v>13.48</v>
      </c>
      <c r="AN87" s="93"/>
      <c r="AO87" s="96"/>
      <c r="AP87" s="96"/>
      <c r="AQ87" s="96"/>
      <c r="AR87" s="96"/>
      <c r="AS87" s="96"/>
      <c r="AT87" s="96">
        <f>$CJ87</f>
        <v>291</v>
      </c>
      <c r="AU87" s="96">
        <f t="shared" si="139"/>
        <v>0</v>
      </c>
      <c r="AV87" s="96">
        <f t="shared" si="139"/>
        <v>0</v>
      </c>
      <c r="AW87" s="96">
        <f t="shared" si="140"/>
        <v>291</v>
      </c>
      <c r="AX87" s="96">
        <f t="shared" si="141"/>
        <v>415</v>
      </c>
      <c r="AY87" s="94">
        <f t="shared" si="165"/>
        <v>52.664000000000016</v>
      </c>
      <c r="AZ87" s="94">
        <f t="shared" si="142"/>
        <v>75.234285714285747</v>
      </c>
      <c r="BA87" s="94">
        <f t="shared" si="171"/>
        <v>13.48</v>
      </c>
      <c r="BB87" s="97">
        <f t="shared" si="172"/>
        <v>0.48</v>
      </c>
      <c r="BC87" s="93">
        <v>2</v>
      </c>
      <c r="BD87" s="93">
        <f t="shared" si="143"/>
        <v>80</v>
      </c>
      <c r="BE87" s="95">
        <f t="shared" si="144"/>
        <v>0.51020408163265307</v>
      </c>
      <c r="BF87" s="58">
        <f t="shared" si="175"/>
        <v>2</v>
      </c>
      <c r="BG87" s="94">
        <f t="shared" si="145"/>
        <v>11.48</v>
      </c>
      <c r="BH87" s="89"/>
      <c r="BI87" s="89"/>
      <c r="BJ87" s="92"/>
      <c r="BK87" s="89"/>
      <c r="BL87" s="89"/>
      <c r="BM87" s="89"/>
      <c r="BN87" s="92">
        <f>$CN87</f>
        <v>301</v>
      </c>
      <c r="BO87" s="92">
        <f t="shared" si="166"/>
        <v>0</v>
      </c>
      <c r="BP87" s="92">
        <f t="shared" si="166"/>
        <v>0</v>
      </c>
      <c r="BQ87" s="96">
        <f t="shared" si="146"/>
        <v>301</v>
      </c>
      <c r="BR87" s="96">
        <f t="shared" si="147"/>
        <v>430</v>
      </c>
      <c r="BS87" s="96">
        <f t="shared" si="167"/>
        <v>-12.599999999999966</v>
      </c>
      <c r="BT87" s="96">
        <f t="shared" si="148"/>
        <v>-17.999999999999954</v>
      </c>
      <c r="BU87" s="92">
        <f t="shared" si="122"/>
        <v>845</v>
      </c>
      <c r="BV87" s="98">
        <f t="shared" si="168"/>
        <v>3.52</v>
      </c>
      <c r="BW87" s="92">
        <f t="shared" si="123"/>
        <v>57.234285714285789</v>
      </c>
      <c r="BX87" s="98">
        <f t="shared" si="149"/>
        <v>1.9500800000000003</v>
      </c>
      <c r="BY87" s="61">
        <f t="shared" si="173"/>
        <v>3.52</v>
      </c>
      <c r="BZ87" s="62">
        <f t="shared" si="150"/>
        <v>3.52</v>
      </c>
      <c r="CA87" s="98">
        <f t="shared" si="151"/>
        <v>0.59199999999999997</v>
      </c>
      <c r="CB87" s="92">
        <f t="shared" si="124"/>
        <v>845</v>
      </c>
      <c r="CC87" s="92">
        <f t="shared" si="124"/>
        <v>40.06400000000005</v>
      </c>
      <c r="CD87" s="92">
        <f t="shared" si="124"/>
        <v>57.234285714285789</v>
      </c>
      <c r="CE87" s="99"/>
      <c r="CF87" s="99"/>
      <c r="CG87" s="51">
        <f t="shared" si="152"/>
        <v>1.3580800000000002</v>
      </c>
      <c r="CH87" s="62">
        <f t="shared" si="153"/>
        <v>1.3580800000000002</v>
      </c>
      <c r="CI87" s="89">
        <v>80</v>
      </c>
      <c r="CJ87" s="89">
        <v>291</v>
      </c>
      <c r="CK87" s="89"/>
      <c r="CL87" s="96"/>
      <c r="CM87" s="89">
        <v>80</v>
      </c>
      <c r="CN87" s="89">
        <v>301</v>
      </c>
      <c r="CO87" s="92"/>
      <c r="CP87" s="101"/>
      <c r="CQ87" s="102">
        <f t="shared" si="101"/>
        <v>415</v>
      </c>
      <c r="CR87" s="102">
        <f t="shared" si="101"/>
        <v>0</v>
      </c>
      <c r="CS87" s="102">
        <f t="shared" si="101"/>
        <v>0</v>
      </c>
      <c r="CT87" s="92">
        <f t="shared" si="154"/>
        <v>430</v>
      </c>
      <c r="CU87" s="92">
        <f t="shared" si="102"/>
        <v>0</v>
      </c>
      <c r="CV87" s="103">
        <f t="shared" si="102"/>
        <v>0</v>
      </c>
      <c r="CW87" s="104"/>
      <c r="CX87" s="105">
        <v>134</v>
      </c>
      <c r="CY87" s="106">
        <f t="shared" si="155"/>
        <v>317</v>
      </c>
      <c r="CZ87" s="106">
        <f t="shared" si="156"/>
        <v>1085.4000000000001</v>
      </c>
      <c r="DA87" s="106"/>
      <c r="DB87" s="106"/>
      <c r="DC87" s="105"/>
      <c r="DD87" s="107"/>
      <c r="DE87" s="92">
        <f t="shared" si="125"/>
        <v>415</v>
      </c>
      <c r="DF87" s="108">
        <f t="shared" si="126"/>
        <v>1.52</v>
      </c>
      <c r="DG87" s="115">
        <f t="shared" si="127"/>
        <v>75.234285714285747</v>
      </c>
      <c r="DH87" s="110">
        <f t="shared" si="128"/>
        <v>430</v>
      </c>
      <c r="DI87" s="108">
        <f t="shared" si="129"/>
        <v>2</v>
      </c>
      <c r="DJ87" s="112">
        <f t="shared" si="130"/>
        <v>-17.999999999999954</v>
      </c>
      <c r="DK87" s="110">
        <f t="shared" si="86"/>
        <v>845</v>
      </c>
      <c r="DL87" s="108">
        <f t="shared" si="86"/>
        <v>3.52</v>
      </c>
      <c r="DM87" s="111">
        <f t="shared" si="86"/>
        <v>57.234285714285789</v>
      </c>
      <c r="DN87" s="76">
        <f t="shared" si="89"/>
        <v>2</v>
      </c>
      <c r="DO87" s="76">
        <f t="shared" si="89"/>
        <v>13</v>
      </c>
      <c r="DP87" s="112"/>
      <c r="DQ87" s="112"/>
      <c r="DR87" s="113" t="s">
        <v>473</v>
      </c>
      <c r="DS87" s="112"/>
      <c r="DT87" s="112"/>
      <c r="DU87" s="111"/>
      <c r="DV87" s="114"/>
      <c r="DW87" s="80">
        <f t="shared" si="157"/>
        <v>848.52</v>
      </c>
      <c r="DX87" s="81">
        <f t="shared" si="131"/>
        <v>905.75428571428574</v>
      </c>
      <c r="DY87" s="80">
        <f t="shared" si="158"/>
        <v>845</v>
      </c>
      <c r="DZ87" s="82">
        <f t="shared" si="159"/>
        <v>0</v>
      </c>
      <c r="EA87" s="82">
        <f t="shared" si="160"/>
        <v>0.59150000000000003</v>
      </c>
      <c r="EB87" s="82">
        <f t="shared" si="161"/>
        <v>1.3585800000000003</v>
      </c>
      <c r="EC87" s="82">
        <f t="shared" si="178"/>
        <v>1.3585800000000003</v>
      </c>
      <c r="EF87" s="83">
        <f t="shared" si="107"/>
        <v>57.234285714285789</v>
      </c>
    </row>
    <row r="88" spans="1:136" ht="15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2"/>
        <v>MESUS303-8x3-H7C14</v>
      </c>
      <c r="H88" s="46" t="str">
        <f t="shared" si="133"/>
        <v>SUS303ME80DH7</v>
      </c>
      <c r="I88" s="46" t="str">
        <f t="shared" si="134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5"/>
        <v>22</v>
      </c>
      <c r="T88" s="51">
        <f>'05.02'!BG88</f>
        <v>0</v>
      </c>
      <c r="U88" s="92"/>
      <c r="V88" s="100">
        <v>15.11</v>
      </c>
      <c r="W88" s="93">
        <f t="shared" si="114"/>
        <v>0</v>
      </c>
      <c r="X88" s="93">
        <f t="shared" si="115"/>
        <v>0</v>
      </c>
      <c r="Y88" s="93">
        <f t="shared" si="116"/>
        <v>0</v>
      </c>
      <c r="Z88" s="93">
        <f t="shared" si="117"/>
        <v>0</v>
      </c>
      <c r="AA88" s="93">
        <f t="shared" si="118"/>
        <v>0</v>
      </c>
      <c r="AB88" s="93">
        <f t="shared" si="119"/>
        <v>0</v>
      </c>
      <c r="AC88" s="93">
        <f t="shared" si="120"/>
        <v>0</v>
      </c>
      <c r="AD88" s="93">
        <f t="shared" si="121"/>
        <v>0</v>
      </c>
      <c r="AE88" s="93">
        <f t="shared" si="136"/>
        <v>0</v>
      </c>
      <c r="AF88" s="54">
        <f>AE88+'05.02'!AF88</f>
        <v>0</v>
      </c>
      <c r="AG88" s="94">
        <f t="shared" si="162"/>
        <v>0</v>
      </c>
      <c r="AH88" s="56">
        <f t="shared" si="137"/>
        <v>0</v>
      </c>
      <c r="AI88" s="93"/>
      <c r="AJ88" s="93">
        <f t="shared" si="163"/>
        <v>0</v>
      </c>
      <c r="AK88" s="95">
        <f t="shared" si="138"/>
        <v>1</v>
      </c>
      <c r="AL88" s="58">
        <f t="shared" si="174"/>
        <v>0</v>
      </c>
      <c r="AM88" s="55">
        <f t="shared" si="164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39"/>
        <v>0</v>
      </c>
      <c r="AV88" s="96">
        <f t="shared" si="139"/>
        <v>0</v>
      </c>
      <c r="AW88" s="96">
        <f t="shared" si="140"/>
        <v>0</v>
      </c>
      <c r="AX88" s="96">
        <f t="shared" si="141"/>
        <v>0</v>
      </c>
      <c r="AY88" s="94">
        <f t="shared" si="165"/>
        <v>0</v>
      </c>
      <c r="AZ88" s="94">
        <f t="shared" si="142"/>
        <v>0</v>
      </c>
      <c r="BA88" s="94">
        <f t="shared" si="171"/>
        <v>0</v>
      </c>
      <c r="BB88" s="97">
        <f t="shared" si="172"/>
        <v>0</v>
      </c>
      <c r="BC88" s="93"/>
      <c r="BD88" s="93">
        <f t="shared" si="143"/>
        <v>0</v>
      </c>
      <c r="BE88" s="95">
        <f t="shared" si="144"/>
        <v>1</v>
      </c>
      <c r="BF88" s="58">
        <f t="shared" si="175"/>
        <v>0</v>
      </c>
      <c r="BG88" s="94">
        <f t="shared" si="145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6"/>
        <v>0</v>
      </c>
      <c r="BP88" s="92">
        <f t="shared" si="166"/>
        <v>0</v>
      </c>
      <c r="BQ88" s="96">
        <f t="shared" si="146"/>
        <v>0</v>
      </c>
      <c r="BR88" s="96">
        <f t="shared" si="147"/>
        <v>0</v>
      </c>
      <c r="BS88" s="96">
        <f t="shared" si="167"/>
        <v>0</v>
      </c>
      <c r="BT88" s="96">
        <f t="shared" si="148"/>
        <v>0</v>
      </c>
      <c r="BU88" s="92">
        <f t="shared" si="122"/>
        <v>0</v>
      </c>
      <c r="BV88" s="98">
        <f t="shared" si="168"/>
        <v>0</v>
      </c>
      <c r="BW88" s="92">
        <f t="shared" si="123"/>
        <v>0</v>
      </c>
      <c r="BX88" s="98">
        <f t="shared" si="149"/>
        <v>0</v>
      </c>
      <c r="BY88" s="61">
        <f t="shared" si="173"/>
        <v>0</v>
      </c>
      <c r="BZ88" s="62">
        <f t="shared" si="150"/>
        <v>0</v>
      </c>
      <c r="CA88" s="98">
        <f t="shared" si="151"/>
        <v>0</v>
      </c>
      <c r="CB88" s="92">
        <f t="shared" si="124"/>
        <v>0</v>
      </c>
      <c r="CC88" s="92">
        <f t="shared" si="124"/>
        <v>0</v>
      </c>
      <c r="CD88" s="92">
        <f t="shared" si="124"/>
        <v>0</v>
      </c>
      <c r="CE88" s="99"/>
      <c r="CF88" s="99"/>
      <c r="CG88" s="51">
        <f t="shared" si="152"/>
        <v>0</v>
      </c>
      <c r="CH88" s="62">
        <f t="shared" si="153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101"/>
        <v>0</v>
      </c>
      <c r="CR88" s="102">
        <f t="shared" si="101"/>
        <v>0</v>
      </c>
      <c r="CS88" s="102">
        <f t="shared" si="101"/>
        <v>0</v>
      </c>
      <c r="CT88" s="92">
        <f t="shared" si="154"/>
        <v>0</v>
      </c>
      <c r="CU88" s="92">
        <f t="shared" si="102"/>
        <v>0</v>
      </c>
      <c r="CV88" s="103">
        <f t="shared" si="102"/>
        <v>0</v>
      </c>
      <c r="CW88" s="104"/>
      <c r="CX88" s="105">
        <v>61</v>
      </c>
      <c r="CY88" s="106">
        <f t="shared" si="155"/>
        <v>649</v>
      </c>
      <c r="CZ88" s="106">
        <f t="shared" si="156"/>
        <v>494.1</v>
      </c>
      <c r="DA88" s="106"/>
      <c r="DB88" s="106"/>
      <c r="DC88" s="105"/>
      <c r="DD88" s="107"/>
      <c r="DE88" s="92">
        <f t="shared" si="125"/>
        <v>0</v>
      </c>
      <c r="DF88" s="108">
        <f t="shared" si="126"/>
        <v>0</v>
      </c>
      <c r="DG88" s="115">
        <f t="shared" si="127"/>
        <v>0</v>
      </c>
      <c r="DH88" s="110">
        <f t="shared" si="128"/>
        <v>0</v>
      </c>
      <c r="DI88" s="108">
        <f t="shared" si="129"/>
        <v>0</v>
      </c>
      <c r="DJ88" s="112">
        <f t="shared" si="130"/>
        <v>0</v>
      </c>
      <c r="DK88" s="110">
        <f t="shared" ref="DK88:DM106" si="181">IFERROR(DE88+DH88,"")</f>
        <v>0</v>
      </c>
      <c r="DL88" s="108">
        <f t="shared" si="181"/>
        <v>0</v>
      </c>
      <c r="DM88" s="111">
        <f t="shared" si="181"/>
        <v>0</v>
      </c>
      <c r="DN88" s="76">
        <f t="shared" si="89"/>
        <v>0</v>
      </c>
      <c r="DO88" s="76">
        <f t="shared" si="89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7"/>
        <v>0</v>
      </c>
      <c r="DX88" s="81">
        <f t="shared" si="131"/>
        <v>0</v>
      </c>
      <c r="DY88" s="80">
        <f t="shared" si="158"/>
        <v>0</v>
      </c>
      <c r="DZ88" s="82">
        <f t="shared" si="159"/>
        <v>0</v>
      </c>
      <c r="EA88" s="82">
        <f t="shared" si="160"/>
        <v>0</v>
      </c>
      <c r="EB88" s="82">
        <f t="shared" si="161"/>
        <v>0</v>
      </c>
      <c r="EC88" s="82">
        <f t="shared" si="178"/>
        <v>0</v>
      </c>
      <c r="EF88" s="83">
        <f t="shared" si="107"/>
        <v>0</v>
      </c>
    </row>
    <row r="89" spans="1:136" ht="15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2"/>
        <v>-xx-</v>
      </c>
      <c r="H89" s="46" t="str">
        <f t="shared" si="133"/>
        <v/>
      </c>
      <c r="I89" s="46" t="str">
        <f t="shared" si="134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5"/>
        <v>#DIV/0!</v>
      </c>
      <c r="T89" s="51">
        <f>'05.02'!BG89</f>
        <v>0</v>
      </c>
      <c r="U89" s="92"/>
      <c r="V89" s="100">
        <v>1</v>
      </c>
      <c r="W89" s="93">
        <f t="shared" si="114"/>
        <v>0</v>
      </c>
      <c r="X89" s="93">
        <f t="shared" si="115"/>
        <v>0</v>
      </c>
      <c r="Y89" s="93">
        <f t="shared" si="116"/>
        <v>0</v>
      </c>
      <c r="Z89" s="93">
        <f t="shared" si="117"/>
        <v>0</v>
      </c>
      <c r="AA89" s="93">
        <f t="shared" si="118"/>
        <v>0</v>
      </c>
      <c r="AB89" s="93">
        <f t="shared" si="119"/>
        <v>0</v>
      </c>
      <c r="AC89" s="93">
        <f t="shared" si="120"/>
        <v>0</v>
      </c>
      <c r="AD89" s="93">
        <f t="shared" si="121"/>
        <v>0</v>
      </c>
      <c r="AE89" s="93">
        <f t="shared" si="136"/>
        <v>0</v>
      </c>
      <c r="AF89" s="54">
        <f>AE89+'05.02'!AF89</f>
        <v>0</v>
      </c>
      <c r="AG89" s="94">
        <f t="shared" si="162"/>
        <v>0</v>
      </c>
      <c r="AH89" s="56">
        <f t="shared" si="137"/>
        <v>0</v>
      </c>
      <c r="AI89" s="93"/>
      <c r="AJ89" s="93">
        <f t="shared" si="163"/>
        <v>0</v>
      </c>
      <c r="AK89" s="95">
        <f t="shared" si="138"/>
        <v>1</v>
      </c>
      <c r="AL89" s="58">
        <f t="shared" si="174"/>
        <v>0</v>
      </c>
      <c r="AM89" s="55">
        <f t="shared" si="164"/>
        <v>0</v>
      </c>
      <c r="AN89" s="93"/>
      <c r="AO89" s="96"/>
      <c r="AP89" s="96"/>
      <c r="AQ89" s="96"/>
      <c r="AR89" s="96"/>
      <c r="AS89" s="96"/>
      <c r="AT89" s="96"/>
      <c r="AU89" s="96">
        <f t="shared" si="139"/>
        <v>0</v>
      </c>
      <c r="AV89" s="96">
        <f t="shared" si="139"/>
        <v>0</v>
      </c>
      <c r="AW89" s="96">
        <f t="shared" si="140"/>
        <v>0</v>
      </c>
      <c r="AX89" s="96">
        <f t="shared" si="141"/>
        <v>0</v>
      </c>
      <c r="AY89" s="94">
        <f t="shared" si="165"/>
        <v>0</v>
      </c>
      <c r="AZ89" s="94">
        <f t="shared" si="142"/>
        <v>0</v>
      </c>
      <c r="BA89" s="94">
        <f t="shared" si="171"/>
        <v>0</v>
      </c>
      <c r="BB89" s="97">
        <f t="shared" si="172"/>
        <v>0</v>
      </c>
      <c r="BC89" s="93"/>
      <c r="BD89" s="93">
        <f t="shared" si="143"/>
        <v>0</v>
      </c>
      <c r="BE89" s="95">
        <f t="shared" si="144"/>
        <v>1</v>
      </c>
      <c r="BF89" s="58">
        <f t="shared" si="175"/>
        <v>0</v>
      </c>
      <c r="BG89" s="94">
        <f t="shared" si="145"/>
        <v>0</v>
      </c>
      <c r="BH89" s="89"/>
      <c r="BI89" s="89"/>
      <c r="BJ89" s="89"/>
      <c r="BK89" s="89"/>
      <c r="BL89" s="89"/>
      <c r="BM89" s="89"/>
      <c r="BN89" s="89"/>
      <c r="BO89" s="92">
        <f t="shared" si="166"/>
        <v>0</v>
      </c>
      <c r="BP89" s="92">
        <f t="shared" si="166"/>
        <v>0</v>
      </c>
      <c r="BQ89" s="96">
        <f t="shared" si="146"/>
        <v>0</v>
      </c>
      <c r="BR89" s="96">
        <f>IF(AA89="","",INT(BQ89/$V89))</f>
        <v>0</v>
      </c>
      <c r="BS89" s="96">
        <f t="shared" si="167"/>
        <v>0</v>
      </c>
      <c r="BT89" s="96">
        <f t="shared" si="148"/>
        <v>0</v>
      </c>
      <c r="BU89" s="92">
        <f t="shared" si="122"/>
        <v>0</v>
      </c>
      <c r="BV89" s="98">
        <f t="shared" si="168"/>
        <v>0</v>
      </c>
      <c r="BW89" s="92">
        <f t="shared" si="123"/>
        <v>0</v>
      </c>
      <c r="BX89" s="98" t="str">
        <f t="shared" si="149"/>
        <v/>
      </c>
      <c r="BY89" s="61">
        <f t="shared" si="173"/>
        <v>0</v>
      </c>
      <c r="BZ89" s="62">
        <f t="shared" si="150"/>
        <v>0</v>
      </c>
      <c r="CA89" s="98">
        <f t="shared" si="151"/>
        <v>0</v>
      </c>
      <c r="CB89" s="92">
        <f t="shared" si="124"/>
        <v>0</v>
      </c>
      <c r="CC89" s="92">
        <f t="shared" si="124"/>
        <v>0</v>
      </c>
      <c r="CD89" s="92">
        <f t="shared" si="124"/>
        <v>0</v>
      </c>
      <c r="CE89" s="99"/>
      <c r="CF89" s="99"/>
      <c r="CG89" s="51">
        <f t="shared" si="152"/>
        <v>0</v>
      </c>
      <c r="CH89" s="62">
        <f t="shared" si="153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101"/>
        <v>0</v>
      </c>
      <c r="CR89" s="102">
        <f t="shared" si="101"/>
        <v>0</v>
      </c>
      <c r="CS89" s="102">
        <f t="shared" si="101"/>
        <v>0</v>
      </c>
      <c r="CT89" s="92">
        <f t="shared" si="154"/>
        <v>0</v>
      </c>
      <c r="CU89" s="92">
        <f t="shared" si="102"/>
        <v>0</v>
      </c>
      <c r="CV89" s="103">
        <f t="shared" si="102"/>
        <v>0</v>
      </c>
      <c r="CW89" s="104"/>
      <c r="CX89" s="105"/>
      <c r="CY89" s="106" t="e">
        <f t="shared" si="155"/>
        <v>#DIV/0!</v>
      </c>
      <c r="CZ89" s="106">
        <f t="shared" si="156"/>
        <v>0</v>
      </c>
      <c r="DA89" s="106"/>
      <c r="DB89" s="106"/>
      <c r="DC89" s="105"/>
      <c r="DD89" s="107"/>
      <c r="DE89" s="92">
        <f t="shared" si="125"/>
        <v>0</v>
      </c>
      <c r="DF89" s="108">
        <f t="shared" si="126"/>
        <v>0</v>
      </c>
      <c r="DG89" s="115">
        <f t="shared" si="127"/>
        <v>0</v>
      </c>
      <c r="DH89" s="110">
        <f t="shared" si="128"/>
        <v>0</v>
      </c>
      <c r="DI89" s="108">
        <f t="shared" si="129"/>
        <v>0</v>
      </c>
      <c r="DJ89" s="112">
        <f t="shared" si="130"/>
        <v>0</v>
      </c>
      <c r="DK89" s="110">
        <f t="shared" si="181"/>
        <v>0</v>
      </c>
      <c r="DL89" s="108">
        <f t="shared" si="181"/>
        <v>0</v>
      </c>
      <c r="DM89" s="111">
        <f t="shared" si="181"/>
        <v>0</v>
      </c>
      <c r="DN89" s="76">
        <f t="shared" si="89"/>
        <v>0</v>
      </c>
      <c r="DO89" s="76">
        <f t="shared" si="89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7"/>
        <v>0</v>
      </c>
      <c r="DX89" s="81">
        <f t="shared" si="131"/>
        <v>0</v>
      </c>
      <c r="DY89" s="80">
        <f t="shared" si="158"/>
        <v>0</v>
      </c>
      <c r="DZ89" s="82">
        <f t="shared" si="159"/>
        <v>0</v>
      </c>
      <c r="EA89" s="82">
        <f t="shared" si="160"/>
        <v>0</v>
      </c>
      <c r="EB89" s="82" t="e">
        <f t="shared" si="161"/>
        <v>#VALUE!</v>
      </c>
      <c r="EC89" s="82" t="e">
        <f t="shared" si="178"/>
        <v>#VALUE!</v>
      </c>
    </row>
    <row r="90" spans="1:136" ht="15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2"/>
        <v>-xx-</v>
      </c>
      <c r="H90" s="46" t="str">
        <f t="shared" si="133"/>
        <v/>
      </c>
      <c r="I90" s="46" t="str">
        <f t="shared" si="134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5"/>
        <v>#DIV/0!</v>
      </c>
      <c r="T90" s="51">
        <f>'05.02'!BG90</f>
        <v>0</v>
      </c>
      <c r="U90" s="92"/>
      <c r="V90" s="100">
        <v>1</v>
      </c>
      <c r="W90" s="93">
        <f t="shared" si="114"/>
        <v>0</v>
      </c>
      <c r="X90" s="93">
        <f t="shared" si="115"/>
        <v>0</v>
      </c>
      <c r="Y90" s="93">
        <f t="shared" si="116"/>
        <v>0</v>
      </c>
      <c r="Z90" s="93">
        <f t="shared" si="117"/>
        <v>0</v>
      </c>
      <c r="AA90" s="93">
        <f t="shared" si="118"/>
        <v>0</v>
      </c>
      <c r="AB90" s="93">
        <f t="shared" si="119"/>
        <v>0</v>
      </c>
      <c r="AC90" s="93">
        <f t="shared" si="120"/>
        <v>0</v>
      </c>
      <c r="AD90" s="93">
        <f t="shared" si="121"/>
        <v>0</v>
      </c>
      <c r="AE90" s="93">
        <f t="shared" si="136"/>
        <v>0</v>
      </c>
      <c r="AF90" s="54">
        <f>AE90+'05.02'!AF90</f>
        <v>0</v>
      </c>
      <c r="AG90" s="94">
        <f t="shared" si="162"/>
        <v>0</v>
      </c>
      <c r="AH90" s="56">
        <f t="shared" si="137"/>
        <v>0</v>
      </c>
      <c r="AI90" s="93"/>
      <c r="AJ90" s="93">
        <f t="shared" si="163"/>
        <v>0</v>
      </c>
      <c r="AK90" s="95">
        <f t="shared" si="138"/>
        <v>1</v>
      </c>
      <c r="AL90" s="58">
        <f t="shared" si="174"/>
        <v>0</v>
      </c>
      <c r="AM90" s="55">
        <f t="shared" si="164"/>
        <v>0</v>
      </c>
      <c r="AN90" s="93"/>
      <c r="AO90" s="96"/>
      <c r="AP90" s="96"/>
      <c r="AQ90" s="96"/>
      <c r="AR90" s="96"/>
      <c r="AS90" s="96"/>
      <c r="AT90" s="96"/>
      <c r="AU90" s="96">
        <f t="shared" si="139"/>
        <v>0</v>
      </c>
      <c r="AV90" s="96">
        <f t="shared" si="139"/>
        <v>0</v>
      </c>
      <c r="AW90" s="96">
        <f t="shared" si="140"/>
        <v>0</v>
      </c>
      <c r="AX90" s="96">
        <f t="shared" si="141"/>
        <v>0</v>
      </c>
      <c r="AY90" s="94">
        <f t="shared" si="165"/>
        <v>0</v>
      </c>
      <c r="AZ90" s="94">
        <f t="shared" si="142"/>
        <v>0</v>
      </c>
      <c r="BA90" s="94">
        <f t="shared" si="171"/>
        <v>0</v>
      </c>
      <c r="BB90" s="97">
        <f t="shared" si="172"/>
        <v>0</v>
      </c>
      <c r="BC90" s="93"/>
      <c r="BD90" s="93">
        <f t="shared" si="143"/>
        <v>0</v>
      </c>
      <c r="BE90" s="95">
        <f t="shared" si="144"/>
        <v>1</v>
      </c>
      <c r="BF90" s="58">
        <f t="shared" si="175"/>
        <v>0</v>
      </c>
      <c r="BG90" s="94">
        <f t="shared" si="145"/>
        <v>0</v>
      </c>
      <c r="BH90" s="89"/>
      <c r="BI90" s="89"/>
      <c r="BJ90" s="89"/>
      <c r="BK90" s="89"/>
      <c r="BL90" s="89"/>
      <c r="BM90" s="89"/>
      <c r="BN90" s="89"/>
      <c r="BO90" s="92">
        <f t="shared" si="166"/>
        <v>0</v>
      </c>
      <c r="BP90" s="92">
        <f t="shared" si="166"/>
        <v>0</v>
      </c>
      <c r="BQ90" s="96">
        <f t="shared" si="146"/>
        <v>0</v>
      </c>
      <c r="BR90" s="96">
        <f t="shared" si="147"/>
        <v>0</v>
      </c>
      <c r="BS90" s="96">
        <f t="shared" si="167"/>
        <v>0</v>
      </c>
      <c r="BT90" s="96">
        <f t="shared" si="148"/>
        <v>0</v>
      </c>
      <c r="BU90" s="92">
        <f t="shared" si="122"/>
        <v>0</v>
      </c>
      <c r="BV90" s="98">
        <f t="shared" si="168"/>
        <v>0</v>
      </c>
      <c r="BW90" s="92">
        <f t="shared" si="123"/>
        <v>0</v>
      </c>
      <c r="BX90" s="98" t="str">
        <f t="shared" si="149"/>
        <v/>
      </c>
      <c r="BY90" s="61">
        <f t="shared" si="173"/>
        <v>0</v>
      </c>
      <c r="BZ90" s="62">
        <f t="shared" si="150"/>
        <v>0</v>
      </c>
      <c r="CA90" s="98">
        <f t="shared" si="151"/>
        <v>0</v>
      </c>
      <c r="CB90" s="92">
        <f t="shared" si="124"/>
        <v>0</v>
      </c>
      <c r="CC90" s="92">
        <f t="shared" si="124"/>
        <v>0</v>
      </c>
      <c r="CD90" s="92">
        <f t="shared" si="124"/>
        <v>0</v>
      </c>
      <c r="CE90" s="99"/>
      <c r="CF90" s="99"/>
      <c r="CG90" s="51">
        <f t="shared" si="152"/>
        <v>0</v>
      </c>
      <c r="CH90" s="62">
        <f t="shared" si="153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101"/>
        <v>0</v>
      </c>
      <c r="CR90" s="102">
        <f t="shared" si="101"/>
        <v>0</v>
      </c>
      <c r="CS90" s="102">
        <f t="shared" si="101"/>
        <v>0</v>
      </c>
      <c r="CT90" s="92">
        <f t="shared" si="154"/>
        <v>0</v>
      </c>
      <c r="CU90" s="92">
        <f t="shared" si="102"/>
        <v>0</v>
      </c>
      <c r="CV90" s="103">
        <f t="shared" si="102"/>
        <v>0</v>
      </c>
      <c r="CW90" s="104"/>
      <c r="CX90" s="105"/>
      <c r="CY90" s="106" t="e">
        <f t="shared" si="155"/>
        <v>#DIV/0!</v>
      </c>
      <c r="CZ90" s="106">
        <f t="shared" si="156"/>
        <v>0</v>
      </c>
      <c r="DA90" s="106"/>
      <c r="DB90" s="106"/>
      <c r="DC90" s="105"/>
      <c r="DD90" s="107"/>
      <c r="DE90" s="92">
        <f t="shared" si="125"/>
        <v>0</v>
      </c>
      <c r="DF90" s="108">
        <f t="shared" si="126"/>
        <v>0</v>
      </c>
      <c r="DG90" s="115">
        <f t="shared" si="127"/>
        <v>0</v>
      </c>
      <c r="DH90" s="110">
        <f t="shared" si="128"/>
        <v>0</v>
      </c>
      <c r="DI90" s="108">
        <f t="shared" si="129"/>
        <v>0</v>
      </c>
      <c r="DJ90" s="112">
        <f t="shared" si="130"/>
        <v>0</v>
      </c>
      <c r="DK90" s="110">
        <f t="shared" si="181"/>
        <v>0</v>
      </c>
      <c r="DL90" s="108">
        <f t="shared" si="181"/>
        <v>0</v>
      </c>
      <c r="DM90" s="111">
        <f t="shared" si="181"/>
        <v>0</v>
      </c>
      <c r="DN90" s="76">
        <f t="shared" ref="DN90:DO106" si="182">T90</f>
        <v>0</v>
      </c>
      <c r="DO90" s="76">
        <f t="shared" si="182"/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7"/>
        <v>0</v>
      </c>
      <c r="DX90" s="81">
        <f t="shared" si="131"/>
        <v>0</v>
      </c>
      <c r="DY90" s="80">
        <f t="shared" si="158"/>
        <v>0</v>
      </c>
      <c r="DZ90" s="82">
        <f t="shared" si="159"/>
        <v>0</v>
      </c>
      <c r="EA90" s="82">
        <f t="shared" si="160"/>
        <v>0</v>
      </c>
      <c r="EB90" s="82" t="e">
        <f t="shared" si="161"/>
        <v>#VALUE!</v>
      </c>
      <c r="EC90" s="82" t="e">
        <f t="shared" si="178"/>
        <v>#VALUE!</v>
      </c>
    </row>
    <row r="91" spans="1:136" ht="15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2"/>
        <v>GWA6063-T5-17x3-H9I14</v>
      </c>
      <c r="H91" s="46" t="str">
        <f t="shared" si="133"/>
        <v>A6063-T5GW170DH9</v>
      </c>
      <c r="I91" s="46" t="str">
        <f t="shared" si="134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5"/>
        <v>8</v>
      </c>
      <c r="T91" s="51">
        <f>'05.02'!BG91</f>
        <v>0</v>
      </c>
      <c r="U91" s="92"/>
      <c r="V91" s="100">
        <v>5.133</v>
      </c>
      <c r="W91" s="93">
        <f t="shared" si="114"/>
        <v>0</v>
      </c>
      <c r="X91" s="93">
        <f t="shared" si="115"/>
        <v>0</v>
      </c>
      <c r="Y91" s="93">
        <f t="shared" si="116"/>
        <v>0</v>
      </c>
      <c r="Z91" s="93">
        <f t="shared" si="117"/>
        <v>0</v>
      </c>
      <c r="AA91" s="93">
        <f t="shared" si="118"/>
        <v>0</v>
      </c>
      <c r="AB91" s="93">
        <f t="shared" si="119"/>
        <v>0</v>
      </c>
      <c r="AC91" s="93">
        <f t="shared" si="120"/>
        <v>0</v>
      </c>
      <c r="AD91" s="93">
        <f t="shared" si="121"/>
        <v>0</v>
      </c>
      <c r="AE91" s="93">
        <f t="shared" si="136"/>
        <v>0</v>
      </c>
      <c r="AF91" s="54">
        <f>AE91+'05.02'!AF91</f>
        <v>0</v>
      </c>
      <c r="AG91" s="94">
        <f t="shared" si="162"/>
        <v>0</v>
      </c>
      <c r="AH91" s="56">
        <f t="shared" si="137"/>
        <v>0</v>
      </c>
      <c r="AI91" s="93"/>
      <c r="AJ91" s="93">
        <f t="shared" si="163"/>
        <v>0</v>
      </c>
      <c r="AK91" s="95">
        <f t="shared" si="138"/>
        <v>1</v>
      </c>
      <c r="AL91" s="58">
        <f t="shared" si="174"/>
        <v>0</v>
      </c>
      <c r="AM91" s="55">
        <f t="shared" si="164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39"/>
        <v>0</v>
      </c>
      <c r="AV91" s="96">
        <f t="shared" si="139"/>
        <v>0</v>
      </c>
      <c r="AW91" s="96">
        <f t="shared" si="140"/>
        <v>0</v>
      </c>
      <c r="AX91" s="96">
        <f t="shared" si="141"/>
        <v>0</v>
      </c>
      <c r="AY91" s="94">
        <f t="shared" si="165"/>
        <v>0</v>
      </c>
      <c r="AZ91" s="94">
        <f t="shared" si="142"/>
        <v>0</v>
      </c>
      <c r="BA91" s="94">
        <f t="shared" si="171"/>
        <v>0</v>
      </c>
      <c r="BB91" s="97">
        <f t="shared" si="172"/>
        <v>0</v>
      </c>
      <c r="BC91" s="93"/>
      <c r="BD91" s="93">
        <f t="shared" si="143"/>
        <v>0</v>
      </c>
      <c r="BE91" s="95">
        <f t="shared" si="144"/>
        <v>1</v>
      </c>
      <c r="BF91" s="58">
        <f t="shared" si="175"/>
        <v>0</v>
      </c>
      <c r="BG91" s="94">
        <f t="shared" si="145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6"/>
        <v>0</v>
      </c>
      <c r="BP91" s="92">
        <f t="shared" si="166"/>
        <v>0</v>
      </c>
      <c r="BQ91" s="96">
        <f t="shared" si="146"/>
        <v>0</v>
      </c>
      <c r="BR91" s="96">
        <f t="shared" si="147"/>
        <v>0</v>
      </c>
      <c r="BS91" s="96">
        <f t="shared" si="167"/>
        <v>0</v>
      </c>
      <c r="BT91" s="96">
        <f t="shared" si="148"/>
        <v>0</v>
      </c>
      <c r="BU91" s="92">
        <f t="shared" si="122"/>
        <v>0</v>
      </c>
      <c r="BV91" s="98">
        <f t="shared" si="168"/>
        <v>0</v>
      </c>
      <c r="BW91" s="92">
        <f t="shared" si="123"/>
        <v>0</v>
      </c>
      <c r="BX91" s="98">
        <f t="shared" si="149"/>
        <v>0</v>
      </c>
      <c r="BY91" s="61">
        <f t="shared" si="173"/>
        <v>0</v>
      </c>
      <c r="BZ91" s="62">
        <f t="shared" si="150"/>
        <v>0</v>
      </c>
      <c r="CA91" s="98">
        <f t="shared" si="151"/>
        <v>0</v>
      </c>
      <c r="CB91" s="92">
        <f t="shared" si="124"/>
        <v>0</v>
      </c>
      <c r="CC91" s="92">
        <f t="shared" si="124"/>
        <v>0</v>
      </c>
      <c r="CD91" s="92">
        <f t="shared" si="124"/>
        <v>0</v>
      </c>
      <c r="CE91" s="99"/>
      <c r="CF91" s="99"/>
      <c r="CG91" s="51">
        <f t="shared" si="152"/>
        <v>0</v>
      </c>
      <c r="CH91" s="62">
        <f t="shared" si="153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101"/>
        <v>0</v>
      </c>
      <c r="CR91" s="102">
        <f t="shared" si="101"/>
        <v>0</v>
      </c>
      <c r="CS91" s="102">
        <f t="shared" si="101"/>
        <v>0</v>
      </c>
      <c r="CT91" s="92">
        <f t="shared" si="154"/>
        <v>0</v>
      </c>
      <c r="CU91" s="92">
        <f t="shared" si="102"/>
        <v>0</v>
      </c>
      <c r="CV91" s="103">
        <f t="shared" si="102"/>
        <v>0</v>
      </c>
      <c r="CW91" s="104"/>
      <c r="CX91" s="105">
        <v>56</v>
      </c>
      <c r="CY91" s="106">
        <f t="shared" si="155"/>
        <v>744</v>
      </c>
      <c r="CZ91" s="106">
        <f t="shared" si="156"/>
        <v>453.6</v>
      </c>
      <c r="DA91" s="106"/>
      <c r="DB91" s="106"/>
      <c r="DC91" s="105"/>
      <c r="DD91" s="107"/>
      <c r="DE91" s="92">
        <f t="shared" si="125"/>
        <v>0</v>
      </c>
      <c r="DF91" s="108">
        <f t="shared" si="126"/>
        <v>0</v>
      </c>
      <c r="DG91" s="115">
        <f t="shared" si="127"/>
        <v>0</v>
      </c>
      <c r="DH91" s="110">
        <f t="shared" si="128"/>
        <v>0</v>
      </c>
      <c r="DI91" s="108">
        <f t="shared" si="129"/>
        <v>0</v>
      </c>
      <c r="DJ91" s="112">
        <f t="shared" si="130"/>
        <v>0</v>
      </c>
      <c r="DK91" s="110">
        <f t="shared" si="181"/>
        <v>0</v>
      </c>
      <c r="DL91" s="108">
        <f t="shared" si="181"/>
        <v>0</v>
      </c>
      <c r="DM91" s="111">
        <f t="shared" si="181"/>
        <v>0</v>
      </c>
      <c r="DN91" s="76">
        <f t="shared" si="182"/>
        <v>0</v>
      </c>
      <c r="DO91" s="76">
        <f t="shared" si="182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7"/>
        <v>0</v>
      </c>
      <c r="DX91" s="81">
        <f t="shared" si="131"/>
        <v>0</v>
      </c>
      <c r="DY91" s="80">
        <f t="shared" si="158"/>
        <v>0</v>
      </c>
      <c r="DZ91" s="82">
        <f t="shared" si="159"/>
        <v>0</v>
      </c>
      <c r="EA91" s="82">
        <f t="shared" si="160"/>
        <v>0</v>
      </c>
      <c r="EB91" s="82">
        <f t="shared" si="161"/>
        <v>0</v>
      </c>
      <c r="EC91" s="82">
        <f t="shared" si="178"/>
        <v>0</v>
      </c>
      <c r="EF91" s="83">
        <f t="shared" ref="EF91:EF101" si="183">DG91+DJ91</f>
        <v>0</v>
      </c>
    </row>
    <row r="92" spans="1:136" ht="15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2"/>
        <v>TVSUS303Cu-H15.87x2.5-H11B14</v>
      </c>
      <c r="H92" s="46" t="str">
        <f t="shared" si="133"/>
        <v>SUS303CuTV15.870HH11</v>
      </c>
      <c r="I92" s="46" t="str">
        <f t="shared" si="134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5"/>
        <v>18</v>
      </c>
      <c r="T92" s="51">
        <f>'05.02'!BG92</f>
        <v>0</v>
      </c>
      <c r="U92" s="92"/>
      <c r="V92" s="100">
        <v>27.35</v>
      </c>
      <c r="W92" s="93">
        <f t="shared" si="114"/>
        <v>0</v>
      </c>
      <c r="X92" s="93">
        <f t="shared" si="115"/>
        <v>0</v>
      </c>
      <c r="Y92" s="93">
        <f t="shared" si="116"/>
        <v>0</v>
      </c>
      <c r="Z92" s="93">
        <f t="shared" si="117"/>
        <v>0</v>
      </c>
      <c r="AA92" s="93">
        <f t="shared" si="118"/>
        <v>0</v>
      </c>
      <c r="AB92" s="93">
        <f t="shared" si="119"/>
        <v>0</v>
      </c>
      <c r="AC92" s="93">
        <f t="shared" si="120"/>
        <v>0</v>
      </c>
      <c r="AD92" s="93">
        <f t="shared" si="121"/>
        <v>0</v>
      </c>
      <c r="AE92" s="93">
        <f t="shared" si="136"/>
        <v>0</v>
      </c>
      <c r="AF92" s="54">
        <f>AE92+'05.02'!AF92</f>
        <v>0</v>
      </c>
      <c r="AG92" s="94">
        <f t="shared" si="162"/>
        <v>0</v>
      </c>
      <c r="AH92" s="56">
        <f t="shared" si="137"/>
        <v>0</v>
      </c>
      <c r="AI92" s="93"/>
      <c r="AJ92" s="93">
        <f t="shared" si="163"/>
        <v>0</v>
      </c>
      <c r="AK92" s="95">
        <f t="shared" si="138"/>
        <v>1</v>
      </c>
      <c r="AL92" s="58">
        <f t="shared" si="174"/>
        <v>0</v>
      </c>
      <c r="AM92" s="55">
        <f t="shared" si="164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39"/>
        <v>0</v>
      </c>
      <c r="AV92" s="96">
        <f t="shared" si="139"/>
        <v>0</v>
      </c>
      <c r="AW92" s="96">
        <f t="shared" si="140"/>
        <v>0</v>
      </c>
      <c r="AX92" s="96">
        <f t="shared" si="141"/>
        <v>0</v>
      </c>
      <c r="AY92" s="94">
        <f t="shared" si="165"/>
        <v>0</v>
      </c>
      <c r="AZ92" s="94">
        <f t="shared" si="142"/>
        <v>0</v>
      </c>
      <c r="BA92" s="94">
        <f t="shared" si="171"/>
        <v>0</v>
      </c>
      <c r="BB92" s="97">
        <f t="shared" si="172"/>
        <v>0</v>
      </c>
      <c r="BC92" s="93"/>
      <c r="BD92" s="93">
        <f t="shared" si="143"/>
        <v>0</v>
      </c>
      <c r="BE92" s="95">
        <f t="shared" si="144"/>
        <v>1</v>
      </c>
      <c r="BF92" s="58">
        <f t="shared" si="175"/>
        <v>0</v>
      </c>
      <c r="BG92" s="94">
        <f t="shared" si="145"/>
        <v>0</v>
      </c>
      <c r="BH92" s="89"/>
      <c r="BI92" s="92">
        <f t="shared" ref="BI92:BJ97" si="184">$CN92</f>
        <v>0</v>
      </c>
      <c r="BJ92" s="92"/>
      <c r="BK92" s="89"/>
      <c r="BL92" s="89"/>
      <c r="BM92" s="89"/>
      <c r="BN92" s="92"/>
      <c r="BO92" s="92">
        <f t="shared" si="166"/>
        <v>0</v>
      </c>
      <c r="BP92" s="92">
        <f t="shared" si="166"/>
        <v>0</v>
      </c>
      <c r="BQ92" s="96">
        <f t="shared" si="146"/>
        <v>0</v>
      </c>
      <c r="BR92" s="96">
        <f t="shared" si="147"/>
        <v>0</v>
      </c>
      <c r="BS92" s="96">
        <f t="shared" si="167"/>
        <v>0</v>
      </c>
      <c r="BT92" s="96">
        <f t="shared" si="148"/>
        <v>0</v>
      </c>
      <c r="BU92" s="92">
        <f t="shared" si="122"/>
        <v>0</v>
      </c>
      <c r="BV92" s="98">
        <f t="shared" si="168"/>
        <v>0</v>
      </c>
      <c r="BW92" s="92">
        <f t="shared" si="123"/>
        <v>0</v>
      </c>
      <c r="BX92" s="98">
        <f t="shared" si="149"/>
        <v>0</v>
      </c>
      <c r="BY92" s="61">
        <f t="shared" si="173"/>
        <v>0</v>
      </c>
      <c r="BZ92" s="62">
        <f t="shared" si="150"/>
        <v>0</v>
      </c>
      <c r="CA92" s="98">
        <f t="shared" si="151"/>
        <v>0</v>
      </c>
      <c r="CB92" s="92">
        <f t="shared" si="124"/>
        <v>0</v>
      </c>
      <c r="CC92" s="92">
        <f t="shared" si="124"/>
        <v>0</v>
      </c>
      <c r="CD92" s="92">
        <f t="shared" si="124"/>
        <v>0</v>
      </c>
      <c r="CE92" s="99"/>
      <c r="CF92" s="99"/>
      <c r="CG92" s="51">
        <f t="shared" si="152"/>
        <v>0</v>
      </c>
      <c r="CH92" s="62">
        <f t="shared" si="153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101"/>
        <v>0</v>
      </c>
      <c r="CR92" s="102">
        <f t="shared" si="101"/>
        <v>0</v>
      </c>
      <c r="CS92" s="102">
        <f t="shared" si="101"/>
        <v>0</v>
      </c>
      <c r="CT92" s="92">
        <f t="shared" si="154"/>
        <v>0</v>
      </c>
      <c r="CU92" s="92">
        <f t="shared" si="102"/>
        <v>0</v>
      </c>
      <c r="CV92" s="103">
        <f t="shared" si="102"/>
        <v>0</v>
      </c>
      <c r="CW92" s="104"/>
      <c r="CX92" s="105">
        <v>60</v>
      </c>
      <c r="CY92" s="106">
        <f t="shared" si="155"/>
        <v>670</v>
      </c>
      <c r="CZ92" s="106">
        <f t="shared" si="156"/>
        <v>486.00000000000006</v>
      </c>
      <c r="DA92" s="106"/>
      <c r="DB92" s="106"/>
      <c r="DC92" s="105"/>
      <c r="DD92" s="107"/>
      <c r="DE92" s="92">
        <f t="shared" si="125"/>
        <v>0</v>
      </c>
      <c r="DF92" s="108">
        <f t="shared" si="126"/>
        <v>0</v>
      </c>
      <c r="DG92" s="115">
        <f t="shared" si="127"/>
        <v>0</v>
      </c>
      <c r="DH92" s="110">
        <f t="shared" si="128"/>
        <v>0</v>
      </c>
      <c r="DI92" s="108">
        <f t="shared" si="129"/>
        <v>0</v>
      </c>
      <c r="DJ92" s="112">
        <f t="shared" si="130"/>
        <v>0</v>
      </c>
      <c r="DK92" s="110">
        <f t="shared" si="181"/>
        <v>0</v>
      </c>
      <c r="DL92" s="108">
        <f t="shared" si="181"/>
        <v>0</v>
      </c>
      <c r="DM92" s="111">
        <f t="shared" si="181"/>
        <v>0</v>
      </c>
      <c r="DN92" s="76">
        <f t="shared" si="182"/>
        <v>0</v>
      </c>
      <c r="DO92" s="76">
        <f t="shared" si="182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7"/>
        <v>0</v>
      </c>
      <c r="DX92" s="81">
        <f t="shared" si="131"/>
        <v>0</v>
      </c>
      <c r="DY92" s="80">
        <f t="shared" si="158"/>
        <v>0</v>
      </c>
      <c r="DZ92" s="82">
        <f t="shared" si="159"/>
        <v>0</v>
      </c>
      <c r="EA92" s="82">
        <f t="shared" si="160"/>
        <v>0</v>
      </c>
      <c r="EB92" s="82">
        <f t="shared" si="161"/>
        <v>0</v>
      </c>
      <c r="EC92" s="82">
        <f t="shared" si="178"/>
        <v>0</v>
      </c>
      <c r="EF92" s="83">
        <f t="shared" si="183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2"/>
        <v>GWA6061-T6-16x3-H9A15</v>
      </c>
      <c r="H93" s="46" t="str">
        <f t="shared" si="133"/>
        <v>A6061-T6GW160DH9</v>
      </c>
      <c r="I93" s="46" t="str">
        <f t="shared" si="134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5"/>
        <v>22</v>
      </c>
      <c r="T93" s="51">
        <f>'05.02'!BG93</f>
        <v>15</v>
      </c>
      <c r="U93" s="92">
        <v>40</v>
      </c>
      <c r="V93" s="100">
        <v>14.1</v>
      </c>
      <c r="W93" s="93">
        <f t="shared" si="114"/>
        <v>654</v>
      </c>
      <c r="X93" s="93">
        <f t="shared" si="115"/>
        <v>0</v>
      </c>
      <c r="Y93" s="93">
        <f t="shared" si="116"/>
        <v>0</v>
      </c>
      <c r="Z93" s="93">
        <f t="shared" si="117"/>
        <v>0</v>
      </c>
      <c r="AA93" s="93">
        <f t="shared" si="118"/>
        <v>0</v>
      </c>
      <c r="AB93" s="93">
        <f t="shared" si="119"/>
        <v>0</v>
      </c>
      <c r="AC93" s="93">
        <f t="shared" si="120"/>
        <v>0</v>
      </c>
      <c r="AD93" s="93">
        <f t="shared" si="121"/>
        <v>0</v>
      </c>
      <c r="AE93" s="93">
        <f t="shared" si="136"/>
        <v>654</v>
      </c>
      <c r="AF93" s="54">
        <f>AE93+'05.02'!AF93</f>
        <v>2078</v>
      </c>
      <c r="AG93" s="94">
        <f t="shared" si="162"/>
        <v>15</v>
      </c>
      <c r="AH93" s="56">
        <f t="shared" si="137"/>
        <v>0</v>
      </c>
      <c r="AI93" s="93">
        <v>10</v>
      </c>
      <c r="AJ93" s="93">
        <f t="shared" si="163"/>
        <v>0</v>
      </c>
      <c r="AK93" s="95">
        <f t="shared" si="138"/>
        <v>1</v>
      </c>
      <c r="AL93" s="58">
        <f t="shared" si="174"/>
        <v>10</v>
      </c>
      <c r="AM93" s="55">
        <f t="shared" si="164"/>
        <v>45</v>
      </c>
      <c r="AN93" s="93"/>
      <c r="AO93" s="96">
        <f>$CJ93</f>
        <v>4624.8</v>
      </c>
      <c r="AP93" s="96"/>
      <c r="AQ93" s="96"/>
      <c r="AR93" s="96"/>
      <c r="AS93" s="96"/>
      <c r="AT93" s="96"/>
      <c r="AU93" s="96">
        <f t="shared" si="139"/>
        <v>0</v>
      </c>
      <c r="AV93" s="96">
        <f t="shared" si="139"/>
        <v>0</v>
      </c>
      <c r="AW93" s="96">
        <f t="shared" si="140"/>
        <v>4624.8</v>
      </c>
      <c r="AX93" s="96">
        <f t="shared" si="141"/>
        <v>328</v>
      </c>
      <c r="AY93" s="94">
        <f t="shared" si="165"/>
        <v>-28.199999999999818</v>
      </c>
      <c r="AZ93" s="94">
        <f t="shared" si="142"/>
        <v>-1.9999999999999871</v>
      </c>
      <c r="BA93" s="94">
        <f t="shared" si="171"/>
        <v>45</v>
      </c>
      <c r="BB93" s="97">
        <f t="shared" si="172"/>
        <v>0</v>
      </c>
      <c r="BC93" s="93">
        <v>10</v>
      </c>
      <c r="BD93" s="93">
        <f t="shared" si="143"/>
        <v>0</v>
      </c>
      <c r="BE93" s="95">
        <f t="shared" si="144"/>
        <v>1</v>
      </c>
      <c r="BF93" s="58">
        <f t="shared" si="175"/>
        <v>10</v>
      </c>
      <c r="BG93" s="94">
        <f t="shared" si="145"/>
        <v>35</v>
      </c>
      <c r="BH93" s="89"/>
      <c r="BI93" s="92">
        <f t="shared" si="184"/>
        <v>4596.5999999999995</v>
      </c>
      <c r="BJ93" s="92"/>
      <c r="BK93" s="89"/>
      <c r="BL93" s="89"/>
      <c r="BM93" s="89"/>
      <c r="BN93" s="89"/>
      <c r="BO93" s="92">
        <f t="shared" si="166"/>
        <v>0</v>
      </c>
      <c r="BP93" s="92">
        <f t="shared" si="166"/>
        <v>0</v>
      </c>
      <c r="BQ93" s="96">
        <f t="shared" si="146"/>
        <v>4596.5999999999995</v>
      </c>
      <c r="BR93" s="96">
        <f t="shared" si="147"/>
        <v>326</v>
      </c>
      <c r="BS93" s="96">
        <f t="shared" si="167"/>
        <v>-56.400000000000546</v>
      </c>
      <c r="BT93" s="96">
        <f t="shared" si="148"/>
        <v>-4.0000000000000391</v>
      </c>
      <c r="BU93" s="92">
        <f t="shared" si="122"/>
        <v>654</v>
      </c>
      <c r="BV93" s="98">
        <f t="shared" si="168"/>
        <v>20</v>
      </c>
      <c r="BW93" s="92">
        <f t="shared" si="123"/>
        <v>-6.0000000000000266</v>
      </c>
      <c r="BX93" s="98">
        <f t="shared" si="149"/>
        <v>32.400000000000006</v>
      </c>
      <c r="BY93" s="61">
        <f>IFERROR(BF93+AL93,0)</f>
        <v>20</v>
      </c>
      <c r="BZ93" s="62">
        <f t="shared" si="150"/>
        <v>20</v>
      </c>
      <c r="CA93" s="98">
        <f t="shared" si="151"/>
        <v>9.2213999999999992</v>
      </c>
      <c r="CB93" s="92">
        <f t="shared" si="124"/>
        <v>654</v>
      </c>
      <c r="CC93" s="92">
        <f t="shared" si="124"/>
        <v>-84.600000000000364</v>
      </c>
      <c r="CD93" s="92">
        <f t="shared" si="124"/>
        <v>-6.0000000000000266</v>
      </c>
      <c r="CE93" s="99"/>
      <c r="CF93" s="99"/>
      <c r="CG93" s="51">
        <f t="shared" si="152"/>
        <v>23.178600000000007</v>
      </c>
      <c r="CH93" s="62">
        <f t="shared" si="153"/>
        <v>23.178600000000007</v>
      </c>
      <c r="CI93" s="89"/>
      <c r="CJ93" s="89">
        <f>328*14.1</f>
        <v>4624.8</v>
      </c>
      <c r="CK93" s="89"/>
      <c r="CL93" s="96"/>
      <c r="CM93" s="89"/>
      <c r="CN93" s="89">
        <f>326*14.1</f>
        <v>4596.5999999999995</v>
      </c>
      <c r="CO93" s="92"/>
      <c r="CP93" s="101"/>
      <c r="CQ93" s="102">
        <f t="shared" si="101"/>
        <v>328</v>
      </c>
      <c r="CR93" s="102">
        <f t="shared" si="101"/>
        <v>0</v>
      </c>
      <c r="CS93" s="102">
        <f t="shared" si="101"/>
        <v>0</v>
      </c>
      <c r="CT93" s="92">
        <f t="shared" si="154"/>
        <v>326</v>
      </c>
      <c r="CU93" s="92">
        <f t="shared" si="102"/>
        <v>0</v>
      </c>
      <c r="CV93" s="103">
        <f t="shared" si="102"/>
        <v>0</v>
      </c>
      <c r="CW93" s="104"/>
      <c r="CX93" s="105">
        <v>110</v>
      </c>
      <c r="CY93" s="106">
        <f t="shared" si="155"/>
        <v>360</v>
      </c>
      <c r="CZ93" s="106">
        <f t="shared" si="156"/>
        <v>891.00000000000011</v>
      </c>
      <c r="DA93" s="106"/>
      <c r="DB93" s="106"/>
      <c r="DC93" s="105"/>
      <c r="DD93" s="107"/>
      <c r="DE93" s="92">
        <f t="shared" si="125"/>
        <v>328</v>
      </c>
      <c r="DF93" s="108">
        <f t="shared" si="126"/>
        <v>10</v>
      </c>
      <c r="DG93" s="115">
        <f t="shared" si="127"/>
        <v>-1.9999999999999871</v>
      </c>
      <c r="DH93" s="110">
        <f t="shared" si="128"/>
        <v>326</v>
      </c>
      <c r="DI93" s="108">
        <f t="shared" si="129"/>
        <v>10</v>
      </c>
      <c r="DJ93" s="115">
        <f t="shared" si="130"/>
        <v>-4.0000000000000391</v>
      </c>
      <c r="DK93" s="110">
        <f t="shared" si="181"/>
        <v>654</v>
      </c>
      <c r="DL93" s="108">
        <f t="shared" si="181"/>
        <v>20</v>
      </c>
      <c r="DM93" s="111">
        <f t="shared" si="181"/>
        <v>-6.0000000000000266</v>
      </c>
      <c r="DN93" s="76">
        <f t="shared" si="182"/>
        <v>15</v>
      </c>
      <c r="DO93" s="76">
        <v>20</v>
      </c>
      <c r="DP93" s="112"/>
      <c r="DQ93" s="112"/>
      <c r="DR93" s="113" t="s">
        <v>481</v>
      </c>
      <c r="DS93" s="112"/>
      <c r="DT93" s="112"/>
      <c r="DU93" s="111"/>
      <c r="DV93" s="114"/>
      <c r="DW93" s="80">
        <f t="shared" ref="DW93:DW94" si="185">IFERROR(AL93+BF93,"")</f>
        <v>20</v>
      </c>
      <c r="DX93" s="81">
        <f t="shared" si="131"/>
        <v>668</v>
      </c>
      <c r="DY93" s="80">
        <f t="shared" si="158"/>
        <v>654</v>
      </c>
      <c r="DZ93" s="82">
        <f t="shared" si="159"/>
        <v>0</v>
      </c>
      <c r="EA93" s="82">
        <f t="shared" si="160"/>
        <v>9.2213999999999992</v>
      </c>
      <c r="EB93" s="82">
        <f t="shared" si="161"/>
        <v>23.178600000000007</v>
      </c>
      <c r="EC93" s="82">
        <f>(BX93-CA93)+((AV93+BP93)/1000)</f>
        <v>23.178600000000007</v>
      </c>
      <c r="EF93" s="83">
        <f t="shared" si="183"/>
        <v>-6.0000000000000266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2"/>
        <v>GWA6061-T6-19.1x3-H9A14</v>
      </c>
      <c r="H94" s="46" t="str">
        <f t="shared" si="133"/>
        <v>A6061-T6GW19.10DH9</v>
      </c>
      <c r="I94" s="46" t="str">
        <f t="shared" si="134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5"/>
        <v>22</v>
      </c>
      <c r="T94" s="51">
        <f>'05.02'!BG94</f>
        <v>19</v>
      </c>
      <c r="U94" s="92"/>
      <c r="V94" s="100">
        <v>20.25</v>
      </c>
      <c r="W94" s="93">
        <f t="shared" si="114"/>
        <v>182</v>
      </c>
      <c r="X94" s="93">
        <f t="shared" si="115"/>
        <v>0</v>
      </c>
      <c r="Y94" s="93">
        <f t="shared" si="116"/>
        <v>0</v>
      </c>
      <c r="Z94" s="93">
        <f t="shared" si="117"/>
        <v>0</v>
      </c>
      <c r="AA94" s="93">
        <f t="shared" si="118"/>
        <v>0</v>
      </c>
      <c r="AB94" s="93">
        <f t="shared" si="119"/>
        <v>0</v>
      </c>
      <c r="AC94" s="93">
        <f t="shared" si="120"/>
        <v>0</v>
      </c>
      <c r="AD94" s="93">
        <f t="shared" si="121"/>
        <v>7</v>
      </c>
      <c r="AE94" s="93">
        <f t="shared" si="136"/>
        <v>182</v>
      </c>
      <c r="AF94" s="54">
        <f>AE94+'05.02'!AF94</f>
        <v>1735</v>
      </c>
      <c r="AG94" s="94">
        <f t="shared" si="162"/>
        <v>19</v>
      </c>
      <c r="AH94" s="56">
        <f t="shared" si="137"/>
        <v>0</v>
      </c>
      <c r="AI94" s="93">
        <v>8</v>
      </c>
      <c r="AJ94" s="93">
        <f t="shared" si="163"/>
        <v>0</v>
      </c>
      <c r="AK94" s="95">
        <f t="shared" si="138"/>
        <v>1</v>
      </c>
      <c r="AL94" s="58">
        <f t="shared" si="174"/>
        <v>8</v>
      </c>
      <c r="AM94" s="55">
        <f t="shared" si="164"/>
        <v>11</v>
      </c>
      <c r="AN94" s="93"/>
      <c r="AO94" s="96">
        <f>$CJ94</f>
        <v>3685.5</v>
      </c>
      <c r="AP94" s="96"/>
      <c r="AQ94" s="96"/>
      <c r="AR94" s="96"/>
      <c r="AS94" s="96"/>
      <c r="AT94" s="96"/>
      <c r="AU94" s="96">
        <f t="shared" si="139"/>
        <v>0</v>
      </c>
      <c r="AV94" s="96">
        <f t="shared" si="139"/>
        <v>152</v>
      </c>
      <c r="AW94" s="96">
        <f t="shared" si="140"/>
        <v>3837.5</v>
      </c>
      <c r="AX94" s="96">
        <f t="shared" si="141"/>
        <v>189</v>
      </c>
      <c r="AY94" s="94">
        <f t="shared" si="165"/>
        <v>-50.5</v>
      </c>
      <c r="AZ94" s="94">
        <f t="shared" si="142"/>
        <v>-2.4938271604938271</v>
      </c>
      <c r="BA94" s="94">
        <f t="shared" si="171"/>
        <v>11</v>
      </c>
      <c r="BB94" s="97">
        <f t="shared" si="172"/>
        <v>0</v>
      </c>
      <c r="BC94" s="93"/>
      <c r="BD94" s="93">
        <f t="shared" si="143"/>
        <v>0</v>
      </c>
      <c r="BE94" s="95">
        <f t="shared" si="144"/>
        <v>1</v>
      </c>
      <c r="BF94" s="58">
        <f t="shared" si="175"/>
        <v>0</v>
      </c>
      <c r="BG94" s="94">
        <f t="shared" si="145"/>
        <v>11</v>
      </c>
      <c r="BH94" s="89"/>
      <c r="BI94" s="92">
        <f t="shared" si="184"/>
        <v>0</v>
      </c>
      <c r="BJ94" s="92"/>
      <c r="BK94" s="89"/>
      <c r="BL94" s="89"/>
      <c r="BM94" s="89"/>
      <c r="BN94" s="89"/>
      <c r="BO94" s="92">
        <f t="shared" si="166"/>
        <v>0</v>
      </c>
      <c r="BP94" s="92">
        <f t="shared" si="166"/>
        <v>0</v>
      </c>
      <c r="BQ94" s="96">
        <f t="shared" si="146"/>
        <v>0</v>
      </c>
      <c r="BR94" s="96">
        <f t="shared" si="147"/>
        <v>0</v>
      </c>
      <c r="BS94" s="96">
        <f t="shared" si="167"/>
        <v>0</v>
      </c>
      <c r="BT94" s="96">
        <f t="shared" si="148"/>
        <v>0</v>
      </c>
      <c r="BU94" s="92">
        <f t="shared" si="122"/>
        <v>182</v>
      </c>
      <c r="BV94" s="98">
        <f t="shared" si="168"/>
        <v>8</v>
      </c>
      <c r="BW94" s="92">
        <f t="shared" si="123"/>
        <v>-2.4938271604938271</v>
      </c>
      <c r="BX94" s="98">
        <f t="shared" si="149"/>
        <v>18.512</v>
      </c>
      <c r="BY94" s="61">
        <f t="shared" si="173"/>
        <v>8</v>
      </c>
      <c r="BZ94" s="62">
        <f t="shared" si="150"/>
        <v>8</v>
      </c>
      <c r="CA94" s="98">
        <f t="shared" si="151"/>
        <v>3.8374999999999999</v>
      </c>
      <c r="CB94" s="92">
        <f t="shared" si="124"/>
        <v>189</v>
      </c>
      <c r="CC94" s="92">
        <f t="shared" si="124"/>
        <v>-50.5</v>
      </c>
      <c r="CD94" s="92">
        <f t="shared" si="124"/>
        <v>-2.4938271604938271</v>
      </c>
      <c r="CE94" s="99"/>
      <c r="CF94" s="99"/>
      <c r="CG94" s="51">
        <f t="shared" si="152"/>
        <v>14.826499999999999</v>
      </c>
      <c r="CH94" s="62">
        <f t="shared" si="153"/>
        <v>14.826499999999999</v>
      </c>
      <c r="CI94" s="89"/>
      <c r="CJ94" s="89">
        <f>182*20.25</f>
        <v>3685.5</v>
      </c>
      <c r="CK94" s="89"/>
      <c r="CL94" s="96">
        <v>152</v>
      </c>
      <c r="CM94" s="89"/>
      <c r="CN94" s="89"/>
      <c r="CO94" s="92"/>
      <c r="CP94" s="101"/>
      <c r="CQ94" s="102">
        <f t="shared" si="101"/>
        <v>182</v>
      </c>
      <c r="CR94" s="102">
        <f t="shared" si="101"/>
        <v>0</v>
      </c>
      <c r="CS94" s="102">
        <f t="shared" si="101"/>
        <v>7</v>
      </c>
      <c r="CT94" s="92">
        <f t="shared" si="154"/>
        <v>0</v>
      </c>
      <c r="CU94" s="92">
        <f t="shared" si="102"/>
        <v>0</v>
      </c>
      <c r="CV94" s="103">
        <f t="shared" si="102"/>
        <v>0</v>
      </c>
      <c r="CW94" s="104"/>
      <c r="CX94" s="105">
        <v>150</v>
      </c>
      <c r="CY94" s="106">
        <f t="shared" si="155"/>
        <v>264</v>
      </c>
      <c r="CZ94" s="106">
        <f t="shared" si="156"/>
        <v>1215</v>
      </c>
      <c r="DA94" s="106"/>
      <c r="DB94" s="106"/>
      <c r="DC94" s="105"/>
      <c r="DD94" s="107"/>
      <c r="DE94" s="92">
        <f t="shared" si="125"/>
        <v>182</v>
      </c>
      <c r="DF94" s="108">
        <f t="shared" si="126"/>
        <v>8</v>
      </c>
      <c r="DG94" s="115">
        <f t="shared" si="127"/>
        <v>-2.4938271604938271</v>
      </c>
      <c r="DH94" s="110">
        <f t="shared" si="128"/>
        <v>0</v>
      </c>
      <c r="DI94" s="108">
        <f t="shared" si="129"/>
        <v>0</v>
      </c>
      <c r="DJ94" s="115">
        <f t="shared" si="130"/>
        <v>0</v>
      </c>
      <c r="DK94" s="110">
        <f t="shared" si="181"/>
        <v>182</v>
      </c>
      <c r="DL94" s="108">
        <f t="shared" si="181"/>
        <v>8</v>
      </c>
      <c r="DM94" s="111">
        <f t="shared" si="181"/>
        <v>-2.4938271604938271</v>
      </c>
      <c r="DN94" s="76">
        <f t="shared" si="182"/>
        <v>19</v>
      </c>
      <c r="DO94" s="76">
        <f t="shared" si="182"/>
        <v>0</v>
      </c>
      <c r="DP94" s="112"/>
      <c r="DQ94" s="112"/>
      <c r="DR94" s="113" t="s">
        <v>474</v>
      </c>
      <c r="DS94" s="112"/>
      <c r="DT94" s="112"/>
      <c r="DU94" s="111"/>
      <c r="DV94" s="114"/>
      <c r="DW94" s="80">
        <f t="shared" si="185"/>
        <v>8</v>
      </c>
      <c r="DX94" s="81">
        <f t="shared" si="131"/>
        <v>187.50617283950618</v>
      </c>
      <c r="DY94" s="80">
        <f t="shared" si="158"/>
        <v>189</v>
      </c>
      <c r="DZ94" s="82">
        <f t="shared" si="159"/>
        <v>0.14174999999999999</v>
      </c>
      <c r="EA94" s="82">
        <f t="shared" si="160"/>
        <v>3.6855000000000002</v>
      </c>
      <c r="EB94" s="82">
        <f t="shared" si="161"/>
        <v>14.826499999999999</v>
      </c>
      <c r="EC94" s="82">
        <f t="shared" si="178"/>
        <v>14.968249999999999</v>
      </c>
      <c r="EF94" s="83">
        <f t="shared" si="183"/>
        <v>-2.4938271604938271</v>
      </c>
    </row>
    <row r="95" spans="1:136" ht="15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2"/>
        <v>TVSUS303-10x2.5-H7A14</v>
      </c>
      <c r="H95" s="46" t="str">
        <f t="shared" si="133"/>
        <v>SUS303TV100DH7</v>
      </c>
      <c r="I95" s="46" t="str">
        <f t="shared" si="134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5"/>
        <v>42</v>
      </c>
      <c r="T95" s="51">
        <f>'05.02'!BG95</f>
        <v>0</v>
      </c>
      <c r="U95" s="92"/>
      <c r="V95" s="100">
        <v>67.7</v>
      </c>
      <c r="W95" s="93">
        <f t="shared" si="114"/>
        <v>0</v>
      </c>
      <c r="X95" s="93">
        <f t="shared" si="115"/>
        <v>0</v>
      </c>
      <c r="Y95" s="93">
        <f t="shared" si="116"/>
        <v>0</v>
      </c>
      <c r="Z95" s="93">
        <f t="shared" si="117"/>
        <v>0</v>
      </c>
      <c r="AA95" s="93">
        <f t="shared" si="118"/>
        <v>0</v>
      </c>
      <c r="AB95" s="93">
        <f t="shared" si="119"/>
        <v>0</v>
      </c>
      <c r="AC95" s="93">
        <f t="shared" si="120"/>
        <v>0</v>
      </c>
      <c r="AD95" s="93">
        <f t="shared" si="121"/>
        <v>0</v>
      </c>
      <c r="AE95" s="93">
        <f t="shared" si="136"/>
        <v>0</v>
      </c>
      <c r="AF95" s="54">
        <f>AE95+'05.02'!AF95</f>
        <v>0</v>
      </c>
      <c r="AG95" s="94">
        <f t="shared" si="162"/>
        <v>0</v>
      </c>
      <c r="AH95" s="56">
        <f t="shared" si="137"/>
        <v>0</v>
      </c>
      <c r="AI95" s="93"/>
      <c r="AJ95" s="93">
        <f t="shared" si="163"/>
        <v>0</v>
      </c>
      <c r="AK95" s="95">
        <f t="shared" si="138"/>
        <v>1</v>
      </c>
      <c r="AL95" s="58">
        <f t="shared" si="174"/>
        <v>0</v>
      </c>
      <c r="AM95" s="55">
        <f t="shared" si="164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39"/>
        <v>0</v>
      </c>
      <c r="AV95" s="96">
        <f t="shared" si="139"/>
        <v>0</v>
      </c>
      <c r="AW95" s="96">
        <f t="shared" si="140"/>
        <v>0</v>
      </c>
      <c r="AX95" s="96">
        <f t="shared" si="141"/>
        <v>0</v>
      </c>
      <c r="AY95" s="94">
        <f t="shared" si="165"/>
        <v>0</v>
      </c>
      <c r="AZ95" s="94">
        <f t="shared" si="142"/>
        <v>0</v>
      </c>
      <c r="BA95" s="94">
        <f t="shared" si="171"/>
        <v>0</v>
      </c>
      <c r="BB95" s="97">
        <f t="shared" si="172"/>
        <v>0</v>
      </c>
      <c r="BC95" s="93"/>
      <c r="BD95" s="93">
        <f t="shared" si="143"/>
        <v>0</v>
      </c>
      <c r="BE95" s="95">
        <f t="shared" si="144"/>
        <v>1</v>
      </c>
      <c r="BF95" s="58">
        <f t="shared" si="175"/>
        <v>0</v>
      </c>
      <c r="BG95" s="94">
        <f t="shared" si="145"/>
        <v>0</v>
      </c>
      <c r="BH95" s="89"/>
      <c r="BI95" s="92">
        <f t="shared" si="184"/>
        <v>0</v>
      </c>
      <c r="BJ95" s="89"/>
      <c r="BK95" s="89"/>
      <c r="BL95" s="89"/>
      <c r="BM95" s="89"/>
      <c r="BN95" s="89"/>
      <c r="BO95" s="92">
        <f t="shared" si="166"/>
        <v>0</v>
      </c>
      <c r="BP95" s="92">
        <f t="shared" si="166"/>
        <v>0</v>
      </c>
      <c r="BQ95" s="96">
        <f t="shared" si="146"/>
        <v>0</v>
      </c>
      <c r="BR95" s="96">
        <f t="shared" si="147"/>
        <v>0</v>
      </c>
      <c r="BS95" s="96">
        <f t="shared" si="167"/>
        <v>0</v>
      </c>
      <c r="BT95" s="96">
        <f t="shared" si="148"/>
        <v>0</v>
      </c>
      <c r="BU95" s="92">
        <f t="shared" si="122"/>
        <v>0</v>
      </c>
      <c r="BV95" s="98">
        <f t="shared" si="168"/>
        <v>0</v>
      </c>
      <c r="BW95" s="92">
        <f t="shared" si="123"/>
        <v>0</v>
      </c>
      <c r="BX95" s="98">
        <f t="shared" si="149"/>
        <v>0</v>
      </c>
      <c r="BY95" s="61">
        <f t="shared" si="173"/>
        <v>0</v>
      </c>
      <c r="BZ95" s="62">
        <f t="shared" si="150"/>
        <v>0</v>
      </c>
      <c r="CA95" s="98">
        <f t="shared" si="151"/>
        <v>0</v>
      </c>
      <c r="CB95" s="92">
        <f t="shared" si="124"/>
        <v>0</v>
      </c>
      <c r="CC95" s="92">
        <f t="shared" si="124"/>
        <v>0</v>
      </c>
      <c r="CD95" s="92">
        <f t="shared" si="124"/>
        <v>0</v>
      </c>
      <c r="CE95" s="99"/>
      <c r="CF95" s="99"/>
      <c r="CG95" s="51">
        <f t="shared" si="152"/>
        <v>0</v>
      </c>
      <c r="CH95" s="62">
        <f t="shared" si="153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101"/>
        <v>0</v>
      </c>
      <c r="CR95" s="102">
        <f t="shared" si="101"/>
        <v>0</v>
      </c>
      <c r="CS95" s="102">
        <f t="shared" si="101"/>
        <v>0</v>
      </c>
      <c r="CT95" s="92">
        <f t="shared" si="154"/>
        <v>0</v>
      </c>
      <c r="CU95" s="92">
        <f t="shared" si="102"/>
        <v>0</v>
      </c>
      <c r="CV95" s="103">
        <f t="shared" si="102"/>
        <v>0</v>
      </c>
      <c r="CW95" s="104"/>
      <c r="CX95" s="105">
        <v>90</v>
      </c>
      <c r="CY95" s="106">
        <f t="shared" si="155"/>
        <v>393</v>
      </c>
      <c r="CZ95" s="106">
        <f t="shared" si="156"/>
        <v>729</v>
      </c>
      <c r="DA95" s="106"/>
      <c r="DB95" s="106"/>
      <c r="DC95" s="105"/>
      <c r="DD95" s="107"/>
      <c r="DE95" s="92">
        <f t="shared" si="125"/>
        <v>0</v>
      </c>
      <c r="DF95" s="108">
        <f t="shared" si="126"/>
        <v>0</v>
      </c>
      <c r="DG95" s="115">
        <f t="shared" si="127"/>
        <v>0</v>
      </c>
      <c r="DH95" s="110">
        <f t="shared" si="128"/>
        <v>0</v>
      </c>
      <c r="DI95" s="108">
        <f t="shared" si="129"/>
        <v>0</v>
      </c>
      <c r="DJ95" s="112">
        <f t="shared" si="130"/>
        <v>0</v>
      </c>
      <c r="DK95" s="110">
        <f t="shared" si="181"/>
        <v>0</v>
      </c>
      <c r="DL95" s="108">
        <f t="shared" si="181"/>
        <v>0</v>
      </c>
      <c r="DM95" s="111">
        <f t="shared" si="181"/>
        <v>0</v>
      </c>
      <c r="DN95" s="76">
        <f t="shared" si="182"/>
        <v>0</v>
      </c>
      <c r="DO95" s="76">
        <f t="shared" si="182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7"/>
        <v>0</v>
      </c>
      <c r="DX95" s="81">
        <f t="shared" si="131"/>
        <v>0</v>
      </c>
      <c r="DY95" s="80">
        <f t="shared" si="158"/>
        <v>0</v>
      </c>
      <c r="DZ95" s="82">
        <f t="shared" si="159"/>
        <v>0</v>
      </c>
      <c r="EA95" s="82">
        <f t="shared" si="160"/>
        <v>0</v>
      </c>
      <c r="EB95" s="82">
        <f t="shared" si="161"/>
        <v>0</v>
      </c>
      <c r="EC95" s="82">
        <f t="shared" si="178"/>
        <v>0</v>
      </c>
      <c r="EF95" s="83">
        <f t="shared" si="183"/>
        <v>0</v>
      </c>
    </row>
    <row r="96" spans="1:136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2"/>
        <v>TVSUS303-6x2.5-H9A14</v>
      </c>
      <c r="H96" s="46" t="str">
        <f t="shared" si="133"/>
        <v>SUS303TV60DH9</v>
      </c>
      <c r="I96" s="46" t="str">
        <f t="shared" si="134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5"/>
        <v>8</v>
      </c>
      <c r="T96" s="51">
        <f>'05.02'!BG96</f>
        <v>0</v>
      </c>
      <c r="U96" s="92"/>
      <c r="V96" s="100">
        <v>1.875</v>
      </c>
      <c r="W96" s="93">
        <f t="shared" si="114"/>
        <v>0</v>
      </c>
      <c r="X96" s="93">
        <f t="shared" si="115"/>
        <v>0</v>
      </c>
      <c r="Y96" s="93">
        <f t="shared" si="116"/>
        <v>0</v>
      </c>
      <c r="Z96" s="93">
        <f t="shared" si="117"/>
        <v>0</v>
      </c>
      <c r="AA96" s="93">
        <f t="shared" si="118"/>
        <v>0</v>
      </c>
      <c r="AB96" s="93">
        <f t="shared" si="119"/>
        <v>0</v>
      </c>
      <c r="AC96" s="93">
        <f t="shared" si="120"/>
        <v>0</v>
      </c>
      <c r="AD96" s="93">
        <f t="shared" si="121"/>
        <v>0</v>
      </c>
      <c r="AE96" s="93">
        <f t="shared" si="136"/>
        <v>0</v>
      </c>
      <c r="AF96" s="54">
        <f>AE96+'05.02'!AF96</f>
        <v>0</v>
      </c>
      <c r="AG96" s="94">
        <f t="shared" si="162"/>
        <v>0</v>
      </c>
      <c r="AH96" s="56">
        <f t="shared" si="137"/>
        <v>0</v>
      </c>
      <c r="AI96" s="93"/>
      <c r="AJ96" s="93">
        <f t="shared" si="163"/>
        <v>0</v>
      </c>
      <c r="AK96" s="95">
        <f t="shared" si="138"/>
        <v>1</v>
      </c>
      <c r="AL96" s="58">
        <f t="shared" si="174"/>
        <v>0</v>
      </c>
      <c r="AM96" s="55">
        <f t="shared" si="164"/>
        <v>0</v>
      </c>
      <c r="AN96" s="93"/>
      <c r="AO96" s="96"/>
      <c r="AP96" s="96">
        <f t="shared" ref="AP96" si="186">$CJ96</f>
        <v>0</v>
      </c>
      <c r="AQ96" s="96"/>
      <c r="AR96" s="96"/>
      <c r="AS96" s="96"/>
      <c r="AT96" s="96"/>
      <c r="AU96" s="96">
        <f t="shared" si="139"/>
        <v>0</v>
      </c>
      <c r="AV96" s="96">
        <f t="shared" si="139"/>
        <v>0</v>
      </c>
      <c r="AW96" s="96">
        <f t="shared" si="140"/>
        <v>0</v>
      </c>
      <c r="AX96" s="96">
        <f t="shared" si="141"/>
        <v>0</v>
      </c>
      <c r="AY96" s="94">
        <f t="shared" si="165"/>
        <v>0</v>
      </c>
      <c r="AZ96" s="94">
        <f t="shared" si="142"/>
        <v>0</v>
      </c>
      <c r="BA96" s="94">
        <f t="shared" si="171"/>
        <v>0</v>
      </c>
      <c r="BB96" s="97">
        <f t="shared" si="172"/>
        <v>0</v>
      </c>
      <c r="BC96" s="93"/>
      <c r="BD96" s="93">
        <f t="shared" si="143"/>
        <v>0</v>
      </c>
      <c r="BE96" s="95">
        <f t="shared" si="144"/>
        <v>1</v>
      </c>
      <c r="BF96" s="58">
        <f t="shared" si="175"/>
        <v>0</v>
      </c>
      <c r="BG96" s="94">
        <f t="shared" si="145"/>
        <v>0</v>
      </c>
      <c r="BH96" s="89"/>
      <c r="BI96" s="92"/>
      <c r="BJ96" s="92">
        <f t="shared" si="184"/>
        <v>0</v>
      </c>
      <c r="BK96" s="89"/>
      <c r="BL96" s="89"/>
      <c r="BM96" s="89"/>
      <c r="BN96" s="92"/>
      <c r="BO96" s="92">
        <f t="shared" si="166"/>
        <v>0</v>
      </c>
      <c r="BP96" s="92">
        <f t="shared" si="166"/>
        <v>0</v>
      </c>
      <c r="BQ96" s="96">
        <f t="shared" si="146"/>
        <v>0</v>
      </c>
      <c r="BR96" s="96">
        <f t="shared" si="147"/>
        <v>0</v>
      </c>
      <c r="BS96" s="96">
        <f t="shared" si="167"/>
        <v>0</v>
      </c>
      <c r="BT96" s="96">
        <f t="shared" si="148"/>
        <v>0</v>
      </c>
      <c r="BU96" s="92">
        <f t="shared" si="122"/>
        <v>0</v>
      </c>
      <c r="BV96" s="98">
        <f t="shared" si="168"/>
        <v>0</v>
      </c>
      <c r="BW96" s="92">
        <f t="shared" si="123"/>
        <v>0</v>
      </c>
      <c r="BX96" s="98">
        <f t="shared" si="149"/>
        <v>0</v>
      </c>
      <c r="BY96" s="61">
        <f t="shared" si="173"/>
        <v>0</v>
      </c>
      <c r="BZ96" s="62">
        <f t="shared" si="150"/>
        <v>0</v>
      </c>
      <c r="CA96" s="98">
        <f t="shared" si="151"/>
        <v>0</v>
      </c>
      <c r="CB96" s="92">
        <f t="shared" si="124"/>
        <v>0</v>
      </c>
      <c r="CC96" s="92">
        <f t="shared" si="124"/>
        <v>0</v>
      </c>
      <c r="CD96" s="92">
        <f t="shared" si="124"/>
        <v>0</v>
      </c>
      <c r="CE96" s="99"/>
      <c r="CF96" s="99"/>
      <c r="CG96" s="51">
        <f t="shared" si="152"/>
        <v>0</v>
      </c>
      <c r="CH96" s="62">
        <f t="shared" si="153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101"/>
        <v>0</v>
      </c>
      <c r="CR96" s="102">
        <f t="shared" si="101"/>
        <v>0</v>
      </c>
      <c r="CS96" s="102">
        <f t="shared" si="101"/>
        <v>0</v>
      </c>
      <c r="CT96" s="92">
        <f t="shared" si="154"/>
        <v>0</v>
      </c>
      <c r="CU96" s="92">
        <f t="shared" si="102"/>
        <v>0</v>
      </c>
      <c r="CV96" s="103">
        <f t="shared" si="102"/>
        <v>0</v>
      </c>
      <c r="CW96" s="104"/>
      <c r="CX96" s="105">
        <v>56</v>
      </c>
      <c r="CY96" s="106">
        <f t="shared" si="155"/>
        <v>744</v>
      </c>
      <c r="CZ96" s="106">
        <f t="shared" si="156"/>
        <v>453.6</v>
      </c>
      <c r="DA96" s="106"/>
      <c r="DB96" s="106"/>
      <c r="DC96" s="105"/>
      <c r="DD96" s="107"/>
      <c r="DE96" s="92">
        <f t="shared" si="125"/>
        <v>0</v>
      </c>
      <c r="DF96" s="108">
        <f t="shared" si="126"/>
        <v>0</v>
      </c>
      <c r="DG96" s="115">
        <f t="shared" si="127"/>
        <v>0</v>
      </c>
      <c r="DH96" s="110">
        <f t="shared" si="128"/>
        <v>0</v>
      </c>
      <c r="DI96" s="108">
        <f t="shared" si="129"/>
        <v>0</v>
      </c>
      <c r="DJ96" s="112">
        <f t="shared" si="130"/>
        <v>0</v>
      </c>
      <c r="DK96" s="110">
        <f t="shared" si="181"/>
        <v>0</v>
      </c>
      <c r="DL96" s="108">
        <f t="shared" si="181"/>
        <v>0</v>
      </c>
      <c r="DM96" s="111">
        <f t="shared" si="181"/>
        <v>0</v>
      </c>
      <c r="DN96" s="76">
        <f t="shared" si="182"/>
        <v>0</v>
      </c>
      <c r="DO96" s="76">
        <f t="shared" si="182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7"/>
        <v>0</v>
      </c>
      <c r="DX96" s="81">
        <f t="shared" si="131"/>
        <v>0</v>
      </c>
      <c r="DY96" s="80">
        <f t="shared" si="158"/>
        <v>0</v>
      </c>
      <c r="DZ96" s="82">
        <f t="shared" si="159"/>
        <v>0</v>
      </c>
      <c r="EA96" s="82">
        <f t="shared" si="160"/>
        <v>0</v>
      </c>
      <c r="EB96" s="82">
        <f t="shared" si="161"/>
        <v>0</v>
      </c>
      <c r="EC96" s="82">
        <f>(BX96-CA96)+((AV96+BP96)/1000)</f>
        <v>0</v>
      </c>
      <c r="EF96" s="83">
        <f t="shared" si="183"/>
        <v>0</v>
      </c>
    </row>
    <row r="97" spans="1:136" ht="15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2"/>
        <v>MESUS304-10x3-H7C14</v>
      </c>
      <c r="H97" s="46" t="str">
        <f t="shared" si="133"/>
        <v>SUS304ME100DH7</v>
      </c>
      <c r="I97" s="46" t="str">
        <f t="shared" si="134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5"/>
        <v>24</v>
      </c>
      <c r="T97" s="51">
        <f>'05.02'!BG97</f>
        <v>0</v>
      </c>
      <c r="U97" s="92"/>
      <c r="V97" s="100">
        <v>54.7</v>
      </c>
      <c r="W97" s="93">
        <f t="shared" si="114"/>
        <v>0</v>
      </c>
      <c r="X97" s="93">
        <f t="shared" si="115"/>
        <v>0</v>
      </c>
      <c r="Y97" s="93">
        <f t="shared" si="116"/>
        <v>0</v>
      </c>
      <c r="Z97" s="93">
        <f t="shared" si="117"/>
        <v>0</v>
      </c>
      <c r="AA97" s="93">
        <f t="shared" si="118"/>
        <v>0</v>
      </c>
      <c r="AB97" s="93">
        <f t="shared" si="119"/>
        <v>0</v>
      </c>
      <c r="AC97" s="93">
        <f t="shared" si="120"/>
        <v>0</v>
      </c>
      <c r="AD97" s="93">
        <f t="shared" si="121"/>
        <v>0</v>
      </c>
      <c r="AE97" s="93">
        <f t="shared" si="136"/>
        <v>0</v>
      </c>
      <c r="AF97" s="54">
        <f>AE97+'05.02'!AF97</f>
        <v>0</v>
      </c>
      <c r="AG97" s="94">
        <f t="shared" si="162"/>
        <v>0</v>
      </c>
      <c r="AH97" s="56">
        <f t="shared" si="137"/>
        <v>0</v>
      </c>
      <c r="AI97" s="93"/>
      <c r="AJ97" s="93">
        <f t="shared" si="163"/>
        <v>0</v>
      </c>
      <c r="AK97" s="95">
        <f t="shared" si="138"/>
        <v>1</v>
      </c>
      <c r="AL97" s="58">
        <f t="shared" si="174"/>
        <v>0</v>
      </c>
      <c r="AM97" s="55">
        <f t="shared" si="164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39"/>
        <v>0</v>
      </c>
      <c r="AV97" s="96">
        <f t="shared" si="139"/>
        <v>0</v>
      </c>
      <c r="AW97" s="96">
        <f t="shared" si="140"/>
        <v>0</v>
      </c>
      <c r="AX97" s="96">
        <f t="shared" si="141"/>
        <v>0</v>
      </c>
      <c r="AY97" s="94">
        <f t="shared" si="165"/>
        <v>0</v>
      </c>
      <c r="AZ97" s="94">
        <f t="shared" si="142"/>
        <v>0</v>
      </c>
      <c r="BA97" s="94">
        <f t="shared" si="171"/>
        <v>0</v>
      </c>
      <c r="BB97" s="97">
        <f t="shared" si="172"/>
        <v>0</v>
      </c>
      <c r="BC97" s="93"/>
      <c r="BD97" s="93">
        <f t="shared" si="143"/>
        <v>0</v>
      </c>
      <c r="BE97" s="95">
        <f t="shared" si="144"/>
        <v>1</v>
      </c>
      <c r="BF97" s="58">
        <f t="shared" si="175"/>
        <v>0</v>
      </c>
      <c r="BG97" s="94">
        <f t="shared" si="145"/>
        <v>0</v>
      </c>
      <c r="BH97" s="89"/>
      <c r="BI97" s="92">
        <f t="shared" si="184"/>
        <v>0</v>
      </c>
      <c r="BJ97" s="89"/>
      <c r="BK97" s="89"/>
      <c r="BL97" s="89"/>
      <c r="BM97" s="89"/>
      <c r="BN97" s="89"/>
      <c r="BO97" s="92">
        <f t="shared" si="166"/>
        <v>0</v>
      </c>
      <c r="BP97" s="92">
        <f t="shared" si="166"/>
        <v>0</v>
      </c>
      <c r="BQ97" s="96">
        <f t="shared" si="146"/>
        <v>0</v>
      </c>
      <c r="BR97" s="96">
        <f t="shared" si="147"/>
        <v>0</v>
      </c>
      <c r="BS97" s="96">
        <f t="shared" si="167"/>
        <v>0</v>
      </c>
      <c r="BT97" s="96">
        <f t="shared" si="148"/>
        <v>0</v>
      </c>
      <c r="BU97" s="92">
        <f t="shared" si="122"/>
        <v>0</v>
      </c>
      <c r="BV97" s="98">
        <f t="shared" si="168"/>
        <v>0</v>
      </c>
      <c r="BW97" s="92">
        <f t="shared" si="123"/>
        <v>0</v>
      </c>
      <c r="BX97" s="98">
        <f t="shared" si="149"/>
        <v>0</v>
      </c>
      <c r="BY97" s="61">
        <f t="shared" si="173"/>
        <v>0</v>
      </c>
      <c r="BZ97" s="62">
        <f t="shared" si="150"/>
        <v>0</v>
      </c>
      <c r="CA97" s="98">
        <f t="shared" si="151"/>
        <v>0</v>
      </c>
      <c r="CB97" s="92">
        <f t="shared" si="124"/>
        <v>0</v>
      </c>
      <c r="CC97" s="92">
        <f t="shared" si="124"/>
        <v>0</v>
      </c>
      <c r="CD97" s="92">
        <f t="shared" si="124"/>
        <v>0</v>
      </c>
      <c r="CE97" s="99"/>
      <c r="CF97" s="99"/>
      <c r="CG97" s="51">
        <f t="shared" si="152"/>
        <v>0</v>
      </c>
      <c r="CH97" s="62">
        <f t="shared" si="153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101"/>
        <v>0</v>
      </c>
      <c r="CR97" s="102">
        <f t="shared" si="101"/>
        <v>0</v>
      </c>
      <c r="CS97" s="102">
        <f t="shared" si="101"/>
        <v>0</v>
      </c>
      <c r="CT97" s="92">
        <f t="shared" si="154"/>
        <v>0</v>
      </c>
      <c r="CU97" s="92">
        <f t="shared" si="102"/>
        <v>0</v>
      </c>
      <c r="CV97" s="103">
        <f t="shared" si="102"/>
        <v>0</v>
      </c>
      <c r="CW97" s="104"/>
      <c r="CX97" s="105">
        <v>120</v>
      </c>
      <c r="CY97" s="106">
        <f t="shared" si="155"/>
        <v>325</v>
      </c>
      <c r="CZ97" s="106">
        <f t="shared" si="156"/>
        <v>972.00000000000011</v>
      </c>
      <c r="DA97" s="106"/>
      <c r="DB97" s="106"/>
      <c r="DC97" s="105"/>
      <c r="DD97" s="107"/>
      <c r="DE97" s="92">
        <f t="shared" si="125"/>
        <v>0</v>
      </c>
      <c r="DF97" s="108">
        <f t="shared" si="126"/>
        <v>0</v>
      </c>
      <c r="DG97" s="115">
        <f t="shared" si="127"/>
        <v>0</v>
      </c>
      <c r="DH97" s="110">
        <f t="shared" si="128"/>
        <v>0</v>
      </c>
      <c r="DI97" s="108">
        <f t="shared" si="129"/>
        <v>0</v>
      </c>
      <c r="DJ97" s="112">
        <f t="shared" si="130"/>
        <v>0</v>
      </c>
      <c r="DK97" s="110">
        <f t="shared" si="181"/>
        <v>0</v>
      </c>
      <c r="DL97" s="108">
        <f t="shared" si="181"/>
        <v>0</v>
      </c>
      <c r="DM97" s="111">
        <f t="shared" si="181"/>
        <v>0</v>
      </c>
      <c r="DN97" s="76">
        <f t="shared" si="182"/>
        <v>0</v>
      </c>
      <c r="DO97" s="76">
        <f t="shared" si="182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7"/>
        <v>0</v>
      </c>
      <c r="DX97" s="81">
        <f t="shared" si="131"/>
        <v>0</v>
      </c>
      <c r="DY97" s="80">
        <f t="shared" si="158"/>
        <v>0</v>
      </c>
      <c r="DZ97" s="82">
        <f t="shared" si="159"/>
        <v>0</v>
      </c>
      <c r="EA97" s="82">
        <f t="shared" si="160"/>
        <v>0</v>
      </c>
      <c r="EB97" s="82">
        <f t="shared" si="161"/>
        <v>0</v>
      </c>
      <c r="EC97" s="82">
        <f t="shared" si="178"/>
        <v>0</v>
      </c>
      <c r="EF97" s="83">
        <f t="shared" si="183"/>
        <v>0</v>
      </c>
    </row>
    <row r="98" spans="1:136" ht="15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2"/>
        <v>ORC17300-3.5x3-H9A14</v>
      </c>
      <c r="H98" s="46" t="str">
        <f t="shared" si="133"/>
        <v>C17300OR3.50DH9</v>
      </c>
      <c r="I98" s="46" t="str">
        <f t="shared" si="134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5"/>
        <v>4</v>
      </c>
      <c r="T98" s="51">
        <f>'05.02'!BG98</f>
        <v>0</v>
      </c>
      <c r="U98" s="92"/>
      <c r="V98" s="100">
        <v>0.06</v>
      </c>
      <c r="W98" s="93">
        <f t="shared" si="114"/>
        <v>0</v>
      </c>
      <c r="X98" s="93">
        <f t="shared" si="115"/>
        <v>0</v>
      </c>
      <c r="Y98" s="93">
        <f t="shared" si="116"/>
        <v>0</v>
      </c>
      <c r="Z98" s="93">
        <f t="shared" si="117"/>
        <v>0</v>
      </c>
      <c r="AA98" s="93">
        <f t="shared" si="118"/>
        <v>0</v>
      </c>
      <c r="AB98" s="93">
        <f t="shared" si="119"/>
        <v>0</v>
      </c>
      <c r="AC98" s="93">
        <f t="shared" si="120"/>
        <v>0</v>
      </c>
      <c r="AD98" s="93">
        <f t="shared" si="121"/>
        <v>0</v>
      </c>
      <c r="AE98" s="93">
        <f t="shared" si="136"/>
        <v>0</v>
      </c>
      <c r="AF98" s="54">
        <f>AE98+'05.02'!AF98</f>
        <v>0</v>
      </c>
      <c r="AG98" s="94">
        <f t="shared" si="162"/>
        <v>0</v>
      </c>
      <c r="AH98" s="56">
        <f t="shared" si="137"/>
        <v>0</v>
      </c>
      <c r="AI98" s="93"/>
      <c r="AJ98" s="93">
        <f t="shared" si="163"/>
        <v>0</v>
      </c>
      <c r="AK98" s="95">
        <f t="shared" si="138"/>
        <v>1</v>
      </c>
      <c r="AL98" s="58">
        <f t="shared" si="174"/>
        <v>0</v>
      </c>
      <c r="AM98" s="55">
        <f t="shared" si="164"/>
        <v>0</v>
      </c>
      <c r="AN98" s="93"/>
      <c r="AO98" s="96"/>
      <c r="AP98" s="96"/>
      <c r="AQ98" s="96"/>
      <c r="AR98" s="96"/>
      <c r="AS98" s="96"/>
      <c r="AT98" s="96">
        <f t="shared" ref="AT98:AT100" si="187">$CJ98</f>
        <v>0</v>
      </c>
      <c r="AU98" s="96">
        <f t="shared" si="139"/>
        <v>0</v>
      </c>
      <c r="AV98" s="96">
        <f t="shared" si="139"/>
        <v>0</v>
      </c>
      <c r="AW98" s="96">
        <f t="shared" si="140"/>
        <v>0</v>
      </c>
      <c r="AX98" s="96">
        <f t="shared" si="141"/>
        <v>0</v>
      </c>
      <c r="AY98" s="94">
        <f t="shared" si="165"/>
        <v>0</v>
      </c>
      <c r="AZ98" s="94">
        <f t="shared" si="142"/>
        <v>0</v>
      </c>
      <c r="BA98" s="94">
        <f t="shared" si="171"/>
        <v>0</v>
      </c>
      <c r="BB98" s="97">
        <f t="shared" si="172"/>
        <v>0</v>
      </c>
      <c r="BC98" s="93"/>
      <c r="BD98" s="93">
        <f t="shared" si="143"/>
        <v>0</v>
      </c>
      <c r="BE98" s="95">
        <f t="shared" si="144"/>
        <v>1</v>
      </c>
      <c r="BF98" s="58">
        <f t="shared" si="175"/>
        <v>0</v>
      </c>
      <c r="BG98" s="94">
        <f t="shared" si="145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6"/>
        <v>0</v>
      </c>
      <c r="BP98" s="92">
        <f t="shared" si="166"/>
        <v>0</v>
      </c>
      <c r="BQ98" s="96">
        <f t="shared" si="146"/>
        <v>0</v>
      </c>
      <c r="BR98" s="96">
        <f t="shared" si="147"/>
        <v>0</v>
      </c>
      <c r="BS98" s="96">
        <f t="shared" si="167"/>
        <v>0</v>
      </c>
      <c r="BT98" s="96">
        <f t="shared" si="148"/>
        <v>0</v>
      </c>
      <c r="BU98" s="92">
        <f t="shared" si="122"/>
        <v>0</v>
      </c>
      <c r="BV98" s="98">
        <f t="shared" si="168"/>
        <v>0</v>
      </c>
      <c r="BW98" s="92">
        <f t="shared" si="123"/>
        <v>0</v>
      </c>
      <c r="BX98" s="98">
        <f t="shared" si="149"/>
        <v>0</v>
      </c>
      <c r="BY98" s="61">
        <f>IFERROR(BF98+AL98,0)</f>
        <v>0</v>
      </c>
      <c r="BZ98" s="62">
        <f t="shared" si="150"/>
        <v>0</v>
      </c>
      <c r="CA98" s="98">
        <f t="shared" si="151"/>
        <v>0</v>
      </c>
      <c r="CB98" s="92">
        <f t="shared" si="124"/>
        <v>0</v>
      </c>
      <c r="CC98" s="92">
        <f t="shared" si="124"/>
        <v>0</v>
      </c>
      <c r="CD98" s="92">
        <f t="shared" si="124"/>
        <v>0</v>
      </c>
      <c r="CE98" s="99"/>
      <c r="CF98" s="99"/>
      <c r="CG98" s="51">
        <f t="shared" si="152"/>
        <v>0</v>
      </c>
      <c r="CH98" s="62">
        <f t="shared" si="153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101"/>
        <v>0</v>
      </c>
      <c r="CR98" s="102">
        <f t="shared" si="101"/>
        <v>0</v>
      </c>
      <c r="CS98" s="102">
        <f t="shared" si="101"/>
        <v>0</v>
      </c>
      <c r="CT98" s="92">
        <f t="shared" si="154"/>
        <v>0</v>
      </c>
      <c r="CU98" s="92">
        <f t="shared" si="102"/>
        <v>0</v>
      </c>
      <c r="CV98" s="103">
        <f t="shared" si="102"/>
        <v>0</v>
      </c>
      <c r="CW98" s="104"/>
      <c r="CX98" s="105">
        <v>60</v>
      </c>
      <c r="CY98" s="106">
        <f t="shared" si="155"/>
        <v>710</v>
      </c>
      <c r="CZ98" s="106">
        <f t="shared" si="156"/>
        <v>486.00000000000006</v>
      </c>
      <c r="DA98" s="106"/>
      <c r="DB98" s="106"/>
      <c r="DC98" s="105"/>
      <c r="DD98" s="107"/>
      <c r="DE98" s="92">
        <f t="shared" si="125"/>
        <v>0</v>
      </c>
      <c r="DF98" s="108">
        <f t="shared" si="126"/>
        <v>0</v>
      </c>
      <c r="DG98" s="115">
        <f t="shared" si="127"/>
        <v>0</v>
      </c>
      <c r="DH98" s="110">
        <f t="shared" si="128"/>
        <v>0</v>
      </c>
      <c r="DI98" s="108">
        <f t="shared" si="129"/>
        <v>0</v>
      </c>
      <c r="DJ98" s="112">
        <f t="shared" si="130"/>
        <v>0</v>
      </c>
      <c r="DK98" s="110">
        <f t="shared" si="181"/>
        <v>0</v>
      </c>
      <c r="DL98" s="108">
        <f t="shared" si="181"/>
        <v>0</v>
      </c>
      <c r="DM98" s="111">
        <f t="shared" si="181"/>
        <v>0</v>
      </c>
      <c r="DN98" s="76">
        <f t="shared" si="182"/>
        <v>0</v>
      </c>
      <c r="DO98" s="76">
        <f t="shared" si="182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31"/>
        <v>0</v>
      </c>
      <c r="DY98" s="80">
        <f t="shared" si="158"/>
        <v>0</v>
      </c>
      <c r="DZ98" s="82">
        <f t="shared" si="159"/>
        <v>0</v>
      </c>
      <c r="EA98" s="82">
        <f t="shared" si="160"/>
        <v>0</v>
      </c>
      <c r="EB98" s="82">
        <f t="shared" si="161"/>
        <v>0</v>
      </c>
      <c r="EC98" s="82">
        <f t="shared" si="178"/>
        <v>0</v>
      </c>
      <c r="EF98" s="83">
        <f t="shared" si="183"/>
        <v>0</v>
      </c>
    </row>
    <row r="99" spans="1:136" ht="14.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2"/>
        <v>TVSUS303-6x2.5-H9A14</v>
      </c>
      <c r="H99" s="46" t="str">
        <f t="shared" si="133"/>
        <v>SUS303TV60DH9</v>
      </c>
      <c r="I99" s="46" t="str">
        <f t="shared" si="134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5"/>
        <v>12</v>
      </c>
      <c r="T99" s="51">
        <f>'05.02'!BG99</f>
        <v>0</v>
      </c>
      <c r="U99" s="92"/>
      <c r="V99" s="100">
        <v>3.0150000000000001</v>
      </c>
      <c r="W99" s="93">
        <f t="shared" si="114"/>
        <v>0</v>
      </c>
      <c r="X99" s="93">
        <f t="shared" si="115"/>
        <v>0</v>
      </c>
      <c r="Y99" s="93">
        <f t="shared" si="116"/>
        <v>0</v>
      </c>
      <c r="Z99" s="93">
        <f t="shared" si="117"/>
        <v>0</v>
      </c>
      <c r="AA99" s="93">
        <f t="shared" si="118"/>
        <v>0</v>
      </c>
      <c r="AB99" s="93">
        <f t="shared" si="119"/>
        <v>0</v>
      </c>
      <c r="AC99" s="93">
        <f t="shared" si="120"/>
        <v>0</v>
      </c>
      <c r="AD99" s="93">
        <f t="shared" si="121"/>
        <v>0</v>
      </c>
      <c r="AE99" s="93">
        <f t="shared" si="136"/>
        <v>0</v>
      </c>
      <c r="AF99" s="54">
        <f>AE99+'05.02'!AF99</f>
        <v>0</v>
      </c>
      <c r="AG99" s="94">
        <f t="shared" si="162"/>
        <v>0</v>
      </c>
      <c r="AH99" s="56">
        <f t="shared" si="137"/>
        <v>0</v>
      </c>
      <c r="AI99" s="93"/>
      <c r="AJ99" s="93">
        <f t="shared" si="163"/>
        <v>0</v>
      </c>
      <c r="AK99" s="95">
        <f t="shared" si="138"/>
        <v>1</v>
      </c>
      <c r="AL99" s="58">
        <f t="shared" si="174"/>
        <v>0</v>
      </c>
      <c r="AM99" s="55">
        <f t="shared" si="164"/>
        <v>0</v>
      </c>
      <c r="AN99" s="93"/>
      <c r="AO99" s="96"/>
      <c r="AP99" s="96"/>
      <c r="AQ99" s="96"/>
      <c r="AR99" s="96"/>
      <c r="AS99" s="96"/>
      <c r="AT99" s="96">
        <f t="shared" si="187"/>
        <v>0</v>
      </c>
      <c r="AU99" s="96">
        <f t="shared" si="139"/>
        <v>0</v>
      </c>
      <c r="AV99" s="96">
        <f t="shared" si="139"/>
        <v>0</v>
      </c>
      <c r="AW99" s="96">
        <f t="shared" si="140"/>
        <v>0</v>
      </c>
      <c r="AX99" s="96">
        <f t="shared" si="141"/>
        <v>0</v>
      </c>
      <c r="AY99" s="94">
        <f t="shared" si="165"/>
        <v>0</v>
      </c>
      <c r="AZ99" s="94">
        <f t="shared" si="142"/>
        <v>0</v>
      </c>
      <c r="BA99" s="94">
        <f t="shared" si="171"/>
        <v>0</v>
      </c>
      <c r="BB99" s="97">
        <f t="shared" si="172"/>
        <v>0</v>
      </c>
      <c r="BC99" s="93"/>
      <c r="BD99" s="93">
        <f t="shared" si="143"/>
        <v>0</v>
      </c>
      <c r="BE99" s="95">
        <f t="shared" si="144"/>
        <v>1</v>
      </c>
      <c r="BF99" s="58">
        <f t="shared" si="175"/>
        <v>0</v>
      </c>
      <c r="BG99" s="94">
        <f t="shared" si="145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6"/>
        <v>0</v>
      </c>
      <c r="BP99" s="92">
        <f t="shared" si="166"/>
        <v>0</v>
      </c>
      <c r="BQ99" s="96">
        <f t="shared" si="146"/>
        <v>0</v>
      </c>
      <c r="BR99" s="96">
        <f t="shared" si="147"/>
        <v>0</v>
      </c>
      <c r="BS99" s="96">
        <f t="shared" si="167"/>
        <v>0</v>
      </c>
      <c r="BT99" s="96">
        <f t="shared" si="148"/>
        <v>0</v>
      </c>
      <c r="BU99" s="92">
        <f t="shared" si="122"/>
        <v>0</v>
      </c>
      <c r="BV99" s="98">
        <f t="shared" si="168"/>
        <v>0</v>
      </c>
      <c r="BW99" s="92">
        <f t="shared" si="123"/>
        <v>0</v>
      </c>
      <c r="BX99" s="98">
        <f t="shared" si="149"/>
        <v>0</v>
      </c>
      <c r="BY99" s="61">
        <f t="shared" si="173"/>
        <v>0</v>
      </c>
      <c r="BZ99" s="62">
        <f t="shared" si="150"/>
        <v>0</v>
      </c>
      <c r="CA99" s="98">
        <f t="shared" si="151"/>
        <v>0</v>
      </c>
      <c r="CB99" s="92">
        <f t="shared" si="124"/>
        <v>0</v>
      </c>
      <c r="CC99" s="92">
        <f t="shared" si="124"/>
        <v>0</v>
      </c>
      <c r="CD99" s="92">
        <f t="shared" si="124"/>
        <v>0</v>
      </c>
      <c r="CE99" s="99"/>
      <c r="CF99" s="99"/>
      <c r="CG99" s="51">
        <f t="shared" si="152"/>
        <v>0</v>
      </c>
      <c r="CH99" s="62">
        <f t="shared" si="153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88">INT(IFERROR( CJ99/$V99,0))</f>
        <v>0</v>
      </c>
      <c r="CR99" s="102">
        <f t="shared" si="188"/>
        <v>0</v>
      </c>
      <c r="CS99" s="102">
        <f t="shared" si="188"/>
        <v>0</v>
      </c>
      <c r="CT99" s="92">
        <f t="shared" si="154"/>
        <v>0</v>
      </c>
      <c r="CU99" s="92">
        <f t="shared" si="102"/>
        <v>0</v>
      </c>
      <c r="CV99" s="103">
        <f t="shared" si="102"/>
        <v>0</v>
      </c>
      <c r="CW99" s="104"/>
      <c r="CX99" s="105">
        <v>123</v>
      </c>
      <c r="CY99" s="106">
        <f t="shared" si="155"/>
        <v>336</v>
      </c>
      <c r="CZ99" s="106">
        <f t="shared" si="156"/>
        <v>996.30000000000007</v>
      </c>
      <c r="DA99" s="106"/>
      <c r="DB99" s="106"/>
      <c r="DC99" s="105"/>
      <c r="DD99" s="107"/>
      <c r="DE99" s="92">
        <f t="shared" si="125"/>
        <v>0</v>
      </c>
      <c r="DF99" s="108">
        <f t="shared" si="126"/>
        <v>0</v>
      </c>
      <c r="DG99" s="115">
        <f t="shared" si="127"/>
        <v>0</v>
      </c>
      <c r="DH99" s="110">
        <f t="shared" si="128"/>
        <v>0</v>
      </c>
      <c r="DI99" s="108">
        <f t="shared" si="129"/>
        <v>0</v>
      </c>
      <c r="DJ99" s="112">
        <f t="shared" si="130"/>
        <v>0</v>
      </c>
      <c r="DK99" s="110">
        <f t="shared" si="181"/>
        <v>0</v>
      </c>
      <c r="DL99" s="108">
        <f t="shared" si="181"/>
        <v>0</v>
      </c>
      <c r="DM99" s="111">
        <f t="shared" si="181"/>
        <v>0</v>
      </c>
      <c r="DN99" s="76">
        <f t="shared" si="182"/>
        <v>0</v>
      </c>
      <c r="DO99" s="76">
        <f t="shared" si="182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7"/>
        <v>0</v>
      </c>
      <c r="DX99" s="81">
        <f t="shared" si="131"/>
        <v>0</v>
      </c>
      <c r="DY99" s="80">
        <f t="shared" si="158"/>
        <v>0</v>
      </c>
      <c r="DZ99" s="82">
        <f t="shared" si="159"/>
        <v>0</v>
      </c>
      <c r="EA99" s="82">
        <f t="shared" si="160"/>
        <v>0</v>
      </c>
      <c r="EB99" s="82">
        <f t="shared" si="161"/>
        <v>0</v>
      </c>
      <c r="EC99" s="82">
        <f t="shared" si="178"/>
        <v>0</v>
      </c>
      <c r="EF99" s="83">
        <f t="shared" si="183"/>
        <v>0</v>
      </c>
    </row>
    <row r="100" spans="1:136" ht="14.1" customHeight="1">
      <c r="A100" s="84">
        <v>93</v>
      </c>
      <c r="B100" s="85" t="s">
        <v>391</v>
      </c>
      <c r="C100" s="86"/>
      <c r="D100" s="116" t="s">
        <v>478</v>
      </c>
      <c r="E100" s="88">
        <v>388</v>
      </c>
      <c r="F100" s="89" t="s">
        <v>128</v>
      </c>
      <c r="G100" s="45" t="str">
        <f t="shared" si="132"/>
        <v>WTA6061-T6-T17x7x3-H9B13</v>
      </c>
      <c r="H100" s="46" t="str">
        <f t="shared" si="133"/>
        <v>A6061-T6WT177TH9</v>
      </c>
      <c r="I100" s="46" t="str">
        <f t="shared" si="134"/>
        <v>A6061-T6WT177TH93B13</v>
      </c>
      <c r="J100" s="90" t="s">
        <v>374</v>
      </c>
      <c r="K100" s="90" t="s">
        <v>393</v>
      </c>
      <c r="L100" s="90">
        <v>17</v>
      </c>
      <c r="M100" s="90">
        <v>7</v>
      </c>
      <c r="N100" s="90" t="s">
        <v>157</v>
      </c>
      <c r="O100" s="90" t="s">
        <v>131</v>
      </c>
      <c r="P100" s="90">
        <v>3</v>
      </c>
      <c r="Q100" s="91">
        <v>1.522</v>
      </c>
      <c r="R100" s="49" t="s">
        <v>228</v>
      </c>
      <c r="S100" s="89">
        <f t="shared" si="135"/>
        <v>4</v>
      </c>
      <c r="T100" s="51">
        <f>'05.02'!BG100</f>
        <v>0</v>
      </c>
      <c r="U100" s="92"/>
      <c r="V100" s="100">
        <v>0.71699999999999997</v>
      </c>
      <c r="W100" s="93">
        <f t="shared" si="114"/>
        <v>0</v>
      </c>
      <c r="X100" s="93">
        <f t="shared" si="115"/>
        <v>0</v>
      </c>
      <c r="Y100" s="93">
        <f t="shared" si="116"/>
        <v>0</v>
      </c>
      <c r="Z100" s="93">
        <f t="shared" si="117"/>
        <v>0</v>
      </c>
      <c r="AA100" s="93">
        <f t="shared" si="118"/>
        <v>0</v>
      </c>
      <c r="AB100" s="93">
        <f t="shared" si="119"/>
        <v>0</v>
      </c>
      <c r="AC100" s="93">
        <f t="shared" si="120"/>
        <v>0</v>
      </c>
      <c r="AD100" s="93">
        <f t="shared" si="121"/>
        <v>0</v>
      </c>
      <c r="AE100" s="93">
        <f t="shared" si="136"/>
        <v>0</v>
      </c>
      <c r="AF100" s="54">
        <f>AE100+'05.02'!AF100</f>
        <v>286</v>
      </c>
      <c r="AG100" s="94">
        <f t="shared" si="162"/>
        <v>0</v>
      </c>
      <c r="AH100" s="56">
        <f t="shared" si="137"/>
        <v>0</v>
      </c>
      <c r="AI100" s="93"/>
      <c r="AJ100" s="93">
        <f t="shared" si="163"/>
        <v>0</v>
      </c>
      <c r="AK100" s="95">
        <f t="shared" si="138"/>
        <v>1</v>
      </c>
      <c r="AL100" s="58">
        <f t="shared" si="174"/>
        <v>0</v>
      </c>
      <c r="AM100" s="55">
        <f t="shared" si="164"/>
        <v>0</v>
      </c>
      <c r="AN100" s="93"/>
      <c r="AO100" s="96"/>
      <c r="AP100" s="96"/>
      <c r="AQ100" s="96"/>
      <c r="AR100" s="96"/>
      <c r="AS100" s="96"/>
      <c r="AT100" s="96">
        <f t="shared" si="187"/>
        <v>0</v>
      </c>
      <c r="AU100" s="96">
        <f t="shared" si="139"/>
        <v>0</v>
      </c>
      <c r="AV100" s="96">
        <f t="shared" si="139"/>
        <v>0</v>
      </c>
      <c r="AW100" s="96">
        <f t="shared" si="140"/>
        <v>0</v>
      </c>
      <c r="AX100" s="96">
        <f t="shared" si="141"/>
        <v>0</v>
      </c>
      <c r="AY100" s="94">
        <f t="shared" si="165"/>
        <v>0</v>
      </c>
      <c r="AZ100" s="94">
        <f t="shared" si="142"/>
        <v>0</v>
      </c>
      <c r="BA100" s="94">
        <f t="shared" si="171"/>
        <v>0</v>
      </c>
      <c r="BB100" s="97">
        <f t="shared" si="172"/>
        <v>0</v>
      </c>
      <c r="BC100" s="93"/>
      <c r="BD100" s="93">
        <f t="shared" si="143"/>
        <v>0</v>
      </c>
      <c r="BE100" s="95">
        <f t="shared" si="144"/>
        <v>1</v>
      </c>
      <c r="BF100" s="58">
        <f t="shared" si="175"/>
        <v>0</v>
      </c>
      <c r="BG100" s="94">
        <f t="shared" si="145"/>
        <v>0</v>
      </c>
      <c r="BH100" s="89"/>
      <c r="BI100" s="89"/>
      <c r="BJ100" s="89"/>
      <c r="BK100" s="89"/>
      <c r="BL100" s="89"/>
      <c r="BM100" s="89"/>
      <c r="BN100" s="92">
        <f>$CN100</f>
        <v>0</v>
      </c>
      <c r="BO100" s="92">
        <f t="shared" si="166"/>
        <v>0</v>
      </c>
      <c r="BP100" s="92">
        <f t="shared" si="166"/>
        <v>0</v>
      </c>
      <c r="BQ100" s="96">
        <f t="shared" si="146"/>
        <v>0</v>
      </c>
      <c r="BR100" s="96">
        <f t="shared" si="147"/>
        <v>0</v>
      </c>
      <c r="BS100" s="96">
        <f t="shared" si="167"/>
        <v>0</v>
      </c>
      <c r="BT100" s="96">
        <f t="shared" si="148"/>
        <v>0</v>
      </c>
      <c r="BU100" s="92">
        <f t="shared" si="122"/>
        <v>0</v>
      </c>
      <c r="BV100" s="98">
        <f t="shared" si="168"/>
        <v>0</v>
      </c>
      <c r="BW100" s="92">
        <f t="shared" si="123"/>
        <v>0</v>
      </c>
      <c r="BX100" s="98">
        <f t="shared" si="149"/>
        <v>0</v>
      </c>
      <c r="BY100" s="61">
        <f>IFERROR(BF100+AL100,0)</f>
        <v>0</v>
      </c>
      <c r="BZ100" s="62">
        <f t="shared" si="150"/>
        <v>0</v>
      </c>
      <c r="CA100" s="98">
        <f t="shared" si="151"/>
        <v>0</v>
      </c>
      <c r="CB100" s="92">
        <f t="shared" si="124"/>
        <v>0</v>
      </c>
      <c r="CC100" s="92">
        <f t="shared" si="124"/>
        <v>0</v>
      </c>
      <c r="CD100" s="92">
        <f t="shared" si="124"/>
        <v>0</v>
      </c>
      <c r="CE100" s="99"/>
      <c r="CF100" s="99"/>
      <c r="CG100" s="51">
        <f t="shared" si="152"/>
        <v>0</v>
      </c>
      <c r="CH100" s="62">
        <f t="shared" si="153"/>
        <v>0</v>
      </c>
      <c r="CI100" s="89"/>
      <c r="CJ100" s="89"/>
      <c r="CK100" s="89"/>
      <c r="CL100" s="96"/>
      <c r="CM100" s="89"/>
      <c r="CN100" s="89"/>
      <c r="CO100" s="92"/>
      <c r="CP100" s="101"/>
      <c r="CQ100" s="102">
        <f t="shared" si="188"/>
        <v>0</v>
      </c>
      <c r="CR100" s="102">
        <f t="shared" si="188"/>
        <v>0</v>
      </c>
      <c r="CS100" s="102">
        <f t="shared" si="188"/>
        <v>0</v>
      </c>
      <c r="CT100" s="92">
        <f t="shared" si="154"/>
        <v>0</v>
      </c>
      <c r="CU100" s="92">
        <f t="shared" si="102"/>
        <v>0</v>
      </c>
      <c r="CV100" s="103">
        <f t="shared" si="102"/>
        <v>0</v>
      </c>
      <c r="CW100" s="104"/>
      <c r="CX100" s="105">
        <v>60</v>
      </c>
      <c r="CY100" s="106">
        <f t="shared" si="155"/>
        <v>710</v>
      </c>
      <c r="CZ100" s="106">
        <f t="shared" si="156"/>
        <v>486.00000000000006</v>
      </c>
      <c r="DA100" s="106"/>
      <c r="DB100" s="106"/>
      <c r="DC100" s="105"/>
      <c r="DD100" s="107"/>
      <c r="DE100" s="92">
        <f t="shared" si="125"/>
        <v>0</v>
      </c>
      <c r="DF100" s="108">
        <f t="shared" si="126"/>
        <v>0</v>
      </c>
      <c r="DG100" s="115">
        <f t="shared" si="127"/>
        <v>0</v>
      </c>
      <c r="DH100" s="110">
        <f t="shared" si="128"/>
        <v>0</v>
      </c>
      <c r="DI100" s="108">
        <f t="shared" si="129"/>
        <v>0</v>
      </c>
      <c r="DJ100" s="112">
        <f t="shared" si="130"/>
        <v>0</v>
      </c>
      <c r="DK100" s="110">
        <f t="shared" si="181"/>
        <v>0</v>
      </c>
      <c r="DL100" s="108">
        <f t="shared" si="181"/>
        <v>0</v>
      </c>
      <c r="DM100" s="111">
        <f t="shared" si="181"/>
        <v>0</v>
      </c>
      <c r="DN100" s="76">
        <f t="shared" si="182"/>
        <v>0</v>
      </c>
      <c r="DO100" s="76">
        <f t="shared" si="182"/>
        <v>0</v>
      </c>
      <c r="DP100" s="112"/>
      <c r="DQ100" s="112"/>
      <c r="DR100" s="113"/>
      <c r="DS100" s="112"/>
      <c r="DT100" s="112"/>
      <c r="DU100" s="111"/>
      <c r="DV100" s="114"/>
      <c r="DW100" s="80">
        <f t="shared" si="157"/>
        <v>0</v>
      </c>
      <c r="DX100" s="81">
        <f t="shared" si="131"/>
        <v>0</v>
      </c>
      <c r="DY100" s="80">
        <f t="shared" si="158"/>
        <v>0</v>
      </c>
      <c r="DZ100" s="82">
        <f t="shared" si="159"/>
        <v>0</v>
      </c>
      <c r="EA100" s="82">
        <f t="shared" si="160"/>
        <v>0</v>
      </c>
      <c r="EB100" s="82">
        <f t="shared" si="161"/>
        <v>0</v>
      </c>
      <c r="EC100" s="82">
        <f t="shared" si="178"/>
        <v>0</v>
      </c>
      <c r="EF100" s="83">
        <f t="shared" si="183"/>
        <v>0</v>
      </c>
    </row>
    <row r="101" spans="1:136" ht="15" customHeight="1">
      <c r="A101" s="84">
        <v>94</v>
      </c>
      <c r="B101" s="85" t="s">
        <v>395</v>
      </c>
      <c r="C101" s="86"/>
      <c r="D101" s="165" t="s">
        <v>488</v>
      </c>
      <c r="E101" s="88">
        <v>101</v>
      </c>
      <c r="F101" s="89" t="s">
        <v>136</v>
      </c>
      <c r="G101" s="45" t="str">
        <f t="shared" si="132"/>
        <v>IBC3604-H7x3-H11C14</v>
      </c>
      <c r="H101" s="46" t="str">
        <f t="shared" si="133"/>
        <v>C3604IB70HH11</v>
      </c>
      <c r="I101" s="46" t="str">
        <f t="shared" si="134"/>
        <v>C3604IB70HH113C14</v>
      </c>
      <c r="J101" s="90" t="s">
        <v>148</v>
      </c>
      <c r="K101" s="90" t="s">
        <v>156</v>
      </c>
      <c r="L101" s="90">
        <v>7</v>
      </c>
      <c r="M101" s="90">
        <v>0</v>
      </c>
      <c r="N101" s="90" t="s">
        <v>160</v>
      </c>
      <c r="O101" s="90" t="s">
        <v>161</v>
      </c>
      <c r="P101" s="90">
        <v>3</v>
      </c>
      <c r="Q101" s="91">
        <v>1.08</v>
      </c>
      <c r="R101" s="90" t="s">
        <v>144</v>
      </c>
      <c r="S101" s="89">
        <f t="shared" si="135"/>
        <v>6</v>
      </c>
      <c r="T101" s="51">
        <f>'05.02'!BG101</f>
        <v>0</v>
      </c>
      <c r="U101" s="92"/>
      <c r="V101" s="100">
        <v>5.33</v>
      </c>
      <c r="W101" s="93">
        <f t="shared" si="114"/>
        <v>0</v>
      </c>
      <c r="X101" s="93">
        <f t="shared" si="115"/>
        <v>0</v>
      </c>
      <c r="Y101" s="93">
        <f t="shared" si="116"/>
        <v>0</v>
      </c>
      <c r="Z101" s="93">
        <f t="shared" si="117"/>
        <v>0</v>
      </c>
      <c r="AA101" s="93">
        <f t="shared" si="118"/>
        <v>0</v>
      </c>
      <c r="AB101" s="93">
        <f t="shared" si="119"/>
        <v>0</v>
      </c>
      <c r="AC101" s="93">
        <f t="shared" si="120"/>
        <v>0</v>
      </c>
      <c r="AD101" s="93">
        <f t="shared" si="121"/>
        <v>0</v>
      </c>
      <c r="AE101" s="93">
        <f t="shared" si="136"/>
        <v>0</v>
      </c>
      <c r="AF101" s="54">
        <f>AE101+'05.02'!AF101</f>
        <v>163</v>
      </c>
      <c r="AG101" s="94">
        <f t="shared" si="162"/>
        <v>0</v>
      </c>
      <c r="AH101" s="56">
        <f t="shared" si="137"/>
        <v>0</v>
      </c>
      <c r="AI101" s="93"/>
      <c r="AJ101" s="93">
        <f t="shared" si="163"/>
        <v>0</v>
      </c>
      <c r="AK101" s="95">
        <f t="shared" si="138"/>
        <v>1</v>
      </c>
      <c r="AL101" s="58">
        <f t="shared" si="174"/>
        <v>0</v>
      </c>
      <c r="AM101" s="55">
        <f t="shared" si="164"/>
        <v>0</v>
      </c>
      <c r="AN101" s="93"/>
      <c r="AO101" s="96"/>
      <c r="AP101" s="96"/>
      <c r="AQ101" s="96"/>
      <c r="AR101" s="96"/>
      <c r="AS101" s="96"/>
      <c r="AT101" s="96">
        <f>$CJ101</f>
        <v>0</v>
      </c>
      <c r="AU101" s="96">
        <f t="shared" si="139"/>
        <v>0</v>
      </c>
      <c r="AV101" s="96">
        <f t="shared" si="139"/>
        <v>0</v>
      </c>
      <c r="AW101" s="96">
        <f t="shared" si="140"/>
        <v>0</v>
      </c>
      <c r="AX101" s="96">
        <f t="shared" si="141"/>
        <v>0</v>
      </c>
      <c r="AY101" s="94">
        <f t="shared" si="165"/>
        <v>0</v>
      </c>
      <c r="AZ101" s="94">
        <f t="shared" si="142"/>
        <v>0</v>
      </c>
      <c r="BA101" s="94">
        <f t="shared" si="171"/>
        <v>0</v>
      </c>
      <c r="BB101" s="97">
        <f t="shared" si="172"/>
        <v>0</v>
      </c>
      <c r="BC101" s="93"/>
      <c r="BD101" s="93">
        <f t="shared" si="143"/>
        <v>0</v>
      </c>
      <c r="BE101" s="95">
        <f t="shared" si="144"/>
        <v>1</v>
      </c>
      <c r="BF101" s="58">
        <f t="shared" si="175"/>
        <v>0</v>
      </c>
      <c r="BG101" s="94">
        <f t="shared" si="145"/>
        <v>0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6"/>
        <v>0</v>
      </c>
      <c r="BP101" s="92">
        <f t="shared" si="166"/>
        <v>0</v>
      </c>
      <c r="BQ101" s="96">
        <f t="shared" si="146"/>
        <v>0</v>
      </c>
      <c r="BR101" s="96">
        <f t="shared" si="147"/>
        <v>0</v>
      </c>
      <c r="BS101" s="96">
        <f t="shared" si="167"/>
        <v>0</v>
      </c>
      <c r="BT101" s="96">
        <f t="shared" si="148"/>
        <v>0</v>
      </c>
      <c r="BU101" s="92">
        <f t="shared" si="122"/>
        <v>0</v>
      </c>
      <c r="BV101" s="98">
        <f t="shared" si="168"/>
        <v>0</v>
      </c>
      <c r="BW101" s="92">
        <f t="shared" si="123"/>
        <v>0</v>
      </c>
      <c r="BX101" s="98">
        <f t="shared" si="149"/>
        <v>0</v>
      </c>
      <c r="BY101" s="61">
        <f t="shared" si="173"/>
        <v>0</v>
      </c>
      <c r="BZ101" s="62">
        <f t="shared" si="150"/>
        <v>0</v>
      </c>
      <c r="CA101" s="98">
        <f t="shared" si="151"/>
        <v>0</v>
      </c>
      <c r="CB101" s="92">
        <f t="shared" si="124"/>
        <v>0</v>
      </c>
      <c r="CC101" s="92">
        <f t="shared" si="124"/>
        <v>0</v>
      </c>
      <c r="CD101" s="92">
        <f t="shared" si="124"/>
        <v>0</v>
      </c>
      <c r="CE101" s="99"/>
      <c r="CF101" s="99"/>
      <c r="CG101" s="51">
        <f t="shared" si="152"/>
        <v>0</v>
      </c>
      <c r="CH101" s="62">
        <f t="shared" si="153"/>
        <v>0</v>
      </c>
      <c r="CI101" s="89"/>
      <c r="CJ101" s="89"/>
      <c r="CK101" s="89"/>
      <c r="CL101" s="96"/>
      <c r="CM101" s="89"/>
      <c r="CN101" s="89"/>
      <c r="CO101" s="92"/>
      <c r="CP101" s="101"/>
      <c r="CQ101" s="102">
        <f t="shared" si="188"/>
        <v>0</v>
      </c>
      <c r="CR101" s="102">
        <f t="shared" si="188"/>
        <v>0</v>
      </c>
      <c r="CS101" s="102">
        <f t="shared" si="188"/>
        <v>0</v>
      </c>
      <c r="CT101" s="92">
        <f t="shared" si="154"/>
        <v>0</v>
      </c>
      <c r="CU101" s="92">
        <f t="shared" si="102"/>
        <v>0</v>
      </c>
      <c r="CV101" s="103">
        <f t="shared" si="102"/>
        <v>0</v>
      </c>
      <c r="CW101" s="104"/>
      <c r="CX101" s="105">
        <v>128</v>
      </c>
      <c r="CY101" s="106">
        <f t="shared" si="155"/>
        <v>328</v>
      </c>
      <c r="CZ101" s="106">
        <f t="shared" si="156"/>
        <v>1036.8000000000002</v>
      </c>
      <c r="DA101" s="106"/>
      <c r="DB101" s="106"/>
      <c r="DC101" s="105"/>
      <c r="DD101" s="107"/>
      <c r="DE101" s="92">
        <f t="shared" si="125"/>
        <v>0</v>
      </c>
      <c r="DF101" s="108">
        <f t="shared" si="126"/>
        <v>0</v>
      </c>
      <c r="DG101" s="115">
        <f t="shared" si="127"/>
        <v>0</v>
      </c>
      <c r="DH101" s="110">
        <f t="shared" si="128"/>
        <v>0</v>
      </c>
      <c r="DI101" s="108">
        <f t="shared" si="129"/>
        <v>0</v>
      </c>
      <c r="DJ101" s="112">
        <f t="shared" si="130"/>
        <v>0</v>
      </c>
      <c r="DK101" s="110">
        <f t="shared" si="181"/>
        <v>0</v>
      </c>
      <c r="DL101" s="108">
        <f t="shared" si="181"/>
        <v>0</v>
      </c>
      <c r="DM101" s="111">
        <f t="shared" si="181"/>
        <v>0</v>
      </c>
      <c r="DN101" s="76">
        <f t="shared" si="182"/>
        <v>0</v>
      </c>
      <c r="DO101" s="76">
        <f t="shared" si="182"/>
        <v>0</v>
      </c>
      <c r="DP101" s="112"/>
      <c r="DQ101" s="112"/>
      <c r="DR101" s="113"/>
      <c r="DS101" s="112"/>
      <c r="DT101" s="112"/>
      <c r="DU101" s="111"/>
      <c r="DV101" s="114"/>
      <c r="DW101" s="80">
        <f t="shared" si="157"/>
        <v>0</v>
      </c>
      <c r="DX101" s="81">
        <f t="shared" si="131"/>
        <v>0</v>
      </c>
      <c r="DY101" s="80">
        <f t="shared" si="158"/>
        <v>0</v>
      </c>
      <c r="DZ101" s="82">
        <f t="shared" si="159"/>
        <v>0</v>
      </c>
      <c r="EA101" s="82">
        <f t="shared" si="160"/>
        <v>0</v>
      </c>
      <c r="EB101" s="82">
        <f t="shared" si="161"/>
        <v>0</v>
      </c>
      <c r="EC101" s="82">
        <f t="shared" si="178"/>
        <v>0</v>
      </c>
      <c r="EF101" s="83">
        <f t="shared" si="183"/>
        <v>0</v>
      </c>
    </row>
    <row r="102" spans="1:136" ht="15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2"/>
        <v>-xx-</v>
      </c>
      <c r="H102" s="46" t="str">
        <f t="shared" si="133"/>
        <v/>
      </c>
      <c r="I102" s="46" t="str">
        <f t="shared" si="134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5"/>
        <v>#DIV/0!</v>
      </c>
      <c r="T102" s="51">
        <f>'05.02'!BG102</f>
        <v>0</v>
      </c>
      <c r="U102" s="92"/>
      <c r="V102" s="100">
        <v>1</v>
      </c>
      <c r="W102" s="93">
        <f t="shared" si="114"/>
        <v>0</v>
      </c>
      <c r="X102" s="93">
        <f t="shared" si="115"/>
        <v>0</v>
      </c>
      <c r="Y102" s="93">
        <f t="shared" si="116"/>
        <v>0</v>
      </c>
      <c r="Z102" s="93">
        <f t="shared" si="117"/>
        <v>0</v>
      </c>
      <c r="AA102" s="93">
        <f t="shared" si="118"/>
        <v>0</v>
      </c>
      <c r="AB102" s="93">
        <f t="shared" si="119"/>
        <v>0</v>
      </c>
      <c r="AC102" s="93">
        <f t="shared" si="120"/>
        <v>0</v>
      </c>
      <c r="AD102" s="93">
        <f t="shared" si="121"/>
        <v>0</v>
      </c>
      <c r="AE102" s="93">
        <f t="shared" si="136"/>
        <v>0</v>
      </c>
      <c r="AF102" s="54">
        <f>AE102+'05.02'!AF102</f>
        <v>0</v>
      </c>
      <c r="AG102" s="94">
        <f t="shared" si="162"/>
        <v>0</v>
      </c>
      <c r="AH102" s="56">
        <f t="shared" si="137"/>
        <v>0</v>
      </c>
      <c r="AI102" s="93"/>
      <c r="AJ102" s="93">
        <f t="shared" si="163"/>
        <v>0</v>
      </c>
      <c r="AK102" s="95">
        <f>IF(V102="","",IF(AJ102=0,1,AJ102/$V102/$E102))</f>
        <v>1</v>
      </c>
      <c r="AL102" s="58">
        <f t="shared" si="174"/>
        <v>0</v>
      </c>
      <c r="AM102" s="55">
        <f t="shared" si="164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39"/>
        <v>0</v>
      </c>
      <c r="AV102" s="96">
        <f t="shared" si="139"/>
        <v>0</v>
      </c>
      <c r="AW102" s="96">
        <f t="shared" si="140"/>
        <v>0</v>
      </c>
      <c r="AX102" s="96">
        <f t="shared" si="141"/>
        <v>0</v>
      </c>
      <c r="AY102" s="94">
        <f t="shared" si="165"/>
        <v>0</v>
      </c>
      <c r="AZ102" s="94">
        <f t="shared" si="142"/>
        <v>0</v>
      </c>
      <c r="BA102" s="94">
        <f t="shared" si="171"/>
        <v>0</v>
      </c>
      <c r="BB102" s="97">
        <f t="shared" si="172"/>
        <v>0</v>
      </c>
      <c r="BC102" s="93"/>
      <c r="BD102" s="93">
        <f t="shared" si="143"/>
        <v>0</v>
      </c>
      <c r="BE102" s="95">
        <f t="shared" si="144"/>
        <v>1</v>
      </c>
      <c r="BF102" s="58">
        <f t="shared" si="175"/>
        <v>0</v>
      </c>
      <c r="BG102" s="94">
        <f t="shared" si="145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6"/>
        <v>0</v>
      </c>
      <c r="BP102" s="92">
        <f t="shared" si="166"/>
        <v>0</v>
      </c>
      <c r="BQ102" s="96">
        <f t="shared" si="146"/>
        <v>0</v>
      </c>
      <c r="BR102" s="96">
        <f t="shared" si="147"/>
        <v>0</v>
      </c>
      <c r="BS102" s="96">
        <f t="shared" si="167"/>
        <v>0</v>
      </c>
      <c r="BT102" s="96">
        <f t="shared" si="148"/>
        <v>0</v>
      </c>
      <c r="BU102" s="92">
        <f t="shared" si="122"/>
        <v>0</v>
      </c>
      <c r="BV102" s="98">
        <f t="shared" si="168"/>
        <v>0</v>
      </c>
      <c r="BW102" s="92">
        <f t="shared" si="123"/>
        <v>0</v>
      </c>
      <c r="BX102" s="98" t="str">
        <f t="shared" si="149"/>
        <v/>
      </c>
      <c r="BY102" s="61">
        <f t="shared" si="173"/>
        <v>0</v>
      </c>
      <c r="BZ102" s="62">
        <f t="shared" si="150"/>
        <v>0</v>
      </c>
      <c r="CA102" s="98">
        <f t="shared" si="151"/>
        <v>0</v>
      </c>
      <c r="CB102" s="92">
        <f t="shared" si="124"/>
        <v>0</v>
      </c>
      <c r="CC102" s="92">
        <f t="shared" si="124"/>
        <v>0</v>
      </c>
      <c r="CD102" s="92">
        <f t="shared" si="124"/>
        <v>0</v>
      </c>
      <c r="CE102" s="99"/>
      <c r="CF102" s="99"/>
      <c r="CG102" s="51">
        <f t="shared" si="152"/>
        <v>0</v>
      </c>
      <c r="CH102" s="62">
        <f t="shared" si="153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88"/>
        <v>0</v>
      </c>
      <c r="CR102" s="102">
        <f t="shared" si="188"/>
        <v>0</v>
      </c>
      <c r="CS102" s="102">
        <f t="shared" si="188"/>
        <v>0</v>
      </c>
      <c r="CT102" s="92">
        <f t="shared" si="154"/>
        <v>0</v>
      </c>
      <c r="CU102" s="92">
        <f t="shared" si="102"/>
        <v>0</v>
      </c>
      <c r="CV102" s="103">
        <f t="shared" si="102"/>
        <v>0</v>
      </c>
      <c r="CW102" s="104"/>
      <c r="CX102" s="105"/>
      <c r="CY102" s="106" t="e">
        <f t="shared" si="155"/>
        <v>#DIV/0!</v>
      </c>
      <c r="CZ102" s="106">
        <f t="shared" si="156"/>
        <v>0</v>
      </c>
      <c r="DA102" s="106"/>
      <c r="DB102" s="106"/>
      <c r="DC102" s="105"/>
      <c r="DD102" s="107"/>
      <c r="DE102" s="92">
        <f t="shared" si="125"/>
        <v>0</v>
      </c>
      <c r="DF102" s="108">
        <f t="shared" si="126"/>
        <v>0</v>
      </c>
      <c r="DG102" s="115">
        <f t="shared" si="127"/>
        <v>0</v>
      </c>
      <c r="DH102" s="110">
        <f t="shared" si="128"/>
        <v>0</v>
      </c>
      <c r="DI102" s="108">
        <f t="shared" si="129"/>
        <v>0</v>
      </c>
      <c r="DJ102" s="112">
        <f t="shared" si="130"/>
        <v>0</v>
      </c>
      <c r="DK102" s="110">
        <f t="shared" si="181"/>
        <v>0</v>
      </c>
      <c r="DL102" s="108">
        <f t="shared" si="181"/>
        <v>0</v>
      </c>
      <c r="DM102" s="111">
        <f t="shared" si="181"/>
        <v>0</v>
      </c>
      <c r="DN102" s="76">
        <f t="shared" si="182"/>
        <v>0</v>
      </c>
      <c r="DO102" s="76">
        <f t="shared" si="182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7"/>
        <v>0</v>
      </c>
      <c r="DX102" s="81">
        <f t="shared" si="131"/>
        <v>0</v>
      </c>
      <c r="DY102" s="80">
        <f t="shared" si="158"/>
        <v>0</v>
      </c>
      <c r="DZ102" s="82">
        <f t="shared" si="159"/>
        <v>0</v>
      </c>
      <c r="EA102" s="82">
        <f t="shared" si="160"/>
        <v>0</v>
      </c>
      <c r="EB102" s="82" t="e">
        <f t="shared" si="161"/>
        <v>#VALUE!</v>
      </c>
      <c r="EC102" s="82" t="e">
        <f t="shared" si="178"/>
        <v>#VALUE!</v>
      </c>
    </row>
    <row r="103" spans="1:136" ht="15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2"/>
        <v>TVSUS303-5x3-H7B13</v>
      </c>
      <c r="H103" s="46" t="str">
        <f t="shared" si="133"/>
        <v>SUS303TV50DH7</v>
      </c>
      <c r="I103" s="46" t="str">
        <f t="shared" si="134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5"/>
        <v>2</v>
      </c>
      <c r="T103" s="51">
        <f>'05.02'!BG103</f>
        <v>0</v>
      </c>
      <c r="U103" s="92"/>
      <c r="V103" s="100">
        <v>0.1</v>
      </c>
      <c r="W103" s="93">
        <f t="shared" si="114"/>
        <v>0</v>
      </c>
      <c r="X103" s="93">
        <f t="shared" si="115"/>
        <v>0</v>
      </c>
      <c r="Y103" s="93">
        <f t="shared" si="116"/>
        <v>0</v>
      </c>
      <c r="Z103" s="93">
        <f t="shared" si="117"/>
        <v>0</v>
      </c>
      <c r="AA103" s="93">
        <f t="shared" si="118"/>
        <v>0</v>
      </c>
      <c r="AB103" s="93">
        <f t="shared" si="119"/>
        <v>0</v>
      </c>
      <c r="AC103" s="93">
        <f t="shared" si="120"/>
        <v>0</v>
      </c>
      <c r="AD103" s="93">
        <f t="shared" si="121"/>
        <v>0</v>
      </c>
      <c r="AE103" s="93">
        <f t="shared" si="136"/>
        <v>0</v>
      </c>
      <c r="AF103" s="54">
        <f>AE103+'05.02'!AF103</f>
        <v>0</v>
      </c>
      <c r="AG103" s="94">
        <f t="shared" si="162"/>
        <v>0</v>
      </c>
      <c r="AH103" s="56">
        <f t="shared" si="137"/>
        <v>0</v>
      </c>
      <c r="AI103" s="93"/>
      <c r="AJ103" s="93">
        <f t="shared" si="163"/>
        <v>0</v>
      </c>
      <c r="AK103" s="95">
        <f t="shared" ref="AK103:AK106" si="189">IF(V103="","",IF(AJ103=0,1,AJ103/$V103/$E103))</f>
        <v>1</v>
      </c>
      <c r="AL103" s="58">
        <f t="shared" si="174"/>
        <v>0</v>
      </c>
      <c r="AM103" s="55">
        <f t="shared" si="164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39"/>
        <v>0</v>
      </c>
      <c r="AV103" s="96">
        <f t="shared" si="139"/>
        <v>0</v>
      </c>
      <c r="AW103" s="96">
        <f t="shared" si="140"/>
        <v>0</v>
      </c>
      <c r="AX103" s="96">
        <f t="shared" si="141"/>
        <v>0</v>
      </c>
      <c r="AY103" s="94">
        <f t="shared" si="165"/>
        <v>0</v>
      </c>
      <c r="AZ103" s="94">
        <f t="shared" si="142"/>
        <v>0</v>
      </c>
      <c r="BA103" s="94">
        <f t="shared" si="171"/>
        <v>0</v>
      </c>
      <c r="BB103" s="97">
        <f t="shared" si="172"/>
        <v>0</v>
      </c>
      <c r="BC103" s="93"/>
      <c r="BD103" s="93">
        <f t="shared" si="143"/>
        <v>0</v>
      </c>
      <c r="BE103" s="95">
        <f t="shared" si="144"/>
        <v>1</v>
      </c>
      <c r="BF103" s="58">
        <f t="shared" si="175"/>
        <v>0</v>
      </c>
      <c r="BG103" s="94">
        <f t="shared" si="145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6"/>
        <v>0</v>
      </c>
      <c r="BP103" s="92">
        <f t="shared" si="166"/>
        <v>0</v>
      </c>
      <c r="BQ103" s="96">
        <f t="shared" si="146"/>
        <v>0</v>
      </c>
      <c r="BR103" s="96">
        <f t="shared" si="147"/>
        <v>0</v>
      </c>
      <c r="BS103" s="96">
        <f t="shared" si="167"/>
        <v>0</v>
      </c>
      <c r="BT103" s="96">
        <f t="shared" si="148"/>
        <v>0</v>
      </c>
      <c r="BU103" s="92">
        <f t="shared" si="122"/>
        <v>0</v>
      </c>
      <c r="BV103" s="98">
        <f t="shared" si="168"/>
        <v>0</v>
      </c>
      <c r="BW103" s="92">
        <f t="shared" si="123"/>
        <v>0</v>
      </c>
      <c r="BX103" s="98">
        <f t="shared" si="149"/>
        <v>0</v>
      </c>
      <c r="BY103" s="61">
        <f t="shared" si="173"/>
        <v>0</v>
      </c>
      <c r="BZ103" s="62">
        <f t="shared" si="150"/>
        <v>0</v>
      </c>
      <c r="CA103" s="98">
        <f t="shared" si="151"/>
        <v>0</v>
      </c>
      <c r="CB103" s="92">
        <f t="shared" si="124"/>
        <v>0</v>
      </c>
      <c r="CC103" s="92">
        <f t="shared" si="124"/>
        <v>0</v>
      </c>
      <c r="CD103" s="92">
        <f t="shared" si="124"/>
        <v>0</v>
      </c>
      <c r="CE103" s="99"/>
      <c r="CF103" s="99"/>
      <c r="CG103" s="51">
        <f t="shared" si="152"/>
        <v>0</v>
      </c>
      <c r="CH103" s="62">
        <f t="shared" si="153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88"/>
        <v>0</v>
      </c>
      <c r="CR103" s="102">
        <f t="shared" si="188"/>
        <v>0</v>
      </c>
      <c r="CS103" s="102">
        <f t="shared" si="188"/>
        <v>0</v>
      </c>
      <c r="CT103" s="92">
        <f t="shared" si="154"/>
        <v>0</v>
      </c>
      <c r="CU103" s="92">
        <f t="shared" si="102"/>
        <v>0</v>
      </c>
      <c r="CV103" s="103">
        <f t="shared" si="102"/>
        <v>0</v>
      </c>
      <c r="CW103" s="104"/>
      <c r="CX103" s="105">
        <v>90</v>
      </c>
      <c r="CY103" s="106">
        <f t="shared" si="155"/>
        <v>476</v>
      </c>
      <c r="CZ103" s="106">
        <f t="shared" si="156"/>
        <v>729</v>
      </c>
      <c r="DA103" s="106"/>
      <c r="DB103" s="106"/>
      <c r="DC103" s="105"/>
      <c r="DD103" s="107"/>
      <c r="DE103" s="92">
        <f t="shared" si="125"/>
        <v>0</v>
      </c>
      <c r="DF103" s="108">
        <f t="shared" si="126"/>
        <v>0</v>
      </c>
      <c r="DG103" s="115">
        <f t="shared" si="127"/>
        <v>0</v>
      </c>
      <c r="DH103" s="110">
        <f t="shared" si="128"/>
        <v>0</v>
      </c>
      <c r="DI103" s="108">
        <f t="shared" si="129"/>
        <v>0</v>
      </c>
      <c r="DJ103" s="112">
        <f t="shared" si="130"/>
        <v>0</v>
      </c>
      <c r="DK103" s="110">
        <f t="shared" si="181"/>
        <v>0</v>
      </c>
      <c r="DL103" s="108">
        <f t="shared" si="181"/>
        <v>0</v>
      </c>
      <c r="DM103" s="111">
        <f t="shared" si="181"/>
        <v>0</v>
      </c>
      <c r="DN103" s="76">
        <f t="shared" si="182"/>
        <v>0</v>
      </c>
      <c r="DO103" s="76">
        <f t="shared" si="182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7"/>
        <v>0</v>
      </c>
      <c r="DX103" s="81">
        <f t="shared" si="131"/>
        <v>0</v>
      </c>
      <c r="DY103" s="80">
        <f t="shared" si="158"/>
        <v>0</v>
      </c>
      <c r="DZ103" s="82">
        <f t="shared" si="159"/>
        <v>0</v>
      </c>
      <c r="EA103" s="82">
        <f t="shared" si="160"/>
        <v>0</v>
      </c>
      <c r="EB103" s="82">
        <f t="shared" si="161"/>
        <v>0</v>
      </c>
      <c r="EC103" s="82">
        <f t="shared" si="178"/>
        <v>0</v>
      </c>
      <c r="EF103" s="83">
        <f t="shared" ref="EF103:EF106" si="190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2"/>
        <v>TVSUS303-6x2.5-H9A14</v>
      </c>
      <c r="H104" s="46" t="str">
        <f t="shared" si="133"/>
        <v>SUS303TV60DH9</v>
      </c>
      <c r="I104" s="46" t="str">
        <f t="shared" si="134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5"/>
        <v>20</v>
      </c>
      <c r="T104" s="51">
        <f>'05.02'!BG104</f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5"/>
        <v>0</v>
      </c>
      <c r="Y104" s="93">
        <f t="shared" si="116"/>
        <v>0</v>
      </c>
      <c r="Z104" s="93">
        <f t="shared" si="117"/>
        <v>0</v>
      </c>
      <c r="AA104" s="93">
        <f t="shared" si="118"/>
        <v>0</v>
      </c>
      <c r="AB104" s="93">
        <f t="shared" si="119"/>
        <v>0</v>
      </c>
      <c r="AC104" s="93">
        <f t="shared" si="120"/>
        <v>0</v>
      </c>
      <c r="AD104" s="93">
        <f t="shared" si="121"/>
        <v>0</v>
      </c>
      <c r="AE104" s="93">
        <f t="shared" si="136"/>
        <v>0</v>
      </c>
      <c r="AF104" s="54">
        <f>AE104+'05.02'!AF104</f>
        <v>0</v>
      </c>
      <c r="AG104" s="94">
        <f t="shared" si="162"/>
        <v>18</v>
      </c>
      <c r="AH104" s="56">
        <f t="shared" si="137"/>
        <v>0</v>
      </c>
      <c r="AI104" s="93"/>
      <c r="AJ104" s="93">
        <f t="shared" si="163"/>
        <v>0</v>
      </c>
      <c r="AK104" s="95">
        <f t="shared" si="189"/>
        <v>1</v>
      </c>
      <c r="AL104" s="58">
        <f t="shared" si="174"/>
        <v>0</v>
      </c>
      <c r="AM104" s="55">
        <f t="shared" si="164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39"/>
        <v>0</v>
      </c>
      <c r="AV104" s="96">
        <f t="shared" si="139"/>
        <v>0</v>
      </c>
      <c r="AW104" s="96">
        <f t="shared" si="140"/>
        <v>0</v>
      </c>
      <c r="AX104" s="96">
        <f t="shared" si="141"/>
        <v>0</v>
      </c>
      <c r="AY104" s="94">
        <f t="shared" si="165"/>
        <v>0</v>
      </c>
      <c r="AZ104" s="94">
        <f t="shared" si="142"/>
        <v>0</v>
      </c>
      <c r="BA104" s="94">
        <f t="shared" si="171"/>
        <v>18</v>
      </c>
      <c r="BB104" s="97">
        <f t="shared" si="172"/>
        <v>0</v>
      </c>
      <c r="BC104" s="93"/>
      <c r="BD104" s="93">
        <f t="shared" si="143"/>
        <v>0</v>
      </c>
      <c r="BE104" s="95">
        <f t="shared" si="144"/>
        <v>1</v>
      </c>
      <c r="BF104" s="58">
        <f t="shared" si="175"/>
        <v>0</v>
      </c>
      <c r="BG104" s="94">
        <f t="shared" si="145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91">CO104</f>
        <v>0</v>
      </c>
      <c r="BP104" s="92">
        <f t="shared" si="191"/>
        <v>0</v>
      </c>
      <c r="BQ104" s="96">
        <f t="shared" si="146"/>
        <v>0</v>
      </c>
      <c r="BR104" s="96">
        <f t="shared" si="147"/>
        <v>0</v>
      </c>
      <c r="BS104" s="96">
        <f t="shared" si="167"/>
        <v>0</v>
      </c>
      <c r="BT104" s="96">
        <f t="shared" si="148"/>
        <v>0</v>
      </c>
      <c r="BU104" s="92">
        <f t="shared" si="122"/>
        <v>0</v>
      </c>
      <c r="BV104" s="98">
        <f t="shared" si="168"/>
        <v>0</v>
      </c>
      <c r="BW104" s="92">
        <f t="shared" si="123"/>
        <v>0</v>
      </c>
      <c r="BX104" s="98">
        <f t="shared" si="149"/>
        <v>0</v>
      </c>
      <c r="BY104" s="61">
        <f t="shared" si="173"/>
        <v>0</v>
      </c>
      <c r="BZ104" s="62">
        <f t="shared" si="150"/>
        <v>0</v>
      </c>
      <c r="CA104" s="98">
        <f t="shared" si="151"/>
        <v>0</v>
      </c>
      <c r="CB104" s="92">
        <f t="shared" si="124"/>
        <v>0</v>
      </c>
      <c r="CC104" s="92">
        <f t="shared" si="124"/>
        <v>0</v>
      </c>
      <c r="CD104" s="92">
        <f t="shared" si="124"/>
        <v>0</v>
      </c>
      <c r="CE104" s="99"/>
      <c r="CF104" s="99"/>
      <c r="CG104" s="51">
        <f t="shared" si="152"/>
        <v>0</v>
      </c>
      <c r="CH104" s="62">
        <f t="shared" si="153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88"/>
        <v>0</v>
      </c>
      <c r="CR104" s="102">
        <f t="shared" si="188"/>
        <v>0</v>
      </c>
      <c r="CS104" s="102">
        <f t="shared" si="188"/>
        <v>0</v>
      </c>
      <c r="CT104" s="92">
        <f t="shared" si="154"/>
        <v>0</v>
      </c>
      <c r="CU104" s="92">
        <f t="shared" ref="CU104:CV106" si="192">INT(IFERROR( AC104-CR104,0))</f>
        <v>0</v>
      </c>
      <c r="CV104" s="103">
        <f t="shared" si="192"/>
        <v>0</v>
      </c>
      <c r="CW104" s="178"/>
      <c r="CX104" s="179">
        <v>70</v>
      </c>
      <c r="CY104" s="180">
        <f t="shared" si="155"/>
        <v>570</v>
      </c>
      <c r="CZ104" s="180">
        <f t="shared" si="156"/>
        <v>567</v>
      </c>
      <c r="DA104" s="181"/>
      <c r="DB104" s="181"/>
      <c r="DC104" s="179"/>
      <c r="DD104" s="182"/>
      <c r="DE104" s="92">
        <f t="shared" si="125"/>
        <v>0</v>
      </c>
      <c r="DF104" s="108">
        <f t="shared" si="126"/>
        <v>0</v>
      </c>
      <c r="DG104" s="115">
        <f t="shared" si="127"/>
        <v>0</v>
      </c>
      <c r="DH104" s="110">
        <f t="shared" si="128"/>
        <v>0</v>
      </c>
      <c r="DI104" s="108">
        <f t="shared" si="129"/>
        <v>0</v>
      </c>
      <c r="DJ104" s="112">
        <f t="shared" si="130"/>
        <v>0</v>
      </c>
      <c r="DK104" s="110">
        <f t="shared" si="181"/>
        <v>0</v>
      </c>
      <c r="DL104" s="108">
        <f t="shared" si="181"/>
        <v>0</v>
      </c>
      <c r="DM104" s="111">
        <f t="shared" si="181"/>
        <v>0</v>
      </c>
      <c r="DN104" s="76">
        <f t="shared" si="182"/>
        <v>18</v>
      </c>
      <c r="DO104" s="76">
        <f t="shared" si="182"/>
        <v>0</v>
      </c>
      <c r="DP104" s="183"/>
      <c r="DQ104" s="183"/>
      <c r="DR104" s="184" t="s">
        <v>477</v>
      </c>
      <c r="DS104" s="183"/>
      <c r="DT104" s="183"/>
      <c r="DU104" s="185"/>
      <c r="DV104" s="186"/>
      <c r="DW104" s="80">
        <f t="shared" si="157"/>
        <v>0</v>
      </c>
      <c r="DX104" s="81">
        <f t="shared" si="131"/>
        <v>0</v>
      </c>
      <c r="DY104" s="80">
        <f t="shared" si="158"/>
        <v>0</v>
      </c>
      <c r="DZ104" s="82">
        <f t="shared" si="159"/>
        <v>0</v>
      </c>
      <c r="EA104" s="82">
        <f t="shared" si="160"/>
        <v>0</v>
      </c>
      <c r="EB104" s="82">
        <f t="shared" si="161"/>
        <v>0</v>
      </c>
      <c r="EC104" s="82">
        <f t="shared" si="178"/>
        <v>0</v>
      </c>
      <c r="EF104" s="83">
        <f t="shared" si="190"/>
        <v>0</v>
      </c>
    </row>
    <row r="105" spans="1:136" ht="14.1" customHeight="1">
      <c r="A105" s="84">
        <v>98</v>
      </c>
      <c r="B105" s="187" t="s">
        <v>402</v>
      </c>
      <c r="C105" s="86"/>
      <c r="D105" s="244" t="s">
        <v>403</v>
      </c>
      <c r="E105" s="189">
        <v>66</v>
      </c>
      <c r="F105" s="190" t="s">
        <v>147</v>
      </c>
      <c r="G105" s="191" t="str">
        <f t="shared" si="132"/>
        <v>TV12L14-H17x3-H11A14</v>
      </c>
      <c r="H105" s="191" t="str">
        <f t="shared" si="133"/>
        <v>12L14TV170HH11</v>
      </c>
      <c r="I105" s="191" t="str">
        <f t="shared" si="134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5"/>
        <v>16</v>
      </c>
      <c r="T105" s="51">
        <f>'05.02'!BG105</f>
        <v>2</v>
      </c>
      <c r="U105" s="194"/>
      <c r="V105" s="195">
        <v>60.8</v>
      </c>
      <c r="W105" s="196">
        <f>IF(V105="","",INT((AO105+BI105)/$V105))</f>
        <v>0</v>
      </c>
      <c r="X105" s="196">
        <f t="shared" si="115"/>
        <v>0</v>
      </c>
      <c r="Y105" s="196">
        <f t="shared" si="116"/>
        <v>0</v>
      </c>
      <c r="Z105" s="196">
        <f t="shared" si="117"/>
        <v>0</v>
      </c>
      <c r="AA105" s="196">
        <f t="shared" si="118"/>
        <v>0</v>
      </c>
      <c r="AB105" s="196">
        <f t="shared" si="119"/>
        <v>133</v>
      </c>
      <c r="AC105" s="196">
        <f t="shared" si="120"/>
        <v>0</v>
      </c>
      <c r="AD105" s="196">
        <f t="shared" si="121"/>
        <v>0</v>
      </c>
      <c r="AE105" s="196">
        <f t="shared" si="136"/>
        <v>133</v>
      </c>
      <c r="AF105" s="54">
        <f>AE105+'05.02'!AF105</f>
        <v>1356</v>
      </c>
      <c r="AG105" s="94">
        <f t="shared" si="162"/>
        <v>2</v>
      </c>
      <c r="AH105" s="56">
        <f t="shared" si="137"/>
        <v>0</v>
      </c>
      <c r="AI105" s="196">
        <v>2</v>
      </c>
      <c r="AJ105" s="93">
        <f t="shared" si="163"/>
        <v>0</v>
      </c>
      <c r="AK105" s="197">
        <f t="shared" si="189"/>
        <v>1</v>
      </c>
      <c r="AL105" s="58">
        <f t="shared" si="174"/>
        <v>2</v>
      </c>
      <c r="AM105" s="55">
        <f t="shared" si="164"/>
        <v>0</v>
      </c>
      <c r="AN105" s="196"/>
      <c r="AO105" s="198"/>
      <c r="AP105" s="198"/>
      <c r="AQ105" s="198"/>
      <c r="AR105" s="198"/>
      <c r="AS105" s="198"/>
      <c r="AT105" s="198">
        <f>$CJ105</f>
        <v>8086.4</v>
      </c>
      <c r="AU105" s="198">
        <f t="shared" si="139"/>
        <v>0</v>
      </c>
      <c r="AV105" s="198">
        <f t="shared" si="139"/>
        <v>0</v>
      </c>
      <c r="AW105" s="198">
        <f t="shared" si="140"/>
        <v>8086.4</v>
      </c>
      <c r="AX105" s="198">
        <f t="shared" si="141"/>
        <v>133</v>
      </c>
      <c r="AY105" s="199">
        <f t="shared" si="165"/>
        <v>60.800000000000182</v>
      </c>
      <c r="AZ105" s="199">
        <f t="shared" si="142"/>
        <v>1.0000000000000031</v>
      </c>
      <c r="BA105" s="94">
        <f t="shared" si="171"/>
        <v>0</v>
      </c>
      <c r="BB105" s="200">
        <f t="shared" si="172"/>
        <v>0</v>
      </c>
      <c r="BC105" s="196"/>
      <c r="BD105" s="93">
        <f t="shared" si="143"/>
        <v>0</v>
      </c>
      <c r="BE105" s="197">
        <f t="shared" si="144"/>
        <v>1</v>
      </c>
      <c r="BF105" s="58">
        <f t="shared" si="175"/>
        <v>0</v>
      </c>
      <c r="BG105" s="94">
        <f t="shared" si="145"/>
        <v>0</v>
      </c>
      <c r="BH105" s="190"/>
      <c r="BI105" s="194"/>
      <c r="BJ105" s="194"/>
      <c r="BK105" s="190"/>
      <c r="BL105" s="190"/>
      <c r="BM105" s="190"/>
      <c r="BN105" s="194">
        <f>$CN105</f>
        <v>0</v>
      </c>
      <c r="BO105" s="194">
        <f t="shared" si="191"/>
        <v>0</v>
      </c>
      <c r="BP105" s="194">
        <f t="shared" si="191"/>
        <v>0</v>
      </c>
      <c r="BQ105" s="198">
        <f t="shared" si="146"/>
        <v>0</v>
      </c>
      <c r="BR105" s="198">
        <f t="shared" si="147"/>
        <v>0</v>
      </c>
      <c r="BS105" s="198">
        <f t="shared" si="167"/>
        <v>0</v>
      </c>
      <c r="BT105" s="198">
        <f t="shared" si="148"/>
        <v>0</v>
      </c>
      <c r="BU105" s="194">
        <f t="shared" si="122"/>
        <v>133</v>
      </c>
      <c r="BV105" s="201">
        <f t="shared" si="168"/>
        <v>2</v>
      </c>
      <c r="BW105" s="194">
        <f t="shared" si="123"/>
        <v>1.0000000000000031</v>
      </c>
      <c r="BX105" s="201">
        <f t="shared" si="149"/>
        <v>11.6</v>
      </c>
      <c r="BY105" s="51">
        <f t="shared" si="173"/>
        <v>2</v>
      </c>
      <c r="BZ105" s="62">
        <f t="shared" si="150"/>
        <v>2</v>
      </c>
      <c r="CA105" s="201">
        <f t="shared" si="151"/>
        <v>8.0863999999999994</v>
      </c>
      <c r="CB105" s="194">
        <f t="shared" si="124"/>
        <v>133</v>
      </c>
      <c r="CC105" s="194">
        <f t="shared" si="124"/>
        <v>60.800000000000182</v>
      </c>
      <c r="CD105" s="194">
        <f t="shared" si="124"/>
        <v>1.0000000000000031</v>
      </c>
      <c r="CE105" s="202"/>
      <c r="CF105" s="202"/>
      <c r="CG105" s="51">
        <f t="shared" si="152"/>
        <v>3.5136000000000003</v>
      </c>
      <c r="CH105" s="62">
        <f t="shared" si="153"/>
        <v>3.5136000000000003</v>
      </c>
      <c r="CI105" s="190"/>
      <c r="CJ105" s="190">
        <f>133*60.8</f>
        <v>8086.4</v>
      </c>
      <c r="CK105" s="190"/>
      <c r="CL105" s="198"/>
      <c r="CM105" s="190"/>
      <c r="CN105" s="190"/>
      <c r="CO105" s="190"/>
      <c r="CP105" s="190"/>
      <c r="CQ105" s="203">
        <f t="shared" si="188"/>
        <v>133</v>
      </c>
      <c r="CR105" s="203">
        <f t="shared" si="188"/>
        <v>0</v>
      </c>
      <c r="CS105" s="203">
        <f t="shared" si="188"/>
        <v>0</v>
      </c>
      <c r="CT105" s="194">
        <f t="shared" si="154"/>
        <v>0</v>
      </c>
      <c r="CU105" s="194">
        <f t="shared" si="192"/>
        <v>0</v>
      </c>
      <c r="CV105" s="204">
        <f t="shared" si="192"/>
        <v>0</v>
      </c>
      <c r="CW105" s="205"/>
      <c r="CX105" s="206">
        <v>81</v>
      </c>
      <c r="CY105" s="207">
        <f t="shared" si="155"/>
        <v>500</v>
      </c>
      <c r="CZ105" s="207">
        <f t="shared" si="156"/>
        <v>656.1</v>
      </c>
      <c r="DA105" s="207"/>
      <c r="DB105" s="207"/>
      <c r="DC105" s="206"/>
      <c r="DD105" s="208"/>
      <c r="DE105" s="194">
        <f t="shared" si="125"/>
        <v>133</v>
      </c>
      <c r="DF105" s="209">
        <f t="shared" si="126"/>
        <v>2</v>
      </c>
      <c r="DG105" s="115">
        <f t="shared" si="127"/>
        <v>1.0000000000000031</v>
      </c>
      <c r="DH105" s="210">
        <f t="shared" si="128"/>
        <v>0</v>
      </c>
      <c r="DI105" s="209">
        <f t="shared" si="129"/>
        <v>0</v>
      </c>
      <c r="DJ105" s="76">
        <f t="shared" si="130"/>
        <v>0</v>
      </c>
      <c r="DK105" s="210">
        <f t="shared" si="181"/>
        <v>133</v>
      </c>
      <c r="DL105" s="209">
        <f t="shared" si="181"/>
        <v>2</v>
      </c>
      <c r="DM105" s="211">
        <f t="shared" si="181"/>
        <v>1.0000000000000031</v>
      </c>
      <c r="DN105" s="76">
        <f t="shared" si="182"/>
        <v>2</v>
      </c>
      <c r="DO105" s="212">
        <f t="shared" si="182"/>
        <v>0</v>
      </c>
      <c r="DP105" s="212"/>
      <c r="DQ105" s="212"/>
      <c r="DR105" s="213" t="s">
        <v>480</v>
      </c>
      <c r="DS105" s="212"/>
      <c r="DT105" s="212"/>
      <c r="DU105" s="214"/>
      <c r="DV105" s="215"/>
      <c r="DW105" s="80">
        <f t="shared" si="157"/>
        <v>135</v>
      </c>
      <c r="DX105" s="81">
        <f t="shared" si="131"/>
        <v>136</v>
      </c>
      <c r="DY105" s="80">
        <f t="shared" si="158"/>
        <v>133</v>
      </c>
      <c r="DZ105" s="82">
        <f t="shared" si="159"/>
        <v>0</v>
      </c>
      <c r="EA105" s="82">
        <f t="shared" si="160"/>
        <v>8.0863999999999994</v>
      </c>
      <c r="EB105" s="82">
        <f t="shared" si="161"/>
        <v>3.5136000000000003</v>
      </c>
      <c r="EC105" s="82">
        <f t="shared" si="178"/>
        <v>3.5136000000000003</v>
      </c>
      <c r="EF105" s="83">
        <f t="shared" si="190"/>
        <v>1.0000000000000031</v>
      </c>
    </row>
    <row r="106" spans="1:136" ht="14.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2"/>
        <v>SSSUS316L-T2.2x0.78x2.5-H9A08</v>
      </c>
      <c r="H106" s="219" t="str">
        <f t="shared" si="133"/>
        <v>SUS316LSS2.20.78TH9</v>
      </c>
      <c r="I106" s="219" t="str">
        <f t="shared" si="134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5"/>
        <v>10</v>
      </c>
      <c r="T106" s="51">
        <v>0</v>
      </c>
      <c r="U106" s="222"/>
      <c r="V106" s="223">
        <v>7.2999999999999995E-2</v>
      </c>
      <c r="W106" s="224">
        <f>IF(V106="","",INT((AO106+BI106)/$V106))</f>
        <v>0</v>
      </c>
      <c r="X106" s="224">
        <f t="shared" si="115"/>
        <v>0</v>
      </c>
      <c r="Y106" s="224">
        <f t="shared" si="116"/>
        <v>0</v>
      </c>
      <c r="Z106" s="224">
        <f t="shared" si="117"/>
        <v>0</v>
      </c>
      <c r="AA106" s="224">
        <f t="shared" si="118"/>
        <v>0</v>
      </c>
      <c r="AB106" s="224">
        <f t="shared" si="119"/>
        <v>0</v>
      </c>
      <c r="AC106" s="224">
        <f t="shared" si="120"/>
        <v>0</v>
      </c>
      <c r="AD106" s="224">
        <f t="shared" si="121"/>
        <v>0</v>
      </c>
      <c r="AE106" s="224">
        <f t="shared" si="136"/>
        <v>0</v>
      </c>
      <c r="AF106" s="54">
        <f>AE106+'05.02'!AF106</f>
        <v>0</v>
      </c>
      <c r="AG106" s="94">
        <f t="shared" si="162"/>
        <v>0</v>
      </c>
      <c r="AH106" s="56">
        <f t="shared" si="137"/>
        <v>0</v>
      </c>
      <c r="AI106" s="224"/>
      <c r="AJ106" s="93">
        <f t="shared" si="163"/>
        <v>0</v>
      </c>
      <c r="AK106" s="225">
        <f t="shared" si="189"/>
        <v>1</v>
      </c>
      <c r="AL106" s="58">
        <f t="shared" si="174"/>
        <v>0</v>
      </c>
      <c r="AM106" s="55">
        <f t="shared" si="164"/>
        <v>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39"/>
        <v>0</v>
      </c>
      <c r="AV106" s="226">
        <f t="shared" si="139"/>
        <v>0</v>
      </c>
      <c r="AW106" s="226">
        <f t="shared" si="140"/>
        <v>0</v>
      </c>
      <c r="AX106" s="226">
        <f t="shared" si="141"/>
        <v>0</v>
      </c>
      <c r="AY106" s="227">
        <f t="shared" si="165"/>
        <v>0</v>
      </c>
      <c r="AZ106" s="227">
        <f t="shared" si="142"/>
        <v>0</v>
      </c>
      <c r="BA106" s="94">
        <f t="shared" si="171"/>
        <v>0</v>
      </c>
      <c r="BB106" s="228">
        <f t="shared" si="172"/>
        <v>0</v>
      </c>
      <c r="BC106" s="224"/>
      <c r="BD106" s="93">
        <f t="shared" si="143"/>
        <v>0</v>
      </c>
      <c r="BE106" s="225">
        <f t="shared" si="144"/>
        <v>1</v>
      </c>
      <c r="BF106" s="58">
        <f t="shared" si="175"/>
        <v>0</v>
      </c>
      <c r="BG106" s="94">
        <f t="shared" si="145"/>
        <v>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91"/>
        <v>0</v>
      </c>
      <c r="BP106" s="222">
        <f t="shared" si="191"/>
        <v>0</v>
      </c>
      <c r="BQ106" s="226">
        <f t="shared" si="146"/>
        <v>0</v>
      </c>
      <c r="BR106" s="226">
        <f t="shared" si="147"/>
        <v>0</v>
      </c>
      <c r="BS106" s="226">
        <f t="shared" si="167"/>
        <v>0</v>
      </c>
      <c r="BT106" s="226">
        <f t="shared" si="148"/>
        <v>0</v>
      </c>
      <c r="BU106" s="222">
        <f t="shared" si="122"/>
        <v>0</v>
      </c>
      <c r="BV106" s="229">
        <f t="shared" si="168"/>
        <v>0</v>
      </c>
      <c r="BW106" s="222">
        <f t="shared" si="123"/>
        <v>0</v>
      </c>
      <c r="BX106" s="229" t="str">
        <f t="shared" si="149"/>
        <v/>
      </c>
      <c r="BY106" s="229">
        <f t="shared" si="173"/>
        <v>0</v>
      </c>
      <c r="BZ106" s="62">
        <f t="shared" si="150"/>
        <v>0</v>
      </c>
      <c r="CA106" s="229">
        <f t="shared" si="151"/>
        <v>0</v>
      </c>
      <c r="CB106" s="222">
        <f t="shared" si="124"/>
        <v>0</v>
      </c>
      <c r="CC106" s="222">
        <f t="shared" si="124"/>
        <v>0</v>
      </c>
      <c r="CD106" s="222">
        <f t="shared" si="124"/>
        <v>0</v>
      </c>
      <c r="CE106" s="230"/>
      <c r="CF106" s="230"/>
      <c r="CG106" s="229">
        <f t="shared" si="152"/>
        <v>0</v>
      </c>
      <c r="CH106" s="62">
        <f t="shared" si="153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88"/>
        <v>0</v>
      </c>
      <c r="CR106" s="222">
        <f t="shared" si="188"/>
        <v>0</v>
      </c>
      <c r="CS106" s="222">
        <f t="shared" si="188"/>
        <v>0</v>
      </c>
      <c r="CT106" s="222">
        <f t="shared" si="154"/>
        <v>0</v>
      </c>
      <c r="CU106" s="222">
        <f t="shared" si="192"/>
        <v>0</v>
      </c>
      <c r="CV106" s="222">
        <f t="shared" si="192"/>
        <v>0</v>
      </c>
      <c r="CW106" s="218"/>
      <c r="CX106" s="218">
        <v>43</v>
      </c>
      <c r="CY106" s="222">
        <f t="shared" si="155"/>
        <v>962</v>
      </c>
      <c r="CZ106" s="222">
        <f t="shared" si="156"/>
        <v>348.3</v>
      </c>
      <c r="DA106" s="222"/>
      <c r="DB106" s="222"/>
      <c r="DC106" s="218"/>
      <c r="DD106" s="218"/>
      <c r="DE106" s="222">
        <f t="shared" si="125"/>
        <v>0</v>
      </c>
      <c r="DF106" s="231">
        <f t="shared" si="126"/>
        <v>0</v>
      </c>
      <c r="DG106" s="115">
        <f t="shared" si="127"/>
        <v>0</v>
      </c>
      <c r="DH106" s="232">
        <f t="shared" si="128"/>
        <v>0</v>
      </c>
      <c r="DI106" s="231">
        <f t="shared" si="129"/>
        <v>0</v>
      </c>
      <c r="DJ106" s="183">
        <f t="shared" si="130"/>
        <v>0</v>
      </c>
      <c r="DK106" s="232">
        <f t="shared" si="181"/>
        <v>0</v>
      </c>
      <c r="DL106" s="231">
        <f t="shared" si="181"/>
        <v>0</v>
      </c>
      <c r="DM106" s="183">
        <f t="shared" si="181"/>
        <v>0</v>
      </c>
      <c r="DN106" s="76">
        <f t="shared" si="182"/>
        <v>0</v>
      </c>
      <c r="DO106" s="76">
        <f t="shared" si="182"/>
        <v>0</v>
      </c>
      <c r="DP106" s="183"/>
      <c r="DQ106" s="183"/>
      <c r="DR106" s="184"/>
      <c r="DS106" s="183"/>
      <c r="DT106" s="183"/>
      <c r="DU106" s="183"/>
      <c r="DV106" s="186"/>
      <c r="DW106" s="80">
        <f t="shared" si="157"/>
        <v>0</v>
      </c>
      <c r="DX106" s="81">
        <f t="shared" si="131"/>
        <v>0</v>
      </c>
      <c r="DY106" s="80">
        <f t="shared" si="158"/>
        <v>0</v>
      </c>
      <c r="DZ106" s="82">
        <f t="shared" si="159"/>
        <v>0</v>
      </c>
      <c r="EA106" s="82">
        <f t="shared" si="160"/>
        <v>0</v>
      </c>
      <c r="EB106" s="82" t="e">
        <f t="shared" si="161"/>
        <v>#VALUE!</v>
      </c>
      <c r="EC106" s="82" t="e">
        <f t="shared" si="178"/>
        <v>#VALUE!</v>
      </c>
      <c r="EF106" s="83">
        <f t="shared" si="190"/>
        <v>0</v>
      </c>
    </row>
    <row r="107" spans="1:136" ht="15" customHeight="1">
      <c r="A107" s="301" t="s">
        <v>407</v>
      </c>
      <c r="B107" s="301"/>
      <c r="C107" s="301"/>
      <c r="D107" s="302"/>
      <c r="AF107" s="54">
        <f>AE107+'05.02'!AF107</f>
        <v>0</v>
      </c>
      <c r="AK107" s="233" t="str">
        <f t="shared" si="138"/>
        <v/>
      </c>
      <c r="AL107" s="58" t="str">
        <f t="shared" si="174"/>
        <v/>
      </c>
      <c r="BZ107" s="62">
        <f t="shared" si="150"/>
        <v>0</v>
      </c>
      <c r="CH107" s="62">
        <f t="shared" si="153"/>
        <v>0</v>
      </c>
    </row>
    <row r="108" spans="1:136" ht="0.75" customHeight="1">
      <c r="X108" s="234"/>
      <c r="AF108" s="54">
        <f>AE108+'05.02'!AF108</f>
        <v>0</v>
      </c>
      <c r="AL108" s="58" t="str">
        <f t="shared" si="174"/>
        <v/>
      </c>
      <c r="BZ108" s="62">
        <f t="shared" si="150"/>
        <v>0</v>
      </c>
      <c r="CH108" s="62">
        <f t="shared" si="153"/>
        <v>0</v>
      </c>
    </row>
    <row r="109" spans="1:136" hidden="1">
      <c r="AF109" s="235"/>
      <c r="BZ109" s="62"/>
      <c r="CH109" s="62"/>
    </row>
    <row r="110" spans="1:136" hidden="1">
      <c r="A110">
        <v>37</v>
      </c>
      <c r="B110" t="s">
        <v>244</v>
      </c>
      <c r="D110" s="143" t="s">
        <v>245</v>
      </c>
      <c r="E110">
        <v>172</v>
      </c>
      <c r="F110" t="s">
        <v>136</v>
      </c>
      <c r="G110" t="s">
        <v>482</v>
      </c>
      <c r="H110" t="s">
        <v>483</v>
      </c>
      <c r="I110" t="s">
        <v>484</v>
      </c>
      <c r="J110" t="s">
        <v>226</v>
      </c>
      <c r="K110" t="s">
        <v>227</v>
      </c>
      <c r="L110">
        <v>4</v>
      </c>
      <c r="M110">
        <v>0</v>
      </c>
      <c r="N110" t="s">
        <v>128</v>
      </c>
      <c r="O110" t="s">
        <v>131</v>
      </c>
      <c r="P110">
        <v>3</v>
      </c>
      <c r="Q110">
        <v>0.29599999999999999</v>
      </c>
      <c r="R110" t="s">
        <v>246</v>
      </c>
      <c r="S110">
        <v>38</v>
      </c>
      <c r="T110">
        <v>24</v>
      </c>
      <c r="V110">
        <v>0.82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s="54">
        <v>4849</v>
      </c>
      <c r="AG110">
        <v>24</v>
      </c>
      <c r="AH110">
        <v>0</v>
      </c>
      <c r="AJ110">
        <v>0</v>
      </c>
      <c r="AK110">
        <v>1</v>
      </c>
      <c r="AL110">
        <v>0</v>
      </c>
      <c r="AM110">
        <v>24</v>
      </c>
      <c r="AP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24</v>
      </c>
      <c r="BB110">
        <v>0</v>
      </c>
      <c r="BD110">
        <v>0</v>
      </c>
      <c r="BE110">
        <v>1</v>
      </c>
      <c r="BF110">
        <v>0</v>
      </c>
      <c r="BG110">
        <v>24</v>
      </c>
      <c r="BJ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H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147</v>
      </c>
      <c r="CX110">
        <v>12</v>
      </c>
      <c r="CY110">
        <v>3285</v>
      </c>
      <c r="CZ110">
        <v>48.6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24</v>
      </c>
      <c r="DO110">
        <v>0</v>
      </c>
      <c r="DR110" t="s">
        <v>441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F110">
        <v>0</v>
      </c>
    </row>
    <row r="111" spans="1:136" hidden="1">
      <c r="A111">
        <v>37</v>
      </c>
      <c r="B111" t="s">
        <v>244</v>
      </c>
      <c r="D111" s="143" t="s">
        <v>213</v>
      </c>
      <c r="E111">
        <v>189</v>
      </c>
      <c r="F111" t="s">
        <v>136</v>
      </c>
      <c r="G111" t="s">
        <v>492</v>
      </c>
      <c r="H111" t="s">
        <v>493</v>
      </c>
      <c r="I111" t="s">
        <v>494</v>
      </c>
      <c r="J111" t="s">
        <v>214</v>
      </c>
      <c r="K111" t="s">
        <v>215</v>
      </c>
      <c r="L111">
        <v>4</v>
      </c>
      <c r="M111">
        <v>0</v>
      </c>
      <c r="N111" t="s">
        <v>128</v>
      </c>
      <c r="O111" t="s">
        <v>131</v>
      </c>
      <c r="P111">
        <v>3</v>
      </c>
      <c r="Q111">
        <v>0.29599999999999999</v>
      </c>
      <c r="R111" t="s">
        <v>246</v>
      </c>
      <c r="S111">
        <v>34</v>
      </c>
      <c r="T111">
        <v>0</v>
      </c>
      <c r="U111">
        <v>15</v>
      </c>
      <c r="V111">
        <v>0.45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s="54">
        <v>235</v>
      </c>
      <c r="AG111">
        <v>0</v>
      </c>
      <c r="AH111">
        <v>0</v>
      </c>
      <c r="AJ111">
        <v>0</v>
      </c>
      <c r="AK111">
        <v>1</v>
      </c>
      <c r="AL111">
        <v>0</v>
      </c>
      <c r="AM111">
        <v>15</v>
      </c>
      <c r="AP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</v>
      </c>
      <c r="BB111">
        <v>0</v>
      </c>
      <c r="BD111">
        <v>0</v>
      </c>
      <c r="BE111">
        <v>1</v>
      </c>
      <c r="BF111">
        <v>0</v>
      </c>
      <c r="BG111">
        <v>15</v>
      </c>
      <c r="BJ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G111">
        <v>0</v>
      </c>
      <c r="CH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B111">
        <v>0</v>
      </c>
    </row>
    <row r="112" spans="1:136" hidden="1">
      <c r="F112" s="218"/>
      <c r="G112" s="219"/>
      <c r="H112" s="219"/>
      <c r="I112" s="219"/>
      <c r="J112" s="220"/>
      <c r="K112" s="220"/>
      <c r="L112" s="220"/>
      <c r="M112" s="220"/>
      <c r="N112" s="220"/>
      <c r="O112" s="220"/>
      <c r="P112" s="220"/>
      <c r="Q112" s="221"/>
      <c r="R112" s="220"/>
    </row>
    <row r="113" spans="6:18" hidden="1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 hidden="1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 hidden="1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 hidden="1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 hidden="1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 hidden="1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 hidden="1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20" spans="6:18" hidden="1"/>
    <row r="121" spans="6:18" hidden="1"/>
    <row r="122" spans="6:18" hidden="1"/>
    <row r="123" spans="6:18" hidden="1"/>
    <row r="124" spans="6:18" hidden="1"/>
    <row r="125" spans="6:18" hidden="1"/>
    <row r="126" spans="6:18" hidden="1"/>
    <row r="127" spans="6:18" hidden="1"/>
    <row r="128" spans="6:1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spans="2:126" hidden="1"/>
    <row r="146" spans="2:126" hidden="1"/>
    <row r="147" spans="2:126" hidden="1"/>
    <row r="148" spans="2:126" hidden="1"/>
    <row r="149" spans="2:126" hidden="1"/>
    <row r="150" spans="2:126" hidden="1"/>
    <row r="151" spans="2:126" hidden="1"/>
    <row r="152" spans="2:126" hidden="1"/>
    <row r="153" spans="2:126" hidden="1"/>
    <row r="154" spans="2:126" hidden="1"/>
    <row r="155" spans="2:126" hidden="1"/>
    <row r="156" spans="2:126" hidden="1"/>
    <row r="157" spans="2:126" hidden="1"/>
    <row r="158" spans="2:126" hidden="1"/>
    <row r="159" spans="2:126" hidden="1"/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1278.6099999999999</v>
      </c>
      <c r="DO160" s="83">
        <f>SUM(DO8:DO106)</f>
        <v>2709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8"/>
    <filterColumn colId="123"/>
    <filterColumn colId="132"/>
  </autoFilter>
  <mergeCells count="162"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A1:D1"/>
    <mergeCell ref="J1:DT1"/>
    <mergeCell ref="DU1:DV1"/>
    <mergeCell ref="A2:D2"/>
    <mergeCell ref="E2:U2"/>
    <mergeCell ref="CW2:DD2"/>
    <mergeCell ref="DE2:DG2"/>
    <mergeCell ref="DH2:DJ2"/>
    <mergeCell ref="DK2:DM2"/>
  </mergeCells>
  <conditionalFormatting sqref="AL8:AL985">
    <cfRule type="cellIs" dxfId="16" priority="3" operator="greaterThan">
      <formula>0</formula>
    </cfRule>
  </conditionalFormatting>
  <conditionalFormatting sqref="BF8:BF985">
    <cfRule type="cellIs" dxfId="15" priority="2" operator="greaterThan">
      <formula>0</formula>
    </cfRule>
  </conditionalFormatting>
  <conditionalFormatting sqref="CI8:CP985">
    <cfRule type="cellIs" dxfId="14" priority="1" operator="greaterThan">
      <formula>0</formula>
    </cfRule>
  </conditionalFormatting>
  <pageMargins left="0.33" right="0.22" top="0.38" bottom="0.4" header="0.31496062992126" footer="0.31496062992126"/>
  <pageSetup paperSize="9" orientation="portrait" verticalDpi="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F163"/>
  <sheetViews>
    <sheetView workbookViewId="0">
      <pane xSplit="4" ySplit="7" topLeftCell="M92" activePane="bottomRight" state="frozen"/>
      <selection pane="topRight" activeCell="E1" sqref="E1"/>
      <selection pane="bottomLeft" activeCell="A8" sqref="A8"/>
      <selection pane="bottomRight" activeCell="B8" sqref="B8"/>
    </sheetView>
  </sheetViews>
  <sheetFormatPr defaultRowHeight="15"/>
  <cols>
    <col min="1" max="1" width="4.140625" customWidth="1"/>
    <col min="2" max="2" width="6.5703125" customWidth="1"/>
    <col min="3" max="3" width="9.140625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108" width="9.140625" customWidth="1"/>
    <col min="109" max="117" width="9" customWidth="1"/>
    <col min="118" max="118" width="7" customWidth="1"/>
    <col min="119" max="120" width="6.7109375" customWidth="1"/>
    <col min="121" max="121" width="7.42578125" customWidth="1"/>
    <col min="122" max="122" width="12.28515625" customWidth="1"/>
    <col min="123" max="123" width="6.7109375" customWidth="1"/>
    <col min="124" max="124" width="9.140625" customWidth="1"/>
    <col min="125" max="125" width="13.7109375" customWidth="1"/>
    <col min="126" max="126" width="10.7109375" customWidth="1"/>
    <col min="127" max="152" width="9.140625" customWidth="1"/>
  </cols>
  <sheetData>
    <row r="1" spans="1:136" s="3" customFormat="1" ht="27" customHeight="1" thickBot="1">
      <c r="A1" s="402" t="s">
        <v>503</v>
      </c>
      <c r="B1" s="402"/>
      <c r="C1" s="402"/>
      <c r="D1" s="402"/>
      <c r="E1" s="253"/>
      <c r="F1" s="253"/>
      <c r="G1" s="253"/>
      <c r="H1" s="253"/>
      <c r="I1" s="253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52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51" t="s">
        <v>124</v>
      </c>
      <c r="AK6" s="251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51" t="s">
        <v>124</v>
      </c>
      <c r="BE6" s="251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131996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customHeight="1" thickBot="1">
      <c r="A7" s="30"/>
      <c r="D7" s="32"/>
      <c r="Q7" s="33"/>
      <c r="S7" s="31">
        <f>SUMIF(S8:S106,"&gt;0")</f>
        <v>2788</v>
      </c>
      <c r="T7" s="31">
        <f>SUM(T8:T106)</f>
        <v>3125</v>
      </c>
      <c r="U7" s="31">
        <f>SUM(U8:U106)</f>
        <v>0</v>
      </c>
      <c r="W7" s="31">
        <f t="shared" ref="W7:AD7" si="0">SUM(W8:W777)</f>
        <v>2099</v>
      </c>
      <c r="X7" s="31">
        <f t="shared" si="0"/>
        <v>51480</v>
      </c>
      <c r="Y7" s="31">
        <f t="shared" si="0"/>
        <v>6116</v>
      </c>
      <c r="Z7" s="31">
        <f t="shared" si="0"/>
        <v>8424</v>
      </c>
      <c r="AA7" s="31">
        <f t="shared" si="0"/>
        <v>714</v>
      </c>
      <c r="AB7" s="31">
        <f t="shared" si="0"/>
        <v>62979</v>
      </c>
      <c r="AC7" s="31">
        <f t="shared" si="0"/>
        <v>184</v>
      </c>
      <c r="AD7" s="31">
        <f t="shared" si="0"/>
        <v>845</v>
      </c>
      <c r="AE7" s="31">
        <f>SUM(AE8:AE777)</f>
        <v>131996</v>
      </c>
      <c r="AF7" s="31">
        <f>SUM(AF8:AF249)</f>
        <v>934681</v>
      </c>
      <c r="AG7" s="31">
        <f t="shared" ref="AG7:CP7" si="1">SUM(AG8:AG285)</f>
        <v>3149</v>
      </c>
      <c r="AH7" s="31">
        <f t="shared" si="1"/>
        <v>5</v>
      </c>
      <c r="AI7" s="31">
        <f t="shared" si="1"/>
        <v>392</v>
      </c>
      <c r="AJ7" s="31">
        <f t="shared" si="1"/>
        <v>3117</v>
      </c>
      <c r="AK7" s="31">
        <f t="shared" si="1"/>
        <v>98.468458223551252</v>
      </c>
      <c r="AL7" s="34">
        <f>SUM(AL8:AL285)</f>
        <v>392.77000000000004</v>
      </c>
      <c r="AM7" s="31">
        <f t="shared" si="1"/>
        <v>2771.23</v>
      </c>
      <c r="AN7" s="31">
        <f t="shared" si="1"/>
        <v>0</v>
      </c>
      <c r="AO7" s="31">
        <f t="shared" si="1"/>
        <v>18759.150000000001</v>
      </c>
      <c r="AP7" s="31">
        <f t="shared" si="1"/>
        <v>87599.8</v>
      </c>
      <c r="AQ7" s="31">
        <f t="shared" si="1"/>
        <v>3736</v>
      </c>
      <c r="AR7" s="31">
        <f t="shared" si="1"/>
        <v>869</v>
      </c>
      <c r="AS7" s="31">
        <f t="shared" si="1"/>
        <v>1608</v>
      </c>
      <c r="AT7" s="31">
        <f t="shared" si="1"/>
        <v>11753</v>
      </c>
      <c r="AU7" s="31">
        <f t="shared" si="1"/>
        <v>0</v>
      </c>
      <c r="AV7" s="31">
        <f t="shared" si="1"/>
        <v>1982</v>
      </c>
      <c r="AW7" s="31">
        <f t="shared" si="1"/>
        <v>126306.94999999998</v>
      </c>
      <c r="AX7" s="31">
        <f t="shared" si="1"/>
        <v>70870</v>
      </c>
      <c r="AY7" s="31">
        <f t="shared" si="1"/>
        <v>-2385.1455000000014</v>
      </c>
      <c r="AZ7" s="31">
        <f t="shared" si="1"/>
        <v>-298.64071902647129</v>
      </c>
      <c r="BA7" s="31">
        <f t="shared" si="1"/>
        <v>2771.23</v>
      </c>
      <c r="BB7" s="31">
        <f t="shared" si="1"/>
        <v>4.2299999999999995</v>
      </c>
      <c r="BC7" s="31">
        <f t="shared" si="1"/>
        <v>332</v>
      </c>
      <c r="BD7" s="31">
        <f t="shared" si="1"/>
        <v>23</v>
      </c>
      <c r="BE7" s="31">
        <f t="shared" si="1"/>
        <v>101.63888888888889</v>
      </c>
      <c r="BF7" s="34">
        <f t="shared" si="1"/>
        <v>334.14</v>
      </c>
      <c r="BG7" s="31">
        <f t="shared" si="1"/>
        <v>2437.09</v>
      </c>
      <c r="BH7" s="31">
        <f t="shared" si="1"/>
        <v>0</v>
      </c>
      <c r="BI7" s="31">
        <f t="shared" si="1"/>
        <v>21545.55</v>
      </c>
      <c r="BJ7" s="31">
        <f t="shared" si="1"/>
        <v>79079.100000000006</v>
      </c>
      <c r="BK7" s="31">
        <f t="shared" si="1"/>
        <v>3787</v>
      </c>
      <c r="BL7" s="31">
        <f t="shared" si="1"/>
        <v>470</v>
      </c>
      <c r="BM7" s="31">
        <f t="shared" si="1"/>
        <v>0</v>
      </c>
      <c r="BN7" s="31">
        <f t="shared" si="1"/>
        <v>11258</v>
      </c>
      <c r="BO7" s="31">
        <f t="shared" si="1"/>
        <v>749</v>
      </c>
      <c r="BP7" s="31">
        <f t="shared" si="1"/>
        <v>978</v>
      </c>
      <c r="BQ7" s="31">
        <f t="shared" si="1"/>
        <v>117866.65000000001</v>
      </c>
      <c r="BR7" s="31">
        <f t="shared" si="1"/>
        <v>61966</v>
      </c>
      <c r="BS7" s="31">
        <f t="shared" si="1"/>
        <v>-1316.9549999999988</v>
      </c>
      <c r="BT7" s="31">
        <f t="shared" si="1"/>
        <v>-347.80135248118194</v>
      </c>
      <c r="BU7" s="31">
        <f t="shared" si="1"/>
        <v>131996</v>
      </c>
      <c r="BV7" s="34">
        <f t="shared" si="1"/>
        <v>726.91000000000008</v>
      </c>
      <c r="BW7" s="31">
        <f t="shared" si="1"/>
        <v>-646.44207150765328</v>
      </c>
      <c r="BX7" s="31">
        <f t="shared" si="1"/>
        <v>586.97142999999983</v>
      </c>
      <c r="BY7" s="34">
        <f t="shared" si="1"/>
        <v>726.91000000000008</v>
      </c>
      <c r="BZ7" s="35">
        <f t="shared" si="1"/>
        <v>726.91000000000008</v>
      </c>
      <c r="CA7" s="31">
        <f t="shared" si="1"/>
        <v>244.17359999999999</v>
      </c>
      <c r="CB7" s="31">
        <f t="shared" si="1"/>
        <v>132836</v>
      </c>
      <c r="CC7" s="31">
        <f t="shared" si="1"/>
        <v>-3702.1004999999996</v>
      </c>
      <c r="CD7" s="31">
        <f t="shared" si="1"/>
        <v>-646.44207150765328</v>
      </c>
      <c r="CE7" s="36">
        <f t="shared" si="1"/>
        <v>0</v>
      </c>
      <c r="CF7" s="36">
        <f t="shared" si="1"/>
        <v>0</v>
      </c>
      <c r="CG7" s="34">
        <f t="shared" si="1"/>
        <v>366.65882999999997</v>
      </c>
      <c r="CH7" s="35">
        <f t="shared" si="1"/>
        <v>366.65882999999997</v>
      </c>
      <c r="CI7" s="31">
        <f t="shared" si="1"/>
        <v>3117</v>
      </c>
      <c r="CJ7" s="31">
        <f t="shared" si="1"/>
        <v>124324.94999999998</v>
      </c>
      <c r="CK7" s="31">
        <f t="shared" si="1"/>
        <v>0</v>
      </c>
      <c r="CL7" s="31">
        <f t="shared" si="1"/>
        <v>1982</v>
      </c>
      <c r="CM7" s="31">
        <f t="shared" si="1"/>
        <v>23</v>
      </c>
      <c r="CN7" s="31">
        <f t="shared" si="1"/>
        <v>116139.65000000001</v>
      </c>
      <c r="CO7" s="31">
        <f t="shared" si="1"/>
        <v>749</v>
      </c>
      <c r="CP7" s="31">
        <f t="shared" si="1"/>
        <v>978</v>
      </c>
      <c r="CQ7" s="31">
        <f t="shared" ref="CQ7:CV7" si="2">SUM(CQ8:CQ777)</f>
        <v>70379</v>
      </c>
      <c r="CR7" s="31">
        <f t="shared" si="2"/>
        <v>0</v>
      </c>
      <c r="CS7" s="31">
        <f t="shared" si="2"/>
        <v>487</v>
      </c>
      <c r="CT7" s="31">
        <f t="shared" si="2"/>
        <v>61433</v>
      </c>
      <c r="CU7" s="31">
        <f t="shared" si="2"/>
        <v>184</v>
      </c>
      <c r="CV7" s="31">
        <f t="shared" si="2"/>
        <v>358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70379</v>
      </c>
      <c r="DF7" s="38">
        <f t="shared" si="4"/>
        <v>392.77000000000004</v>
      </c>
      <c r="DG7" s="37">
        <f t="shared" si="4"/>
        <v>-298.64071902647129</v>
      </c>
      <c r="DH7" s="37">
        <f t="shared" si="4"/>
        <v>61617</v>
      </c>
      <c r="DI7" s="38">
        <f t="shared" si="4"/>
        <v>334.14</v>
      </c>
      <c r="DJ7" s="37">
        <f t="shared" si="4"/>
        <v>-347.80135248118194</v>
      </c>
      <c r="DK7" s="37">
        <f t="shared" si="4"/>
        <v>131996</v>
      </c>
      <c r="DL7" s="38">
        <f t="shared" si="4"/>
        <v>726.91000000000008</v>
      </c>
      <c r="DM7" s="37">
        <f t="shared" si="4"/>
        <v>-646.44207150765328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f>'06.02'!BG8</f>
        <v>25</v>
      </c>
      <c r="U8" s="52"/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1000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34</v>
      </c>
      <c r="AE8" s="53">
        <f>IF(V8="","",SUM(W8:AC8))</f>
        <v>1000</v>
      </c>
      <c r="AF8" s="54">
        <f>AE8+'06.02'!AF8</f>
        <v>1148</v>
      </c>
      <c r="AG8" s="55">
        <f>T8</f>
        <v>25</v>
      </c>
      <c r="AH8" s="56">
        <f t="shared" ref="AH8:AH72" si="13">IFERROR(VALUE("0"&amp;RIGHT(AG8,(LEN(AG8)-LEN(TRUNC(AG8))))),"")</f>
        <v>0</v>
      </c>
      <c r="AI8" s="53">
        <v>8</v>
      </c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8</v>
      </c>
      <c r="AM8" s="55">
        <f>IF(V8="","",AG8+U8-AL8)</f>
        <v>17</v>
      </c>
      <c r="AN8" s="53"/>
      <c r="AO8" s="59"/>
      <c r="AP8" s="59">
        <f t="shared" ref="AP8:AP13" si="14">$CJ8</f>
        <v>5100</v>
      </c>
      <c r="AQ8" s="59"/>
      <c r="AR8" s="59"/>
      <c r="AS8" s="59"/>
      <c r="AT8" s="59"/>
      <c r="AU8" s="59">
        <f>CK8</f>
        <v>0</v>
      </c>
      <c r="AV8" s="59">
        <f>CL8</f>
        <v>350</v>
      </c>
      <c r="AW8" s="59">
        <f>SUM(AO8:AV8)</f>
        <v>5450</v>
      </c>
      <c r="AX8" s="59">
        <f>IF(V8="","",INT(AW8/$V8))</f>
        <v>539</v>
      </c>
      <c r="AY8" s="55">
        <f>IF(V8="","",AW8-AL8*$E8*$V8)</f>
        <v>-206</v>
      </c>
      <c r="AZ8" s="59">
        <f>IF($V8="","",AY8/$V8)</f>
        <v>-20.396039603960396</v>
      </c>
      <c r="BA8" s="55">
        <f>AM8</f>
        <v>17</v>
      </c>
      <c r="BB8" s="60">
        <f>VALUE("0"&amp;RIGHT(BA8,(LEN(BA8)-LEN(TRUNC(BA8)))))</f>
        <v>0</v>
      </c>
      <c r="BC8" s="53">
        <v>7</v>
      </c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7</v>
      </c>
      <c r="BG8" s="55">
        <f>IF(AA8="","",BA8-BF8)</f>
        <v>10</v>
      </c>
      <c r="BH8" s="44"/>
      <c r="BI8" s="44"/>
      <c r="BJ8" s="52">
        <f t="shared" ref="BJ8:BJ13" si="15">$CN8</f>
        <v>5000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5000</v>
      </c>
      <c r="BR8" s="59">
        <f>IF(AA8="","",INT(BQ8/$V8))</f>
        <v>495</v>
      </c>
      <c r="BS8" s="59">
        <f>IF(AA8="","",-BF8*$E8*$V8+BQ8)</f>
        <v>51</v>
      </c>
      <c r="BT8" s="59">
        <f>IF($V8="","",BS8/$V8)</f>
        <v>5.0495049504950495</v>
      </c>
      <c r="BU8" s="52">
        <f t="shared" ref="BU8:BU71" si="16">IFERROR(AE8,"")</f>
        <v>1000</v>
      </c>
      <c r="BV8" s="61">
        <f t="shared" ref="BV8:BV73" si="17">IFERROR(BF8+AL8,"")</f>
        <v>15</v>
      </c>
      <c r="BW8" s="52">
        <f t="shared" ref="BW8:BW71" si="18">IFERROR(BT8+AZ8,"")</f>
        <v>-15.346534653465348</v>
      </c>
      <c r="BX8" s="61">
        <f>IF($Q8="","",(BF8+AL8)*$Q8)</f>
        <v>27.48</v>
      </c>
      <c r="BY8" s="61">
        <f>IFERROR(BF8+AL8,0)</f>
        <v>15</v>
      </c>
      <c r="BZ8" s="62">
        <f>BY8</f>
        <v>15</v>
      </c>
      <c r="CA8" s="51">
        <f>IFERROR((BQ8+AW8)/1000,"")</f>
        <v>10.45</v>
      </c>
      <c r="CB8" s="63">
        <f t="shared" ref="CB8:CD39" si="19">IFERROR(BR8+AX8,"")</f>
        <v>1034</v>
      </c>
      <c r="CC8" s="63">
        <f t="shared" si="19"/>
        <v>-155</v>
      </c>
      <c r="CD8" s="63">
        <f t="shared" si="19"/>
        <v>-15.346534653465348</v>
      </c>
      <c r="CE8" s="64"/>
      <c r="CF8" s="64"/>
      <c r="CG8" s="51">
        <f>IF(BX8="",0,(BX8-CA8)+((AV8+BP8)/1000))</f>
        <v>17.380000000000003</v>
      </c>
      <c r="CH8" s="62">
        <f>CG8</f>
        <v>17.380000000000003</v>
      </c>
      <c r="CI8" s="44"/>
      <c r="CJ8" s="44">
        <v>5100</v>
      </c>
      <c r="CK8" s="44"/>
      <c r="CL8" s="59">
        <v>350</v>
      </c>
      <c r="CM8" s="44"/>
      <c r="CN8" s="44">
        <v>5000</v>
      </c>
      <c r="CO8" s="52"/>
      <c r="CP8" s="65"/>
      <c r="CQ8" s="66">
        <f>INT(IFERROR( CJ8/$V8,0))</f>
        <v>504</v>
      </c>
      <c r="CR8" s="66">
        <f t="shared" ref="CR8:CS23" si="20">INT(IFERROR( CK8/$V8,0))</f>
        <v>0</v>
      </c>
      <c r="CS8" s="66">
        <f t="shared" si="20"/>
        <v>34</v>
      </c>
      <c r="CT8" s="63">
        <f>INT(IFERROR( AE8-CQ8-CU8-CR8,0))</f>
        <v>496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504</v>
      </c>
      <c r="DF8" s="72">
        <f t="shared" ref="DF8:DF71" si="22">IFERROR(AL8,"")</f>
        <v>8</v>
      </c>
      <c r="DG8" s="73">
        <f t="shared" ref="DG8:DG71" si="23">IFERROR(AZ8,"")</f>
        <v>-20.396039603960396</v>
      </c>
      <c r="DH8" s="74">
        <f t="shared" ref="DH8:DH71" si="24">IFERROR(CT8+CU8,"")</f>
        <v>496</v>
      </c>
      <c r="DI8" s="72">
        <f t="shared" ref="DI8:DI71" si="25">IFERROR(BF8,"")</f>
        <v>7</v>
      </c>
      <c r="DJ8" s="73">
        <f t="shared" ref="DJ8:DJ71" si="26">IFERROR(BT8,"")</f>
        <v>5.0495049504950495</v>
      </c>
      <c r="DK8" s="74">
        <f t="shared" ref="DK8:DM23" si="27">IFERROR(DE8+DH8,"")</f>
        <v>1000</v>
      </c>
      <c r="DL8" s="72">
        <f t="shared" si="27"/>
        <v>15</v>
      </c>
      <c r="DM8" s="75">
        <f t="shared" si="27"/>
        <v>-15.346534653465348</v>
      </c>
      <c r="DN8" s="76">
        <v>10</v>
      </c>
      <c r="DO8" s="73"/>
      <c r="DP8" s="77"/>
      <c r="DQ8" s="77"/>
      <c r="DR8" s="78" t="s">
        <v>417</v>
      </c>
      <c r="DS8" s="77"/>
      <c r="DT8" s="77"/>
      <c r="DU8" s="75"/>
      <c r="DV8" s="79"/>
      <c r="DW8" s="80">
        <f>IFERROR(AL8+BC8,"")</f>
        <v>15</v>
      </c>
      <c r="DX8" s="81">
        <f t="shared" ref="DX8:DX71" si="28">IFERROR(DK8+DL8+DM8,"")</f>
        <v>999.65346534653463</v>
      </c>
      <c r="DY8" s="80">
        <f>CQ8+CR8+CS8+CT8+CU8+CV8</f>
        <v>1034</v>
      </c>
      <c r="DZ8">
        <f>IFERROR((AD8*V8/1000),0)</f>
        <v>0.34339999999999998</v>
      </c>
      <c r="EA8" s="82">
        <f>IFERROR((AE8*V8/1000),0)</f>
        <v>10.1</v>
      </c>
      <c r="EB8" s="82">
        <f>BX8-EA8</f>
        <v>17.380000000000003</v>
      </c>
      <c r="EC8" s="82">
        <f t="shared" ref="EC8:EC13" si="29">(BX8-CA8)+((AV8+BP8)/1000)</f>
        <v>17.380000000000003</v>
      </c>
      <c r="EF8" s="83">
        <f>DG8+DJ8</f>
        <v>-15.346534653465348</v>
      </c>
    </row>
    <row r="9" spans="1:136" ht="15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0">CONCATENATE(K9,J9,"-",IF(N9="D",L9,IF(N9="H",CONCATENATE(N9,L9),CONCATENATE(N9,L9,"x",M9))),"x",P9,"-",O9,R9)</f>
        <v>TV12L14-10x2.5-H9A14</v>
      </c>
      <c r="H9" s="46" t="str">
        <f t="shared" ref="H9:H72" si="31">CONCATENATE(J9,,K9,L9,M9,N9,O9)</f>
        <v>12L14TV100DH9</v>
      </c>
      <c r="I9" s="46" t="str">
        <f t="shared" ref="I9:I72" si="32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3">ROUND(CY9/E9,0)*2</f>
        <v>70</v>
      </c>
      <c r="T9" s="51">
        <f>'05.02'!BG9</f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4">IF(V9="","",SUM(W9:AC9))</f>
        <v>0</v>
      </c>
      <c r="AF9" s="54">
        <f>AE9+'06.02'!AF9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5">IF(V9="","",IF(AJ9=0,1,AJ9/$V9/$E9))</f>
        <v>1</v>
      </c>
      <c r="AL9" s="58">
        <f t="shared" ref="AL9:AL75" si="36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7">CL9</f>
        <v>0</v>
      </c>
      <c r="AW9" s="96">
        <f t="shared" ref="AW9:AW72" si="38">SUM(AO9:AV9)</f>
        <v>0</v>
      </c>
      <c r="AX9" s="96">
        <f t="shared" ref="AX9:AX72" si="39">IF(V9="","",INT(AW9/$V9))</f>
        <v>0</v>
      </c>
      <c r="AY9" s="94">
        <f>IF(V9="","",AW9-AL9*$E9*$V9)</f>
        <v>0</v>
      </c>
      <c r="AZ9" s="94">
        <f t="shared" ref="AZ9:AZ72" si="40">IF($V9="","",AY9/$V9)</f>
        <v>0</v>
      </c>
      <c r="BA9" s="94">
        <f t="shared" ref="BA9:BA74" si="41">AM9</f>
        <v>0</v>
      </c>
      <c r="BB9" s="97">
        <f t="shared" ref="BB9:BB74" si="42">VALUE("0"&amp;RIGHT(BA9,(LEN(BA9)-LEN(TRUNC(BA9)))))</f>
        <v>0</v>
      </c>
      <c r="BC9" s="93"/>
      <c r="BD9" s="93">
        <f t="shared" ref="BD9:BD72" si="43">$CM9</f>
        <v>0</v>
      </c>
      <c r="BE9" s="95">
        <f t="shared" ref="BE9:BE72" si="44">IF(AA9="","",IF(BD9=0,1,BD9/$V9/$E9))</f>
        <v>1</v>
      </c>
      <c r="BF9" s="58">
        <f t="shared" ref="BF9:BF76" si="45">IF(V9="","",MAX(ROUNDUP((IF(BC9+BD9=0,0,BB9)+BC9+BE9-1),2),0))</f>
        <v>0</v>
      </c>
      <c r="BG9" s="94">
        <f t="shared" ref="BG9:BG72" si="46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7">SUM(BI9:BP9)</f>
        <v>0</v>
      </c>
      <c r="BR9" s="96">
        <f t="shared" ref="BR9:BR72" si="48">IF(AA9="","",INT(BQ9/$V9))</f>
        <v>0</v>
      </c>
      <c r="BS9" s="96">
        <f>IF(AA9="","",-BF9*$E9*$V9+BQ9)</f>
        <v>0</v>
      </c>
      <c r="BT9" s="96">
        <f t="shared" ref="BT9:BT72" si="49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0">IF($Q9="","",(BF9+AL9)*$Q9)</f>
        <v>0</v>
      </c>
      <c r="BY9" s="61">
        <f>IFERROR(BF9+AL9,0)</f>
        <v>0</v>
      </c>
      <c r="BZ9" s="62">
        <f t="shared" ref="BZ9:BZ72" si="51">BY9</f>
        <v>0</v>
      </c>
      <c r="CA9" s="98">
        <f t="shared" ref="CA9:CA72" si="52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3">IF(BX9="",0,(BX9-CA9)+((AV9+BP9)/1000))</f>
        <v>0</v>
      </c>
      <c r="CH9" s="62">
        <f t="shared" ref="CH9:CH72" si="54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5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6">INT(IFERROR( AE9-CQ9-CU9-CR9,0))</f>
        <v>0</v>
      </c>
      <c r="CU9" s="92">
        <f t="shared" ref="CU9:CV24" si="57">INT(IFERROR( AC9-CR9,0))</f>
        <v>0</v>
      </c>
      <c r="CV9" s="103">
        <f t="shared" si="57"/>
        <v>0</v>
      </c>
      <c r="CW9" s="104"/>
      <c r="CX9" s="105">
        <v>67</v>
      </c>
      <c r="CY9" s="106">
        <f t="shared" ref="CY9:CY72" si="58">INT(60/CX9*60*(12-(CEILING((60/CX9*60*12)/E9,1)*IF(CW9="T",0.45,IF(CW9="",5,3))/60)))</f>
        <v>282</v>
      </c>
      <c r="CZ9" s="106">
        <f t="shared" ref="CZ9:CZ72" si="59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ref="DN9:DO16" si="60">T9</f>
        <v>0</v>
      </c>
      <c r="DO9" s="76">
        <f t="shared" si="60"/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1">IFERROR(BU9+BV9,"")</f>
        <v>0</v>
      </c>
      <c r="DX9" s="81">
        <f t="shared" si="28"/>
        <v>0</v>
      </c>
      <c r="DY9" s="80">
        <f t="shared" ref="DY9:DY72" si="62">CQ9+CR9+CS9+CT9+CU9+CV9</f>
        <v>0</v>
      </c>
      <c r="DZ9">
        <f t="shared" ref="DZ9:DZ72" si="63">IFERROR((AD9*V9/1000),0)</f>
        <v>0</v>
      </c>
      <c r="EA9" s="82">
        <f t="shared" ref="EA9:EA72" si="64">IFERROR((AE9*V9/1000),0)</f>
        <v>0</v>
      </c>
      <c r="EB9" s="82">
        <f t="shared" ref="EB9:EB72" si="65">BX9-EA9</f>
        <v>0</v>
      </c>
      <c r="EC9" s="82">
        <f t="shared" si="29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0"/>
        <v>GWA6063-T5-17x3-H9B15</v>
      </c>
      <c r="H10" s="46" t="str">
        <f t="shared" si="31"/>
        <v>A6063-T5GW170DH9</v>
      </c>
      <c r="I10" s="46" t="str">
        <f t="shared" si="32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3"/>
        <v>22</v>
      </c>
      <c r="T10" s="51">
        <f>'06.02'!BG10</f>
        <v>33</v>
      </c>
      <c r="U10" s="92"/>
      <c r="V10" s="89">
        <v>10.1</v>
      </c>
      <c r="W10" s="93">
        <f t="shared" si="5"/>
        <v>0</v>
      </c>
      <c r="X10" s="93">
        <f t="shared" si="6"/>
        <v>1207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23</v>
      </c>
      <c r="AE10" s="93">
        <f t="shared" si="34"/>
        <v>1207</v>
      </c>
      <c r="AF10" s="54">
        <f>AE10+'06.02'!AF10</f>
        <v>8155</v>
      </c>
      <c r="AG10" s="94">
        <f t="shared" ref="AG10:AG73" si="66">T10</f>
        <v>33</v>
      </c>
      <c r="AH10" s="56">
        <f t="shared" si="13"/>
        <v>0</v>
      </c>
      <c r="AI10" s="89">
        <v>9</v>
      </c>
      <c r="AJ10" s="93">
        <f t="shared" ref="AJ10:AJ73" si="67">$CI10</f>
        <v>0</v>
      </c>
      <c r="AK10" s="95">
        <f t="shared" si="35"/>
        <v>1</v>
      </c>
      <c r="AL10" s="58">
        <f t="shared" si="36"/>
        <v>9</v>
      </c>
      <c r="AM10" s="55">
        <f t="shared" ref="AM10:AM73" si="68">IF(V10="","",AG10+U10-AL10)</f>
        <v>24</v>
      </c>
      <c r="AN10" s="93"/>
      <c r="AO10" s="96"/>
      <c r="AP10" s="96">
        <f t="shared" si="14"/>
        <v>6200</v>
      </c>
      <c r="AQ10" s="96"/>
      <c r="AR10" s="96"/>
      <c r="AS10" s="96"/>
      <c r="AT10" s="96"/>
      <c r="AU10" s="96">
        <f t="shared" si="37"/>
        <v>0</v>
      </c>
      <c r="AV10" s="96">
        <f t="shared" si="37"/>
        <v>0</v>
      </c>
      <c r="AW10" s="96">
        <f t="shared" si="38"/>
        <v>6200</v>
      </c>
      <c r="AX10" s="96">
        <f t="shared" si="39"/>
        <v>613</v>
      </c>
      <c r="AY10" s="94">
        <f t="shared" ref="AY10:AY73" si="69">IF(V10="","",AW10-AL10*$E10*$V10)</f>
        <v>-163</v>
      </c>
      <c r="AZ10" s="94">
        <f t="shared" si="40"/>
        <v>-16.138613861386141</v>
      </c>
      <c r="BA10" s="94">
        <f t="shared" si="41"/>
        <v>24</v>
      </c>
      <c r="BB10" s="97">
        <f t="shared" si="42"/>
        <v>0</v>
      </c>
      <c r="BC10" s="93">
        <v>9</v>
      </c>
      <c r="BD10" s="93">
        <f t="shared" si="43"/>
        <v>0</v>
      </c>
      <c r="BE10" s="95">
        <f t="shared" si="44"/>
        <v>1</v>
      </c>
      <c r="BF10" s="58">
        <f t="shared" si="45"/>
        <v>9</v>
      </c>
      <c r="BG10" s="94">
        <f t="shared" si="46"/>
        <v>15</v>
      </c>
      <c r="BH10" s="89"/>
      <c r="BI10" s="89"/>
      <c r="BJ10" s="92">
        <f t="shared" si="15"/>
        <v>6000</v>
      </c>
      <c r="BK10" s="89"/>
      <c r="BL10" s="89"/>
      <c r="BM10" s="89"/>
      <c r="BN10" s="89"/>
      <c r="BO10" s="92">
        <f t="shared" ref="BO10:BP73" si="70">CO10</f>
        <v>0</v>
      </c>
      <c r="BP10" s="92">
        <f t="shared" si="70"/>
        <v>238</v>
      </c>
      <c r="BQ10" s="96">
        <f t="shared" si="47"/>
        <v>6238</v>
      </c>
      <c r="BR10" s="96">
        <f t="shared" si="48"/>
        <v>617</v>
      </c>
      <c r="BS10" s="96">
        <f t="shared" ref="BS10:BS73" si="71">IF(AA10="","",-BF10*$E10*$V10+BQ10)</f>
        <v>-125</v>
      </c>
      <c r="BT10" s="96">
        <f t="shared" si="49"/>
        <v>-12.376237623762377</v>
      </c>
      <c r="BU10" s="92">
        <f t="shared" si="16"/>
        <v>1207</v>
      </c>
      <c r="BV10" s="98">
        <f t="shared" si="17"/>
        <v>18</v>
      </c>
      <c r="BW10" s="92">
        <f t="shared" si="18"/>
        <v>-28.514851485148519</v>
      </c>
      <c r="BX10" s="61">
        <f t="shared" si="50"/>
        <v>32.975999999999999</v>
      </c>
      <c r="BY10" s="61">
        <f>IFERROR(BF10+AL10,0)</f>
        <v>18</v>
      </c>
      <c r="BZ10" s="62">
        <f t="shared" si="51"/>
        <v>18</v>
      </c>
      <c r="CA10" s="98">
        <f t="shared" si="52"/>
        <v>12.438000000000001</v>
      </c>
      <c r="CB10" s="92">
        <f t="shared" si="19"/>
        <v>1230</v>
      </c>
      <c r="CC10" s="92">
        <f t="shared" si="19"/>
        <v>-288</v>
      </c>
      <c r="CD10" s="92">
        <f t="shared" si="19"/>
        <v>-28.514851485148519</v>
      </c>
      <c r="CE10" s="99"/>
      <c r="CF10" s="99"/>
      <c r="CG10" s="51">
        <f t="shared" si="53"/>
        <v>20.775999999999996</v>
      </c>
      <c r="CH10" s="62">
        <f t="shared" si="54"/>
        <v>20.775999999999996</v>
      </c>
      <c r="CI10" s="89"/>
      <c r="CJ10" s="89">
        <v>6200</v>
      </c>
      <c r="CK10" s="89"/>
      <c r="CL10" s="96"/>
      <c r="CM10" s="89"/>
      <c r="CN10" s="89">
        <v>6000</v>
      </c>
      <c r="CO10" s="92"/>
      <c r="CP10" s="101">
        <v>238</v>
      </c>
      <c r="CQ10" s="102">
        <f t="shared" si="55"/>
        <v>613</v>
      </c>
      <c r="CR10" s="102">
        <f t="shared" si="20"/>
        <v>0</v>
      </c>
      <c r="CS10" s="102">
        <f t="shared" si="20"/>
        <v>0</v>
      </c>
      <c r="CT10" s="92">
        <f t="shared" si="56"/>
        <v>594</v>
      </c>
      <c r="CU10" s="92">
        <f t="shared" si="57"/>
        <v>0</v>
      </c>
      <c r="CV10" s="103">
        <f t="shared" si="57"/>
        <v>23</v>
      </c>
      <c r="CW10" s="104"/>
      <c r="CX10" s="105">
        <v>51</v>
      </c>
      <c r="CY10" s="106">
        <f t="shared" si="58"/>
        <v>770</v>
      </c>
      <c r="CZ10" s="106">
        <f t="shared" si="59"/>
        <v>413.1</v>
      </c>
      <c r="DA10" s="106"/>
      <c r="DB10" s="106"/>
      <c r="DC10" s="105"/>
      <c r="DD10" s="107"/>
      <c r="DE10" s="92">
        <f t="shared" si="21"/>
        <v>613</v>
      </c>
      <c r="DF10" s="108">
        <f t="shared" si="22"/>
        <v>9</v>
      </c>
      <c r="DG10" s="112">
        <f t="shared" si="23"/>
        <v>-16.138613861386141</v>
      </c>
      <c r="DH10" s="110">
        <f t="shared" si="24"/>
        <v>594</v>
      </c>
      <c r="DI10" s="108">
        <f t="shared" si="25"/>
        <v>9</v>
      </c>
      <c r="DJ10" s="115">
        <f t="shared" si="26"/>
        <v>-12.376237623762377</v>
      </c>
      <c r="DK10" s="110">
        <f t="shared" si="27"/>
        <v>1207</v>
      </c>
      <c r="DL10" s="108">
        <f t="shared" si="27"/>
        <v>18</v>
      </c>
      <c r="DM10" s="111">
        <f t="shared" si="27"/>
        <v>-28.514851485148519</v>
      </c>
      <c r="DN10" s="76">
        <v>15</v>
      </c>
      <c r="DO10" s="76"/>
      <c r="DP10" s="112"/>
      <c r="DQ10" s="112"/>
      <c r="DR10" s="113" t="s">
        <v>418</v>
      </c>
      <c r="DS10" s="112"/>
      <c r="DT10" s="112"/>
      <c r="DU10" s="111"/>
      <c r="DV10" s="114"/>
      <c r="DW10" s="80">
        <f>IFERROR(AL10+BF10,"")</f>
        <v>18</v>
      </c>
      <c r="DX10" s="81">
        <f t="shared" si="28"/>
        <v>1196.4851485148515</v>
      </c>
      <c r="DY10" s="80">
        <f t="shared" si="62"/>
        <v>1230</v>
      </c>
      <c r="DZ10">
        <f t="shared" si="63"/>
        <v>0.23229999999999998</v>
      </c>
      <c r="EA10" s="82">
        <f t="shared" si="64"/>
        <v>12.1907</v>
      </c>
      <c r="EB10" s="82">
        <f t="shared" si="65"/>
        <v>20.785299999999999</v>
      </c>
      <c r="EC10" s="82">
        <f t="shared" si="29"/>
        <v>20.775999999999996</v>
      </c>
      <c r="EF10" s="83">
        <f t="shared" ref="EF10:EF11" si="72">DG10+DJ10</f>
        <v>-28.514851485148519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0"/>
        <v>TV12L14-11x2.5-H9C14</v>
      </c>
      <c r="H11" s="46" t="str">
        <f t="shared" si="31"/>
        <v>12L14TV110DH9</v>
      </c>
      <c r="I11" s="46" t="str">
        <f t="shared" si="32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3"/>
        <v>12</v>
      </c>
      <c r="T11" s="51">
        <f>'06.02'!BG11</f>
        <v>21.55</v>
      </c>
      <c r="U11" s="92"/>
      <c r="V11" s="89">
        <v>2</v>
      </c>
      <c r="W11" s="93">
        <f t="shared" si="5"/>
        <v>0</v>
      </c>
      <c r="X11" s="93">
        <f t="shared" si="6"/>
        <v>3738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0</v>
      </c>
      <c r="AE11" s="93">
        <f t="shared" si="34"/>
        <v>3738</v>
      </c>
      <c r="AF11" s="54">
        <f>AE11+'06.02'!AF11</f>
        <v>24050</v>
      </c>
      <c r="AG11" s="94">
        <f t="shared" si="66"/>
        <v>21.55</v>
      </c>
      <c r="AH11" s="56">
        <f t="shared" si="13"/>
        <v>0.55000000000000004</v>
      </c>
      <c r="AI11" s="89">
        <v>8</v>
      </c>
      <c r="AJ11" s="93">
        <f t="shared" si="67"/>
        <v>0</v>
      </c>
      <c r="AK11" s="95">
        <f t="shared" si="35"/>
        <v>1</v>
      </c>
      <c r="AL11" s="58">
        <f t="shared" si="36"/>
        <v>8.5500000000000007</v>
      </c>
      <c r="AM11" s="55">
        <f t="shared" si="68"/>
        <v>13</v>
      </c>
      <c r="AN11" s="93"/>
      <c r="AO11" s="96"/>
      <c r="AP11" s="96">
        <f t="shared" si="14"/>
        <v>4469</v>
      </c>
      <c r="AQ11" s="96"/>
      <c r="AR11" s="96"/>
      <c r="AS11" s="96"/>
      <c r="AT11" s="96"/>
      <c r="AU11" s="96">
        <f t="shared" si="37"/>
        <v>0</v>
      </c>
      <c r="AV11" s="96">
        <f t="shared" si="37"/>
        <v>0</v>
      </c>
      <c r="AW11" s="96">
        <f t="shared" si="38"/>
        <v>4469</v>
      </c>
      <c r="AX11" s="96">
        <f t="shared" si="39"/>
        <v>2234</v>
      </c>
      <c r="AY11" s="94">
        <f t="shared" si="69"/>
        <v>-370.30000000000018</v>
      </c>
      <c r="AZ11" s="94">
        <f t="shared" si="40"/>
        <v>-185.15000000000009</v>
      </c>
      <c r="BA11" s="94">
        <f t="shared" si="41"/>
        <v>13</v>
      </c>
      <c r="BB11" s="97">
        <f t="shared" si="42"/>
        <v>0</v>
      </c>
      <c r="BC11" s="93">
        <v>6</v>
      </c>
      <c r="BD11" s="93">
        <f t="shared" si="43"/>
        <v>0</v>
      </c>
      <c r="BE11" s="95">
        <f t="shared" si="44"/>
        <v>1</v>
      </c>
      <c r="BF11" s="58">
        <f t="shared" si="45"/>
        <v>6</v>
      </c>
      <c r="BG11" s="94">
        <f t="shared" si="46"/>
        <v>7</v>
      </c>
      <c r="BH11" s="89"/>
      <c r="BI11" s="89"/>
      <c r="BJ11" s="92">
        <f t="shared" si="15"/>
        <v>3007</v>
      </c>
      <c r="BK11" s="89"/>
      <c r="BL11" s="89"/>
      <c r="BM11" s="89"/>
      <c r="BN11" s="89"/>
      <c r="BO11" s="92">
        <f t="shared" si="70"/>
        <v>0</v>
      </c>
      <c r="BP11" s="92">
        <f t="shared" si="70"/>
        <v>0</v>
      </c>
      <c r="BQ11" s="96">
        <f t="shared" si="47"/>
        <v>3007</v>
      </c>
      <c r="BR11" s="96">
        <f t="shared" si="48"/>
        <v>1503</v>
      </c>
      <c r="BS11" s="96">
        <f t="shared" si="71"/>
        <v>-389</v>
      </c>
      <c r="BT11" s="96">
        <f t="shared" si="49"/>
        <v>-194.5</v>
      </c>
      <c r="BU11" s="92">
        <f t="shared" si="16"/>
        <v>3738</v>
      </c>
      <c r="BV11" s="98">
        <f t="shared" si="17"/>
        <v>14.55</v>
      </c>
      <c r="BW11" s="92">
        <f t="shared" si="18"/>
        <v>-379.65000000000009</v>
      </c>
      <c r="BX11" s="98" t="str">
        <f t="shared" si="50"/>
        <v/>
      </c>
      <c r="BY11" s="61">
        <f t="shared" ref="BY11:BY73" si="73">IFERROR(BF11+AL11,0)</f>
        <v>14.55</v>
      </c>
      <c r="BZ11" s="62">
        <f t="shared" si="51"/>
        <v>14.55</v>
      </c>
      <c r="CA11" s="98">
        <f t="shared" si="52"/>
        <v>7.476</v>
      </c>
      <c r="CB11" s="92">
        <f t="shared" si="19"/>
        <v>3737</v>
      </c>
      <c r="CC11" s="92">
        <f t="shared" si="19"/>
        <v>-759.30000000000018</v>
      </c>
      <c r="CD11" s="92">
        <f t="shared" si="19"/>
        <v>-379.65000000000009</v>
      </c>
      <c r="CE11" s="99"/>
      <c r="CF11" s="99"/>
      <c r="CG11" s="51">
        <f t="shared" si="53"/>
        <v>0</v>
      </c>
      <c r="CH11" s="62">
        <f t="shared" si="54"/>
        <v>0</v>
      </c>
      <c r="CI11" s="89"/>
      <c r="CJ11" s="89">
        <v>4469</v>
      </c>
      <c r="CK11" s="89"/>
      <c r="CL11" s="96"/>
      <c r="CM11" s="89"/>
      <c r="CN11" s="89">
        <v>3007</v>
      </c>
      <c r="CO11" s="92"/>
      <c r="CP11" s="101"/>
      <c r="CQ11" s="102">
        <f t="shared" si="55"/>
        <v>2234</v>
      </c>
      <c r="CR11" s="102">
        <f t="shared" si="20"/>
        <v>0</v>
      </c>
      <c r="CS11" s="102">
        <f t="shared" si="20"/>
        <v>0</v>
      </c>
      <c r="CT11" s="92">
        <f t="shared" si="56"/>
        <v>1504</v>
      </c>
      <c r="CU11" s="92">
        <f t="shared" si="57"/>
        <v>0</v>
      </c>
      <c r="CV11" s="103">
        <f t="shared" si="57"/>
        <v>0</v>
      </c>
      <c r="CW11" s="104"/>
      <c r="CX11" s="105">
        <v>25</v>
      </c>
      <c r="CY11" s="106">
        <f t="shared" si="58"/>
        <v>1644</v>
      </c>
      <c r="CZ11" s="106">
        <f t="shared" si="59"/>
        <v>202.5</v>
      </c>
      <c r="DA11" s="106"/>
      <c r="DB11" s="106"/>
      <c r="DC11" s="105"/>
      <c r="DD11" s="107"/>
      <c r="DE11" s="92">
        <f t="shared" si="21"/>
        <v>2234</v>
      </c>
      <c r="DF11" s="108">
        <f t="shared" si="22"/>
        <v>8.5500000000000007</v>
      </c>
      <c r="DG11" s="112">
        <f t="shared" si="23"/>
        <v>-185.15000000000009</v>
      </c>
      <c r="DH11" s="110">
        <f t="shared" si="24"/>
        <v>1504</v>
      </c>
      <c r="DI11" s="108">
        <f t="shared" si="25"/>
        <v>6</v>
      </c>
      <c r="DJ11" s="112">
        <f t="shared" si="26"/>
        <v>-194.5</v>
      </c>
      <c r="DK11" s="110">
        <f t="shared" si="27"/>
        <v>3738</v>
      </c>
      <c r="DL11" s="108">
        <f t="shared" si="27"/>
        <v>14.55</v>
      </c>
      <c r="DM11" s="111">
        <f t="shared" si="27"/>
        <v>-379.65000000000009</v>
      </c>
      <c r="DN11" s="76">
        <v>7</v>
      </c>
      <c r="DO11" s="76"/>
      <c r="DP11" s="112"/>
      <c r="DQ11" s="112"/>
      <c r="DR11" s="113" t="s">
        <v>419</v>
      </c>
      <c r="DS11" s="112"/>
      <c r="DT11" s="112"/>
      <c r="DU11" s="111"/>
      <c r="DV11" s="114"/>
      <c r="DW11" s="80">
        <f t="shared" si="61"/>
        <v>3752.55</v>
      </c>
      <c r="DX11" s="81">
        <f t="shared" si="28"/>
        <v>3372.9</v>
      </c>
      <c r="DY11" s="80">
        <f t="shared" si="62"/>
        <v>3738</v>
      </c>
      <c r="DZ11" s="82">
        <f t="shared" si="63"/>
        <v>0</v>
      </c>
      <c r="EA11" s="82">
        <f t="shared" si="64"/>
        <v>7.476</v>
      </c>
      <c r="EB11" s="82" t="e">
        <f t="shared" si="65"/>
        <v>#VALUE!</v>
      </c>
      <c r="EC11" s="82" t="e">
        <f t="shared" si="29"/>
        <v>#VALUE!</v>
      </c>
      <c r="EF11" s="83">
        <f t="shared" si="72"/>
        <v>-379.65000000000009</v>
      </c>
    </row>
    <row r="12" spans="1:136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0"/>
        <v>DCC3604-10x3-H9B12</v>
      </c>
      <c r="H12" s="46" t="str">
        <f t="shared" si="31"/>
        <v>C3604DC100DH9</v>
      </c>
      <c r="I12" s="46" t="str">
        <f t="shared" si="32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3"/>
        <v>26</v>
      </c>
      <c r="T12" s="51">
        <f>'05.02'!BG12</f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4"/>
        <v>0</v>
      </c>
      <c r="AF12" s="54">
        <f>AE12+'06.02'!AF12</f>
        <v>0</v>
      </c>
      <c r="AG12" s="94">
        <f t="shared" si="66"/>
        <v>0</v>
      </c>
      <c r="AH12" s="56">
        <f t="shared" si="13"/>
        <v>0</v>
      </c>
      <c r="AI12" s="89"/>
      <c r="AJ12" s="93">
        <f t="shared" si="67"/>
        <v>0</v>
      </c>
      <c r="AK12" s="95">
        <f t="shared" si="35"/>
        <v>1</v>
      </c>
      <c r="AL12" s="58">
        <f t="shared" si="36"/>
        <v>0</v>
      </c>
      <c r="AM12" s="55">
        <f t="shared" si="68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7"/>
        <v>0</v>
      </c>
      <c r="AV12" s="96">
        <f t="shared" si="37"/>
        <v>0</v>
      </c>
      <c r="AW12" s="96">
        <f t="shared" si="38"/>
        <v>0</v>
      </c>
      <c r="AX12" s="96">
        <f t="shared" si="39"/>
        <v>0</v>
      </c>
      <c r="AY12" s="94">
        <f t="shared" si="69"/>
        <v>0</v>
      </c>
      <c r="AZ12" s="94">
        <f t="shared" si="40"/>
        <v>0</v>
      </c>
      <c r="BA12" s="94">
        <f t="shared" si="41"/>
        <v>0</v>
      </c>
      <c r="BB12" s="97">
        <f t="shared" si="42"/>
        <v>0</v>
      </c>
      <c r="BC12" s="93"/>
      <c r="BD12" s="93">
        <f t="shared" si="43"/>
        <v>0</v>
      </c>
      <c r="BE12" s="95">
        <f t="shared" si="44"/>
        <v>1</v>
      </c>
      <c r="BF12" s="58">
        <f t="shared" si="45"/>
        <v>0</v>
      </c>
      <c r="BG12" s="94">
        <f t="shared" si="46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0"/>
        <v>0</v>
      </c>
      <c r="BP12" s="92">
        <f t="shared" si="70"/>
        <v>0</v>
      </c>
      <c r="BQ12" s="96">
        <f t="shared" si="47"/>
        <v>0</v>
      </c>
      <c r="BR12" s="96">
        <f t="shared" si="48"/>
        <v>0</v>
      </c>
      <c r="BS12" s="96">
        <f t="shared" si="71"/>
        <v>0</v>
      </c>
      <c r="BT12" s="96">
        <f t="shared" si="49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0"/>
        <v>0</v>
      </c>
      <c r="BY12" s="61">
        <f>IFERROR(BF12+AL12,0)</f>
        <v>0</v>
      </c>
      <c r="BZ12" s="62">
        <f t="shared" si="51"/>
        <v>0</v>
      </c>
      <c r="CA12" s="98">
        <f t="shared" si="52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3"/>
        <v>0</v>
      </c>
      <c r="CH12" s="62">
        <f t="shared" si="54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5"/>
        <v>0</v>
      </c>
      <c r="CR12" s="102">
        <f t="shared" si="20"/>
        <v>0</v>
      </c>
      <c r="CS12" s="102">
        <f t="shared" si="20"/>
        <v>0</v>
      </c>
      <c r="CT12" s="92">
        <f t="shared" si="56"/>
        <v>0</v>
      </c>
      <c r="CU12" s="92">
        <f t="shared" si="57"/>
        <v>0</v>
      </c>
      <c r="CV12" s="103">
        <f t="shared" si="57"/>
        <v>0</v>
      </c>
      <c r="CW12" s="104"/>
      <c r="CX12" s="105">
        <v>24</v>
      </c>
      <c r="CY12" s="106">
        <f t="shared" si="58"/>
        <v>1612</v>
      </c>
      <c r="CZ12" s="106">
        <f t="shared" si="59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60"/>
        <v>0</v>
      </c>
      <c r="DO12" s="76">
        <f t="shared" si="60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1"/>
        <v>0</v>
      </c>
      <c r="DX12" s="81">
        <f t="shared" si="28"/>
        <v>0</v>
      </c>
      <c r="DY12" s="80">
        <f t="shared" si="62"/>
        <v>0</v>
      </c>
      <c r="DZ12" s="82">
        <f t="shared" si="63"/>
        <v>0</v>
      </c>
      <c r="EA12" s="82">
        <f t="shared" si="64"/>
        <v>0</v>
      </c>
      <c r="EB12" s="82">
        <f t="shared" si="65"/>
        <v>0</v>
      </c>
      <c r="EC12" s="82">
        <f t="shared" si="29"/>
        <v>0</v>
      </c>
    </row>
    <row r="13" spans="1:136" ht="15" customHeight="1">
      <c r="A13" s="84">
        <v>6</v>
      </c>
      <c r="B13" s="85" t="s">
        <v>151</v>
      </c>
      <c r="C13" s="86"/>
      <c r="D13" s="117">
        <v>10620</v>
      </c>
      <c r="E13" s="88">
        <v>127</v>
      </c>
      <c r="F13" s="89" t="s">
        <v>128</v>
      </c>
      <c r="G13" s="45" t="str">
        <f t="shared" si="30"/>
        <v>DCC3604-10x3-H9B12</v>
      </c>
      <c r="H13" s="46" t="str">
        <f t="shared" si="31"/>
        <v>C3604DC100DH9</v>
      </c>
      <c r="I13" s="46" t="str">
        <f t="shared" si="32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3"/>
        <v>40</v>
      </c>
      <c r="T13" s="51">
        <f>'06.02'!BG13</f>
        <v>43</v>
      </c>
      <c r="U13" s="92"/>
      <c r="V13" s="89">
        <v>7.64</v>
      </c>
      <c r="W13" s="93">
        <f t="shared" si="5"/>
        <v>0</v>
      </c>
      <c r="X13" s="93">
        <f t="shared" si="6"/>
        <v>2370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130</v>
      </c>
      <c r="AE13" s="93">
        <f t="shared" si="34"/>
        <v>2370</v>
      </c>
      <c r="AF13" s="54">
        <f>AE13+'06.02'!AF13</f>
        <v>13785</v>
      </c>
      <c r="AG13" s="94">
        <f t="shared" si="66"/>
        <v>43</v>
      </c>
      <c r="AH13" s="56">
        <f t="shared" si="13"/>
        <v>0</v>
      </c>
      <c r="AI13" s="89">
        <v>9</v>
      </c>
      <c r="AJ13" s="93">
        <f t="shared" si="67"/>
        <v>480</v>
      </c>
      <c r="AK13" s="95">
        <f t="shared" si="35"/>
        <v>0.49470256008574848</v>
      </c>
      <c r="AL13" s="58">
        <f t="shared" si="36"/>
        <v>8.5</v>
      </c>
      <c r="AM13" s="55">
        <f t="shared" si="68"/>
        <v>34.5</v>
      </c>
      <c r="AN13" s="93"/>
      <c r="AO13" s="96"/>
      <c r="AP13" s="96">
        <f t="shared" si="14"/>
        <v>7083</v>
      </c>
      <c r="AQ13" s="96"/>
      <c r="AR13" s="96"/>
      <c r="AS13" s="96"/>
      <c r="AT13" s="96"/>
      <c r="AU13" s="96">
        <f t="shared" si="37"/>
        <v>0</v>
      </c>
      <c r="AV13" s="96">
        <f t="shared" si="37"/>
        <v>817</v>
      </c>
      <c r="AW13" s="96">
        <f t="shared" si="38"/>
        <v>7900</v>
      </c>
      <c r="AX13" s="96">
        <f t="shared" si="39"/>
        <v>1034</v>
      </c>
      <c r="AY13" s="94">
        <f t="shared" si="69"/>
        <v>-347.3799999999992</v>
      </c>
      <c r="AZ13" s="94">
        <f t="shared" si="40"/>
        <v>-45.468586387434449</v>
      </c>
      <c r="BA13" s="94">
        <f t="shared" si="41"/>
        <v>34.5</v>
      </c>
      <c r="BB13" s="97">
        <f t="shared" si="42"/>
        <v>0.5</v>
      </c>
      <c r="BC13" s="93">
        <v>12</v>
      </c>
      <c r="BD13" s="93">
        <f t="shared" si="43"/>
        <v>0</v>
      </c>
      <c r="BE13" s="95">
        <f t="shared" si="44"/>
        <v>1</v>
      </c>
      <c r="BF13" s="58">
        <f t="shared" si="45"/>
        <v>12.5</v>
      </c>
      <c r="BG13" s="94">
        <f t="shared" si="46"/>
        <v>22</v>
      </c>
      <c r="BH13" s="89"/>
      <c r="BI13" s="89"/>
      <c r="BJ13" s="92">
        <f t="shared" si="15"/>
        <v>11029</v>
      </c>
      <c r="BK13" s="89"/>
      <c r="BL13" s="89"/>
      <c r="BM13" s="89"/>
      <c r="BN13" s="89"/>
      <c r="BO13" s="92">
        <f t="shared" si="70"/>
        <v>0</v>
      </c>
      <c r="BP13" s="92">
        <f t="shared" si="70"/>
        <v>180</v>
      </c>
      <c r="BQ13" s="96">
        <f t="shared" si="47"/>
        <v>11209</v>
      </c>
      <c r="BR13" s="96">
        <f t="shared" si="48"/>
        <v>1467</v>
      </c>
      <c r="BS13" s="96">
        <f t="shared" si="71"/>
        <v>-919.5</v>
      </c>
      <c r="BT13" s="96">
        <f t="shared" si="49"/>
        <v>-120.35340314136126</v>
      </c>
      <c r="BU13" s="92">
        <f t="shared" si="16"/>
        <v>2370</v>
      </c>
      <c r="BV13" s="98">
        <f t="shared" si="17"/>
        <v>21</v>
      </c>
      <c r="BW13" s="92">
        <f t="shared" si="18"/>
        <v>-165.82198952879571</v>
      </c>
      <c r="BX13" s="98">
        <f t="shared" si="50"/>
        <v>42</v>
      </c>
      <c r="BY13" s="61">
        <f t="shared" si="73"/>
        <v>21</v>
      </c>
      <c r="BZ13" s="62">
        <f t="shared" si="51"/>
        <v>21</v>
      </c>
      <c r="CA13" s="98">
        <f t="shared" si="52"/>
        <v>19.109000000000002</v>
      </c>
      <c r="CB13" s="92">
        <f t="shared" si="19"/>
        <v>2501</v>
      </c>
      <c r="CC13" s="92">
        <f t="shared" si="19"/>
        <v>-1266.8799999999992</v>
      </c>
      <c r="CD13" s="92">
        <f t="shared" si="19"/>
        <v>-165.82198952879571</v>
      </c>
      <c r="CE13" s="99"/>
      <c r="CF13" s="99"/>
      <c r="CG13" s="51">
        <f t="shared" si="53"/>
        <v>23.887999999999998</v>
      </c>
      <c r="CH13" s="62">
        <f t="shared" si="54"/>
        <v>23.887999999999998</v>
      </c>
      <c r="CI13" s="89">
        <v>480</v>
      </c>
      <c r="CJ13" s="89">
        <v>7083</v>
      </c>
      <c r="CK13" s="89"/>
      <c r="CL13" s="96">
        <v>817</v>
      </c>
      <c r="CM13" s="89"/>
      <c r="CN13" s="89">
        <v>11029</v>
      </c>
      <c r="CO13" s="92"/>
      <c r="CP13" s="101">
        <v>180</v>
      </c>
      <c r="CQ13" s="102">
        <f t="shared" si="55"/>
        <v>927</v>
      </c>
      <c r="CR13" s="102">
        <f t="shared" si="20"/>
        <v>0</v>
      </c>
      <c r="CS13" s="102">
        <f t="shared" si="20"/>
        <v>106</v>
      </c>
      <c r="CT13" s="92">
        <f t="shared" si="56"/>
        <v>1443</v>
      </c>
      <c r="CU13" s="92">
        <f t="shared" si="57"/>
        <v>0</v>
      </c>
      <c r="CV13" s="103">
        <f t="shared" si="57"/>
        <v>24</v>
      </c>
      <c r="CW13" s="104"/>
      <c r="CX13" s="105">
        <v>14</v>
      </c>
      <c r="CY13" s="106">
        <f t="shared" si="58"/>
        <v>2550</v>
      </c>
      <c r="CZ13" s="106">
        <f t="shared" si="59"/>
        <v>113.4</v>
      </c>
      <c r="DA13" s="106"/>
      <c r="DB13" s="106"/>
      <c r="DC13" s="105"/>
      <c r="DD13" s="107"/>
      <c r="DE13" s="92">
        <f t="shared" si="21"/>
        <v>927</v>
      </c>
      <c r="DF13" s="108">
        <f t="shared" si="22"/>
        <v>8.5</v>
      </c>
      <c r="DG13" s="112">
        <f t="shared" si="23"/>
        <v>-45.468586387434449</v>
      </c>
      <c r="DH13" s="110">
        <f t="shared" si="24"/>
        <v>1443</v>
      </c>
      <c r="DI13" s="108">
        <f t="shared" si="25"/>
        <v>12.5</v>
      </c>
      <c r="DJ13" s="112">
        <f t="shared" si="26"/>
        <v>-120.35340314136126</v>
      </c>
      <c r="DK13" s="110">
        <f t="shared" si="27"/>
        <v>2370</v>
      </c>
      <c r="DL13" s="108">
        <f t="shared" si="27"/>
        <v>21</v>
      </c>
      <c r="DM13" s="111">
        <f t="shared" si="27"/>
        <v>-165.82198952879571</v>
      </c>
      <c r="DN13" s="76">
        <v>22</v>
      </c>
      <c r="DO13" s="76"/>
      <c r="DP13" s="112"/>
      <c r="DQ13" s="112"/>
      <c r="DR13" s="113" t="s">
        <v>420</v>
      </c>
      <c r="DS13" s="112"/>
      <c r="DT13" s="112"/>
      <c r="DU13" s="111"/>
      <c r="DV13" s="114"/>
      <c r="DW13" s="80">
        <f t="shared" si="61"/>
        <v>2391</v>
      </c>
      <c r="DX13" s="81">
        <f t="shared" si="28"/>
        <v>2225.1780104712043</v>
      </c>
      <c r="DY13" s="80">
        <f t="shared" si="62"/>
        <v>2500</v>
      </c>
      <c r="DZ13" s="82">
        <f t="shared" si="63"/>
        <v>0.99319999999999997</v>
      </c>
      <c r="EA13" s="82">
        <f t="shared" si="64"/>
        <v>18.1068</v>
      </c>
      <c r="EB13" s="82">
        <f t="shared" si="65"/>
        <v>23.8932</v>
      </c>
      <c r="EC13" s="82">
        <f t="shared" si="29"/>
        <v>23.887999999999998</v>
      </c>
    </row>
    <row r="14" spans="1:136" ht="15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0"/>
        <v>IBC3602-7.5x3-H9A14</v>
      </c>
      <c r="H14" s="46" t="str">
        <f t="shared" si="31"/>
        <v>C3602IB7.50DH9</v>
      </c>
      <c r="I14" s="46" t="str">
        <f t="shared" si="32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3"/>
        <v>100</v>
      </c>
      <c r="T14" s="51">
        <f>'05.02'!BG14</f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4"/>
        <v>0</v>
      </c>
      <c r="AF14" s="54">
        <f>AE14+'06.02'!AF14</f>
        <v>0</v>
      </c>
      <c r="AG14" s="94">
        <f t="shared" si="66"/>
        <v>0</v>
      </c>
      <c r="AH14" s="56">
        <f t="shared" si="13"/>
        <v>0</v>
      </c>
      <c r="AI14" s="89"/>
      <c r="AJ14" s="93">
        <f t="shared" si="67"/>
        <v>0</v>
      </c>
      <c r="AK14" s="95">
        <f t="shared" si="35"/>
        <v>1</v>
      </c>
      <c r="AL14" s="58">
        <f t="shared" si="36"/>
        <v>0</v>
      </c>
      <c r="AM14" s="55">
        <f t="shared" si="68"/>
        <v>0</v>
      </c>
      <c r="AN14" s="93"/>
      <c r="AO14" s="96"/>
      <c r="AP14" s="96"/>
      <c r="AQ14" s="96"/>
      <c r="AR14" s="96"/>
      <c r="AS14" s="96"/>
      <c r="AT14" s="96">
        <f t="shared" ref="AT14" si="74">$CJ14</f>
        <v>0</v>
      </c>
      <c r="AU14" s="96">
        <f t="shared" si="37"/>
        <v>0</v>
      </c>
      <c r="AV14" s="96">
        <f t="shared" si="37"/>
        <v>0</v>
      </c>
      <c r="AW14" s="96">
        <f t="shared" si="38"/>
        <v>0</v>
      </c>
      <c r="AX14" s="96">
        <f t="shared" si="39"/>
        <v>0</v>
      </c>
      <c r="AY14" s="94">
        <f t="shared" si="69"/>
        <v>0</v>
      </c>
      <c r="AZ14" s="94">
        <f t="shared" si="40"/>
        <v>0</v>
      </c>
      <c r="BA14" s="94">
        <f t="shared" si="41"/>
        <v>0</v>
      </c>
      <c r="BB14" s="97">
        <f t="shared" si="42"/>
        <v>0</v>
      </c>
      <c r="BC14" s="93"/>
      <c r="BD14" s="93">
        <f t="shared" si="43"/>
        <v>0</v>
      </c>
      <c r="BE14" s="95">
        <f t="shared" si="44"/>
        <v>1</v>
      </c>
      <c r="BF14" s="58">
        <f t="shared" si="45"/>
        <v>0</v>
      </c>
      <c r="BG14" s="94">
        <f t="shared" si="46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0"/>
        <v>0</v>
      </c>
      <c r="BP14" s="92">
        <f t="shared" si="70"/>
        <v>0</v>
      </c>
      <c r="BQ14" s="96">
        <f t="shared" si="47"/>
        <v>0</v>
      </c>
      <c r="BR14" s="96">
        <f t="shared" si="48"/>
        <v>0</v>
      </c>
      <c r="BS14" s="96">
        <f t="shared" si="71"/>
        <v>0</v>
      </c>
      <c r="BT14" s="96">
        <f t="shared" si="49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0"/>
        <v>0</v>
      </c>
      <c r="BY14" s="61">
        <f t="shared" si="73"/>
        <v>0</v>
      </c>
      <c r="BZ14" s="62">
        <f t="shared" si="51"/>
        <v>0</v>
      </c>
      <c r="CA14" s="98">
        <f t="shared" si="52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3"/>
        <v>0</v>
      </c>
      <c r="CH14" s="62">
        <f t="shared" si="54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5"/>
        <v>0</v>
      </c>
      <c r="CR14" s="102">
        <f t="shared" si="20"/>
        <v>0</v>
      </c>
      <c r="CS14" s="102">
        <f t="shared" si="20"/>
        <v>0</v>
      </c>
      <c r="CT14" s="92">
        <f t="shared" si="56"/>
        <v>0</v>
      </c>
      <c r="CU14" s="92">
        <f t="shared" si="57"/>
        <v>0</v>
      </c>
      <c r="CV14" s="103">
        <f t="shared" si="57"/>
        <v>0</v>
      </c>
      <c r="CW14" s="104" t="s">
        <v>157</v>
      </c>
      <c r="CX14" s="105">
        <v>14</v>
      </c>
      <c r="CY14" s="106">
        <f t="shared" si="58"/>
        <v>2985</v>
      </c>
      <c r="CZ14" s="106">
        <f t="shared" si="59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60"/>
        <v>0</v>
      </c>
      <c r="DO14" s="76">
        <f t="shared" si="60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1"/>
        <v>0</v>
      </c>
      <c r="DX14" s="81">
        <f t="shared" si="28"/>
        <v>0</v>
      </c>
      <c r="DY14" s="80">
        <f t="shared" si="62"/>
        <v>0</v>
      </c>
      <c r="DZ14" s="82">
        <f t="shared" si="63"/>
        <v>0</v>
      </c>
      <c r="EA14" s="82">
        <f t="shared" si="64"/>
        <v>0</v>
      </c>
      <c r="EB14" s="82">
        <f t="shared" si="65"/>
        <v>0</v>
      </c>
      <c r="EC14" s="82">
        <f>(BX14-CA14)+((AV14+BP14)/1000)</f>
        <v>0</v>
      </c>
    </row>
    <row r="15" spans="1:136">
      <c r="A15" s="84">
        <v>8</v>
      </c>
      <c r="B15" s="85" t="s">
        <v>158</v>
      </c>
      <c r="C15" s="86"/>
      <c r="D15" s="87" t="s">
        <v>159</v>
      </c>
      <c r="E15" s="88">
        <v>30</v>
      </c>
      <c r="F15" s="89" t="s">
        <v>136</v>
      </c>
      <c r="G15" s="45" t="str">
        <f t="shared" si="30"/>
        <v>TV12L14-H6x2.5-H11A14</v>
      </c>
      <c r="H15" s="46" t="str">
        <f t="shared" si="31"/>
        <v>12L14TV60HH11</v>
      </c>
      <c r="I15" s="46" t="str">
        <f t="shared" si="32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3"/>
        <v>50</v>
      </c>
      <c r="T15" s="51">
        <f>'06.02'!BG15</f>
        <v>94</v>
      </c>
      <c r="U15" s="92"/>
      <c r="V15" s="89">
        <v>16.149999999999999</v>
      </c>
      <c r="W15" s="93">
        <f t="shared" si="5"/>
        <v>1343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26</v>
      </c>
      <c r="AE15" s="93">
        <f t="shared" si="34"/>
        <v>1343</v>
      </c>
      <c r="AF15" s="54">
        <f>AE15+'06.02'!AF15</f>
        <v>4842</v>
      </c>
      <c r="AG15" s="94">
        <f t="shared" si="66"/>
        <v>94</v>
      </c>
      <c r="AH15" s="56">
        <f t="shared" si="13"/>
        <v>0</v>
      </c>
      <c r="AI15" s="89">
        <v>19</v>
      </c>
      <c r="AJ15" s="93">
        <f t="shared" si="67"/>
        <v>0</v>
      </c>
      <c r="AK15" s="95">
        <f t="shared" si="35"/>
        <v>1</v>
      </c>
      <c r="AL15" s="58">
        <f t="shared" si="36"/>
        <v>19</v>
      </c>
      <c r="AM15" s="55">
        <f t="shared" si="68"/>
        <v>75</v>
      </c>
      <c r="AN15" s="93"/>
      <c r="AO15" s="96">
        <f>$CJ15</f>
        <v>9106</v>
      </c>
      <c r="AP15" s="96"/>
      <c r="AQ15" s="96"/>
      <c r="AR15" s="96"/>
      <c r="AS15" s="96"/>
      <c r="AT15" s="96"/>
      <c r="AU15" s="96">
        <f t="shared" si="37"/>
        <v>0</v>
      </c>
      <c r="AV15" s="96">
        <f t="shared" si="37"/>
        <v>436</v>
      </c>
      <c r="AW15" s="96">
        <f t="shared" si="38"/>
        <v>9542</v>
      </c>
      <c r="AX15" s="96">
        <f t="shared" si="39"/>
        <v>590</v>
      </c>
      <c r="AY15" s="94">
        <f t="shared" si="69"/>
        <v>336.5</v>
      </c>
      <c r="AZ15" s="94">
        <f t="shared" si="40"/>
        <v>20.835913312693499</v>
      </c>
      <c r="BA15" s="94">
        <f t="shared" si="41"/>
        <v>75</v>
      </c>
      <c r="BB15" s="97">
        <f t="shared" si="42"/>
        <v>0</v>
      </c>
      <c r="BC15" s="93">
        <v>27</v>
      </c>
      <c r="BD15" s="93">
        <f t="shared" si="43"/>
        <v>0</v>
      </c>
      <c r="BE15" s="95">
        <f t="shared" si="44"/>
        <v>1</v>
      </c>
      <c r="BF15" s="58">
        <f t="shared" si="45"/>
        <v>27</v>
      </c>
      <c r="BG15" s="94">
        <f t="shared" si="46"/>
        <v>48</v>
      </c>
      <c r="BH15" s="89"/>
      <c r="BI15" s="92">
        <f>$CN15</f>
        <v>12596</v>
      </c>
      <c r="BJ15" s="89"/>
      <c r="BK15" s="89"/>
      <c r="BL15" s="89"/>
      <c r="BM15" s="89"/>
      <c r="BN15" s="89"/>
      <c r="BO15" s="92">
        <f t="shared" si="70"/>
        <v>0</v>
      </c>
      <c r="BP15" s="92">
        <f t="shared" si="70"/>
        <v>0</v>
      </c>
      <c r="BQ15" s="96">
        <f t="shared" si="47"/>
        <v>12596</v>
      </c>
      <c r="BR15" s="96">
        <f t="shared" si="48"/>
        <v>779</v>
      </c>
      <c r="BS15" s="96">
        <f t="shared" si="71"/>
        <v>-485.49999999999818</v>
      </c>
      <c r="BT15" s="96">
        <f t="shared" si="49"/>
        <v>-30.061919504643853</v>
      </c>
      <c r="BU15" s="92">
        <f t="shared" si="16"/>
        <v>1343</v>
      </c>
      <c r="BV15" s="98">
        <f t="shared" si="17"/>
        <v>46</v>
      </c>
      <c r="BW15" s="92">
        <f t="shared" si="18"/>
        <v>-9.2260061919503542</v>
      </c>
      <c r="BX15" s="98">
        <f t="shared" si="50"/>
        <v>27.875999999999998</v>
      </c>
      <c r="BY15" s="61">
        <f t="shared" si="73"/>
        <v>46</v>
      </c>
      <c r="BZ15" s="62">
        <f t="shared" si="51"/>
        <v>46</v>
      </c>
      <c r="CA15" s="98">
        <f t="shared" si="52"/>
        <v>22.138000000000002</v>
      </c>
      <c r="CB15" s="92">
        <f t="shared" si="19"/>
        <v>1369</v>
      </c>
      <c r="CC15" s="92">
        <f t="shared" si="19"/>
        <v>-148.99999999999818</v>
      </c>
      <c r="CD15" s="92">
        <f t="shared" si="19"/>
        <v>-9.2260061919503542</v>
      </c>
      <c r="CE15" s="99"/>
      <c r="CF15" s="99"/>
      <c r="CG15" s="51">
        <f t="shared" si="53"/>
        <v>6.1739999999999959</v>
      </c>
      <c r="CH15" s="62">
        <f t="shared" si="54"/>
        <v>6.1739999999999959</v>
      </c>
      <c r="CI15" s="89"/>
      <c r="CJ15" s="89">
        <v>9106</v>
      </c>
      <c r="CK15" s="89"/>
      <c r="CL15" s="96">
        <v>436</v>
      </c>
      <c r="CM15" s="89"/>
      <c r="CN15" s="89">
        <v>12596</v>
      </c>
      <c r="CO15" s="92"/>
      <c r="CP15" s="101"/>
      <c r="CQ15" s="102">
        <f t="shared" si="55"/>
        <v>563</v>
      </c>
      <c r="CR15" s="102">
        <f t="shared" si="20"/>
        <v>0</v>
      </c>
      <c r="CS15" s="102">
        <f t="shared" si="20"/>
        <v>26</v>
      </c>
      <c r="CT15" s="92">
        <f t="shared" si="56"/>
        <v>780</v>
      </c>
      <c r="CU15" s="92">
        <f t="shared" si="57"/>
        <v>0</v>
      </c>
      <c r="CV15" s="103">
        <f t="shared" si="57"/>
        <v>0</v>
      </c>
      <c r="CW15" s="104"/>
      <c r="CX15" s="105">
        <v>45</v>
      </c>
      <c r="CY15" s="106">
        <f t="shared" si="58"/>
        <v>746</v>
      </c>
      <c r="CZ15" s="106">
        <f t="shared" si="59"/>
        <v>364.5</v>
      </c>
      <c r="DA15" s="106"/>
      <c r="DB15" s="106"/>
      <c r="DC15" s="105"/>
      <c r="DD15" s="107"/>
      <c r="DE15" s="92">
        <f t="shared" si="21"/>
        <v>563</v>
      </c>
      <c r="DF15" s="108">
        <f t="shared" si="22"/>
        <v>19</v>
      </c>
      <c r="DG15" s="112">
        <f t="shared" si="23"/>
        <v>20.835913312693499</v>
      </c>
      <c r="DH15" s="110">
        <f t="shared" si="24"/>
        <v>780</v>
      </c>
      <c r="DI15" s="108">
        <f t="shared" si="25"/>
        <v>27</v>
      </c>
      <c r="DJ15" s="115">
        <f t="shared" si="26"/>
        <v>-30.061919504643853</v>
      </c>
      <c r="DK15" s="110">
        <f t="shared" si="27"/>
        <v>1343</v>
      </c>
      <c r="DL15" s="108">
        <f t="shared" si="27"/>
        <v>46</v>
      </c>
      <c r="DM15" s="111">
        <f t="shared" si="27"/>
        <v>-9.2260061919503542</v>
      </c>
      <c r="DN15" s="76">
        <v>48</v>
      </c>
      <c r="DO15" s="76"/>
      <c r="DP15" s="112"/>
      <c r="DQ15" s="112"/>
      <c r="DR15" s="113" t="s">
        <v>487</v>
      </c>
      <c r="DS15" s="112"/>
      <c r="DT15" s="112"/>
      <c r="DU15" s="111"/>
      <c r="DV15" s="114"/>
      <c r="DW15" s="80">
        <f t="shared" si="61"/>
        <v>1389</v>
      </c>
      <c r="DX15" s="81">
        <f t="shared" si="28"/>
        <v>1379.7739938080497</v>
      </c>
      <c r="DY15" s="80">
        <f t="shared" si="62"/>
        <v>1369</v>
      </c>
      <c r="DZ15" s="82">
        <f t="shared" si="63"/>
        <v>0.4199</v>
      </c>
      <c r="EA15" s="82">
        <f t="shared" si="64"/>
        <v>21.689449999999997</v>
      </c>
      <c r="EB15" s="82">
        <f t="shared" si="65"/>
        <v>6.1865500000000004</v>
      </c>
      <c r="EC15" s="82">
        <f t="shared" ref="EC15:EC78" si="75">EB15+DZ15</f>
        <v>6.6064500000000006</v>
      </c>
      <c r="EF15" s="83">
        <f t="shared" ref="EF15:EF18" si="76">DG15+DJ15</f>
        <v>-9.2260061919503542</v>
      </c>
    </row>
    <row r="16" spans="1:136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0"/>
        <v>GWA6063-T5-T18.15x8.6x3-H9A15</v>
      </c>
      <c r="H16" s="46" t="str">
        <f t="shared" si="31"/>
        <v>A6063-T5GW18.158.6TH9</v>
      </c>
      <c r="I16" s="46" t="str">
        <f t="shared" si="32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3"/>
        <v>14</v>
      </c>
      <c r="T16" s="51">
        <f>'05.02'!BG16</f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4"/>
        <v>0</v>
      </c>
      <c r="AF16" s="54">
        <f>AE16+'06.02'!AF16</f>
        <v>0</v>
      </c>
      <c r="AG16" s="94">
        <f t="shared" si="66"/>
        <v>0</v>
      </c>
      <c r="AH16" s="56">
        <f t="shared" si="13"/>
        <v>0</v>
      </c>
      <c r="AI16" s="89"/>
      <c r="AJ16" s="93">
        <f t="shared" si="67"/>
        <v>0</v>
      </c>
      <c r="AK16" s="95">
        <f t="shared" si="35"/>
        <v>1</v>
      </c>
      <c r="AL16" s="58">
        <f t="shared" si="36"/>
        <v>0</v>
      </c>
      <c r="AM16" s="55">
        <f t="shared" si="68"/>
        <v>0</v>
      </c>
      <c r="AN16" s="93"/>
      <c r="AO16" s="96"/>
      <c r="AP16" s="96">
        <f t="shared" ref="AP16:AP19" si="77">$CJ16</f>
        <v>0</v>
      </c>
      <c r="AQ16" s="96"/>
      <c r="AR16" s="96"/>
      <c r="AS16" s="96"/>
      <c r="AT16" s="96"/>
      <c r="AU16" s="96">
        <f t="shared" si="37"/>
        <v>0</v>
      </c>
      <c r="AV16" s="96">
        <f t="shared" si="37"/>
        <v>0</v>
      </c>
      <c r="AW16" s="96">
        <f t="shared" si="38"/>
        <v>0</v>
      </c>
      <c r="AX16" s="96">
        <f t="shared" si="39"/>
        <v>0</v>
      </c>
      <c r="AY16" s="94">
        <f t="shared" si="69"/>
        <v>0</v>
      </c>
      <c r="AZ16" s="94">
        <f t="shared" si="40"/>
        <v>0</v>
      </c>
      <c r="BA16" s="94">
        <f t="shared" si="41"/>
        <v>0</v>
      </c>
      <c r="BB16" s="97">
        <f t="shared" si="42"/>
        <v>0</v>
      </c>
      <c r="BC16" s="93"/>
      <c r="BD16" s="93">
        <f t="shared" si="43"/>
        <v>0</v>
      </c>
      <c r="BE16" s="95">
        <f t="shared" si="44"/>
        <v>1</v>
      </c>
      <c r="BF16" s="58">
        <f t="shared" si="45"/>
        <v>0</v>
      </c>
      <c r="BG16" s="94">
        <f t="shared" si="46"/>
        <v>0</v>
      </c>
      <c r="BH16" s="89"/>
      <c r="BI16" s="89"/>
      <c r="BJ16" s="92">
        <f t="shared" ref="BJ16:BJ19" si="78">$CN16</f>
        <v>0</v>
      </c>
      <c r="BK16" s="89"/>
      <c r="BL16" s="89"/>
      <c r="BM16" s="89"/>
      <c r="BN16" s="89"/>
      <c r="BO16" s="92">
        <f t="shared" si="70"/>
        <v>0</v>
      </c>
      <c r="BP16" s="92">
        <f t="shared" si="70"/>
        <v>0</v>
      </c>
      <c r="BQ16" s="96">
        <f t="shared" si="47"/>
        <v>0</v>
      </c>
      <c r="BR16" s="96">
        <f t="shared" si="48"/>
        <v>0</v>
      </c>
      <c r="BS16" s="96">
        <f t="shared" si="71"/>
        <v>0</v>
      </c>
      <c r="BT16" s="96">
        <f t="shared" si="49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0"/>
        <v>0</v>
      </c>
      <c r="BY16" s="61">
        <f t="shared" si="73"/>
        <v>0</v>
      </c>
      <c r="BZ16" s="62">
        <f t="shared" si="51"/>
        <v>0</v>
      </c>
      <c r="CA16" s="98">
        <f t="shared" si="52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3"/>
        <v>0</v>
      </c>
      <c r="CH16" s="62">
        <f t="shared" si="54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5"/>
        <v>0</v>
      </c>
      <c r="CR16" s="102">
        <f t="shared" si="20"/>
        <v>0</v>
      </c>
      <c r="CS16" s="102">
        <f t="shared" si="20"/>
        <v>0</v>
      </c>
      <c r="CT16" s="92">
        <f t="shared" si="56"/>
        <v>0</v>
      </c>
      <c r="CU16" s="92">
        <f t="shared" si="57"/>
        <v>0</v>
      </c>
      <c r="CV16" s="103">
        <f t="shared" si="57"/>
        <v>0</v>
      </c>
      <c r="CW16" s="104"/>
      <c r="CX16" s="105">
        <v>83.56</v>
      </c>
      <c r="CY16" s="106">
        <f t="shared" si="58"/>
        <v>488</v>
      </c>
      <c r="CZ16" s="106">
        <f t="shared" si="59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60"/>
        <v>0</v>
      </c>
      <c r="DO16" s="76">
        <f t="shared" si="60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79">IFERROR(AL16+BF16,"")</f>
        <v>0</v>
      </c>
      <c r="DX16" s="81">
        <f t="shared" si="28"/>
        <v>0</v>
      </c>
      <c r="DY16" s="80">
        <f t="shared" si="62"/>
        <v>0</v>
      </c>
      <c r="DZ16" s="82">
        <f t="shared" si="63"/>
        <v>0</v>
      </c>
      <c r="EA16" s="82">
        <f t="shared" si="64"/>
        <v>0</v>
      </c>
      <c r="EB16" s="82">
        <f t="shared" si="65"/>
        <v>0</v>
      </c>
      <c r="EC16" s="82">
        <f t="shared" si="75"/>
        <v>0</v>
      </c>
      <c r="EF16" s="83">
        <f t="shared" si="76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0"/>
        <v>GWA6063-T5-T18.15x8.6x3-H9A15</v>
      </c>
      <c r="H17" s="46" t="str">
        <f t="shared" si="31"/>
        <v>A6063-T5GW18.158.6TH9</v>
      </c>
      <c r="I17" s="46" t="str">
        <f t="shared" si="32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3"/>
        <v>14</v>
      </c>
      <c r="T17" s="51">
        <f>'06.02'!BG17</f>
        <v>25</v>
      </c>
      <c r="U17" s="92"/>
      <c r="V17" s="89">
        <v>7.7</v>
      </c>
      <c r="W17" s="93">
        <f t="shared" si="5"/>
        <v>0</v>
      </c>
      <c r="X17" s="93">
        <f t="shared" si="6"/>
        <v>820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0</v>
      </c>
      <c r="AE17" s="93">
        <f t="shared" si="34"/>
        <v>820</v>
      </c>
      <c r="AF17" s="54">
        <f>AE17+'06.02'!AF17</f>
        <v>6313</v>
      </c>
      <c r="AG17" s="94">
        <f t="shared" si="66"/>
        <v>25</v>
      </c>
      <c r="AH17" s="56">
        <f t="shared" si="13"/>
        <v>0</v>
      </c>
      <c r="AI17" s="89">
        <v>4</v>
      </c>
      <c r="AJ17" s="93">
        <f t="shared" si="67"/>
        <v>0</v>
      </c>
      <c r="AK17" s="95">
        <f t="shared" si="35"/>
        <v>1</v>
      </c>
      <c r="AL17" s="58">
        <f t="shared" si="36"/>
        <v>4</v>
      </c>
      <c r="AM17" s="55">
        <f t="shared" si="68"/>
        <v>21</v>
      </c>
      <c r="AN17" s="93"/>
      <c r="AO17" s="96"/>
      <c r="AP17" s="96">
        <f t="shared" si="77"/>
        <v>2864.4</v>
      </c>
      <c r="AQ17" s="96"/>
      <c r="AR17" s="96"/>
      <c r="AS17" s="96"/>
      <c r="AT17" s="96"/>
      <c r="AU17" s="96">
        <f t="shared" si="37"/>
        <v>0</v>
      </c>
      <c r="AV17" s="96">
        <f t="shared" si="37"/>
        <v>0</v>
      </c>
      <c r="AW17" s="96">
        <f t="shared" si="38"/>
        <v>2864.4</v>
      </c>
      <c r="AX17" s="96">
        <f t="shared" si="39"/>
        <v>372</v>
      </c>
      <c r="AY17" s="94">
        <f t="shared" si="69"/>
        <v>61.599999999999909</v>
      </c>
      <c r="AZ17" s="94">
        <f t="shared" si="40"/>
        <v>7.9999999999999876</v>
      </c>
      <c r="BA17" s="94">
        <f t="shared" si="41"/>
        <v>21</v>
      </c>
      <c r="BB17" s="97">
        <f t="shared" si="42"/>
        <v>0</v>
      </c>
      <c r="BC17" s="93">
        <v>5</v>
      </c>
      <c r="BD17" s="93">
        <f t="shared" si="43"/>
        <v>0</v>
      </c>
      <c r="BE17" s="95">
        <f t="shared" si="44"/>
        <v>1</v>
      </c>
      <c r="BF17" s="58">
        <f t="shared" si="45"/>
        <v>5</v>
      </c>
      <c r="BG17" s="94">
        <f t="shared" si="46"/>
        <v>16</v>
      </c>
      <c r="BH17" s="89"/>
      <c r="BI17" s="89"/>
      <c r="BJ17" s="92">
        <f t="shared" si="78"/>
        <v>3449.6</v>
      </c>
      <c r="BK17" s="89"/>
      <c r="BL17" s="89"/>
      <c r="BM17" s="89"/>
      <c r="BN17" s="89"/>
      <c r="BO17" s="92">
        <f t="shared" si="70"/>
        <v>0</v>
      </c>
      <c r="BP17" s="92">
        <f t="shared" si="70"/>
        <v>0</v>
      </c>
      <c r="BQ17" s="96">
        <f t="shared" si="47"/>
        <v>3449.6</v>
      </c>
      <c r="BR17" s="96">
        <f t="shared" si="48"/>
        <v>448</v>
      </c>
      <c r="BS17" s="96">
        <f t="shared" si="71"/>
        <v>-53.900000000000091</v>
      </c>
      <c r="BT17" s="96">
        <f t="shared" si="49"/>
        <v>-7.0000000000000115</v>
      </c>
      <c r="BU17" s="92">
        <f t="shared" si="16"/>
        <v>820</v>
      </c>
      <c r="BV17" s="98">
        <f t="shared" si="17"/>
        <v>9</v>
      </c>
      <c r="BW17" s="92">
        <f t="shared" si="18"/>
        <v>0.99999999999997602</v>
      </c>
      <c r="BX17" s="98">
        <f t="shared" si="50"/>
        <v>14.769</v>
      </c>
      <c r="BY17" s="61">
        <f t="shared" si="73"/>
        <v>9</v>
      </c>
      <c r="BZ17" s="62">
        <f t="shared" si="51"/>
        <v>9</v>
      </c>
      <c r="CA17" s="98">
        <f t="shared" si="52"/>
        <v>6.3140000000000001</v>
      </c>
      <c r="CB17" s="92">
        <f t="shared" si="19"/>
        <v>820</v>
      </c>
      <c r="CC17" s="92">
        <f t="shared" si="19"/>
        <v>7.6999999999998181</v>
      </c>
      <c r="CD17" s="92">
        <f t="shared" si="19"/>
        <v>0.99999999999997602</v>
      </c>
      <c r="CE17" s="99"/>
      <c r="CF17" s="99"/>
      <c r="CG17" s="51">
        <f t="shared" si="53"/>
        <v>8.4550000000000001</v>
      </c>
      <c r="CH17" s="62">
        <f t="shared" si="54"/>
        <v>8.4550000000000001</v>
      </c>
      <c r="CI17" s="89"/>
      <c r="CJ17" s="89">
        <f>372*7.7</f>
        <v>2864.4</v>
      </c>
      <c r="CK17" s="89"/>
      <c r="CL17" s="96"/>
      <c r="CM17" s="89"/>
      <c r="CN17" s="89">
        <f>448*7.7</f>
        <v>3449.6</v>
      </c>
      <c r="CO17" s="92"/>
      <c r="CP17" s="101"/>
      <c r="CQ17" s="102">
        <f t="shared" si="55"/>
        <v>372</v>
      </c>
      <c r="CR17" s="102">
        <f t="shared" si="20"/>
        <v>0</v>
      </c>
      <c r="CS17" s="102">
        <f t="shared" si="20"/>
        <v>0</v>
      </c>
      <c r="CT17" s="92">
        <f t="shared" si="56"/>
        <v>448</v>
      </c>
      <c r="CU17" s="92">
        <f t="shared" si="57"/>
        <v>0</v>
      </c>
      <c r="CV17" s="103">
        <f t="shared" si="57"/>
        <v>0</v>
      </c>
      <c r="CW17" s="104"/>
      <c r="CX17" s="105">
        <v>60</v>
      </c>
      <c r="CY17" s="106">
        <f t="shared" si="58"/>
        <v>680</v>
      </c>
      <c r="CZ17" s="106">
        <f t="shared" si="59"/>
        <v>486.00000000000006</v>
      </c>
      <c r="DA17" s="106"/>
      <c r="DB17" s="106"/>
      <c r="DC17" s="105"/>
      <c r="DD17" s="107"/>
      <c r="DE17" s="92">
        <f t="shared" si="21"/>
        <v>372</v>
      </c>
      <c r="DF17" s="108">
        <f t="shared" si="22"/>
        <v>4</v>
      </c>
      <c r="DG17" s="112">
        <f t="shared" si="23"/>
        <v>7.9999999999999876</v>
      </c>
      <c r="DH17" s="110">
        <f t="shared" si="24"/>
        <v>448</v>
      </c>
      <c r="DI17" s="108">
        <f t="shared" si="25"/>
        <v>5</v>
      </c>
      <c r="DJ17" s="112">
        <f t="shared" si="26"/>
        <v>-7.0000000000000115</v>
      </c>
      <c r="DK17" s="110">
        <f t="shared" si="27"/>
        <v>820</v>
      </c>
      <c r="DL17" s="108">
        <f t="shared" si="27"/>
        <v>9</v>
      </c>
      <c r="DM17" s="111">
        <f t="shared" si="27"/>
        <v>0.99999999999997602</v>
      </c>
      <c r="DN17" s="76">
        <v>16</v>
      </c>
      <c r="DO17" s="76"/>
      <c r="DP17" s="112"/>
      <c r="DQ17" s="112"/>
      <c r="DR17" s="113" t="s">
        <v>421</v>
      </c>
      <c r="DS17" s="112"/>
      <c r="DT17" s="112"/>
      <c r="DU17" s="111"/>
      <c r="DV17" s="114"/>
      <c r="DW17" s="80">
        <f t="shared" si="79"/>
        <v>9</v>
      </c>
      <c r="DX17" s="81">
        <f t="shared" si="28"/>
        <v>830</v>
      </c>
      <c r="DY17" s="80">
        <f t="shared" si="62"/>
        <v>820</v>
      </c>
      <c r="DZ17" s="82">
        <f t="shared" si="63"/>
        <v>0</v>
      </c>
      <c r="EA17" s="82">
        <f t="shared" si="64"/>
        <v>6.3140000000000001</v>
      </c>
      <c r="EB17" s="82">
        <f t="shared" si="65"/>
        <v>8.4550000000000001</v>
      </c>
      <c r="EC17" s="82">
        <f t="shared" si="75"/>
        <v>8.4550000000000001</v>
      </c>
      <c r="EF17" s="83">
        <f t="shared" si="76"/>
        <v>0.99999999999997602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0"/>
        <v>GWA6063-T5-T18.15x8.6x3-H9A15</v>
      </c>
      <c r="H18" s="46" t="str">
        <f t="shared" si="31"/>
        <v>A6063-T5GW18.158.6TH9</v>
      </c>
      <c r="I18" s="46" t="str">
        <f t="shared" si="32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3"/>
        <v>16</v>
      </c>
      <c r="T18" s="51">
        <f>'06.02'!BG18</f>
        <v>23</v>
      </c>
      <c r="U18" s="92"/>
      <c r="V18" s="89">
        <v>9.9</v>
      </c>
      <c r="W18" s="93">
        <f t="shared" si="5"/>
        <v>0</v>
      </c>
      <c r="X18" s="93">
        <f t="shared" si="6"/>
        <v>1053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0</v>
      </c>
      <c r="AE18" s="93">
        <f t="shared" si="34"/>
        <v>1053</v>
      </c>
      <c r="AF18" s="54">
        <f>AE18+'06.02'!AF18</f>
        <v>5843</v>
      </c>
      <c r="AG18" s="94">
        <f t="shared" si="66"/>
        <v>23</v>
      </c>
      <c r="AH18" s="56">
        <f t="shared" si="13"/>
        <v>0</v>
      </c>
      <c r="AI18" s="89">
        <v>8</v>
      </c>
      <c r="AJ18" s="93">
        <f t="shared" si="67"/>
        <v>0</v>
      </c>
      <c r="AK18" s="95">
        <f t="shared" si="35"/>
        <v>1</v>
      </c>
      <c r="AL18" s="58">
        <f t="shared" si="36"/>
        <v>8</v>
      </c>
      <c r="AM18" s="55">
        <f t="shared" si="68"/>
        <v>15</v>
      </c>
      <c r="AN18" s="93"/>
      <c r="AO18" s="96"/>
      <c r="AP18" s="96">
        <f t="shared" si="77"/>
        <v>5425.2</v>
      </c>
      <c r="AQ18" s="96"/>
      <c r="AR18" s="96"/>
      <c r="AS18" s="96"/>
      <c r="AT18" s="96"/>
      <c r="AU18" s="96">
        <f t="shared" si="37"/>
        <v>0</v>
      </c>
      <c r="AV18" s="96">
        <f t="shared" si="37"/>
        <v>0</v>
      </c>
      <c r="AW18" s="96">
        <f t="shared" si="38"/>
        <v>5425.2</v>
      </c>
      <c r="AX18" s="96">
        <f t="shared" si="39"/>
        <v>548</v>
      </c>
      <c r="AY18" s="94">
        <f t="shared" si="69"/>
        <v>39.599999999999454</v>
      </c>
      <c r="AZ18" s="94">
        <f t="shared" si="40"/>
        <v>3.9999999999999449</v>
      </c>
      <c r="BA18" s="94">
        <f t="shared" si="41"/>
        <v>15</v>
      </c>
      <c r="BB18" s="97">
        <f t="shared" si="42"/>
        <v>0</v>
      </c>
      <c r="BC18" s="93">
        <v>7</v>
      </c>
      <c r="BD18" s="93">
        <f t="shared" si="43"/>
        <v>0</v>
      </c>
      <c r="BE18" s="95">
        <f t="shared" si="44"/>
        <v>1</v>
      </c>
      <c r="BF18" s="58">
        <f t="shared" si="45"/>
        <v>7</v>
      </c>
      <c r="BG18" s="94">
        <f t="shared" si="46"/>
        <v>8</v>
      </c>
      <c r="BH18" s="89"/>
      <c r="BI18" s="89"/>
      <c r="BJ18" s="92">
        <f t="shared" si="78"/>
        <v>4999.5</v>
      </c>
      <c r="BK18" s="89"/>
      <c r="BL18" s="89"/>
      <c r="BM18" s="89"/>
      <c r="BN18" s="89"/>
      <c r="BO18" s="92">
        <f t="shared" si="70"/>
        <v>0</v>
      </c>
      <c r="BP18" s="92">
        <f t="shared" si="70"/>
        <v>0</v>
      </c>
      <c r="BQ18" s="96">
        <f t="shared" si="47"/>
        <v>4999.5</v>
      </c>
      <c r="BR18" s="96">
        <f t="shared" si="48"/>
        <v>505</v>
      </c>
      <c r="BS18" s="96">
        <f t="shared" si="71"/>
        <v>287.09999999999945</v>
      </c>
      <c r="BT18" s="96">
        <f t="shared" si="49"/>
        <v>28.999999999999943</v>
      </c>
      <c r="BU18" s="92">
        <f t="shared" si="16"/>
        <v>1053</v>
      </c>
      <c r="BV18" s="98">
        <f t="shared" si="17"/>
        <v>15</v>
      </c>
      <c r="BW18" s="92">
        <f t="shared" si="18"/>
        <v>32.999999999999886</v>
      </c>
      <c r="BX18" s="98">
        <f t="shared" si="50"/>
        <v>24.615000000000002</v>
      </c>
      <c r="BY18" s="61">
        <f t="shared" si="73"/>
        <v>15</v>
      </c>
      <c r="BZ18" s="62">
        <f t="shared" si="51"/>
        <v>15</v>
      </c>
      <c r="CA18" s="98">
        <f t="shared" si="52"/>
        <v>10.424700000000001</v>
      </c>
      <c r="CB18" s="92">
        <f t="shared" si="19"/>
        <v>1053</v>
      </c>
      <c r="CC18" s="92">
        <f t="shared" si="19"/>
        <v>326.69999999999891</v>
      </c>
      <c r="CD18" s="92">
        <f t="shared" si="19"/>
        <v>32.999999999999886</v>
      </c>
      <c r="CE18" s="99"/>
      <c r="CF18" s="99"/>
      <c r="CG18" s="51">
        <f t="shared" si="53"/>
        <v>14.190300000000001</v>
      </c>
      <c r="CH18" s="62">
        <f t="shared" si="54"/>
        <v>14.190300000000001</v>
      </c>
      <c r="CI18" s="89"/>
      <c r="CJ18" s="89">
        <f>548*9.9</f>
        <v>5425.2</v>
      </c>
      <c r="CK18" s="89"/>
      <c r="CL18" s="96"/>
      <c r="CM18" s="89"/>
      <c r="CN18" s="89">
        <f>505*9.9</f>
        <v>4999.5</v>
      </c>
      <c r="CO18" s="92"/>
      <c r="CP18" s="101"/>
      <c r="CQ18" s="102">
        <f t="shared" si="55"/>
        <v>548</v>
      </c>
      <c r="CR18" s="102">
        <f t="shared" si="20"/>
        <v>0</v>
      </c>
      <c r="CS18" s="102">
        <f t="shared" si="20"/>
        <v>0</v>
      </c>
      <c r="CT18" s="92">
        <f t="shared" si="56"/>
        <v>505</v>
      </c>
      <c r="CU18" s="92">
        <f t="shared" si="57"/>
        <v>0</v>
      </c>
      <c r="CV18" s="103">
        <f t="shared" si="57"/>
        <v>0</v>
      </c>
      <c r="CW18" s="104"/>
      <c r="CX18" s="105">
        <v>79.33</v>
      </c>
      <c r="CY18" s="106">
        <f t="shared" si="58"/>
        <v>510</v>
      </c>
      <c r="CZ18" s="106">
        <f t="shared" si="59"/>
        <v>642.57299999999998</v>
      </c>
      <c r="DA18" s="106"/>
      <c r="DB18" s="106"/>
      <c r="DC18" s="105"/>
      <c r="DD18" s="107"/>
      <c r="DE18" s="92">
        <f t="shared" si="21"/>
        <v>548</v>
      </c>
      <c r="DF18" s="108">
        <f t="shared" si="22"/>
        <v>8</v>
      </c>
      <c r="DG18" s="112">
        <f t="shared" si="23"/>
        <v>3.9999999999999449</v>
      </c>
      <c r="DH18" s="110">
        <f t="shared" si="24"/>
        <v>505</v>
      </c>
      <c r="DI18" s="108">
        <f t="shared" si="25"/>
        <v>7</v>
      </c>
      <c r="DJ18" s="112">
        <f t="shared" si="26"/>
        <v>28.999999999999943</v>
      </c>
      <c r="DK18" s="110">
        <f t="shared" si="27"/>
        <v>1053</v>
      </c>
      <c r="DL18" s="108">
        <f t="shared" si="27"/>
        <v>15</v>
      </c>
      <c r="DM18" s="111">
        <f t="shared" si="27"/>
        <v>32.999999999999886</v>
      </c>
      <c r="DN18" s="76">
        <v>8</v>
      </c>
      <c r="DO18" s="76"/>
      <c r="DP18" s="112"/>
      <c r="DQ18" s="112"/>
      <c r="DR18" s="113" t="s">
        <v>422</v>
      </c>
      <c r="DS18" s="112"/>
      <c r="DT18" s="112"/>
      <c r="DU18" s="111"/>
      <c r="DV18" s="114"/>
      <c r="DW18" s="80">
        <f t="shared" si="79"/>
        <v>15</v>
      </c>
      <c r="DX18" s="81">
        <f t="shared" si="28"/>
        <v>1101</v>
      </c>
      <c r="DY18" s="80">
        <f t="shared" si="62"/>
        <v>1053</v>
      </c>
      <c r="DZ18" s="82">
        <f t="shared" si="63"/>
        <v>0</v>
      </c>
      <c r="EA18" s="82">
        <f t="shared" si="64"/>
        <v>10.424700000000001</v>
      </c>
      <c r="EB18" s="82">
        <f t="shared" si="65"/>
        <v>14.190300000000001</v>
      </c>
      <c r="EC18" s="82">
        <f t="shared" si="75"/>
        <v>14.190300000000001</v>
      </c>
      <c r="EF18" s="83">
        <f t="shared" si="76"/>
        <v>32.999999999999886</v>
      </c>
    </row>
    <row r="19" spans="1:136">
      <c r="A19" s="84">
        <v>12</v>
      </c>
      <c r="B19" s="85" t="s">
        <v>169</v>
      </c>
      <c r="C19" s="86"/>
      <c r="D19" s="116" t="s">
        <v>170</v>
      </c>
      <c r="E19" s="88">
        <v>104</v>
      </c>
      <c r="F19" s="89" t="s">
        <v>136</v>
      </c>
      <c r="G19" s="45" t="str">
        <f t="shared" si="30"/>
        <v>TV12L14-12x3-H9B14</v>
      </c>
      <c r="H19" s="46" t="str">
        <f t="shared" si="31"/>
        <v>12L14TV120DH9</v>
      </c>
      <c r="I19" s="46" t="str">
        <f t="shared" si="32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3"/>
        <v>20</v>
      </c>
      <c r="T19" s="51">
        <f>'06.02'!BG19</f>
        <v>16.73</v>
      </c>
      <c r="U19" s="92"/>
      <c r="V19" s="89">
        <v>10.6</v>
      </c>
      <c r="W19" s="93">
        <f t="shared" si="5"/>
        <v>0</v>
      </c>
      <c r="X19" s="93">
        <f t="shared" si="6"/>
        <v>0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0</v>
      </c>
      <c r="AE19" s="93">
        <f t="shared" si="34"/>
        <v>0</v>
      </c>
      <c r="AF19" s="54">
        <f>AE19+'06.02'!AF19</f>
        <v>6165</v>
      </c>
      <c r="AG19" s="94">
        <f t="shared" si="66"/>
        <v>16.73</v>
      </c>
      <c r="AH19" s="56">
        <f t="shared" si="13"/>
        <v>0.73</v>
      </c>
      <c r="AI19" s="89"/>
      <c r="AJ19" s="93">
        <f t="shared" si="67"/>
        <v>0</v>
      </c>
      <c r="AK19" s="95">
        <f t="shared" si="35"/>
        <v>1</v>
      </c>
      <c r="AL19" s="58">
        <f t="shared" si="36"/>
        <v>0</v>
      </c>
      <c r="AM19" s="55">
        <f t="shared" si="68"/>
        <v>16.73</v>
      </c>
      <c r="AN19" s="93"/>
      <c r="AO19" s="96"/>
      <c r="AP19" s="96">
        <f t="shared" si="77"/>
        <v>0</v>
      </c>
      <c r="AQ19" s="96"/>
      <c r="AR19" s="96"/>
      <c r="AS19" s="96"/>
      <c r="AT19" s="96"/>
      <c r="AU19" s="96">
        <f t="shared" si="37"/>
        <v>0</v>
      </c>
      <c r="AV19" s="96">
        <f t="shared" si="37"/>
        <v>0</v>
      </c>
      <c r="AW19" s="96">
        <f>SUM(AO19:AV19)</f>
        <v>0</v>
      </c>
      <c r="AX19" s="96">
        <f t="shared" si="39"/>
        <v>0</v>
      </c>
      <c r="AY19" s="94">
        <f t="shared" si="69"/>
        <v>0</v>
      </c>
      <c r="AZ19" s="94">
        <f t="shared" si="40"/>
        <v>0</v>
      </c>
      <c r="BA19" s="94">
        <f t="shared" si="41"/>
        <v>16.73</v>
      </c>
      <c r="BB19" s="97">
        <f t="shared" si="42"/>
        <v>0.73</v>
      </c>
      <c r="BC19" s="93"/>
      <c r="BD19" s="93">
        <f t="shared" si="43"/>
        <v>0</v>
      </c>
      <c r="BE19" s="95">
        <f t="shared" si="44"/>
        <v>1</v>
      </c>
      <c r="BF19" s="58">
        <f t="shared" si="45"/>
        <v>0</v>
      </c>
      <c r="BG19" s="94">
        <f t="shared" si="46"/>
        <v>16.73</v>
      </c>
      <c r="BH19" s="89"/>
      <c r="BI19" s="89"/>
      <c r="BJ19" s="92">
        <f t="shared" si="78"/>
        <v>0</v>
      </c>
      <c r="BK19" s="89"/>
      <c r="BL19" s="89"/>
      <c r="BM19" s="89"/>
      <c r="BN19" s="89"/>
      <c r="BO19" s="92">
        <f t="shared" si="70"/>
        <v>0</v>
      </c>
      <c r="BP19" s="92">
        <f t="shared" si="70"/>
        <v>0</v>
      </c>
      <c r="BQ19" s="96">
        <f t="shared" si="47"/>
        <v>0</v>
      </c>
      <c r="BR19" s="96">
        <f t="shared" si="48"/>
        <v>0</v>
      </c>
      <c r="BS19" s="96">
        <f t="shared" si="71"/>
        <v>0</v>
      </c>
      <c r="BT19" s="96">
        <f t="shared" si="49"/>
        <v>0</v>
      </c>
      <c r="BU19" s="92">
        <f t="shared" si="16"/>
        <v>0</v>
      </c>
      <c r="BV19" s="98">
        <f t="shared" si="17"/>
        <v>0</v>
      </c>
      <c r="BW19" s="92">
        <f t="shared" si="18"/>
        <v>0</v>
      </c>
      <c r="BX19" s="98">
        <f t="shared" si="50"/>
        <v>0</v>
      </c>
      <c r="BY19" s="61">
        <f t="shared" si="73"/>
        <v>0</v>
      </c>
      <c r="BZ19" s="62">
        <f t="shared" si="51"/>
        <v>0</v>
      </c>
      <c r="CA19" s="98">
        <f t="shared" si="52"/>
        <v>0</v>
      </c>
      <c r="CB19" s="92">
        <f t="shared" si="19"/>
        <v>0</v>
      </c>
      <c r="CC19" s="92">
        <f t="shared" si="19"/>
        <v>0</v>
      </c>
      <c r="CD19" s="92">
        <f t="shared" si="19"/>
        <v>0</v>
      </c>
      <c r="CE19" s="99"/>
      <c r="CF19" s="99"/>
      <c r="CG19" s="51">
        <f t="shared" si="53"/>
        <v>0</v>
      </c>
      <c r="CH19" s="62">
        <f t="shared" si="54"/>
        <v>0</v>
      </c>
      <c r="CI19" s="89"/>
      <c r="CJ19" s="89"/>
      <c r="CK19" s="89"/>
      <c r="CL19" s="96"/>
      <c r="CM19" s="89"/>
      <c r="CN19" s="89"/>
      <c r="CO19" s="92"/>
      <c r="CP19" s="101"/>
      <c r="CQ19" s="102">
        <f t="shared" si="55"/>
        <v>0</v>
      </c>
      <c r="CR19" s="102">
        <f t="shared" si="20"/>
        <v>0</v>
      </c>
      <c r="CS19" s="102">
        <f t="shared" si="20"/>
        <v>0</v>
      </c>
      <c r="CT19" s="92">
        <f t="shared" si="56"/>
        <v>0</v>
      </c>
      <c r="CU19" s="92">
        <f t="shared" si="57"/>
        <v>0</v>
      </c>
      <c r="CV19" s="103">
        <f t="shared" si="57"/>
        <v>0</v>
      </c>
      <c r="CW19" s="104"/>
      <c r="CX19" s="105">
        <v>37.89</v>
      </c>
      <c r="CY19" s="106">
        <f t="shared" si="58"/>
        <v>1053</v>
      </c>
      <c r="CZ19" s="106">
        <f t="shared" si="59"/>
        <v>306.90900000000005</v>
      </c>
      <c r="DA19" s="106"/>
      <c r="DB19" s="106"/>
      <c r="DC19" s="105"/>
      <c r="DD19" s="107"/>
      <c r="DE19" s="92">
        <f t="shared" si="21"/>
        <v>0</v>
      </c>
      <c r="DF19" s="108">
        <f t="shared" si="22"/>
        <v>0</v>
      </c>
      <c r="DG19" s="112">
        <f t="shared" si="23"/>
        <v>0</v>
      </c>
      <c r="DH19" s="110">
        <f t="shared" si="24"/>
        <v>0</v>
      </c>
      <c r="DI19" s="108">
        <f t="shared" si="25"/>
        <v>0</v>
      </c>
      <c r="DJ19" s="112">
        <f t="shared" si="26"/>
        <v>0</v>
      </c>
      <c r="DK19" s="110">
        <f t="shared" si="27"/>
        <v>0</v>
      </c>
      <c r="DL19" s="108">
        <f t="shared" si="27"/>
        <v>0</v>
      </c>
      <c r="DM19" s="111">
        <f t="shared" si="27"/>
        <v>0</v>
      </c>
      <c r="DN19" s="76">
        <v>17</v>
      </c>
      <c r="DO19" s="76"/>
      <c r="DP19" s="112"/>
      <c r="DQ19" s="112"/>
      <c r="DR19" s="113" t="s">
        <v>479</v>
      </c>
      <c r="DS19" s="112"/>
      <c r="DT19" s="112"/>
      <c r="DU19" s="111"/>
      <c r="DV19" s="114"/>
      <c r="DW19" s="80">
        <f t="shared" si="79"/>
        <v>0</v>
      </c>
      <c r="DX19" s="81">
        <f t="shared" si="28"/>
        <v>0</v>
      </c>
      <c r="DY19" s="80">
        <f t="shared" si="62"/>
        <v>0</v>
      </c>
      <c r="DZ19" s="82">
        <f t="shared" si="63"/>
        <v>0</v>
      </c>
      <c r="EA19" s="82">
        <f t="shared" si="64"/>
        <v>0</v>
      </c>
      <c r="EB19" s="82">
        <f t="shared" si="65"/>
        <v>0</v>
      </c>
      <c r="EC19" s="82">
        <f t="shared" si="75"/>
        <v>0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0"/>
        <v>GWA6063-T5-8.3x3-H9B14</v>
      </c>
      <c r="H20" s="46" t="str">
        <f t="shared" si="31"/>
        <v>A6063-T5GW8.30DH9</v>
      </c>
      <c r="I20" s="46" t="str">
        <f t="shared" si="32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3"/>
        <v>18</v>
      </c>
      <c r="T20" s="51">
        <f>'06.02'!BG20</f>
        <v>41</v>
      </c>
      <c r="U20" s="92"/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34"/>
        <v>0</v>
      </c>
      <c r="AF20" s="54">
        <f>AE20+'06.02'!AF20</f>
        <v>848</v>
      </c>
      <c r="AG20" s="94">
        <f t="shared" si="66"/>
        <v>41</v>
      </c>
      <c r="AH20" s="56">
        <f t="shared" si="13"/>
        <v>0</v>
      </c>
      <c r="AI20" s="100"/>
      <c r="AJ20" s="93">
        <f t="shared" si="67"/>
        <v>0</v>
      </c>
      <c r="AK20" s="95">
        <f t="shared" si="35"/>
        <v>1</v>
      </c>
      <c r="AL20" s="58">
        <f t="shared" si="36"/>
        <v>0</v>
      </c>
      <c r="AM20" s="55">
        <f t="shared" si="68"/>
        <v>41</v>
      </c>
      <c r="AN20" s="93"/>
      <c r="AO20" s="96"/>
      <c r="AP20" s="96"/>
      <c r="AQ20" s="96"/>
      <c r="AR20" s="96"/>
      <c r="AS20" s="96"/>
      <c r="AT20" s="96">
        <f t="shared" ref="AT20" si="80">$CJ20</f>
        <v>0</v>
      </c>
      <c r="AU20" s="96">
        <f t="shared" si="37"/>
        <v>0</v>
      </c>
      <c r="AV20" s="96">
        <f t="shared" si="37"/>
        <v>0</v>
      </c>
      <c r="AW20" s="96">
        <f t="shared" si="38"/>
        <v>0</v>
      </c>
      <c r="AX20" s="96">
        <f t="shared" si="39"/>
        <v>0</v>
      </c>
      <c r="AY20" s="94">
        <f t="shared" si="69"/>
        <v>0</v>
      </c>
      <c r="AZ20" s="94">
        <f t="shared" si="40"/>
        <v>0</v>
      </c>
      <c r="BA20" s="94">
        <f t="shared" si="41"/>
        <v>41</v>
      </c>
      <c r="BB20" s="97">
        <f t="shared" si="42"/>
        <v>0</v>
      </c>
      <c r="BC20" s="93"/>
      <c r="BD20" s="93">
        <f t="shared" si="43"/>
        <v>0</v>
      </c>
      <c r="BE20" s="95">
        <f t="shared" si="44"/>
        <v>1</v>
      </c>
      <c r="BF20" s="58">
        <f t="shared" si="45"/>
        <v>0</v>
      </c>
      <c r="BG20" s="94">
        <f t="shared" si="46"/>
        <v>41</v>
      </c>
      <c r="BH20" s="89"/>
      <c r="BI20" s="89"/>
      <c r="BJ20" s="92"/>
      <c r="BK20" s="89"/>
      <c r="BL20" s="89"/>
      <c r="BM20" s="89"/>
      <c r="BN20" s="92">
        <f t="shared" ref="BN20" si="81">$CN20</f>
        <v>0</v>
      </c>
      <c r="BO20" s="92">
        <f t="shared" si="70"/>
        <v>0</v>
      </c>
      <c r="BP20" s="92">
        <f t="shared" si="70"/>
        <v>0</v>
      </c>
      <c r="BQ20" s="96">
        <f t="shared" si="47"/>
        <v>0</v>
      </c>
      <c r="BR20" s="96">
        <f t="shared" si="48"/>
        <v>0</v>
      </c>
      <c r="BS20" s="96">
        <f t="shared" si="71"/>
        <v>0</v>
      </c>
      <c r="BT20" s="96">
        <f t="shared" si="49"/>
        <v>0</v>
      </c>
      <c r="BU20" s="92">
        <f t="shared" si="16"/>
        <v>0</v>
      </c>
      <c r="BV20" s="98">
        <f t="shared" si="17"/>
        <v>0</v>
      </c>
      <c r="BW20" s="92">
        <f t="shared" si="18"/>
        <v>0</v>
      </c>
      <c r="BX20" s="98">
        <f t="shared" si="50"/>
        <v>0</v>
      </c>
      <c r="BY20" s="61">
        <f t="shared" si="73"/>
        <v>0</v>
      </c>
      <c r="BZ20" s="62">
        <f t="shared" si="51"/>
        <v>0</v>
      </c>
      <c r="CA20" s="98">
        <f t="shared" si="52"/>
        <v>0</v>
      </c>
      <c r="CB20" s="92">
        <f t="shared" si="19"/>
        <v>0</v>
      </c>
      <c r="CC20" s="92">
        <f t="shared" si="19"/>
        <v>0</v>
      </c>
      <c r="CD20" s="92">
        <f t="shared" si="19"/>
        <v>0</v>
      </c>
      <c r="CE20" s="99"/>
      <c r="CF20" s="99"/>
      <c r="CG20" s="51">
        <f t="shared" si="53"/>
        <v>0</v>
      </c>
      <c r="CH20" s="62">
        <f t="shared" si="54"/>
        <v>0</v>
      </c>
      <c r="CI20" s="89"/>
      <c r="CJ20" s="89"/>
      <c r="CK20" s="89"/>
      <c r="CL20" s="96"/>
      <c r="CM20" s="89"/>
      <c r="CN20" s="89"/>
      <c r="CO20" s="92"/>
      <c r="CP20" s="101"/>
      <c r="CQ20" s="102">
        <f t="shared" si="55"/>
        <v>0</v>
      </c>
      <c r="CR20" s="102">
        <f t="shared" si="20"/>
        <v>0</v>
      </c>
      <c r="CS20" s="102">
        <f t="shared" si="20"/>
        <v>0</v>
      </c>
      <c r="CT20" s="92">
        <f t="shared" si="56"/>
        <v>0</v>
      </c>
      <c r="CU20" s="92">
        <f t="shared" si="57"/>
        <v>0</v>
      </c>
      <c r="CV20" s="103">
        <f t="shared" si="57"/>
        <v>0</v>
      </c>
      <c r="CW20" s="104"/>
      <c r="CX20" s="105">
        <v>15</v>
      </c>
      <c r="CY20" s="106">
        <f t="shared" si="58"/>
        <v>2680</v>
      </c>
      <c r="CZ20" s="106">
        <f t="shared" si="59"/>
        <v>121.50000000000001</v>
      </c>
      <c r="DA20" s="106"/>
      <c r="DB20" s="106"/>
      <c r="DC20" s="105"/>
      <c r="DD20" s="107"/>
      <c r="DE20" s="92">
        <f t="shared" si="21"/>
        <v>0</v>
      </c>
      <c r="DF20" s="108">
        <f t="shared" si="22"/>
        <v>0</v>
      </c>
      <c r="DG20" s="112">
        <f t="shared" si="23"/>
        <v>0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0</v>
      </c>
      <c r="DL20" s="108">
        <f t="shared" si="27"/>
        <v>0</v>
      </c>
      <c r="DM20" s="111">
        <f t="shared" si="27"/>
        <v>0</v>
      </c>
      <c r="DN20" s="76">
        <v>41</v>
      </c>
      <c r="DO20" s="76"/>
      <c r="DP20" s="112"/>
      <c r="DQ20" s="112"/>
      <c r="DR20" s="113" t="s">
        <v>424</v>
      </c>
      <c r="DS20" s="112"/>
      <c r="DT20" s="112"/>
      <c r="DU20" s="111"/>
      <c r="DV20" s="114"/>
      <c r="DW20" s="80">
        <f t="shared" si="61"/>
        <v>0</v>
      </c>
      <c r="DX20" s="81">
        <f t="shared" si="28"/>
        <v>0</v>
      </c>
      <c r="DY20" s="80">
        <f t="shared" si="62"/>
        <v>0</v>
      </c>
      <c r="DZ20" s="82">
        <f t="shared" si="63"/>
        <v>0</v>
      </c>
      <c r="EA20" s="82">
        <f t="shared" si="64"/>
        <v>0</v>
      </c>
      <c r="EB20" s="82">
        <f t="shared" si="65"/>
        <v>0</v>
      </c>
      <c r="EC20" s="82">
        <f t="shared" si="75"/>
        <v>0</v>
      </c>
      <c r="EF20" s="83">
        <f t="shared" ref="EF20:EF25" si="82">DG20+DJ20</f>
        <v>0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0"/>
        <v>TV12L14-11x2.5-H9C14</v>
      </c>
      <c r="H21" s="123" t="str">
        <f t="shared" si="31"/>
        <v>12L14TV110DH9</v>
      </c>
      <c r="I21" s="123" t="str">
        <f t="shared" si="32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3"/>
        <v>10</v>
      </c>
      <c r="T21" s="51">
        <f>'06.02'!BG21</f>
        <v>22.68</v>
      </c>
      <c r="U21" s="124"/>
      <c r="V21" s="100">
        <v>2</v>
      </c>
      <c r="W21" s="125">
        <f t="shared" si="5"/>
        <v>0</v>
      </c>
      <c r="X21" s="125">
        <f t="shared" si="6"/>
        <v>3880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0</v>
      </c>
      <c r="AE21" s="125">
        <f t="shared" si="34"/>
        <v>3880</v>
      </c>
      <c r="AF21" s="54">
        <f>AE21+'06.02'!AF21</f>
        <v>23552</v>
      </c>
      <c r="AG21" s="94">
        <f t="shared" si="66"/>
        <v>22.68</v>
      </c>
      <c r="AH21" s="56">
        <f t="shared" si="13"/>
        <v>0.68</v>
      </c>
      <c r="AI21" s="89">
        <v>7</v>
      </c>
      <c r="AJ21" s="93">
        <f t="shared" si="67"/>
        <v>200</v>
      </c>
      <c r="AK21" s="95">
        <f t="shared" si="35"/>
        <v>0.35335689045936397</v>
      </c>
      <c r="AL21" s="58">
        <f t="shared" si="36"/>
        <v>7.04</v>
      </c>
      <c r="AM21" s="55">
        <f t="shared" si="68"/>
        <v>15.64</v>
      </c>
      <c r="AN21" s="125"/>
      <c r="AO21" s="126"/>
      <c r="AP21" s="126">
        <f t="shared" ref="AP21" si="83">$CJ21</f>
        <v>4000</v>
      </c>
      <c r="AQ21" s="126"/>
      <c r="AR21" s="126"/>
      <c r="AS21" s="126"/>
      <c r="AT21" s="126"/>
      <c r="AU21" s="126">
        <f t="shared" si="37"/>
        <v>0</v>
      </c>
      <c r="AV21" s="126">
        <f t="shared" si="37"/>
        <v>0</v>
      </c>
      <c r="AW21" s="126">
        <f t="shared" si="38"/>
        <v>4000</v>
      </c>
      <c r="AX21" s="126">
        <f t="shared" si="39"/>
        <v>2000</v>
      </c>
      <c r="AY21" s="94">
        <f t="shared" si="69"/>
        <v>15.360000000000127</v>
      </c>
      <c r="AZ21" s="94">
        <f t="shared" si="40"/>
        <v>7.6800000000000637</v>
      </c>
      <c r="BA21" s="94">
        <f t="shared" si="41"/>
        <v>15.64</v>
      </c>
      <c r="BB21" s="97">
        <f t="shared" si="42"/>
        <v>0.64</v>
      </c>
      <c r="BC21" s="125">
        <v>6</v>
      </c>
      <c r="BD21" s="93">
        <f t="shared" si="43"/>
        <v>0</v>
      </c>
      <c r="BE21" s="127">
        <f t="shared" si="44"/>
        <v>1</v>
      </c>
      <c r="BF21" s="58">
        <f t="shared" si="45"/>
        <v>6.64</v>
      </c>
      <c r="BG21" s="94">
        <f t="shared" si="46"/>
        <v>9</v>
      </c>
      <c r="BH21" s="100"/>
      <c r="BI21" s="100"/>
      <c r="BJ21" s="92">
        <f t="shared" ref="BJ21" si="84">$CN21</f>
        <v>3760</v>
      </c>
      <c r="BK21" s="100"/>
      <c r="BL21" s="100"/>
      <c r="BM21" s="100"/>
      <c r="BN21" s="92"/>
      <c r="BO21" s="124">
        <f t="shared" si="70"/>
        <v>0</v>
      </c>
      <c r="BP21" s="124">
        <f t="shared" si="70"/>
        <v>0</v>
      </c>
      <c r="BQ21" s="126">
        <f t="shared" si="47"/>
        <v>3760</v>
      </c>
      <c r="BR21" s="126">
        <f t="shared" si="48"/>
        <v>1880</v>
      </c>
      <c r="BS21" s="126">
        <f t="shared" si="71"/>
        <v>1.7600000000002183</v>
      </c>
      <c r="BT21" s="126">
        <f t="shared" si="49"/>
        <v>0.88000000000010914</v>
      </c>
      <c r="BU21" s="124">
        <f t="shared" si="16"/>
        <v>3880</v>
      </c>
      <c r="BV21" s="128">
        <f t="shared" si="17"/>
        <v>13.68</v>
      </c>
      <c r="BW21" s="124">
        <f t="shared" si="18"/>
        <v>8.5600000000001728</v>
      </c>
      <c r="BX21" s="128" t="str">
        <f t="shared" si="50"/>
        <v/>
      </c>
      <c r="BY21" s="129">
        <f t="shared" si="73"/>
        <v>13.68</v>
      </c>
      <c r="BZ21" s="62">
        <f t="shared" si="51"/>
        <v>13.68</v>
      </c>
      <c r="CA21" s="128">
        <f t="shared" si="52"/>
        <v>7.76</v>
      </c>
      <c r="CB21" s="124">
        <f t="shared" si="19"/>
        <v>3880</v>
      </c>
      <c r="CC21" s="124">
        <f t="shared" si="19"/>
        <v>17.120000000000346</v>
      </c>
      <c r="CD21" s="124">
        <f t="shared" si="19"/>
        <v>8.5600000000001728</v>
      </c>
      <c r="CE21" s="100"/>
      <c r="CF21" s="100"/>
      <c r="CG21" s="51">
        <f t="shared" si="53"/>
        <v>0</v>
      </c>
      <c r="CH21" s="62">
        <f t="shared" si="54"/>
        <v>0</v>
      </c>
      <c r="CI21" s="100">
        <v>200</v>
      </c>
      <c r="CJ21" s="100">
        <v>4000</v>
      </c>
      <c r="CK21" s="100"/>
      <c r="CL21" s="126"/>
      <c r="CM21" s="100"/>
      <c r="CN21" s="100">
        <v>3760</v>
      </c>
      <c r="CO21" s="124"/>
      <c r="CP21" s="130"/>
      <c r="CQ21" s="102">
        <f t="shared" si="55"/>
        <v>2000</v>
      </c>
      <c r="CR21" s="102">
        <f t="shared" si="20"/>
        <v>0</v>
      </c>
      <c r="CS21" s="102">
        <f t="shared" si="20"/>
        <v>0</v>
      </c>
      <c r="CT21" s="92">
        <f t="shared" si="56"/>
        <v>1880</v>
      </c>
      <c r="CU21" s="92">
        <f t="shared" si="57"/>
        <v>0</v>
      </c>
      <c r="CV21" s="103">
        <f t="shared" si="57"/>
        <v>0</v>
      </c>
      <c r="CW21" s="131"/>
      <c r="CX21" s="132">
        <v>30</v>
      </c>
      <c r="CY21" s="133">
        <f t="shared" si="58"/>
        <v>1380</v>
      </c>
      <c r="CZ21" s="133">
        <f t="shared" si="59"/>
        <v>243.00000000000003</v>
      </c>
      <c r="DA21" s="133"/>
      <c r="DB21" s="133"/>
      <c r="DC21" s="132"/>
      <c r="DD21" s="134"/>
      <c r="DE21" s="124">
        <f t="shared" si="21"/>
        <v>2000</v>
      </c>
      <c r="DF21" s="135">
        <f t="shared" si="22"/>
        <v>7.04</v>
      </c>
      <c r="DG21" s="112">
        <f t="shared" si="23"/>
        <v>7.6800000000000637</v>
      </c>
      <c r="DH21" s="136">
        <f t="shared" si="24"/>
        <v>1880</v>
      </c>
      <c r="DI21" s="135">
        <f t="shared" si="25"/>
        <v>6.64</v>
      </c>
      <c r="DJ21" s="115">
        <f t="shared" si="26"/>
        <v>0.88000000000010914</v>
      </c>
      <c r="DK21" s="136">
        <f t="shared" si="27"/>
        <v>3880</v>
      </c>
      <c r="DL21" s="135">
        <f t="shared" si="27"/>
        <v>13.68</v>
      </c>
      <c r="DM21" s="137">
        <f t="shared" si="27"/>
        <v>8.5600000000001728</v>
      </c>
      <c r="DN21" s="76">
        <v>9</v>
      </c>
      <c r="DO21" s="76"/>
      <c r="DP21" s="115"/>
      <c r="DQ21" s="115"/>
      <c r="DR21" s="138" t="s">
        <v>423</v>
      </c>
      <c r="DS21" s="115"/>
      <c r="DT21" s="115"/>
      <c r="DU21" s="137"/>
      <c r="DV21" s="139"/>
      <c r="DW21" s="140">
        <f t="shared" si="61"/>
        <v>3893.68</v>
      </c>
      <c r="DX21" s="141">
        <f t="shared" si="28"/>
        <v>3902.24</v>
      </c>
      <c r="DY21" s="140">
        <f t="shared" si="62"/>
        <v>3880</v>
      </c>
      <c r="DZ21" s="142">
        <f t="shared" si="63"/>
        <v>0</v>
      </c>
      <c r="EA21" s="142">
        <f t="shared" si="64"/>
        <v>7.76</v>
      </c>
      <c r="EB21" s="142" t="e">
        <f t="shared" si="65"/>
        <v>#VALUE!</v>
      </c>
      <c r="EC21" s="142" t="e">
        <f t="shared" si="75"/>
        <v>#VALUE!</v>
      </c>
      <c r="EF21" s="83">
        <f t="shared" si="82"/>
        <v>8.5600000000001728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0"/>
        <v>TV12L14-5.97x2.5-H9B14</v>
      </c>
      <c r="H22" s="46" t="str">
        <f t="shared" si="31"/>
        <v>12L14TV5.970DH9</v>
      </c>
      <c r="I22" s="46" t="str">
        <f t="shared" si="32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3"/>
        <v>48</v>
      </c>
      <c r="T22" s="51">
        <f>'06.02'!BG22</f>
        <v>182</v>
      </c>
      <c r="U22" s="92"/>
      <c r="V22" s="89">
        <v>4.45</v>
      </c>
      <c r="W22" s="93">
        <f t="shared" si="5"/>
        <v>0</v>
      </c>
      <c r="X22" s="93">
        <f t="shared" si="6"/>
        <v>0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0</v>
      </c>
      <c r="AE22" s="93">
        <f t="shared" si="34"/>
        <v>0</v>
      </c>
      <c r="AF22" s="54">
        <f>AE22+'06.02'!AF22</f>
        <v>5730</v>
      </c>
      <c r="AG22" s="94">
        <f t="shared" si="66"/>
        <v>182</v>
      </c>
      <c r="AH22" s="56">
        <f t="shared" si="13"/>
        <v>0</v>
      </c>
      <c r="AI22" s="93"/>
      <c r="AJ22" s="93">
        <f t="shared" si="67"/>
        <v>0</v>
      </c>
      <c r="AK22" s="95">
        <f t="shared" si="35"/>
        <v>1</v>
      </c>
      <c r="AL22" s="58">
        <f t="shared" si="36"/>
        <v>0</v>
      </c>
      <c r="AM22" s="55">
        <f t="shared" si="68"/>
        <v>182</v>
      </c>
      <c r="AN22" s="93"/>
      <c r="AO22" s="96"/>
      <c r="AP22" s="96">
        <f>$CJ22</f>
        <v>0</v>
      </c>
      <c r="AQ22" s="96"/>
      <c r="AR22" s="96"/>
      <c r="AS22" s="96"/>
      <c r="AT22" s="96"/>
      <c r="AU22" s="96">
        <f t="shared" si="37"/>
        <v>0</v>
      </c>
      <c r="AV22" s="96">
        <f t="shared" si="37"/>
        <v>0</v>
      </c>
      <c r="AW22" s="96">
        <f t="shared" si="38"/>
        <v>0</v>
      </c>
      <c r="AX22" s="96">
        <f t="shared" si="39"/>
        <v>0</v>
      </c>
      <c r="AY22" s="94">
        <f t="shared" si="69"/>
        <v>0</v>
      </c>
      <c r="AZ22" s="94">
        <f t="shared" si="40"/>
        <v>0</v>
      </c>
      <c r="BA22" s="94">
        <f t="shared" si="41"/>
        <v>182</v>
      </c>
      <c r="BB22" s="97">
        <f t="shared" si="42"/>
        <v>0</v>
      </c>
      <c r="BC22" s="93"/>
      <c r="BD22" s="93">
        <f t="shared" si="43"/>
        <v>0</v>
      </c>
      <c r="BE22" s="95">
        <f t="shared" si="44"/>
        <v>1</v>
      </c>
      <c r="BF22" s="58">
        <f t="shared" si="45"/>
        <v>0</v>
      </c>
      <c r="BG22" s="94">
        <f t="shared" si="46"/>
        <v>182</v>
      </c>
      <c r="BH22" s="89"/>
      <c r="BI22" s="89"/>
      <c r="BJ22" s="92">
        <f>$CN22</f>
        <v>0</v>
      </c>
      <c r="BK22" s="89"/>
      <c r="BL22" s="89"/>
      <c r="BM22" s="89"/>
      <c r="BN22" s="89"/>
      <c r="BO22" s="92">
        <f t="shared" si="70"/>
        <v>0</v>
      </c>
      <c r="BP22" s="92">
        <f t="shared" si="70"/>
        <v>0</v>
      </c>
      <c r="BQ22" s="96">
        <f t="shared" si="47"/>
        <v>0</v>
      </c>
      <c r="BR22" s="96">
        <f t="shared" si="48"/>
        <v>0</v>
      </c>
      <c r="BS22" s="96">
        <f t="shared" si="71"/>
        <v>0</v>
      </c>
      <c r="BT22" s="96">
        <f t="shared" si="49"/>
        <v>0</v>
      </c>
      <c r="BU22" s="92">
        <f t="shared" si="16"/>
        <v>0</v>
      </c>
      <c r="BV22" s="98">
        <f t="shared" si="17"/>
        <v>0</v>
      </c>
      <c r="BW22" s="92">
        <f t="shared" si="18"/>
        <v>0</v>
      </c>
      <c r="BX22" s="98">
        <f t="shared" si="50"/>
        <v>0</v>
      </c>
      <c r="BY22" s="61">
        <f t="shared" si="73"/>
        <v>0</v>
      </c>
      <c r="BZ22" s="62">
        <f t="shared" si="51"/>
        <v>0</v>
      </c>
      <c r="CA22" s="98">
        <f t="shared" si="52"/>
        <v>0</v>
      </c>
      <c r="CB22" s="92">
        <f t="shared" si="19"/>
        <v>0</v>
      </c>
      <c r="CC22" s="92">
        <f t="shared" si="19"/>
        <v>0</v>
      </c>
      <c r="CD22" s="92">
        <f t="shared" si="19"/>
        <v>0</v>
      </c>
      <c r="CE22" s="99"/>
      <c r="CF22" s="99"/>
      <c r="CG22" s="51">
        <f t="shared" si="53"/>
        <v>0</v>
      </c>
      <c r="CH22" s="62">
        <f t="shared" si="54"/>
        <v>0</v>
      </c>
      <c r="CI22" s="89"/>
      <c r="CJ22" s="89"/>
      <c r="CK22" s="89"/>
      <c r="CL22" s="96"/>
      <c r="CM22" s="89"/>
      <c r="CN22" s="89"/>
      <c r="CO22" s="92"/>
      <c r="CP22" s="101"/>
      <c r="CQ22" s="102">
        <f t="shared" si="55"/>
        <v>0</v>
      </c>
      <c r="CR22" s="102">
        <f t="shared" si="20"/>
        <v>0</v>
      </c>
      <c r="CS22" s="102">
        <f t="shared" si="20"/>
        <v>0</v>
      </c>
      <c r="CT22" s="92">
        <f t="shared" si="56"/>
        <v>0</v>
      </c>
      <c r="CU22" s="92">
        <f t="shared" si="57"/>
        <v>0</v>
      </c>
      <c r="CV22" s="103">
        <f t="shared" si="57"/>
        <v>0</v>
      </c>
      <c r="CW22" s="104"/>
      <c r="CX22" s="105">
        <v>36.090000000000003</v>
      </c>
      <c r="CY22" s="106">
        <f t="shared" si="58"/>
        <v>947</v>
      </c>
      <c r="CZ22" s="106">
        <f t="shared" si="59"/>
        <v>292.32900000000006</v>
      </c>
      <c r="DA22" s="106"/>
      <c r="DB22" s="106"/>
      <c r="DC22" s="105"/>
      <c r="DD22" s="107"/>
      <c r="DE22" s="92">
        <f t="shared" si="21"/>
        <v>0</v>
      </c>
      <c r="DF22" s="108">
        <f t="shared" si="22"/>
        <v>0</v>
      </c>
      <c r="DG22" s="112">
        <f t="shared" si="23"/>
        <v>0</v>
      </c>
      <c r="DH22" s="110">
        <f t="shared" si="24"/>
        <v>0</v>
      </c>
      <c r="DI22" s="108">
        <f t="shared" si="25"/>
        <v>0</v>
      </c>
      <c r="DJ22" s="112">
        <f t="shared" si="26"/>
        <v>0</v>
      </c>
      <c r="DK22" s="110">
        <f t="shared" si="27"/>
        <v>0</v>
      </c>
      <c r="DL22" s="108">
        <f t="shared" si="27"/>
        <v>0</v>
      </c>
      <c r="DM22" s="111">
        <f t="shared" si="27"/>
        <v>0</v>
      </c>
      <c r="DN22" s="76">
        <v>182</v>
      </c>
      <c r="DO22" s="76"/>
      <c r="DP22" s="112"/>
      <c r="DQ22" s="112"/>
      <c r="DR22" s="113" t="s">
        <v>425</v>
      </c>
      <c r="DS22" s="112"/>
      <c r="DT22" s="112"/>
      <c r="DU22" s="111"/>
      <c r="DV22" s="114"/>
      <c r="DW22" s="80">
        <f t="shared" si="61"/>
        <v>0</v>
      </c>
      <c r="DX22" s="81">
        <f t="shared" si="28"/>
        <v>0</v>
      </c>
      <c r="DY22" s="80">
        <f t="shared" si="62"/>
        <v>0</v>
      </c>
      <c r="DZ22" s="82">
        <f t="shared" si="63"/>
        <v>0</v>
      </c>
      <c r="EA22" s="82">
        <f t="shared" si="64"/>
        <v>0</v>
      </c>
      <c r="EB22" s="82">
        <f t="shared" si="65"/>
        <v>0</v>
      </c>
      <c r="EC22" s="82">
        <f t="shared" si="75"/>
        <v>0</v>
      </c>
      <c r="EF22" s="83">
        <f t="shared" si="82"/>
        <v>0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0"/>
        <v>YHC3604-10.03x3-H9B12</v>
      </c>
      <c r="H23" s="46" t="str">
        <f t="shared" si="31"/>
        <v>C3604YH10.030DH9</v>
      </c>
      <c r="I23" s="46" t="str">
        <f t="shared" si="32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3"/>
        <v>34</v>
      </c>
      <c r="T23" s="51">
        <f>'06.02'!BG23</f>
        <v>71</v>
      </c>
      <c r="U23" s="92"/>
      <c r="V23" s="89">
        <v>4.05</v>
      </c>
      <c r="W23" s="93">
        <f t="shared" si="5"/>
        <v>0</v>
      </c>
      <c r="X23" s="93">
        <f t="shared" si="6"/>
        <v>3528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184</v>
      </c>
      <c r="AD23" s="93">
        <f t="shared" si="12"/>
        <v>98</v>
      </c>
      <c r="AE23" s="93">
        <f t="shared" si="34"/>
        <v>3712</v>
      </c>
      <c r="AF23" s="54">
        <f>AE23+'06.02'!AF23</f>
        <v>14247</v>
      </c>
      <c r="AG23" s="94">
        <f t="shared" si="66"/>
        <v>71</v>
      </c>
      <c r="AH23" s="56">
        <f t="shared" si="13"/>
        <v>0</v>
      </c>
      <c r="AI23" s="93">
        <v>16</v>
      </c>
      <c r="AJ23" s="93">
        <f t="shared" si="67"/>
        <v>0</v>
      </c>
      <c r="AK23" s="95">
        <f t="shared" si="35"/>
        <v>1</v>
      </c>
      <c r="AL23" s="58">
        <f t="shared" si="36"/>
        <v>16</v>
      </c>
      <c r="AM23" s="55">
        <f t="shared" si="68"/>
        <v>55</v>
      </c>
      <c r="AN23" s="93"/>
      <c r="AO23" s="96"/>
      <c r="AP23" s="96">
        <f>$CJ23</f>
        <v>8189</v>
      </c>
      <c r="AQ23" s="96"/>
      <c r="AR23" s="96"/>
      <c r="AS23" s="96"/>
      <c r="AT23" s="96"/>
      <c r="AU23" s="96">
        <f t="shared" si="37"/>
        <v>0</v>
      </c>
      <c r="AV23" s="96">
        <f t="shared" si="37"/>
        <v>0</v>
      </c>
      <c r="AW23" s="96">
        <f t="shared" si="38"/>
        <v>8189</v>
      </c>
      <c r="AX23" s="96">
        <f t="shared" si="39"/>
        <v>2021</v>
      </c>
      <c r="AY23" s="94">
        <f t="shared" si="69"/>
        <v>-170.19999999999891</v>
      </c>
      <c r="AZ23" s="94">
        <f t="shared" si="40"/>
        <v>-42.024691358024427</v>
      </c>
      <c r="BA23" s="94">
        <f t="shared" si="41"/>
        <v>55</v>
      </c>
      <c r="BB23" s="97">
        <f t="shared" si="42"/>
        <v>0</v>
      </c>
      <c r="BC23" s="93">
        <v>13</v>
      </c>
      <c r="BD23" s="93">
        <f t="shared" si="43"/>
        <v>0</v>
      </c>
      <c r="BE23" s="95">
        <f>IF(AA23="","",IF(BD23=0,1,BD23/$V23/$E23))</f>
        <v>1</v>
      </c>
      <c r="BF23" s="58">
        <f t="shared" si="45"/>
        <v>13</v>
      </c>
      <c r="BG23" s="94">
        <f t="shared" si="46"/>
        <v>42</v>
      </c>
      <c r="BH23" s="89"/>
      <c r="BI23" s="89"/>
      <c r="BJ23" s="92">
        <f>$CN23</f>
        <v>6103</v>
      </c>
      <c r="BK23" s="89"/>
      <c r="BL23" s="89"/>
      <c r="BM23" s="89"/>
      <c r="BN23" s="89"/>
      <c r="BO23" s="92">
        <f t="shared" si="70"/>
        <v>749</v>
      </c>
      <c r="BP23" s="92">
        <f t="shared" si="70"/>
        <v>400</v>
      </c>
      <c r="BQ23" s="96">
        <f t="shared" si="47"/>
        <v>7252</v>
      </c>
      <c r="BR23" s="96">
        <f t="shared" si="48"/>
        <v>1790</v>
      </c>
      <c r="BS23" s="96">
        <f t="shared" si="71"/>
        <v>460.15000000000055</v>
      </c>
      <c r="BT23" s="96">
        <f t="shared" si="49"/>
        <v>113.61728395061742</v>
      </c>
      <c r="BU23" s="92">
        <f t="shared" si="16"/>
        <v>3712</v>
      </c>
      <c r="BV23" s="98">
        <f t="shared" si="17"/>
        <v>29</v>
      </c>
      <c r="BW23" s="92">
        <f t="shared" si="18"/>
        <v>71.592592592592993</v>
      </c>
      <c r="BX23" s="98">
        <f t="shared" si="50"/>
        <v>58</v>
      </c>
      <c r="BY23" s="61">
        <f t="shared" si="73"/>
        <v>29</v>
      </c>
      <c r="BZ23" s="62">
        <f t="shared" si="51"/>
        <v>29</v>
      </c>
      <c r="CA23" s="98">
        <f t="shared" si="52"/>
        <v>15.441000000000001</v>
      </c>
      <c r="CB23" s="92">
        <f t="shared" si="19"/>
        <v>3811</v>
      </c>
      <c r="CC23" s="92">
        <f t="shared" si="19"/>
        <v>289.95000000000164</v>
      </c>
      <c r="CD23" s="92">
        <f t="shared" si="19"/>
        <v>71.592592592592993</v>
      </c>
      <c r="CE23" s="99"/>
      <c r="CF23" s="99"/>
      <c r="CG23" s="51">
        <f t="shared" si="53"/>
        <v>42.958999999999996</v>
      </c>
      <c r="CH23" s="62">
        <f t="shared" si="54"/>
        <v>42.958999999999996</v>
      </c>
      <c r="CI23" s="89"/>
      <c r="CJ23" s="89">
        <v>8189</v>
      </c>
      <c r="CK23" s="89"/>
      <c r="CL23" s="96"/>
      <c r="CM23" s="89"/>
      <c r="CN23" s="89">
        <v>6103</v>
      </c>
      <c r="CO23" s="92">
        <v>749</v>
      </c>
      <c r="CP23" s="101">
        <v>400</v>
      </c>
      <c r="CQ23" s="102">
        <f t="shared" si="55"/>
        <v>2021</v>
      </c>
      <c r="CR23" s="102">
        <f t="shared" si="20"/>
        <v>0</v>
      </c>
      <c r="CS23" s="102">
        <f t="shared" si="20"/>
        <v>0</v>
      </c>
      <c r="CT23" s="92">
        <f t="shared" si="56"/>
        <v>1507</v>
      </c>
      <c r="CU23" s="92">
        <f t="shared" si="57"/>
        <v>184</v>
      </c>
      <c r="CV23" s="103">
        <f t="shared" si="57"/>
        <v>98</v>
      </c>
      <c r="CW23" s="104"/>
      <c r="CX23" s="105">
        <v>17</v>
      </c>
      <c r="CY23" s="106">
        <f t="shared" si="58"/>
        <v>2188</v>
      </c>
      <c r="CZ23" s="106">
        <f t="shared" si="59"/>
        <v>137.70000000000002</v>
      </c>
      <c r="DA23" s="106"/>
      <c r="DB23" s="106"/>
      <c r="DC23" s="105"/>
      <c r="DD23" s="107"/>
      <c r="DE23" s="92">
        <f t="shared" si="21"/>
        <v>2021</v>
      </c>
      <c r="DF23" s="108">
        <f t="shared" si="22"/>
        <v>16</v>
      </c>
      <c r="DG23" s="112">
        <f t="shared" si="23"/>
        <v>-42.024691358024427</v>
      </c>
      <c r="DH23" s="110">
        <f t="shared" si="24"/>
        <v>1691</v>
      </c>
      <c r="DI23" s="108">
        <f t="shared" si="25"/>
        <v>13</v>
      </c>
      <c r="DJ23" s="112">
        <f t="shared" si="26"/>
        <v>113.61728395061742</v>
      </c>
      <c r="DK23" s="110">
        <f t="shared" si="27"/>
        <v>3712</v>
      </c>
      <c r="DL23" s="108">
        <f t="shared" si="27"/>
        <v>29</v>
      </c>
      <c r="DM23" s="111">
        <f t="shared" si="27"/>
        <v>71.592592592592993</v>
      </c>
      <c r="DN23" s="76">
        <v>42</v>
      </c>
      <c r="DO23" s="76"/>
      <c r="DP23" s="112"/>
      <c r="DQ23" s="112"/>
      <c r="DR23" s="113" t="s">
        <v>426</v>
      </c>
      <c r="DS23" s="112"/>
      <c r="DT23" s="112"/>
      <c r="DU23" s="111"/>
      <c r="DV23" s="114"/>
      <c r="DW23" s="80">
        <f t="shared" ref="DW23:DW25" si="85">IFERROR(AL23+BF23,"")</f>
        <v>29</v>
      </c>
      <c r="DX23" s="81">
        <f t="shared" si="28"/>
        <v>3812.5925925925931</v>
      </c>
      <c r="DY23" s="80">
        <f t="shared" si="62"/>
        <v>3810</v>
      </c>
      <c r="DZ23" s="82">
        <f t="shared" si="63"/>
        <v>0.39689999999999998</v>
      </c>
      <c r="EA23" s="82">
        <f t="shared" si="64"/>
        <v>15.033599999999998</v>
      </c>
      <c r="EB23" s="82">
        <f t="shared" si="65"/>
        <v>42.9664</v>
      </c>
      <c r="EC23" s="82">
        <f>(BX23-CA23)+((AV23+BP23)/1000)</f>
        <v>42.958999999999996</v>
      </c>
      <c r="EF23" s="83">
        <f t="shared" si="82"/>
        <v>71.592592592592993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0"/>
        <v>GWA6063-T5-T18.15x8.6x3-H9A15</v>
      </c>
      <c r="H24" s="46" t="str">
        <f t="shared" si="31"/>
        <v>A6063-T5GW18.158.6TH9</v>
      </c>
      <c r="I24" s="46" t="str">
        <f t="shared" si="32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3"/>
        <v>14</v>
      </c>
      <c r="T24" s="51">
        <f>'06.02'!BG24</f>
        <v>33</v>
      </c>
      <c r="U24" s="92"/>
      <c r="V24" s="89">
        <v>9.9</v>
      </c>
      <c r="W24" s="93">
        <f t="shared" si="5"/>
        <v>0</v>
      </c>
      <c r="X24" s="93">
        <f t="shared" si="6"/>
        <v>309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0</v>
      </c>
      <c r="AE24" s="93">
        <f t="shared" si="34"/>
        <v>309</v>
      </c>
      <c r="AF24" s="54">
        <f>AE24+'06.02'!AF24</f>
        <v>3510</v>
      </c>
      <c r="AG24" s="94">
        <f t="shared" si="66"/>
        <v>33</v>
      </c>
      <c r="AH24" s="56">
        <f t="shared" si="13"/>
        <v>0</v>
      </c>
      <c r="AI24" s="93">
        <v>4</v>
      </c>
      <c r="AJ24" s="93">
        <f t="shared" si="67"/>
        <v>0</v>
      </c>
      <c r="AK24" s="95">
        <f t="shared" si="35"/>
        <v>1</v>
      </c>
      <c r="AL24" s="58">
        <f t="shared" si="36"/>
        <v>4</v>
      </c>
      <c r="AM24" s="55">
        <f t="shared" si="68"/>
        <v>29</v>
      </c>
      <c r="AN24" s="93"/>
      <c r="AO24" s="96"/>
      <c r="AP24" s="96">
        <f>$CJ24</f>
        <v>3059.1</v>
      </c>
      <c r="AQ24" s="96"/>
      <c r="AR24" s="96"/>
      <c r="AS24" s="96"/>
      <c r="AT24" s="96"/>
      <c r="AU24" s="96">
        <f t="shared" si="37"/>
        <v>0</v>
      </c>
      <c r="AV24" s="96">
        <f t="shared" si="37"/>
        <v>0</v>
      </c>
      <c r="AW24" s="96">
        <f t="shared" si="38"/>
        <v>3059.1</v>
      </c>
      <c r="AX24" s="96">
        <f t="shared" si="39"/>
        <v>309</v>
      </c>
      <c r="AY24" s="94">
        <f t="shared" si="69"/>
        <v>366.29999999999973</v>
      </c>
      <c r="AZ24" s="94">
        <f t="shared" si="40"/>
        <v>36.999999999999972</v>
      </c>
      <c r="BA24" s="94">
        <f t="shared" si="41"/>
        <v>29</v>
      </c>
      <c r="BB24" s="97">
        <f t="shared" si="42"/>
        <v>0</v>
      </c>
      <c r="BC24" s="93"/>
      <c r="BD24" s="93">
        <f t="shared" si="43"/>
        <v>0</v>
      </c>
      <c r="BE24" s="95">
        <f t="shared" si="44"/>
        <v>1</v>
      </c>
      <c r="BF24" s="58">
        <f t="shared" si="45"/>
        <v>0</v>
      </c>
      <c r="BG24" s="94">
        <f t="shared" si="46"/>
        <v>29</v>
      </c>
      <c r="BH24" s="89"/>
      <c r="BI24" s="89"/>
      <c r="BJ24" s="92">
        <f>$CN24</f>
        <v>0</v>
      </c>
      <c r="BK24" s="89"/>
      <c r="BL24" s="89"/>
      <c r="BM24" s="89"/>
      <c r="BN24" s="89"/>
      <c r="BO24" s="92">
        <f t="shared" si="70"/>
        <v>0</v>
      </c>
      <c r="BP24" s="92">
        <f t="shared" si="70"/>
        <v>0</v>
      </c>
      <c r="BQ24" s="96">
        <f t="shared" si="47"/>
        <v>0</v>
      </c>
      <c r="BR24" s="96">
        <f t="shared" si="48"/>
        <v>0</v>
      </c>
      <c r="BS24" s="96">
        <f t="shared" si="71"/>
        <v>0</v>
      </c>
      <c r="BT24" s="96">
        <f t="shared" si="49"/>
        <v>0</v>
      </c>
      <c r="BU24" s="92">
        <f t="shared" si="16"/>
        <v>309</v>
      </c>
      <c r="BV24" s="98">
        <f t="shared" si="17"/>
        <v>4</v>
      </c>
      <c r="BW24" s="92">
        <f t="shared" si="18"/>
        <v>36.999999999999972</v>
      </c>
      <c r="BX24" s="98">
        <f t="shared" si="50"/>
        <v>6.5640000000000001</v>
      </c>
      <c r="BY24" s="61">
        <f t="shared" si="73"/>
        <v>4</v>
      </c>
      <c r="BZ24" s="62">
        <f t="shared" si="51"/>
        <v>4</v>
      </c>
      <c r="CA24" s="98">
        <f t="shared" si="52"/>
        <v>3.0590999999999999</v>
      </c>
      <c r="CB24" s="92">
        <f t="shared" si="19"/>
        <v>309</v>
      </c>
      <c r="CC24" s="92">
        <f t="shared" si="19"/>
        <v>366.29999999999973</v>
      </c>
      <c r="CD24" s="92">
        <f t="shared" si="19"/>
        <v>36.999999999999972</v>
      </c>
      <c r="CE24" s="99"/>
      <c r="CF24" s="99"/>
      <c r="CG24" s="51">
        <f t="shared" si="53"/>
        <v>3.5049000000000001</v>
      </c>
      <c r="CH24" s="62">
        <f t="shared" si="54"/>
        <v>3.5049000000000001</v>
      </c>
      <c r="CI24" s="89"/>
      <c r="CJ24" s="89">
        <f>309*9.9</f>
        <v>3059.1</v>
      </c>
      <c r="CK24" s="89"/>
      <c r="CL24" s="96"/>
      <c r="CM24" s="89"/>
      <c r="CN24" s="89"/>
      <c r="CO24" s="92"/>
      <c r="CP24" s="101"/>
      <c r="CQ24" s="102">
        <f t="shared" si="55"/>
        <v>309</v>
      </c>
      <c r="CR24" s="102">
        <f t="shared" si="55"/>
        <v>0</v>
      </c>
      <c r="CS24" s="102">
        <f t="shared" si="55"/>
        <v>0</v>
      </c>
      <c r="CT24" s="92">
        <f t="shared" si="56"/>
        <v>0</v>
      </c>
      <c r="CU24" s="92">
        <f t="shared" si="57"/>
        <v>0</v>
      </c>
      <c r="CV24" s="103">
        <f t="shared" si="57"/>
        <v>0</v>
      </c>
      <c r="CW24" s="104"/>
      <c r="CX24" s="105">
        <v>80.33</v>
      </c>
      <c r="CY24" s="106">
        <f t="shared" si="58"/>
        <v>507</v>
      </c>
      <c r="CZ24" s="106">
        <f t="shared" si="59"/>
        <v>650.673</v>
      </c>
      <c r="DA24" s="106"/>
      <c r="DB24" s="106"/>
      <c r="DC24" s="105"/>
      <c r="DD24" s="107"/>
      <c r="DE24" s="92">
        <f t="shared" si="21"/>
        <v>309</v>
      </c>
      <c r="DF24" s="108">
        <f t="shared" si="22"/>
        <v>4</v>
      </c>
      <c r="DG24" s="112">
        <f t="shared" si="23"/>
        <v>36.999999999999972</v>
      </c>
      <c r="DH24" s="110">
        <f t="shared" si="24"/>
        <v>0</v>
      </c>
      <c r="DI24" s="108">
        <f t="shared" si="25"/>
        <v>0</v>
      </c>
      <c r="DJ24" s="112">
        <f t="shared" si="26"/>
        <v>0</v>
      </c>
      <c r="DK24" s="110">
        <f t="shared" ref="DK24:DM87" si="86">IFERROR(DE24+DH24,"")</f>
        <v>309</v>
      </c>
      <c r="DL24" s="108">
        <f t="shared" si="86"/>
        <v>4</v>
      </c>
      <c r="DM24" s="111">
        <f t="shared" si="86"/>
        <v>36.999999999999972</v>
      </c>
      <c r="DN24" s="76">
        <v>30</v>
      </c>
      <c r="DO24" s="76"/>
      <c r="DP24" s="112"/>
      <c r="DQ24" s="112"/>
      <c r="DR24" s="113" t="s">
        <v>427</v>
      </c>
      <c r="DS24" s="112"/>
      <c r="DT24" s="112"/>
      <c r="DU24" s="111"/>
      <c r="DV24" s="114"/>
      <c r="DW24" s="80">
        <f t="shared" si="85"/>
        <v>4</v>
      </c>
      <c r="DX24" s="81">
        <f t="shared" si="28"/>
        <v>350</v>
      </c>
      <c r="DY24" s="80">
        <f t="shared" si="62"/>
        <v>309</v>
      </c>
      <c r="DZ24" s="82">
        <f t="shared" si="63"/>
        <v>0</v>
      </c>
      <c r="EA24" s="82">
        <f t="shared" si="64"/>
        <v>3.0590999999999999</v>
      </c>
      <c r="EB24" s="82">
        <f t="shared" si="65"/>
        <v>3.5049000000000001</v>
      </c>
      <c r="EC24" s="82">
        <f t="shared" si="75"/>
        <v>3.5049000000000001</v>
      </c>
      <c r="EF24" s="83">
        <f t="shared" si="82"/>
        <v>36.999999999999972</v>
      </c>
    </row>
    <row r="25" spans="1:136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0"/>
        <v>GWA6063-T5-17x3-H9B15</v>
      </c>
      <c r="H25" s="46" t="str">
        <f t="shared" si="31"/>
        <v>A6063-T5GW170DH9</v>
      </c>
      <c r="I25" s="46" t="str">
        <f t="shared" si="32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3"/>
        <v>16</v>
      </c>
      <c r="T25" s="51">
        <f>'06.02'!BG25</f>
        <v>20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4"/>
        <v>0</v>
      </c>
      <c r="AF25" s="54">
        <f>AE25+'06.02'!AF25</f>
        <v>0</v>
      </c>
      <c r="AG25" s="94">
        <f t="shared" si="66"/>
        <v>20</v>
      </c>
      <c r="AH25" s="56">
        <f t="shared" si="13"/>
        <v>0</v>
      </c>
      <c r="AI25" s="93"/>
      <c r="AJ25" s="93">
        <f t="shared" si="67"/>
        <v>0</v>
      </c>
      <c r="AK25" s="95">
        <f t="shared" si="35"/>
        <v>1</v>
      </c>
      <c r="AL25" s="58">
        <f t="shared" si="36"/>
        <v>0</v>
      </c>
      <c r="AM25" s="55">
        <f t="shared" si="68"/>
        <v>20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7"/>
        <v>0</v>
      </c>
      <c r="AV25" s="96">
        <f t="shared" si="37"/>
        <v>0</v>
      </c>
      <c r="AW25" s="96">
        <f t="shared" si="38"/>
        <v>0</v>
      </c>
      <c r="AX25" s="96">
        <f t="shared" si="39"/>
        <v>0</v>
      </c>
      <c r="AY25" s="94">
        <f t="shared" si="69"/>
        <v>0</v>
      </c>
      <c r="AZ25" s="94">
        <f t="shared" si="40"/>
        <v>0</v>
      </c>
      <c r="BA25" s="94">
        <f t="shared" si="41"/>
        <v>20</v>
      </c>
      <c r="BB25" s="97">
        <f t="shared" si="42"/>
        <v>0</v>
      </c>
      <c r="BC25" s="93"/>
      <c r="BD25" s="93">
        <f t="shared" si="43"/>
        <v>0</v>
      </c>
      <c r="BE25" s="95">
        <f t="shared" si="44"/>
        <v>1</v>
      </c>
      <c r="BF25" s="58">
        <f t="shared" si="45"/>
        <v>0</v>
      </c>
      <c r="BG25" s="94">
        <f t="shared" si="46"/>
        <v>20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0"/>
        <v>0</v>
      </c>
      <c r="BP25" s="92">
        <f t="shared" si="70"/>
        <v>0</v>
      </c>
      <c r="BQ25" s="96">
        <f t="shared" si="47"/>
        <v>0</v>
      </c>
      <c r="BR25" s="96">
        <f t="shared" si="48"/>
        <v>0</v>
      </c>
      <c r="BS25" s="96">
        <f t="shared" si="71"/>
        <v>0</v>
      </c>
      <c r="BT25" s="96">
        <f t="shared" si="49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0"/>
        <v>0</v>
      </c>
      <c r="BY25" s="61">
        <f t="shared" si="73"/>
        <v>0</v>
      </c>
      <c r="BZ25" s="62">
        <f t="shared" si="51"/>
        <v>0</v>
      </c>
      <c r="CA25" s="98">
        <f t="shared" si="52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3"/>
        <v>0</v>
      </c>
      <c r="CH25" s="62">
        <f t="shared" si="54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7">INT(IFERROR( CJ25/$V25,0))</f>
        <v>0</v>
      </c>
      <c r="CR25" s="102">
        <f t="shared" si="87"/>
        <v>0</v>
      </c>
      <c r="CS25" s="102">
        <f t="shared" si="87"/>
        <v>0</v>
      </c>
      <c r="CT25" s="92">
        <f t="shared" si="56"/>
        <v>0</v>
      </c>
      <c r="CU25" s="92">
        <f t="shared" ref="CU25:CV40" si="88">INT(IFERROR( AC25-CR25,0))</f>
        <v>0</v>
      </c>
      <c r="CV25" s="103">
        <f t="shared" si="88"/>
        <v>0</v>
      </c>
      <c r="CW25" s="104"/>
      <c r="CX25" s="105">
        <v>69.16</v>
      </c>
      <c r="CY25" s="106">
        <f t="shared" si="58"/>
        <v>585</v>
      </c>
      <c r="CZ25" s="106">
        <f t="shared" si="59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6"/>
        <v>0</v>
      </c>
      <c r="DL25" s="108">
        <f t="shared" si="86"/>
        <v>0</v>
      </c>
      <c r="DM25" s="111">
        <f t="shared" si="86"/>
        <v>0</v>
      </c>
      <c r="DN25" s="76">
        <v>20</v>
      </c>
      <c r="DO25" s="76"/>
      <c r="DP25" s="112"/>
      <c r="DQ25" s="112"/>
      <c r="DR25" s="113" t="s">
        <v>428</v>
      </c>
      <c r="DS25" s="112"/>
      <c r="DT25" s="112"/>
      <c r="DU25" s="111"/>
      <c r="DV25" s="114"/>
      <c r="DW25" s="80">
        <f t="shared" si="85"/>
        <v>0</v>
      </c>
      <c r="DX25" s="81">
        <f t="shared" si="28"/>
        <v>0</v>
      </c>
      <c r="DY25" s="80">
        <f t="shared" si="62"/>
        <v>0</v>
      </c>
      <c r="DZ25" s="82">
        <f t="shared" si="63"/>
        <v>0</v>
      </c>
      <c r="EA25" s="82">
        <f t="shared" si="64"/>
        <v>0</v>
      </c>
      <c r="EB25" s="82">
        <f t="shared" si="65"/>
        <v>0</v>
      </c>
      <c r="EC25" s="82">
        <f>(BX25-CA25)+((AV25+BP25)/1000)</f>
        <v>0</v>
      </c>
      <c r="EF25" s="83">
        <f t="shared" si="82"/>
        <v>0</v>
      </c>
    </row>
    <row r="26" spans="1:136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0"/>
        <v>-xx-</v>
      </c>
      <c r="H26" s="46" t="str">
        <f t="shared" si="31"/>
        <v/>
      </c>
      <c r="I26" s="46" t="str">
        <f t="shared" si="32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3"/>
        <v>#DIV/0!</v>
      </c>
      <c r="T26" s="51">
        <f>'05.02'!BG26</f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4"/>
        <v>0</v>
      </c>
      <c r="AF26" s="54">
        <f>AE26+'06.02'!AF26</f>
        <v>0</v>
      </c>
      <c r="AG26" s="94">
        <f t="shared" si="66"/>
        <v>0</v>
      </c>
      <c r="AH26" s="56">
        <f t="shared" si="13"/>
        <v>0</v>
      </c>
      <c r="AI26" s="93"/>
      <c r="AJ26" s="93">
        <f t="shared" si="67"/>
        <v>0</v>
      </c>
      <c r="AK26" s="95">
        <f t="shared" si="35"/>
        <v>1</v>
      </c>
      <c r="AL26" s="58">
        <f t="shared" si="36"/>
        <v>0</v>
      </c>
      <c r="AM26" s="55">
        <f t="shared" si="68"/>
        <v>0</v>
      </c>
      <c r="AN26" s="93"/>
      <c r="AO26" s="96"/>
      <c r="AP26" s="96"/>
      <c r="AQ26" s="96"/>
      <c r="AR26" s="96"/>
      <c r="AS26" s="96"/>
      <c r="AT26" s="96"/>
      <c r="AU26" s="96">
        <f t="shared" si="37"/>
        <v>0</v>
      </c>
      <c r="AV26" s="96">
        <f t="shared" si="37"/>
        <v>0</v>
      </c>
      <c r="AW26" s="96">
        <f t="shared" si="38"/>
        <v>0</v>
      </c>
      <c r="AX26" s="96">
        <f t="shared" si="39"/>
        <v>0</v>
      </c>
      <c r="AY26" s="94">
        <f t="shared" si="69"/>
        <v>0</v>
      </c>
      <c r="AZ26" s="94">
        <f t="shared" si="40"/>
        <v>0</v>
      </c>
      <c r="BA26" s="94">
        <f t="shared" si="41"/>
        <v>0</v>
      </c>
      <c r="BB26" s="97">
        <f t="shared" si="42"/>
        <v>0</v>
      </c>
      <c r="BC26" s="93"/>
      <c r="BD26" s="93">
        <f t="shared" si="43"/>
        <v>0</v>
      </c>
      <c r="BE26" s="95">
        <f t="shared" si="44"/>
        <v>1</v>
      </c>
      <c r="BF26" s="58">
        <f t="shared" si="45"/>
        <v>0</v>
      </c>
      <c r="BG26" s="94">
        <f t="shared" si="46"/>
        <v>0</v>
      </c>
      <c r="BH26" s="89"/>
      <c r="BI26" s="89"/>
      <c r="BJ26" s="89"/>
      <c r="BK26" s="89"/>
      <c r="BL26" s="89"/>
      <c r="BM26" s="89"/>
      <c r="BN26" s="89"/>
      <c r="BO26" s="92">
        <f t="shared" si="70"/>
        <v>0</v>
      </c>
      <c r="BP26" s="92">
        <f t="shared" si="70"/>
        <v>0</v>
      </c>
      <c r="BQ26" s="96">
        <f t="shared" si="47"/>
        <v>0</v>
      </c>
      <c r="BR26" s="96">
        <f t="shared" si="48"/>
        <v>0</v>
      </c>
      <c r="BS26" s="96">
        <f t="shared" si="71"/>
        <v>0</v>
      </c>
      <c r="BT26" s="96">
        <f t="shared" si="49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0"/>
        <v/>
      </c>
      <c r="BY26" s="61">
        <f t="shared" si="73"/>
        <v>0</v>
      </c>
      <c r="BZ26" s="62">
        <f t="shared" si="51"/>
        <v>0</v>
      </c>
      <c r="CA26" s="98">
        <f t="shared" si="52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3"/>
        <v>0</v>
      </c>
      <c r="CH26" s="62">
        <f t="shared" si="54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7"/>
        <v>0</v>
      </c>
      <c r="CR26" s="102">
        <f t="shared" si="87"/>
        <v>0</v>
      </c>
      <c r="CS26" s="102">
        <f t="shared" si="87"/>
        <v>0</v>
      </c>
      <c r="CT26" s="92">
        <f t="shared" si="56"/>
        <v>0</v>
      </c>
      <c r="CU26" s="92">
        <f t="shared" si="88"/>
        <v>0</v>
      </c>
      <c r="CV26" s="103">
        <f t="shared" si="88"/>
        <v>0</v>
      </c>
      <c r="CW26" s="104"/>
      <c r="CX26" s="105"/>
      <c r="CY26" s="106" t="e">
        <f t="shared" si="58"/>
        <v>#DIV/0!</v>
      </c>
      <c r="CZ26" s="106">
        <f t="shared" si="59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6"/>
        <v>0</v>
      </c>
      <c r="DL26" s="108">
        <f t="shared" si="86"/>
        <v>0</v>
      </c>
      <c r="DM26" s="111">
        <f t="shared" si="86"/>
        <v>0</v>
      </c>
      <c r="DN26" s="76">
        <f t="shared" ref="DN26:DO89" si="89">T26</f>
        <v>0</v>
      </c>
      <c r="DO26" s="76">
        <f t="shared" si="89"/>
        <v>0</v>
      </c>
      <c r="DP26" s="112"/>
      <c r="DQ26" s="112"/>
      <c r="DR26" s="113"/>
      <c r="DS26" s="112"/>
      <c r="DT26" s="112"/>
      <c r="DU26" s="111"/>
      <c r="DV26" s="114"/>
      <c r="DW26" s="80">
        <f t="shared" si="61"/>
        <v>0</v>
      </c>
      <c r="DX26" s="81">
        <f t="shared" si="28"/>
        <v>0</v>
      </c>
      <c r="DY26" s="80">
        <f t="shared" si="62"/>
        <v>0</v>
      </c>
      <c r="DZ26" s="82">
        <f t="shared" si="63"/>
        <v>0</v>
      </c>
      <c r="EA26" s="82">
        <f t="shared" si="64"/>
        <v>0</v>
      </c>
      <c r="EB26" s="82" t="e">
        <f t="shared" si="65"/>
        <v>#VALUE!</v>
      </c>
      <c r="EC26" s="82" t="e">
        <f t="shared" si="75"/>
        <v>#VALUE!</v>
      </c>
    </row>
    <row r="27" spans="1:136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0"/>
        <v>TVSUJ2-8.1x3-H9C13</v>
      </c>
      <c r="H27" s="46" t="str">
        <f t="shared" si="31"/>
        <v>SUJ2TV8.10DH9</v>
      </c>
      <c r="I27" s="46" t="str">
        <f t="shared" si="32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3"/>
        <v>52</v>
      </c>
      <c r="T27" s="51">
        <f>'05.02'!BG27</f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4"/>
        <v>0</v>
      </c>
      <c r="AF27" s="54">
        <f>AE27+'06.02'!AF27</f>
        <v>0</v>
      </c>
      <c r="AG27" s="94">
        <f t="shared" si="66"/>
        <v>0</v>
      </c>
      <c r="AH27" s="56">
        <f t="shared" si="13"/>
        <v>0</v>
      </c>
      <c r="AI27" s="93"/>
      <c r="AJ27" s="93">
        <f t="shared" si="67"/>
        <v>0</v>
      </c>
      <c r="AK27" s="95">
        <f t="shared" si="35"/>
        <v>1</v>
      </c>
      <c r="AL27" s="58">
        <f t="shared" si="36"/>
        <v>0</v>
      </c>
      <c r="AM27" s="55">
        <f t="shared" si="68"/>
        <v>0</v>
      </c>
      <c r="AN27" s="93"/>
      <c r="AO27" s="96"/>
      <c r="AP27" s="96">
        <f t="shared" ref="AP27:AP33" si="90">$CJ27</f>
        <v>0</v>
      </c>
      <c r="AQ27" s="96"/>
      <c r="AR27" s="96"/>
      <c r="AS27" s="96"/>
      <c r="AT27" s="96"/>
      <c r="AU27" s="96">
        <f t="shared" si="37"/>
        <v>0</v>
      </c>
      <c r="AV27" s="96">
        <f t="shared" si="37"/>
        <v>0</v>
      </c>
      <c r="AW27" s="96">
        <f t="shared" si="38"/>
        <v>0</v>
      </c>
      <c r="AX27" s="96">
        <f t="shared" si="39"/>
        <v>0</v>
      </c>
      <c r="AY27" s="94">
        <f t="shared" si="69"/>
        <v>0</v>
      </c>
      <c r="AZ27" s="94">
        <f t="shared" si="40"/>
        <v>0</v>
      </c>
      <c r="BA27" s="94">
        <f t="shared" si="41"/>
        <v>0</v>
      </c>
      <c r="BB27" s="97">
        <f t="shared" si="42"/>
        <v>0</v>
      </c>
      <c r="BC27" s="93"/>
      <c r="BD27" s="93">
        <f t="shared" si="43"/>
        <v>0</v>
      </c>
      <c r="BE27" s="95">
        <f t="shared" si="44"/>
        <v>1</v>
      </c>
      <c r="BF27" s="58">
        <f t="shared" si="45"/>
        <v>0</v>
      </c>
      <c r="BG27" s="94">
        <f t="shared" si="46"/>
        <v>0</v>
      </c>
      <c r="BH27" s="89"/>
      <c r="BI27" s="89"/>
      <c r="BJ27" s="92">
        <f t="shared" ref="BJ27:BJ33" si="91">$CN27</f>
        <v>0</v>
      </c>
      <c r="BK27" s="89"/>
      <c r="BL27" s="89"/>
      <c r="BM27" s="89"/>
      <c r="BN27" s="89"/>
      <c r="BO27" s="92">
        <f t="shared" si="70"/>
        <v>0</v>
      </c>
      <c r="BP27" s="92">
        <f t="shared" si="70"/>
        <v>0</v>
      </c>
      <c r="BQ27" s="96">
        <f t="shared" si="47"/>
        <v>0</v>
      </c>
      <c r="BR27" s="96">
        <f t="shared" si="48"/>
        <v>0</v>
      </c>
      <c r="BS27" s="96">
        <f t="shared" si="71"/>
        <v>0</v>
      </c>
      <c r="BT27" s="96">
        <f t="shared" si="49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0"/>
        <v>0</v>
      </c>
      <c r="BY27" s="61">
        <f t="shared" si="73"/>
        <v>0</v>
      </c>
      <c r="BZ27" s="62">
        <f t="shared" si="51"/>
        <v>0</v>
      </c>
      <c r="CA27" s="98">
        <f t="shared" si="52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3"/>
        <v>0</v>
      </c>
      <c r="CH27" s="62">
        <f t="shared" si="54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7"/>
        <v>0</v>
      </c>
      <c r="CR27" s="102">
        <f t="shared" si="87"/>
        <v>0</v>
      </c>
      <c r="CS27" s="102">
        <f t="shared" si="87"/>
        <v>0</v>
      </c>
      <c r="CT27" s="92">
        <f t="shared" si="56"/>
        <v>0</v>
      </c>
      <c r="CU27" s="92">
        <f t="shared" si="88"/>
        <v>0</v>
      </c>
      <c r="CV27" s="103">
        <f t="shared" si="88"/>
        <v>0</v>
      </c>
      <c r="CW27" s="104"/>
      <c r="CX27" s="105">
        <v>17</v>
      </c>
      <c r="CY27" s="106">
        <f t="shared" si="58"/>
        <v>1941</v>
      </c>
      <c r="CZ27" s="106">
        <f t="shared" si="59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6"/>
        <v>0</v>
      </c>
      <c r="DL27" s="108">
        <f t="shared" si="86"/>
        <v>0</v>
      </c>
      <c r="DM27" s="111">
        <f t="shared" si="86"/>
        <v>0</v>
      </c>
      <c r="DN27" s="76">
        <f t="shared" si="89"/>
        <v>0</v>
      </c>
      <c r="DO27" s="76">
        <f t="shared" si="89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1"/>
        <v>0</v>
      </c>
      <c r="DX27" s="81">
        <f t="shared" si="28"/>
        <v>0</v>
      </c>
      <c r="DY27" s="80">
        <f t="shared" si="62"/>
        <v>0</v>
      </c>
      <c r="DZ27" s="82">
        <f t="shared" si="63"/>
        <v>0</v>
      </c>
      <c r="EA27" s="82">
        <f t="shared" si="64"/>
        <v>0</v>
      </c>
      <c r="EB27" s="82">
        <f t="shared" si="65"/>
        <v>0</v>
      </c>
      <c r="EC27" s="82">
        <f t="shared" si="75"/>
        <v>0</v>
      </c>
      <c r="EF27" s="83">
        <f t="shared" ref="EF27:EF58" si="92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0"/>
        <v>GWA6063-T5-T18.15x8.6x3-H9A15</v>
      </c>
      <c r="H28" s="46" t="str">
        <f t="shared" si="31"/>
        <v>A6063-T5GW18.158.6TH9</v>
      </c>
      <c r="I28" s="46" t="str">
        <f t="shared" si="32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3"/>
        <v>18</v>
      </c>
      <c r="T28" s="51">
        <f>'06.02'!BG28</f>
        <v>31</v>
      </c>
      <c r="U28" s="92"/>
      <c r="V28" s="89">
        <v>7.7</v>
      </c>
      <c r="W28" s="93">
        <f t="shared" si="5"/>
        <v>0</v>
      </c>
      <c r="X28" s="93">
        <f t="shared" si="6"/>
        <v>998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0</v>
      </c>
      <c r="AE28" s="93">
        <f t="shared" si="34"/>
        <v>998</v>
      </c>
      <c r="AF28" s="54">
        <f>AE28+'06.02'!AF28</f>
        <v>7124</v>
      </c>
      <c r="AG28" s="94">
        <f t="shared" si="66"/>
        <v>31</v>
      </c>
      <c r="AH28" s="56">
        <f t="shared" si="13"/>
        <v>0</v>
      </c>
      <c r="AI28" s="93">
        <v>5</v>
      </c>
      <c r="AJ28" s="93">
        <f t="shared" si="67"/>
        <v>0</v>
      </c>
      <c r="AK28" s="95">
        <f t="shared" si="35"/>
        <v>1</v>
      </c>
      <c r="AL28" s="58">
        <f t="shared" si="36"/>
        <v>5</v>
      </c>
      <c r="AM28" s="55">
        <f t="shared" si="68"/>
        <v>26</v>
      </c>
      <c r="AN28" s="93"/>
      <c r="AO28" s="96"/>
      <c r="AP28" s="96">
        <f t="shared" si="90"/>
        <v>3526.6</v>
      </c>
      <c r="AQ28" s="96"/>
      <c r="AR28" s="96"/>
      <c r="AS28" s="96"/>
      <c r="AT28" s="96"/>
      <c r="AU28" s="96">
        <f t="shared" si="37"/>
        <v>0</v>
      </c>
      <c r="AV28" s="96">
        <f t="shared" si="37"/>
        <v>0</v>
      </c>
      <c r="AW28" s="96">
        <f t="shared" si="38"/>
        <v>3526.6</v>
      </c>
      <c r="AX28" s="96">
        <f t="shared" si="39"/>
        <v>458</v>
      </c>
      <c r="AY28" s="94">
        <f t="shared" si="69"/>
        <v>23.099999999999909</v>
      </c>
      <c r="AZ28" s="94">
        <f t="shared" si="40"/>
        <v>2.999999999999988</v>
      </c>
      <c r="BA28" s="94">
        <f t="shared" si="41"/>
        <v>26</v>
      </c>
      <c r="BB28" s="97">
        <f t="shared" si="42"/>
        <v>0</v>
      </c>
      <c r="BC28" s="93">
        <v>6</v>
      </c>
      <c r="BD28" s="93">
        <f t="shared" si="43"/>
        <v>0</v>
      </c>
      <c r="BE28" s="95">
        <f t="shared" si="44"/>
        <v>1</v>
      </c>
      <c r="BF28" s="58">
        <f t="shared" si="45"/>
        <v>6</v>
      </c>
      <c r="BG28" s="94">
        <f t="shared" si="46"/>
        <v>20</v>
      </c>
      <c r="BH28" s="89"/>
      <c r="BI28" s="89"/>
      <c r="BJ28" s="92">
        <f t="shared" si="91"/>
        <v>4158</v>
      </c>
      <c r="BK28" s="89"/>
      <c r="BL28" s="89"/>
      <c r="BM28" s="89"/>
      <c r="BN28" s="89"/>
      <c r="BO28" s="92">
        <f t="shared" si="70"/>
        <v>0</v>
      </c>
      <c r="BP28" s="92">
        <f t="shared" si="70"/>
        <v>0</v>
      </c>
      <c r="BQ28" s="96">
        <f t="shared" si="47"/>
        <v>4158</v>
      </c>
      <c r="BR28" s="96">
        <f t="shared" si="48"/>
        <v>540</v>
      </c>
      <c r="BS28" s="96">
        <f t="shared" si="71"/>
        <v>-46.199999999999818</v>
      </c>
      <c r="BT28" s="96">
        <f t="shared" si="49"/>
        <v>-5.999999999999976</v>
      </c>
      <c r="BU28" s="92">
        <f t="shared" si="16"/>
        <v>998</v>
      </c>
      <c r="BV28" s="98">
        <f t="shared" si="17"/>
        <v>11</v>
      </c>
      <c r="BW28" s="92">
        <f t="shared" si="18"/>
        <v>-2.999999999999988</v>
      </c>
      <c r="BX28" s="98">
        <f t="shared" si="50"/>
        <v>18.051000000000002</v>
      </c>
      <c r="BY28" s="61">
        <f t="shared" si="73"/>
        <v>11</v>
      </c>
      <c r="BZ28" s="62">
        <f t="shared" si="51"/>
        <v>11</v>
      </c>
      <c r="CA28" s="98">
        <f t="shared" si="52"/>
        <v>7.6846000000000005</v>
      </c>
      <c r="CB28" s="92">
        <f t="shared" si="19"/>
        <v>998</v>
      </c>
      <c r="CC28" s="92">
        <f t="shared" si="19"/>
        <v>-23.099999999999909</v>
      </c>
      <c r="CD28" s="92">
        <f t="shared" si="19"/>
        <v>-2.999999999999988</v>
      </c>
      <c r="CE28" s="99"/>
      <c r="CF28" s="99"/>
      <c r="CG28" s="51">
        <f t="shared" si="53"/>
        <v>10.366400000000002</v>
      </c>
      <c r="CH28" s="62">
        <f t="shared" si="54"/>
        <v>10.366400000000002</v>
      </c>
      <c r="CI28" s="89"/>
      <c r="CJ28" s="89">
        <f>458*7.7</f>
        <v>3526.6</v>
      </c>
      <c r="CK28" s="89"/>
      <c r="CL28" s="96"/>
      <c r="CM28" s="89"/>
      <c r="CN28" s="89">
        <f>420*9.9</f>
        <v>4158</v>
      </c>
      <c r="CO28" s="92"/>
      <c r="CP28" s="101"/>
      <c r="CQ28" s="102">
        <f t="shared" si="87"/>
        <v>458</v>
      </c>
      <c r="CR28" s="102">
        <f t="shared" si="87"/>
        <v>0</v>
      </c>
      <c r="CS28" s="102">
        <f t="shared" si="87"/>
        <v>0</v>
      </c>
      <c r="CT28" s="92">
        <f t="shared" si="56"/>
        <v>540</v>
      </c>
      <c r="CU28" s="92">
        <f t="shared" si="88"/>
        <v>0</v>
      </c>
      <c r="CV28" s="103">
        <f t="shared" si="88"/>
        <v>0</v>
      </c>
      <c r="CW28" s="104"/>
      <c r="CX28" s="105">
        <v>49.97</v>
      </c>
      <c r="CY28" s="106">
        <f t="shared" si="58"/>
        <v>804</v>
      </c>
      <c r="CZ28" s="106">
        <f t="shared" si="59"/>
        <v>404.75700000000001</v>
      </c>
      <c r="DA28" s="106"/>
      <c r="DB28" s="106"/>
      <c r="DC28" s="105"/>
      <c r="DD28" s="107"/>
      <c r="DE28" s="92">
        <f t="shared" si="21"/>
        <v>458</v>
      </c>
      <c r="DF28" s="108">
        <f t="shared" si="22"/>
        <v>5</v>
      </c>
      <c r="DG28" s="112">
        <f t="shared" si="23"/>
        <v>2.999999999999988</v>
      </c>
      <c r="DH28" s="110">
        <f t="shared" si="24"/>
        <v>540</v>
      </c>
      <c r="DI28" s="108">
        <f t="shared" si="25"/>
        <v>6</v>
      </c>
      <c r="DJ28" s="112">
        <f t="shared" si="26"/>
        <v>-5.999999999999976</v>
      </c>
      <c r="DK28" s="110">
        <f t="shared" si="86"/>
        <v>998</v>
      </c>
      <c r="DL28" s="108">
        <f t="shared" si="86"/>
        <v>11</v>
      </c>
      <c r="DM28" s="111">
        <f t="shared" si="86"/>
        <v>-2.999999999999988</v>
      </c>
      <c r="DN28" s="76">
        <v>20</v>
      </c>
      <c r="DO28" s="76"/>
      <c r="DP28" s="112"/>
      <c r="DQ28" s="112"/>
      <c r="DR28" s="113" t="s">
        <v>429</v>
      </c>
      <c r="DS28" s="112"/>
      <c r="DT28" s="112"/>
      <c r="DU28" s="111"/>
      <c r="DV28" s="114"/>
      <c r="DW28" s="80">
        <f t="shared" si="61"/>
        <v>1009</v>
      </c>
      <c r="DX28" s="81">
        <f t="shared" si="28"/>
        <v>1006</v>
      </c>
      <c r="DY28" s="80">
        <f t="shared" si="62"/>
        <v>998</v>
      </c>
      <c r="DZ28" s="82">
        <f t="shared" si="63"/>
        <v>0</v>
      </c>
      <c r="EA28" s="82">
        <f t="shared" si="64"/>
        <v>7.6846000000000005</v>
      </c>
      <c r="EB28" s="82">
        <f t="shared" si="65"/>
        <v>10.366400000000002</v>
      </c>
      <c r="EC28" s="82">
        <f t="shared" si="75"/>
        <v>10.366400000000002</v>
      </c>
      <c r="EF28" s="83">
        <f t="shared" si="92"/>
        <v>-2.999999999999988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0"/>
        <v>TV12L14-11x2.5-H9C14</v>
      </c>
      <c r="H29" s="46" t="str">
        <f t="shared" si="31"/>
        <v>12L14TV110DH9</v>
      </c>
      <c r="I29" s="46" t="str">
        <f t="shared" si="32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3"/>
        <v>6</v>
      </c>
      <c r="T29" s="51">
        <f>'06.02'!BG29</f>
        <v>22.000000000000007</v>
      </c>
      <c r="U29" s="92"/>
      <c r="V29" s="89">
        <v>2</v>
      </c>
      <c r="W29" s="93">
        <f t="shared" si="5"/>
        <v>0</v>
      </c>
      <c r="X29" s="93">
        <f t="shared" si="6"/>
        <v>2767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0</v>
      </c>
      <c r="AE29" s="93">
        <f t="shared" si="34"/>
        <v>2767</v>
      </c>
      <c r="AF29" s="54">
        <f>AE29+'06.02'!AF29</f>
        <v>26802</v>
      </c>
      <c r="AG29" s="94">
        <f t="shared" si="66"/>
        <v>22.000000000000007</v>
      </c>
      <c r="AH29" s="56">
        <f t="shared" si="13"/>
        <v>0</v>
      </c>
      <c r="AI29" s="93">
        <v>7</v>
      </c>
      <c r="AJ29" s="93">
        <f t="shared" si="67"/>
        <v>0</v>
      </c>
      <c r="AK29" s="95">
        <f t="shared" si="35"/>
        <v>1</v>
      </c>
      <c r="AL29" s="58">
        <f t="shared" si="36"/>
        <v>7</v>
      </c>
      <c r="AM29" s="55">
        <f t="shared" si="68"/>
        <v>15.000000000000007</v>
      </c>
      <c r="AN29" s="93"/>
      <c r="AO29" s="96"/>
      <c r="AP29" s="96">
        <f t="shared" si="90"/>
        <v>4009</v>
      </c>
      <c r="AQ29" s="96"/>
      <c r="AR29" s="96"/>
      <c r="AS29" s="96"/>
      <c r="AT29" s="96"/>
      <c r="AU29" s="96">
        <f t="shared" si="37"/>
        <v>0</v>
      </c>
      <c r="AV29" s="96">
        <f t="shared" si="37"/>
        <v>0</v>
      </c>
      <c r="AW29" s="96">
        <f t="shared" si="38"/>
        <v>4009</v>
      </c>
      <c r="AX29" s="96">
        <f t="shared" si="39"/>
        <v>2004</v>
      </c>
      <c r="AY29" s="94">
        <f t="shared" si="69"/>
        <v>47</v>
      </c>
      <c r="AZ29" s="94">
        <f t="shared" si="40"/>
        <v>23.5</v>
      </c>
      <c r="BA29" s="94">
        <f t="shared" si="41"/>
        <v>15.000000000000007</v>
      </c>
      <c r="BB29" s="97">
        <f t="shared" si="42"/>
        <v>0</v>
      </c>
      <c r="BC29" s="93">
        <v>3</v>
      </c>
      <c r="BD29" s="93">
        <f t="shared" si="43"/>
        <v>0</v>
      </c>
      <c r="BE29" s="95">
        <f t="shared" si="44"/>
        <v>1</v>
      </c>
      <c r="BF29" s="58">
        <f t="shared" si="45"/>
        <v>3</v>
      </c>
      <c r="BG29" s="94">
        <f t="shared" si="46"/>
        <v>12.000000000000007</v>
      </c>
      <c r="BH29" s="89"/>
      <c r="BI29" s="89"/>
      <c r="BJ29" s="92">
        <f t="shared" si="91"/>
        <v>1526</v>
      </c>
      <c r="BK29" s="89"/>
      <c r="BL29" s="89"/>
      <c r="BM29" s="89"/>
      <c r="BN29" s="92"/>
      <c r="BO29" s="92">
        <f t="shared" si="70"/>
        <v>0</v>
      </c>
      <c r="BP29" s="92">
        <f t="shared" si="70"/>
        <v>0</v>
      </c>
      <c r="BQ29" s="96">
        <f t="shared" si="47"/>
        <v>1526</v>
      </c>
      <c r="BR29" s="96">
        <f t="shared" si="48"/>
        <v>763</v>
      </c>
      <c r="BS29" s="96">
        <f t="shared" si="71"/>
        <v>-172</v>
      </c>
      <c r="BT29" s="96">
        <f t="shared" si="49"/>
        <v>-86</v>
      </c>
      <c r="BU29" s="92">
        <f t="shared" si="16"/>
        <v>2767</v>
      </c>
      <c r="BV29" s="98">
        <f t="shared" si="17"/>
        <v>10</v>
      </c>
      <c r="BW29" s="92">
        <f t="shared" si="18"/>
        <v>-62.5</v>
      </c>
      <c r="BX29" s="98" t="str">
        <f t="shared" si="50"/>
        <v/>
      </c>
      <c r="BY29" s="61">
        <f>IFERROR(BF29+AL29,0)</f>
        <v>10</v>
      </c>
      <c r="BZ29" s="62">
        <f t="shared" si="51"/>
        <v>10</v>
      </c>
      <c r="CA29" s="98">
        <f t="shared" si="52"/>
        <v>5.5350000000000001</v>
      </c>
      <c r="CB29" s="92">
        <f t="shared" si="19"/>
        <v>2767</v>
      </c>
      <c r="CC29" s="92">
        <f t="shared" si="19"/>
        <v>-125</v>
      </c>
      <c r="CD29" s="92">
        <f t="shared" si="19"/>
        <v>-62.5</v>
      </c>
      <c r="CE29" s="99"/>
      <c r="CF29" s="99"/>
      <c r="CG29" s="51">
        <f t="shared" si="53"/>
        <v>0</v>
      </c>
      <c r="CH29" s="62">
        <f t="shared" si="54"/>
        <v>0</v>
      </c>
      <c r="CI29" s="89"/>
      <c r="CJ29" s="89">
        <v>4009</v>
      </c>
      <c r="CK29" s="89"/>
      <c r="CL29" s="96"/>
      <c r="CM29" s="89"/>
      <c r="CN29" s="89">
        <v>1526</v>
      </c>
      <c r="CO29" s="92"/>
      <c r="CP29" s="101"/>
      <c r="CQ29" s="102">
        <f t="shared" si="87"/>
        <v>2004</v>
      </c>
      <c r="CR29" s="102">
        <f t="shared" si="87"/>
        <v>0</v>
      </c>
      <c r="CS29" s="102">
        <f t="shared" si="87"/>
        <v>0</v>
      </c>
      <c r="CT29" s="92">
        <f t="shared" si="56"/>
        <v>763</v>
      </c>
      <c r="CU29" s="92">
        <f t="shared" si="88"/>
        <v>0</v>
      </c>
      <c r="CV29" s="103">
        <f t="shared" si="88"/>
        <v>0</v>
      </c>
      <c r="CW29" s="104"/>
      <c r="CX29" s="105">
        <v>48</v>
      </c>
      <c r="CY29" s="106">
        <f t="shared" si="58"/>
        <v>875</v>
      </c>
      <c r="CZ29" s="106">
        <f t="shared" si="59"/>
        <v>388.8</v>
      </c>
      <c r="DA29" s="106"/>
      <c r="DB29" s="106"/>
      <c r="DC29" s="105"/>
      <c r="DD29" s="107"/>
      <c r="DE29" s="92">
        <f t="shared" si="21"/>
        <v>2004</v>
      </c>
      <c r="DF29" s="108">
        <f t="shared" si="22"/>
        <v>7</v>
      </c>
      <c r="DG29" s="112">
        <f t="shared" si="23"/>
        <v>23.5</v>
      </c>
      <c r="DH29" s="110">
        <f t="shared" si="24"/>
        <v>763</v>
      </c>
      <c r="DI29" s="108">
        <f t="shared" si="25"/>
        <v>3</v>
      </c>
      <c r="DJ29" s="112">
        <f t="shared" si="26"/>
        <v>-86</v>
      </c>
      <c r="DK29" s="110">
        <f t="shared" si="86"/>
        <v>2767</v>
      </c>
      <c r="DL29" s="108">
        <f t="shared" si="86"/>
        <v>10</v>
      </c>
      <c r="DM29" s="111">
        <f t="shared" si="86"/>
        <v>-62.5</v>
      </c>
      <c r="DN29" s="76">
        <v>14</v>
      </c>
      <c r="DO29" s="76"/>
      <c r="DP29" s="112"/>
      <c r="DQ29" s="112"/>
      <c r="DR29" s="113" t="s">
        <v>430</v>
      </c>
      <c r="DS29" s="112"/>
      <c r="DT29" s="112"/>
      <c r="DU29" s="111"/>
      <c r="DV29" s="114"/>
      <c r="DW29" s="80">
        <f>IFERROR(AL29+BF29,"")</f>
        <v>10</v>
      </c>
      <c r="DX29" s="81">
        <f t="shared" si="28"/>
        <v>2714.5</v>
      </c>
      <c r="DY29" s="80">
        <f t="shared" si="62"/>
        <v>2767</v>
      </c>
      <c r="DZ29" s="82">
        <f t="shared" si="63"/>
        <v>0</v>
      </c>
      <c r="EA29" s="82">
        <f t="shared" si="64"/>
        <v>5.5339999999999998</v>
      </c>
      <c r="EB29" s="82" t="e">
        <f t="shared" si="65"/>
        <v>#VALUE!</v>
      </c>
      <c r="EC29" s="82" t="e">
        <f>(BX29-CA29)+((AV29+BP29)/1000)</f>
        <v>#VALUE!</v>
      </c>
      <c r="EF29" s="83">
        <f t="shared" si="92"/>
        <v>-62.5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0"/>
        <v>GWA6063-T5-T15x8.6x3-H9E14</v>
      </c>
      <c r="H30" s="46" t="str">
        <f t="shared" si="31"/>
        <v>A6063-T5GW158.6TH9</v>
      </c>
      <c r="I30" s="46" t="str">
        <f t="shared" si="32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3"/>
        <v>26</v>
      </c>
      <c r="T30" s="51">
        <f>'06.02'!BG30</f>
        <v>53</v>
      </c>
      <c r="U30" s="92"/>
      <c r="V30" s="108">
        <v>3</v>
      </c>
      <c r="W30" s="93">
        <f t="shared" si="5"/>
        <v>0</v>
      </c>
      <c r="X30" s="93">
        <f t="shared" si="6"/>
        <v>3666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0</v>
      </c>
      <c r="AE30" s="93">
        <f t="shared" si="34"/>
        <v>3666</v>
      </c>
      <c r="AF30" s="54">
        <f>AE30+'06.02'!AF30</f>
        <v>21231</v>
      </c>
      <c r="AG30" s="94">
        <f t="shared" si="66"/>
        <v>53</v>
      </c>
      <c r="AH30" s="56">
        <f t="shared" si="13"/>
        <v>0</v>
      </c>
      <c r="AI30" s="93">
        <v>11</v>
      </c>
      <c r="AJ30" s="93">
        <f t="shared" si="67"/>
        <v>0</v>
      </c>
      <c r="AK30" s="95">
        <f t="shared" si="35"/>
        <v>1</v>
      </c>
      <c r="AL30" s="58">
        <f t="shared" si="36"/>
        <v>11</v>
      </c>
      <c r="AM30" s="55">
        <f t="shared" si="68"/>
        <v>42</v>
      </c>
      <c r="AN30" s="93"/>
      <c r="AO30" s="96"/>
      <c r="AP30" s="96">
        <f t="shared" si="90"/>
        <v>5500</v>
      </c>
      <c r="AQ30" s="96"/>
      <c r="AR30" s="96"/>
      <c r="AS30" s="96"/>
      <c r="AT30" s="96"/>
      <c r="AU30" s="96">
        <f t="shared" si="37"/>
        <v>0</v>
      </c>
      <c r="AV30" s="96">
        <f t="shared" si="37"/>
        <v>0</v>
      </c>
      <c r="AW30" s="96">
        <f t="shared" si="38"/>
        <v>5500</v>
      </c>
      <c r="AX30" s="96">
        <f t="shared" si="39"/>
        <v>1833</v>
      </c>
      <c r="AY30" s="94">
        <f t="shared" si="69"/>
        <v>-44</v>
      </c>
      <c r="AZ30" s="94">
        <f t="shared" si="40"/>
        <v>-14.666666666666666</v>
      </c>
      <c r="BA30" s="94">
        <f t="shared" si="41"/>
        <v>42</v>
      </c>
      <c r="BB30" s="97">
        <f t="shared" si="42"/>
        <v>0</v>
      </c>
      <c r="BC30" s="93">
        <v>11</v>
      </c>
      <c r="BD30" s="93">
        <f t="shared" si="43"/>
        <v>0</v>
      </c>
      <c r="BE30" s="95">
        <f t="shared" si="44"/>
        <v>1</v>
      </c>
      <c r="BF30" s="58">
        <f t="shared" si="45"/>
        <v>11</v>
      </c>
      <c r="BG30" s="94">
        <f t="shared" si="46"/>
        <v>31</v>
      </c>
      <c r="BH30" s="89"/>
      <c r="BI30" s="89"/>
      <c r="BJ30" s="92">
        <f t="shared" si="91"/>
        <v>5500</v>
      </c>
      <c r="BK30" s="89"/>
      <c r="BL30" s="89"/>
      <c r="BM30" s="89"/>
      <c r="BN30" s="89"/>
      <c r="BO30" s="92">
        <f t="shared" si="70"/>
        <v>0</v>
      </c>
      <c r="BP30" s="92">
        <f t="shared" si="70"/>
        <v>0</v>
      </c>
      <c r="BQ30" s="96">
        <f t="shared" si="47"/>
        <v>5500</v>
      </c>
      <c r="BR30" s="96">
        <f t="shared" si="48"/>
        <v>1833</v>
      </c>
      <c r="BS30" s="96">
        <f t="shared" si="71"/>
        <v>-44</v>
      </c>
      <c r="BT30" s="96">
        <f t="shared" si="49"/>
        <v>-14.666666666666666</v>
      </c>
      <c r="BU30" s="92">
        <f t="shared" si="16"/>
        <v>3666</v>
      </c>
      <c r="BV30" s="98">
        <f t="shared" si="17"/>
        <v>22</v>
      </c>
      <c r="BW30" s="92">
        <f t="shared" si="18"/>
        <v>-29.333333333333332</v>
      </c>
      <c r="BX30" s="98">
        <f t="shared" si="50"/>
        <v>16.61</v>
      </c>
      <c r="BY30" s="61">
        <f>IFERROR(BF30+AL30,0)</f>
        <v>22</v>
      </c>
      <c r="BZ30" s="62">
        <f t="shared" si="51"/>
        <v>22</v>
      </c>
      <c r="CA30" s="98">
        <f t="shared" si="52"/>
        <v>11</v>
      </c>
      <c r="CB30" s="92">
        <f t="shared" si="19"/>
        <v>3666</v>
      </c>
      <c r="CC30" s="92">
        <f t="shared" si="19"/>
        <v>-88</v>
      </c>
      <c r="CD30" s="92">
        <f t="shared" si="19"/>
        <v>-29.333333333333332</v>
      </c>
      <c r="CE30" s="99"/>
      <c r="CF30" s="99"/>
      <c r="CG30" s="51">
        <f t="shared" si="53"/>
        <v>5.6099999999999994</v>
      </c>
      <c r="CH30" s="62">
        <f t="shared" si="54"/>
        <v>5.6099999999999994</v>
      </c>
      <c r="CI30" s="89"/>
      <c r="CJ30" s="89">
        <v>5500</v>
      </c>
      <c r="CK30" s="89"/>
      <c r="CL30" s="96"/>
      <c r="CM30" s="89"/>
      <c r="CN30" s="89">
        <v>5500</v>
      </c>
      <c r="CO30" s="92"/>
      <c r="CP30" s="101"/>
      <c r="CQ30" s="102">
        <f t="shared" si="87"/>
        <v>1833</v>
      </c>
      <c r="CR30" s="102">
        <f t="shared" si="87"/>
        <v>0</v>
      </c>
      <c r="CS30" s="102">
        <f t="shared" si="87"/>
        <v>0</v>
      </c>
      <c r="CT30" s="92">
        <f t="shared" si="56"/>
        <v>1833</v>
      </c>
      <c r="CU30" s="92">
        <f t="shared" si="88"/>
        <v>0</v>
      </c>
      <c r="CV30" s="103">
        <f t="shared" si="88"/>
        <v>0</v>
      </c>
      <c r="CW30" s="104"/>
      <c r="CX30" s="105">
        <v>18</v>
      </c>
      <c r="CY30" s="106">
        <f t="shared" si="58"/>
        <v>2150</v>
      </c>
      <c r="CZ30" s="106">
        <f t="shared" si="59"/>
        <v>145.80000000000001</v>
      </c>
      <c r="DA30" s="106"/>
      <c r="DB30" s="106"/>
      <c r="DC30" s="105"/>
      <c r="DD30" s="107"/>
      <c r="DE30" s="92">
        <f t="shared" si="21"/>
        <v>1833</v>
      </c>
      <c r="DF30" s="108">
        <f t="shared" si="22"/>
        <v>11</v>
      </c>
      <c r="DG30" s="112">
        <f>IFERROR(AZ30,"")</f>
        <v>-14.666666666666666</v>
      </c>
      <c r="DH30" s="110">
        <f t="shared" si="24"/>
        <v>1833</v>
      </c>
      <c r="DI30" s="108">
        <f t="shared" si="25"/>
        <v>11</v>
      </c>
      <c r="DJ30" s="112">
        <f t="shared" si="26"/>
        <v>-14.666666666666666</v>
      </c>
      <c r="DK30" s="110">
        <f t="shared" si="86"/>
        <v>3666</v>
      </c>
      <c r="DL30" s="108">
        <f t="shared" si="86"/>
        <v>22</v>
      </c>
      <c r="DM30" s="111">
        <f t="shared" si="86"/>
        <v>-29.333333333333332</v>
      </c>
      <c r="DN30" s="76">
        <v>31</v>
      </c>
      <c r="DO30" s="76"/>
      <c r="DP30" s="112"/>
      <c r="DQ30" s="112"/>
      <c r="DR30" s="113" t="s">
        <v>431</v>
      </c>
      <c r="DS30" s="112"/>
      <c r="DT30" s="112"/>
      <c r="DU30" s="111"/>
      <c r="DV30" s="114"/>
      <c r="DW30" s="80">
        <f t="shared" si="61"/>
        <v>3688</v>
      </c>
      <c r="DX30" s="81">
        <f t="shared" si="28"/>
        <v>3658.6666666666665</v>
      </c>
      <c r="DY30" s="80">
        <f t="shared" si="62"/>
        <v>3666</v>
      </c>
      <c r="DZ30" s="82">
        <f t="shared" si="63"/>
        <v>0</v>
      </c>
      <c r="EA30" s="82">
        <f t="shared" si="64"/>
        <v>10.997999999999999</v>
      </c>
      <c r="EB30" s="82">
        <f t="shared" si="65"/>
        <v>5.6120000000000001</v>
      </c>
      <c r="EC30" s="82">
        <f t="shared" si="75"/>
        <v>5.6120000000000001</v>
      </c>
      <c r="EF30" s="83">
        <f t="shared" si="92"/>
        <v>-29.333333333333332</v>
      </c>
    </row>
    <row r="31" spans="1:136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0"/>
        <v>YHC3604-4x3-H9A14</v>
      </c>
      <c r="H31" s="46" t="str">
        <f t="shared" si="31"/>
        <v>C3604YH40DH9</v>
      </c>
      <c r="I31" s="46" t="str">
        <f t="shared" si="32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3"/>
        <v>36</v>
      </c>
      <c r="T31" s="51">
        <f>'05.02'!BG31</f>
        <v>0</v>
      </c>
      <c r="U31" s="92"/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0</v>
      </c>
      <c r="AC31" s="93">
        <f t="shared" si="11"/>
        <v>0</v>
      </c>
      <c r="AD31" s="93">
        <f t="shared" si="12"/>
        <v>0</v>
      </c>
      <c r="AE31" s="93">
        <f t="shared" si="34"/>
        <v>0</v>
      </c>
      <c r="AF31" s="54">
        <f>AE31+'06.02'!AF31</f>
        <v>6974</v>
      </c>
      <c r="AG31" s="94">
        <f t="shared" si="66"/>
        <v>0</v>
      </c>
      <c r="AH31" s="56">
        <f t="shared" si="13"/>
        <v>0</v>
      </c>
      <c r="AI31" s="93"/>
      <c r="AJ31" s="93">
        <f t="shared" si="67"/>
        <v>0</v>
      </c>
      <c r="AK31" s="95">
        <f t="shared" si="35"/>
        <v>1</v>
      </c>
      <c r="AL31" s="58">
        <f t="shared" si="36"/>
        <v>0</v>
      </c>
      <c r="AM31" s="55">
        <f t="shared" si="68"/>
        <v>0</v>
      </c>
      <c r="AN31" s="93"/>
      <c r="AO31" s="96"/>
      <c r="AP31" s="96"/>
      <c r="AQ31" s="96"/>
      <c r="AR31" s="96"/>
      <c r="AS31" s="96"/>
      <c r="AT31" s="96">
        <f t="shared" ref="AT31" si="93">$CJ31</f>
        <v>0</v>
      </c>
      <c r="AU31" s="96">
        <f t="shared" si="37"/>
        <v>0</v>
      </c>
      <c r="AV31" s="96">
        <f t="shared" si="37"/>
        <v>0</v>
      </c>
      <c r="AW31" s="96">
        <f t="shared" si="38"/>
        <v>0</v>
      </c>
      <c r="AX31" s="96">
        <f t="shared" si="39"/>
        <v>0</v>
      </c>
      <c r="AY31" s="94">
        <f t="shared" si="69"/>
        <v>0</v>
      </c>
      <c r="AZ31" s="94">
        <f t="shared" si="40"/>
        <v>0</v>
      </c>
      <c r="BA31" s="94">
        <f t="shared" si="41"/>
        <v>0</v>
      </c>
      <c r="BB31" s="97">
        <f t="shared" si="42"/>
        <v>0</v>
      </c>
      <c r="BC31" s="93"/>
      <c r="BD31" s="93">
        <f t="shared" si="43"/>
        <v>0</v>
      </c>
      <c r="BE31" s="95">
        <f t="shared" si="44"/>
        <v>1</v>
      </c>
      <c r="BF31" s="58">
        <f t="shared" si="45"/>
        <v>0</v>
      </c>
      <c r="BG31" s="94">
        <f t="shared" si="46"/>
        <v>0</v>
      </c>
      <c r="BH31" s="89"/>
      <c r="BI31" s="89"/>
      <c r="BJ31" s="92"/>
      <c r="BK31" s="89"/>
      <c r="BL31" s="89"/>
      <c r="BM31" s="92"/>
      <c r="BN31" s="92">
        <f t="shared" ref="BN31" si="94">$CN31</f>
        <v>0</v>
      </c>
      <c r="BO31" s="92">
        <f t="shared" si="70"/>
        <v>0</v>
      </c>
      <c r="BP31" s="92">
        <f t="shared" si="70"/>
        <v>0</v>
      </c>
      <c r="BQ31" s="96">
        <f t="shared" si="47"/>
        <v>0</v>
      </c>
      <c r="BR31" s="96">
        <f t="shared" si="48"/>
        <v>0</v>
      </c>
      <c r="BS31" s="96">
        <f t="shared" si="71"/>
        <v>0</v>
      </c>
      <c r="BT31" s="96">
        <f t="shared" si="49"/>
        <v>0</v>
      </c>
      <c r="BU31" s="92">
        <f t="shared" si="16"/>
        <v>0</v>
      </c>
      <c r="BV31" s="98">
        <f t="shared" si="17"/>
        <v>0</v>
      </c>
      <c r="BW31" s="92">
        <f t="shared" si="18"/>
        <v>0</v>
      </c>
      <c r="BX31" s="98">
        <f t="shared" si="50"/>
        <v>0</v>
      </c>
      <c r="BY31" s="61">
        <f t="shared" si="73"/>
        <v>0</v>
      </c>
      <c r="BZ31" s="62">
        <f t="shared" si="51"/>
        <v>0</v>
      </c>
      <c r="CA31" s="98">
        <f t="shared" si="52"/>
        <v>0</v>
      </c>
      <c r="CB31" s="92">
        <f t="shared" si="19"/>
        <v>0</v>
      </c>
      <c r="CC31" s="92">
        <f t="shared" si="19"/>
        <v>0</v>
      </c>
      <c r="CD31" s="92">
        <f t="shared" si="19"/>
        <v>0</v>
      </c>
      <c r="CE31" s="99"/>
      <c r="CF31" s="99"/>
      <c r="CG31" s="51">
        <f t="shared" si="53"/>
        <v>0</v>
      </c>
      <c r="CH31" s="62">
        <f t="shared" si="54"/>
        <v>0</v>
      </c>
      <c r="CI31" s="89"/>
      <c r="CJ31" s="89"/>
      <c r="CK31" s="89"/>
      <c r="CL31" s="96"/>
      <c r="CM31" s="89"/>
      <c r="CN31" s="89"/>
      <c r="CO31" s="92"/>
      <c r="CP31" s="101"/>
      <c r="CQ31" s="102">
        <f t="shared" si="87"/>
        <v>0</v>
      </c>
      <c r="CR31" s="102">
        <f t="shared" si="87"/>
        <v>0</v>
      </c>
      <c r="CS31" s="102">
        <f t="shared" si="87"/>
        <v>0</v>
      </c>
      <c r="CT31" s="92">
        <f t="shared" si="56"/>
        <v>0</v>
      </c>
      <c r="CU31" s="92">
        <f t="shared" si="88"/>
        <v>0</v>
      </c>
      <c r="CV31" s="103">
        <f t="shared" si="88"/>
        <v>0</v>
      </c>
      <c r="CW31" s="104" t="s">
        <v>157</v>
      </c>
      <c r="CX31" s="105">
        <v>14</v>
      </c>
      <c r="CY31" s="106">
        <f t="shared" si="58"/>
        <v>3051</v>
      </c>
      <c r="CZ31" s="106">
        <f t="shared" si="59"/>
        <v>56.7</v>
      </c>
      <c r="DA31" s="106"/>
      <c r="DB31" s="106"/>
      <c r="DC31" s="105"/>
      <c r="DD31" s="107"/>
      <c r="DE31" s="92">
        <f t="shared" si="21"/>
        <v>0</v>
      </c>
      <c r="DF31" s="108">
        <f t="shared" si="22"/>
        <v>0</v>
      </c>
      <c r="DG31" s="112">
        <f t="shared" si="23"/>
        <v>0</v>
      </c>
      <c r="DH31" s="110">
        <f t="shared" si="24"/>
        <v>0</v>
      </c>
      <c r="DI31" s="108">
        <f t="shared" si="25"/>
        <v>0</v>
      </c>
      <c r="DJ31" s="112">
        <f t="shared" si="26"/>
        <v>0</v>
      </c>
      <c r="DK31" s="110">
        <f t="shared" si="86"/>
        <v>0</v>
      </c>
      <c r="DL31" s="108">
        <f t="shared" si="86"/>
        <v>0</v>
      </c>
      <c r="DM31" s="111">
        <f t="shared" si="86"/>
        <v>0</v>
      </c>
      <c r="DN31" s="76">
        <f t="shared" si="89"/>
        <v>0</v>
      </c>
      <c r="DO31" s="76">
        <v>0</v>
      </c>
      <c r="DP31" s="112"/>
      <c r="DQ31" s="112"/>
      <c r="DR31" s="113"/>
      <c r="DS31" s="112"/>
      <c r="DT31" s="112"/>
      <c r="DU31" s="111"/>
      <c r="DV31" s="114"/>
      <c r="DW31" s="80">
        <f t="shared" si="61"/>
        <v>0</v>
      </c>
      <c r="DX31" s="81">
        <f t="shared" si="28"/>
        <v>0</v>
      </c>
      <c r="DY31" s="80">
        <f t="shared" si="62"/>
        <v>0</v>
      </c>
      <c r="DZ31" s="82">
        <f t="shared" si="63"/>
        <v>0</v>
      </c>
      <c r="EA31" s="82">
        <f t="shared" si="64"/>
        <v>0</v>
      </c>
      <c r="EB31" s="82">
        <f t="shared" si="65"/>
        <v>0</v>
      </c>
      <c r="EC31" s="82">
        <f t="shared" si="75"/>
        <v>0</v>
      </c>
      <c r="EF31" s="83">
        <f t="shared" si="92"/>
        <v>0</v>
      </c>
    </row>
    <row r="32" spans="1:136" ht="14.1" customHeight="1">
      <c r="A32" s="84">
        <v>25</v>
      </c>
      <c r="B32" s="85" t="s">
        <v>205</v>
      </c>
      <c r="C32" s="86"/>
      <c r="D32" s="119" t="s">
        <v>485</v>
      </c>
      <c r="E32" s="88">
        <v>97</v>
      </c>
      <c r="F32" s="89" t="s">
        <v>136</v>
      </c>
      <c r="G32" s="45" t="str">
        <f t="shared" si="30"/>
        <v>IBC3604-H7x3-H11C14</v>
      </c>
      <c r="H32" s="46" t="str">
        <f t="shared" si="31"/>
        <v>C3604IB70HH11</v>
      </c>
      <c r="I32" s="46" t="str">
        <f t="shared" si="32"/>
        <v>C3604IB70HH113C14</v>
      </c>
      <c r="J32" s="90" t="s">
        <v>148</v>
      </c>
      <c r="K32" s="90" t="s">
        <v>156</v>
      </c>
      <c r="L32" s="90">
        <v>7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1.08</v>
      </c>
      <c r="R32" s="90" t="s">
        <v>144</v>
      </c>
      <c r="S32" s="89">
        <f t="shared" si="33"/>
        <v>32</v>
      </c>
      <c r="T32" s="51">
        <f>'05.02'!BG32</f>
        <v>0</v>
      </c>
      <c r="U32" s="92"/>
      <c r="V32" s="89">
        <v>5.7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4"/>
        <v>0</v>
      </c>
      <c r="AF32" s="54">
        <f>AE32+'06.02'!AF32</f>
        <v>68</v>
      </c>
      <c r="AG32" s="94">
        <f t="shared" si="66"/>
        <v>0</v>
      </c>
      <c r="AH32" s="56">
        <f t="shared" si="13"/>
        <v>0</v>
      </c>
      <c r="AI32" s="93"/>
      <c r="AJ32" s="93">
        <f t="shared" si="67"/>
        <v>0</v>
      </c>
      <c r="AK32" s="95">
        <f t="shared" si="35"/>
        <v>1</v>
      </c>
      <c r="AL32" s="58">
        <f t="shared" si="36"/>
        <v>0</v>
      </c>
      <c r="AM32" s="55">
        <f t="shared" si="68"/>
        <v>0</v>
      </c>
      <c r="AN32" s="93"/>
      <c r="AO32" s="96"/>
      <c r="AP32" s="96"/>
      <c r="AQ32" s="96"/>
      <c r="AR32" s="96"/>
      <c r="AS32" s="96">
        <f t="shared" ref="AS32" si="95">$CJ32</f>
        <v>0</v>
      </c>
      <c r="AT32" s="96"/>
      <c r="AU32" s="96">
        <f t="shared" si="37"/>
        <v>0</v>
      </c>
      <c r="AV32" s="96">
        <f t="shared" si="37"/>
        <v>0</v>
      </c>
      <c r="AW32" s="96">
        <f t="shared" si="38"/>
        <v>0</v>
      </c>
      <c r="AX32" s="96">
        <f t="shared" si="39"/>
        <v>0</v>
      </c>
      <c r="AY32" s="94">
        <f t="shared" si="69"/>
        <v>0</v>
      </c>
      <c r="AZ32" s="94">
        <f t="shared" si="40"/>
        <v>0</v>
      </c>
      <c r="BA32" s="94">
        <f t="shared" si="41"/>
        <v>0</v>
      </c>
      <c r="BB32" s="97">
        <f t="shared" si="42"/>
        <v>0</v>
      </c>
      <c r="BC32" s="93"/>
      <c r="BD32" s="93">
        <f t="shared" si="43"/>
        <v>0</v>
      </c>
      <c r="BE32" s="95">
        <f t="shared" si="44"/>
        <v>1</v>
      </c>
      <c r="BF32" s="58">
        <f t="shared" si="45"/>
        <v>0</v>
      </c>
      <c r="BG32" s="94">
        <f t="shared" si="46"/>
        <v>0</v>
      </c>
      <c r="BH32" s="89"/>
      <c r="BI32" s="89"/>
      <c r="BJ32" s="92"/>
      <c r="BK32" s="89"/>
      <c r="BL32" s="89"/>
      <c r="BM32" s="92">
        <f t="shared" ref="BM32" si="96">$CN32</f>
        <v>0</v>
      </c>
      <c r="BN32" s="89"/>
      <c r="BO32" s="92">
        <f t="shared" si="70"/>
        <v>0</v>
      </c>
      <c r="BP32" s="92">
        <f t="shared" si="70"/>
        <v>0</v>
      </c>
      <c r="BQ32" s="96">
        <f t="shared" si="47"/>
        <v>0</v>
      </c>
      <c r="BR32" s="96">
        <f t="shared" si="48"/>
        <v>0</v>
      </c>
      <c r="BS32" s="96">
        <f t="shared" si="71"/>
        <v>0</v>
      </c>
      <c r="BT32" s="96">
        <f t="shared" si="49"/>
        <v>0</v>
      </c>
      <c r="BU32" s="92">
        <f t="shared" si="16"/>
        <v>0</v>
      </c>
      <c r="BV32" s="98">
        <f t="shared" si="17"/>
        <v>0</v>
      </c>
      <c r="BW32" s="92">
        <f t="shared" si="18"/>
        <v>0</v>
      </c>
      <c r="BX32" s="98">
        <f t="shared" si="50"/>
        <v>0</v>
      </c>
      <c r="BY32" s="61">
        <f t="shared" si="73"/>
        <v>0</v>
      </c>
      <c r="BZ32" s="62">
        <f t="shared" si="51"/>
        <v>0</v>
      </c>
      <c r="CA32" s="98">
        <f t="shared" si="52"/>
        <v>0</v>
      </c>
      <c r="CB32" s="92">
        <f t="shared" si="19"/>
        <v>0</v>
      </c>
      <c r="CC32" s="92">
        <f t="shared" si="19"/>
        <v>0</v>
      </c>
      <c r="CD32" s="92">
        <f t="shared" si="19"/>
        <v>0</v>
      </c>
      <c r="CE32" s="99"/>
      <c r="CF32" s="99"/>
      <c r="CG32" s="51">
        <f t="shared" si="53"/>
        <v>0</v>
      </c>
      <c r="CH32" s="62">
        <f t="shared" si="54"/>
        <v>0</v>
      </c>
      <c r="CI32" s="89"/>
      <c r="CJ32" s="89"/>
      <c r="CK32" s="89"/>
      <c r="CL32" s="96"/>
      <c r="CM32" s="89"/>
      <c r="CN32" s="89"/>
      <c r="CO32" s="92"/>
      <c r="CP32" s="101"/>
      <c r="CQ32" s="102">
        <f t="shared" si="87"/>
        <v>0</v>
      </c>
      <c r="CR32" s="102">
        <f t="shared" si="87"/>
        <v>0</v>
      </c>
      <c r="CS32" s="102">
        <f t="shared" si="87"/>
        <v>0</v>
      </c>
      <c r="CT32" s="92">
        <f t="shared" si="56"/>
        <v>0</v>
      </c>
      <c r="CU32" s="92">
        <f t="shared" si="88"/>
        <v>0</v>
      </c>
      <c r="CV32" s="103">
        <f t="shared" si="88"/>
        <v>0</v>
      </c>
      <c r="CW32" s="104"/>
      <c r="CX32" s="105">
        <v>24</v>
      </c>
      <c r="CY32" s="106">
        <f t="shared" si="58"/>
        <v>1562</v>
      </c>
      <c r="CZ32" s="106">
        <f t="shared" si="59"/>
        <v>194.4</v>
      </c>
      <c r="DA32" s="106"/>
      <c r="DB32" s="106"/>
      <c r="DC32" s="105"/>
      <c r="DD32" s="107"/>
      <c r="DE32" s="92">
        <f t="shared" si="21"/>
        <v>0</v>
      </c>
      <c r="DF32" s="108">
        <f t="shared" si="22"/>
        <v>0</v>
      </c>
      <c r="DG32" s="112">
        <f t="shared" si="23"/>
        <v>0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6"/>
        <v>0</v>
      </c>
      <c r="DL32" s="108">
        <f t="shared" si="86"/>
        <v>0</v>
      </c>
      <c r="DM32" s="111">
        <f t="shared" si="86"/>
        <v>0</v>
      </c>
      <c r="DN32" s="76">
        <f t="shared" si="89"/>
        <v>0</v>
      </c>
      <c r="DO32" s="76">
        <f t="shared" si="89"/>
        <v>0</v>
      </c>
      <c r="DP32" s="112"/>
      <c r="DQ32" s="112"/>
      <c r="DR32" s="113"/>
      <c r="DS32" s="112"/>
      <c r="DT32" s="112"/>
      <c r="DU32" s="111"/>
      <c r="DV32" s="114"/>
      <c r="DW32" s="80">
        <f t="shared" si="61"/>
        <v>0</v>
      </c>
      <c r="DX32" s="81">
        <f t="shared" si="28"/>
        <v>0</v>
      </c>
      <c r="DY32" s="80">
        <f t="shared" si="62"/>
        <v>0</v>
      </c>
      <c r="DZ32" s="82">
        <f t="shared" si="63"/>
        <v>0</v>
      </c>
      <c r="EA32" s="82">
        <f t="shared" si="64"/>
        <v>0</v>
      </c>
      <c r="EB32" s="82">
        <f t="shared" si="65"/>
        <v>0</v>
      </c>
      <c r="EC32" s="82">
        <f t="shared" si="75"/>
        <v>0</v>
      </c>
      <c r="EF32" s="83">
        <f t="shared" si="92"/>
        <v>0</v>
      </c>
    </row>
    <row r="33" spans="1:136" ht="15" customHeight="1">
      <c r="A33" s="84">
        <v>26</v>
      </c>
      <c r="B33" s="85" t="s">
        <v>210</v>
      </c>
      <c r="C33" s="86"/>
      <c r="D33" s="116" t="s">
        <v>491</v>
      </c>
      <c r="E33" s="88">
        <v>23</v>
      </c>
      <c r="F33" s="89" t="s">
        <v>147</v>
      </c>
      <c r="G33" s="45" t="str">
        <f t="shared" si="30"/>
        <v>YHC3604-4x3-H9A14</v>
      </c>
      <c r="H33" s="46" t="str">
        <f t="shared" si="31"/>
        <v>C3604YH40DH9</v>
      </c>
      <c r="I33" s="46" t="str">
        <f t="shared" si="32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3"/>
        <v>282</v>
      </c>
      <c r="T33" s="51">
        <f>'06.02'!BG33</f>
        <v>580</v>
      </c>
      <c r="U33" s="92"/>
      <c r="V33" s="89">
        <v>12.15</v>
      </c>
      <c r="W33" s="93">
        <f t="shared" si="5"/>
        <v>0</v>
      </c>
      <c r="X33" s="93">
        <f t="shared" si="6"/>
        <v>290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18</v>
      </c>
      <c r="AE33" s="93">
        <f t="shared" si="34"/>
        <v>290</v>
      </c>
      <c r="AF33" s="54">
        <f>AE33+'06.02'!AF33</f>
        <v>8856</v>
      </c>
      <c r="AG33" s="94">
        <f t="shared" si="66"/>
        <v>580</v>
      </c>
      <c r="AH33" s="56">
        <f t="shared" si="13"/>
        <v>0</v>
      </c>
      <c r="AI33" s="93">
        <v>15</v>
      </c>
      <c r="AJ33" s="93">
        <f t="shared" si="67"/>
        <v>0</v>
      </c>
      <c r="AK33" s="95">
        <f t="shared" si="35"/>
        <v>1</v>
      </c>
      <c r="AL33" s="58">
        <f t="shared" si="36"/>
        <v>15</v>
      </c>
      <c r="AM33" s="55">
        <f t="shared" si="68"/>
        <v>565</v>
      </c>
      <c r="AN33" s="93"/>
      <c r="AO33" s="96"/>
      <c r="AP33" s="96">
        <f t="shared" si="90"/>
        <v>3523.5</v>
      </c>
      <c r="AQ33" s="96"/>
      <c r="AR33" s="96"/>
      <c r="AS33" s="96"/>
      <c r="AT33" s="96"/>
      <c r="AU33" s="96">
        <f t="shared" si="37"/>
        <v>0</v>
      </c>
      <c r="AV33" s="96">
        <f t="shared" si="37"/>
        <v>223</v>
      </c>
      <c r="AW33" s="96">
        <f t="shared" si="38"/>
        <v>3746.5</v>
      </c>
      <c r="AX33" s="96">
        <f t="shared" si="39"/>
        <v>308</v>
      </c>
      <c r="AY33" s="94">
        <f t="shared" si="69"/>
        <v>-445.25</v>
      </c>
      <c r="AZ33" s="94">
        <f t="shared" si="40"/>
        <v>-36.646090534979422</v>
      </c>
      <c r="BA33" s="94">
        <f t="shared" si="41"/>
        <v>565</v>
      </c>
      <c r="BB33" s="97">
        <f t="shared" si="42"/>
        <v>0</v>
      </c>
      <c r="BC33" s="93"/>
      <c r="BD33" s="93">
        <f t="shared" si="43"/>
        <v>0</v>
      </c>
      <c r="BE33" s="95">
        <f t="shared" si="44"/>
        <v>1</v>
      </c>
      <c r="BF33" s="58">
        <f t="shared" si="45"/>
        <v>0</v>
      </c>
      <c r="BG33" s="94">
        <f t="shared" si="46"/>
        <v>565</v>
      </c>
      <c r="BH33" s="89"/>
      <c r="BI33" s="89"/>
      <c r="BJ33" s="92">
        <f t="shared" si="91"/>
        <v>0</v>
      </c>
      <c r="BK33" s="89"/>
      <c r="BL33" s="89"/>
      <c r="BM33" s="89"/>
      <c r="BN33" s="89"/>
      <c r="BO33" s="92">
        <f t="shared" si="70"/>
        <v>0</v>
      </c>
      <c r="BP33" s="92">
        <f t="shared" si="70"/>
        <v>0</v>
      </c>
      <c r="BQ33" s="96">
        <f t="shared" si="47"/>
        <v>0</v>
      </c>
      <c r="BR33" s="96">
        <f t="shared" si="48"/>
        <v>0</v>
      </c>
      <c r="BS33" s="96">
        <f t="shared" si="71"/>
        <v>0</v>
      </c>
      <c r="BT33" s="96">
        <f t="shared" si="49"/>
        <v>0</v>
      </c>
      <c r="BU33" s="92">
        <f t="shared" si="16"/>
        <v>290</v>
      </c>
      <c r="BV33" s="98">
        <f t="shared" si="17"/>
        <v>15</v>
      </c>
      <c r="BW33" s="92">
        <f t="shared" si="18"/>
        <v>-36.646090534979422</v>
      </c>
      <c r="BX33" s="98">
        <f t="shared" si="50"/>
        <v>4.7700000000000005</v>
      </c>
      <c r="BY33" s="61">
        <f t="shared" si="73"/>
        <v>15</v>
      </c>
      <c r="BZ33" s="62">
        <f t="shared" si="51"/>
        <v>15</v>
      </c>
      <c r="CA33" s="98">
        <f t="shared" si="52"/>
        <v>3.7465000000000002</v>
      </c>
      <c r="CB33" s="92">
        <f t="shared" si="19"/>
        <v>308</v>
      </c>
      <c r="CC33" s="92">
        <f t="shared" si="19"/>
        <v>-445.25</v>
      </c>
      <c r="CD33" s="92">
        <f t="shared" si="19"/>
        <v>-36.646090534979422</v>
      </c>
      <c r="CE33" s="99"/>
      <c r="CF33" s="99"/>
      <c r="CG33" s="51">
        <f t="shared" si="53"/>
        <v>1.2465000000000004</v>
      </c>
      <c r="CH33" s="62">
        <f t="shared" si="54"/>
        <v>1.2465000000000004</v>
      </c>
      <c r="CI33" s="89"/>
      <c r="CJ33" s="89">
        <f>290*12.15</f>
        <v>3523.5</v>
      </c>
      <c r="CK33" s="89"/>
      <c r="CL33" s="96">
        <v>223</v>
      </c>
      <c r="CM33" s="89"/>
      <c r="CN33" s="89"/>
      <c r="CO33" s="92"/>
      <c r="CP33" s="101"/>
      <c r="CQ33" s="102">
        <f t="shared" si="87"/>
        <v>290</v>
      </c>
      <c r="CR33" s="102">
        <f t="shared" si="87"/>
        <v>0</v>
      </c>
      <c r="CS33" s="102">
        <f t="shared" si="87"/>
        <v>18</v>
      </c>
      <c r="CT33" s="92">
        <f t="shared" si="56"/>
        <v>0</v>
      </c>
      <c r="CU33" s="92">
        <f t="shared" si="88"/>
        <v>0</v>
      </c>
      <c r="CV33" s="103">
        <f t="shared" si="88"/>
        <v>0</v>
      </c>
      <c r="CW33" s="104" t="s">
        <v>157</v>
      </c>
      <c r="CX33" s="105">
        <v>12</v>
      </c>
      <c r="CY33" s="106">
        <f t="shared" si="58"/>
        <v>3246</v>
      </c>
      <c r="CZ33" s="106">
        <f t="shared" si="59"/>
        <v>48.6</v>
      </c>
      <c r="DA33" s="106"/>
      <c r="DB33" s="106"/>
      <c r="DC33" s="105"/>
      <c r="DD33" s="107"/>
      <c r="DE33" s="92">
        <f t="shared" si="21"/>
        <v>290</v>
      </c>
      <c r="DF33" s="108">
        <f t="shared" si="22"/>
        <v>15</v>
      </c>
      <c r="DG33" s="112">
        <f t="shared" si="23"/>
        <v>-36.646090534979422</v>
      </c>
      <c r="DH33" s="110">
        <f t="shared" si="24"/>
        <v>0</v>
      </c>
      <c r="DI33" s="108">
        <f t="shared" si="25"/>
        <v>0</v>
      </c>
      <c r="DJ33" s="112">
        <f t="shared" si="26"/>
        <v>0</v>
      </c>
      <c r="DK33" s="110">
        <f t="shared" si="86"/>
        <v>290</v>
      </c>
      <c r="DL33" s="108">
        <f t="shared" si="86"/>
        <v>15</v>
      </c>
      <c r="DM33" s="111">
        <f t="shared" si="86"/>
        <v>-36.646090534979422</v>
      </c>
      <c r="DN33" s="76">
        <v>565</v>
      </c>
      <c r="DO33" s="76"/>
      <c r="DP33" s="112"/>
      <c r="DQ33" s="112"/>
      <c r="DR33" s="113" t="s">
        <v>489</v>
      </c>
      <c r="DS33" s="112"/>
      <c r="DT33" s="112"/>
      <c r="DU33" s="111"/>
      <c r="DV33" s="114"/>
      <c r="DW33" s="80">
        <f t="shared" si="61"/>
        <v>305</v>
      </c>
      <c r="DX33" s="81">
        <f t="shared" si="28"/>
        <v>268.35390946502059</v>
      </c>
      <c r="DY33" s="80">
        <f t="shared" si="62"/>
        <v>308</v>
      </c>
      <c r="DZ33" s="82">
        <f t="shared" si="63"/>
        <v>0.21870000000000001</v>
      </c>
      <c r="EA33" s="82">
        <f t="shared" si="64"/>
        <v>3.5234999999999999</v>
      </c>
      <c r="EB33" s="82">
        <f t="shared" si="65"/>
        <v>1.2465000000000006</v>
      </c>
      <c r="EC33" s="82">
        <f t="shared" si="75"/>
        <v>1.4652000000000007</v>
      </c>
      <c r="EF33" s="83">
        <f t="shared" si="92"/>
        <v>-36.646090534979422</v>
      </c>
    </row>
    <row r="34" spans="1:136" ht="14.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0"/>
        <v>SSSUS304K-4x3-H9A08</v>
      </c>
      <c r="H34" s="46" t="str">
        <f t="shared" si="31"/>
        <v>SUS304KSS40DH9</v>
      </c>
      <c r="I34" s="46" t="str">
        <f t="shared" si="32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3"/>
        <v>46</v>
      </c>
      <c r="T34" s="51">
        <f>'05.02'!BG34</f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4"/>
        <v>0</v>
      </c>
      <c r="AF34" s="54">
        <f>AE34+'06.02'!AF34</f>
        <v>0</v>
      </c>
      <c r="AG34" s="94">
        <f t="shared" si="66"/>
        <v>0</v>
      </c>
      <c r="AH34" s="56">
        <f t="shared" si="13"/>
        <v>0</v>
      </c>
      <c r="AI34" s="93"/>
      <c r="AJ34" s="93">
        <f t="shared" si="67"/>
        <v>0</v>
      </c>
      <c r="AK34" s="95">
        <f t="shared" si="35"/>
        <v>1</v>
      </c>
      <c r="AL34" s="58">
        <f t="shared" si="36"/>
        <v>0</v>
      </c>
      <c r="AM34" s="55">
        <f t="shared" si="68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7"/>
        <v>0</v>
      </c>
      <c r="AV34" s="96">
        <f t="shared" si="37"/>
        <v>0</v>
      </c>
      <c r="AW34" s="96">
        <f t="shared" si="38"/>
        <v>0</v>
      </c>
      <c r="AX34" s="96">
        <f t="shared" si="39"/>
        <v>0</v>
      </c>
      <c r="AY34" s="94">
        <f t="shared" si="69"/>
        <v>0</v>
      </c>
      <c r="AZ34" s="94">
        <f t="shared" si="40"/>
        <v>0</v>
      </c>
      <c r="BA34" s="94">
        <f t="shared" si="41"/>
        <v>0</v>
      </c>
      <c r="BB34" s="97">
        <f t="shared" si="42"/>
        <v>0</v>
      </c>
      <c r="BC34" s="93"/>
      <c r="BD34" s="93">
        <f t="shared" si="43"/>
        <v>0</v>
      </c>
      <c r="BE34" s="95">
        <f t="shared" si="44"/>
        <v>1</v>
      </c>
      <c r="BF34" s="58">
        <f t="shared" si="45"/>
        <v>0</v>
      </c>
      <c r="BG34" s="94">
        <f t="shared" si="46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0"/>
        <v>0</v>
      </c>
      <c r="BP34" s="92">
        <f t="shared" si="70"/>
        <v>0</v>
      </c>
      <c r="BQ34" s="96">
        <f t="shared" si="47"/>
        <v>0</v>
      </c>
      <c r="BR34" s="96">
        <f t="shared" si="48"/>
        <v>0</v>
      </c>
      <c r="BS34" s="96">
        <f t="shared" si="71"/>
        <v>0</v>
      </c>
      <c r="BT34" s="96">
        <f t="shared" si="49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0"/>
        <v>0</v>
      </c>
      <c r="BY34" s="61">
        <f>IFERROR(BF34+AL34,0)</f>
        <v>0</v>
      </c>
      <c r="BZ34" s="62">
        <f t="shared" si="51"/>
        <v>0</v>
      </c>
      <c r="CA34" s="98">
        <f t="shared" si="52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3"/>
        <v>0</v>
      </c>
      <c r="CH34" s="62">
        <f t="shared" si="54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7"/>
        <v>0</v>
      </c>
      <c r="CR34" s="102">
        <f t="shared" si="87"/>
        <v>0</v>
      </c>
      <c r="CS34" s="102">
        <f t="shared" si="87"/>
        <v>0</v>
      </c>
      <c r="CT34" s="92">
        <f t="shared" si="56"/>
        <v>0</v>
      </c>
      <c r="CU34" s="92">
        <f t="shared" si="88"/>
        <v>0</v>
      </c>
      <c r="CV34" s="103">
        <f t="shared" si="88"/>
        <v>0</v>
      </c>
      <c r="CW34" s="104"/>
      <c r="CX34" s="105">
        <v>8</v>
      </c>
      <c r="CY34" s="106">
        <f t="shared" si="58"/>
        <v>4312</v>
      </c>
      <c r="CZ34" s="106">
        <f t="shared" si="59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6"/>
        <v>0</v>
      </c>
      <c r="DL34" s="108">
        <f t="shared" si="86"/>
        <v>0</v>
      </c>
      <c r="DM34" s="111">
        <f t="shared" si="86"/>
        <v>0</v>
      </c>
      <c r="DN34" s="76">
        <f t="shared" si="89"/>
        <v>0</v>
      </c>
      <c r="DO34" s="76">
        <f t="shared" si="89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1"/>
        <v>0</v>
      </c>
      <c r="DX34" s="81">
        <f t="shared" si="28"/>
        <v>0</v>
      </c>
      <c r="DY34" s="80">
        <f t="shared" si="62"/>
        <v>0</v>
      </c>
      <c r="DZ34" s="82">
        <f t="shared" si="63"/>
        <v>0</v>
      </c>
      <c r="EA34" s="82">
        <f t="shared" si="64"/>
        <v>0</v>
      </c>
      <c r="EB34" s="82">
        <f t="shared" si="65"/>
        <v>0</v>
      </c>
      <c r="EC34" s="82">
        <f t="shared" ref="EC34:EC35" si="97">(BX34-CA34)+((AV34+BP34)/1000)</f>
        <v>0</v>
      </c>
      <c r="EF34" s="83">
        <f t="shared" si="92"/>
        <v>0</v>
      </c>
    </row>
    <row r="35" spans="1:136" ht="14.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0"/>
        <v>IBC3604-6.5x3-H9A14</v>
      </c>
      <c r="H35" s="46" t="str">
        <f t="shared" si="31"/>
        <v>C3604IB6.50DH9</v>
      </c>
      <c r="I35" s="46" t="str">
        <f t="shared" si="32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3"/>
        <v>34</v>
      </c>
      <c r="T35" s="51">
        <f>'05.02'!BG35</f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4"/>
        <v>0</v>
      </c>
      <c r="AF35" s="54">
        <f>AE35+'06.02'!AF35</f>
        <v>0</v>
      </c>
      <c r="AG35" s="94">
        <f t="shared" si="66"/>
        <v>0</v>
      </c>
      <c r="AH35" s="56">
        <f t="shared" si="13"/>
        <v>0</v>
      </c>
      <c r="AI35" s="93"/>
      <c r="AJ35" s="93">
        <f t="shared" si="67"/>
        <v>0</v>
      </c>
      <c r="AK35" s="95">
        <f t="shared" si="35"/>
        <v>1</v>
      </c>
      <c r="AL35" s="58">
        <f t="shared" si="36"/>
        <v>0</v>
      </c>
      <c r="AM35" s="55">
        <f t="shared" si="68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7"/>
        <v>0</v>
      </c>
      <c r="AV35" s="96">
        <f t="shared" si="37"/>
        <v>0</v>
      </c>
      <c r="AW35" s="96">
        <f t="shared" si="38"/>
        <v>0</v>
      </c>
      <c r="AX35" s="96">
        <f t="shared" si="39"/>
        <v>0</v>
      </c>
      <c r="AY35" s="94">
        <f t="shared" si="69"/>
        <v>0</v>
      </c>
      <c r="AZ35" s="94">
        <f t="shared" si="40"/>
        <v>0</v>
      </c>
      <c r="BA35" s="94">
        <f t="shared" si="41"/>
        <v>0</v>
      </c>
      <c r="BB35" s="97">
        <f t="shared" si="42"/>
        <v>0</v>
      </c>
      <c r="BC35" s="93"/>
      <c r="BD35" s="93">
        <f t="shared" si="43"/>
        <v>0</v>
      </c>
      <c r="BE35" s="95">
        <f t="shared" si="44"/>
        <v>1</v>
      </c>
      <c r="BF35" s="58">
        <f t="shared" si="45"/>
        <v>0</v>
      </c>
      <c r="BG35" s="94">
        <f t="shared" si="46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0"/>
        <v>0</v>
      </c>
      <c r="BP35" s="92">
        <f t="shared" si="70"/>
        <v>0</v>
      </c>
      <c r="BQ35" s="96">
        <f t="shared" si="47"/>
        <v>0</v>
      </c>
      <c r="BR35" s="96">
        <f t="shared" si="48"/>
        <v>0</v>
      </c>
      <c r="BS35" s="96">
        <f t="shared" si="71"/>
        <v>0</v>
      </c>
      <c r="BT35" s="96">
        <f t="shared" si="49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0"/>
        <v>0</v>
      </c>
      <c r="BY35" s="61">
        <f t="shared" si="73"/>
        <v>0</v>
      </c>
      <c r="BZ35" s="62">
        <f t="shared" si="51"/>
        <v>0</v>
      </c>
      <c r="CA35" s="98">
        <f t="shared" si="52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3"/>
        <v>0</v>
      </c>
      <c r="CH35" s="62">
        <f t="shared" si="54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7"/>
        <v>0</v>
      </c>
      <c r="CR35" s="102">
        <f t="shared" si="87"/>
        <v>0</v>
      </c>
      <c r="CS35" s="102">
        <f t="shared" si="87"/>
        <v>0</v>
      </c>
      <c r="CT35" s="92">
        <f t="shared" si="56"/>
        <v>0</v>
      </c>
      <c r="CU35" s="92">
        <f t="shared" si="88"/>
        <v>0</v>
      </c>
      <c r="CV35" s="103">
        <f t="shared" si="88"/>
        <v>0</v>
      </c>
      <c r="CW35" s="104" t="s">
        <v>147</v>
      </c>
      <c r="CX35" s="105">
        <v>13</v>
      </c>
      <c r="CY35" s="106">
        <f t="shared" si="58"/>
        <v>3073</v>
      </c>
      <c r="CZ35" s="106">
        <f t="shared" si="59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6"/>
        <v>0</v>
      </c>
      <c r="DL35" s="108">
        <f t="shared" si="86"/>
        <v>0</v>
      </c>
      <c r="DM35" s="111">
        <f t="shared" si="86"/>
        <v>0</v>
      </c>
      <c r="DN35" s="76">
        <f t="shared" si="89"/>
        <v>0</v>
      </c>
      <c r="DO35" s="76">
        <f t="shared" si="89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1"/>
        <v>0</v>
      </c>
      <c r="DX35" s="81">
        <f t="shared" si="28"/>
        <v>0</v>
      </c>
      <c r="DY35" s="80">
        <f t="shared" si="62"/>
        <v>0</v>
      </c>
      <c r="DZ35" s="82">
        <f t="shared" si="63"/>
        <v>0</v>
      </c>
      <c r="EA35" s="82">
        <f t="shared" si="64"/>
        <v>0</v>
      </c>
      <c r="EB35" s="82">
        <f t="shared" si="65"/>
        <v>0</v>
      </c>
      <c r="EC35" s="82">
        <f t="shared" si="97"/>
        <v>0</v>
      </c>
      <c r="EF35" s="83">
        <f t="shared" si="92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0"/>
        <v>TV12L14-5.97x2.5-H9B14</v>
      </c>
      <c r="H36" s="46" t="str">
        <f t="shared" si="31"/>
        <v>12L14TV5.970DH9</v>
      </c>
      <c r="I36" s="46" t="str">
        <f t="shared" si="32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3"/>
        <v>76</v>
      </c>
      <c r="T36" s="51">
        <f>'06.02'!BG36</f>
        <v>104</v>
      </c>
      <c r="U36" s="146"/>
      <c r="V36" s="135">
        <v>4.45</v>
      </c>
      <c r="W36" s="151">
        <f t="shared" si="5"/>
        <v>0</v>
      </c>
      <c r="X36" s="151">
        <f t="shared" si="6"/>
        <v>1467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0</v>
      </c>
      <c r="AE36" s="151">
        <f t="shared" si="34"/>
        <v>1467</v>
      </c>
      <c r="AF36" s="54">
        <f>AE36+'06.02'!AF36</f>
        <v>16163</v>
      </c>
      <c r="AG36" s="94">
        <f t="shared" si="66"/>
        <v>104</v>
      </c>
      <c r="AH36" s="56">
        <f t="shared" si="13"/>
        <v>0</v>
      </c>
      <c r="AI36" s="151">
        <v>36</v>
      </c>
      <c r="AJ36" s="93">
        <f t="shared" si="67"/>
        <v>0</v>
      </c>
      <c r="AK36" s="95">
        <f t="shared" si="35"/>
        <v>1</v>
      </c>
      <c r="AL36" s="58">
        <f t="shared" si="36"/>
        <v>36</v>
      </c>
      <c r="AM36" s="55">
        <f t="shared" si="68"/>
        <v>68</v>
      </c>
      <c r="AN36" s="151"/>
      <c r="AO36" s="145"/>
      <c r="AP36" s="145">
        <f>$CJ36</f>
        <v>6529</v>
      </c>
      <c r="AQ36" s="145"/>
      <c r="AR36" s="145"/>
      <c r="AS36" s="145"/>
      <c r="AT36" s="145"/>
      <c r="AU36" s="145">
        <f t="shared" si="37"/>
        <v>0</v>
      </c>
      <c r="AV36" s="145">
        <f t="shared" si="37"/>
        <v>0</v>
      </c>
      <c r="AW36" s="145">
        <f t="shared" si="38"/>
        <v>6529</v>
      </c>
      <c r="AX36" s="145">
        <f t="shared" si="39"/>
        <v>1467</v>
      </c>
      <c r="AY36" s="94">
        <f t="shared" si="69"/>
        <v>121</v>
      </c>
      <c r="AZ36" s="94">
        <f t="shared" si="40"/>
        <v>27.191011235955056</v>
      </c>
      <c r="BA36" s="94">
        <f t="shared" si="41"/>
        <v>68</v>
      </c>
      <c r="BB36" s="97">
        <f t="shared" si="42"/>
        <v>0</v>
      </c>
      <c r="BC36" s="151"/>
      <c r="BD36" s="93">
        <f t="shared" si="43"/>
        <v>0</v>
      </c>
      <c r="BE36" s="152">
        <f t="shared" si="44"/>
        <v>1</v>
      </c>
      <c r="BF36" s="58">
        <f t="shared" si="45"/>
        <v>0</v>
      </c>
      <c r="BG36" s="94">
        <f t="shared" si="46"/>
        <v>68</v>
      </c>
      <c r="BH36" s="150"/>
      <c r="BI36" s="150"/>
      <c r="BJ36" s="146">
        <f>$CN36</f>
        <v>0</v>
      </c>
      <c r="BK36" s="150"/>
      <c r="BL36" s="150"/>
      <c r="BM36" s="150"/>
      <c r="BN36" s="146"/>
      <c r="BO36" s="146">
        <f t="shared" si="70"/>
        <v>0</v>
      </c>
      <c r="BP36" s="146">
        <f t="shared" si="70"/>
        <v>0</v>
      </c>
      <c r="BQ36" s="145">
        <f t="shared" si="47"/>
        <v>0</v>
      </c>
      <c r="BR36" s="145">
        <f t="shared" si="48"/>
        <v>0</v>
      </c>
      <c r="BS36" s="96">
        <f t="shared" si="71"/>
        <v>0</v>
      </c>
      <c r="BT36" s="145">
        <f t="shared" si="49"/>
        <v>0</v>
      </c>
      <c r="BU36" s="146">
        <f t="shared" si="16"/>
        <v>1467</v>
      </c>
      <c r="BV36" s="98">
        <f t="shared" si="17"/>
        <v>36</v>
      </c>
      <c r="BW36" s="146">
        <f t="shared" si="18"/>
        <v>27.191011235955056</v>
      </c>
      <c r="BX36" s="153">
        <f t="shared" si="50"/>
        <v>19.692</v>
      </c>
      <c r="BY36" s="61">
        <f t="shared" si="73"/>
        <v>36</v>
      </c>
      <c r="BZ36" s="62">
        <f t="shared" si="51"/>
        <v>36</v>
      </c>
      <c r="CA36" s="98">
        <f t="shared" si="52"/>
        <v>6.5289999999999999</v>
      </c>
      <c r="CB36" s="146">
        <f t="shared" si="19"/>
        <v>1467</v>
      </c>
      <c r="CC36" s="146">
        <f t="shared" si="19"/>
        <v>121</v>
      </c>
      <c r="CD36" s="146">
        <f t="shared" si="19"/>
        <v>27.191011235955056</v>
      </c>
      <c r="CE36" s="99"/>
      <c r="CF36" s="99"/>
      <c r="CG36" s="51">
        <f t="shared" si="53"/>
        <v>13.163</v>
      </c>
      <c r="CH36" s="62">
        <f t="shared" si="54"/>
        <v>13.163</v>
      </c>
      <c r="CI36" s="150"/>
      <c r="CJ36" s="150">
        <v>6529</v>
      </c>
      <c r="CK36" s="150"/>
      <c r="CL36" s="145"/>
      <c r="CM36" s="150"/>
      <c r="CN36" s="150"/>
      <c r="CO36" s="146"/>
      <c r="CP36" s="154"/>
      <c r="CQ36" s="102">
        <f t="shared" si="87"/>
        <v>1467</v>
      </c>
      <c r="CR36" s="102">
        <f t="shared" si="87"/>
        <v>0</v>
      </c>
      <c r="CS36" s="102">
        <f t="shared" si="87"/>
        <v>0</v>
      </c>
      <c r="CT36" s="92">
        <f t="shared" si="56"/>
        <v>0</v>
      </c>
      <c r="CU36" s="92">
        <f t="shared" si="88"/>
        <v>0</v>
      </c>
      <c r="CV36" s="103">
        <f t="shared" si="88"/>
        <v>0</v>
      </c>
      <c r="CW36" s="155" t="s">
        <v>147</v>
      </c>
      <c r="CX36" s="156">
        <v>23</v>
      </c>
      <c r="CY36" s="157">
        <f t="shared" si="58"/>
        <v>1510</v>
      </c>
      <c r="CZ36" s="157">
        <f t="shared" si="59"/>
        <v>93.15</v>
      </c>
      <c r="DA36" s="157"/>
      <c r="DB36" s="157"/>
      <c r="DC36" s="156"/>
      <c r="DD36" s="158"/>
      <c r="DE36" s="92">
        <f t="shared" si="21"/>
        <v>1467</v>
      </c>
      <c r="DF36" s="108">
        <f t="shared" si="22"/>
        <v>36</v>
      </c>
      <c r="DG36" s="112">
        <f t="shared" si="23"/>
        <v>27.191011235955056</v>
      </c>
      <c r="DH36" s="110">
        <f t="shared" si="24"/>
        <v>0</v>
      </c>
      <c r="DI36" s="108">
        <f t="shared" si="25"/>
        <v>0</v>
      </c>
      <c r="DJ36" s="112">
        <f t="shared" si="26"/>
        <v>0</v>
      </c>
      <c r="DK36" s="110">
        <f t="shared" si="86"/>
        <v>1467</v>
      </c>
      <c r="DL36" s="108">
        <f t="shared" si="86"/>
        <v>36</v>
      </c>
      <c r="DM36" s="111">
        <f t="shared" si="86"/>
        <v>27.191011235955056</v>
      </c>
      <c r="DN36" s="76">
        <v>68</v>
      </c>
      <c r="DO36" s="76"/>
      <c r="DP36" s="112"/>
      <c r="DQ36" s="112"/>
      <c r="DR36" s="113" t="s">
        <v>434</v>
      </c>
      <c r="DS36" s="112"/>
      <c r="DT36" s="112"/>
      <c r="DU36" s="111"/>
      <c r="DV36" s="114"/>
      <c r="DW36" s="80">
        <f>IFERROR(AL36+BF36,"")</f>
        <v>36</v>
      </c>
      <c r="DX36" s="159">
        <f t="shared" si="28"/>
        <v>1530.1910112359551</v>
      </c>
      <c r="DY36" s="80">
        <f t="shared" si="62"/>
        <v>1467</v>
      </c>
      <c r="DZ36" s="82">
        <f t="shared" si="63"/>
        <v>0</v>
      </c>
      <c r="EA36" s="82">
        <f t="shared" si="64"/>
        <v>6.5281500000000001</v>
      </c>
      <c r="EB36" s="82">
        <f t="shared" si="65"/>
        <v>13.16385</v>
      </c>
      <c r="EC36" s="82">
        <f t="shared" si="75"/>
        <v>13.16385</v>
      </c>
      <c r="EF36" s="83">
        <f t="shared" si="92"/>
        <v>27.191011235955056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0"/>
        <v>GAA5052-5.7x3-H9A14</v>
      </c>
      <c r="H37" s="46" t="str">
        <f t="shared" si="31"/>
        <v>A5052GA5.70DH9</v>
      </c>
      <c r="I37" s="46" t="str">
        <f t="shared" si="32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3"/>
        <v>18</v>
      </c>
      <c r="T37" s="51">
        <f>'06.02'!BG37</f>
        <v>30</v>
      </c>
      <c r="U37" s="92"/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34"/>
        <v>0</v>
      </c>
      <c r="AF37" s="54">
        <f>AE37+'06.02'!AF37</f>
        <v>2000</v>
      </c>
      <c r="AG37" s="94">
        <f t="shared" si="66"/>
        <v>30</v>
      </c>
      <c r="AH37" s="56">
        <f t="shared" si="13"/>
        <v>0</v>
      </c>
      <c r="AI37" s="93"/>
      <c r="AJ37" s="93">
        <f t="shared" si="67"/>
        <v>0</v>
      </c>
      <c r="AK37" s="95">
        <f t="shared" si="35"/>
        <v>1</v>
      </c>
      <c r="AL37" s="58">
        <f t="shared" si="36"/>
        <v>0</v>
      </c>
      <c r="AM37" s="55">
        <f t="shared" si="68"/>
        <v>30</v>
      </c>
      <c r="AN37" s="93"/>
      <c r="AO37" s="96"/>
      <c r="AP37" s="96"/>
      <c r="AQ37" s="96"/>
      <c r="AR37" s="96"/>
      <c r="AS37" s="96"/>
      <c r="AT37" s="96">
        <f>$CJ37</f>
        <v>0</v>
      </c>
      <c r="AU37" s="96">
        <f t="shared" si="37"/>
        <v>0</v>
      </c>
      <c r="AV37" s="96">
        <f t="shared" si="37"/>
        <v>0</v>
      </c>
      <c r="AW37" s="96">
        <f t="shared" si="38"/>
        <v>0</v>
      </c>
      <c r="AX37" s="96">
        <f t="shared" si="39"/>
        <v>0</v>
      </c>
      <c r="AY37" s="94">
        <f t="shared" si="69"/>
        <v>0</v>
      </c>
      <c r="AZ37" s="94">
        <f t="shared" si="40"/>
        <v>0</v>
      </c>
      <c r="BA37" s="94">
        <f t="shared" si="41"/>
        <v>30</v>
      </c>
      <c r="BB37" s="97">
        <f t="shared" si="42"/>
        <v>0</v>
      </c>
      <c r="BC37" s="93"/>
      <c r="BD37" s="93">
        <f t="shared" si="43"/>
        <v>0</v>
      </c>
      <c r="BE37" s="95">
        <f t="shared" si="44"/>
        <v>1</v>
      </c>
      <c r="BF37" s="58">
        <f t="shared" si="45"/>
        <v>0</v>
      </c>
      <c r="BG37" s="94">
        <f t="shared" si="46"/>
        <v>30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0"/>
        <v>0</v>
      </c>
      <c r="BP37" s="92">
        <f t="shared" si="70"/>
        <v>0</v>
      </c>
      <c r="BQ37" s="96">
        <f t="shared" si="47"/>
        <v>0</v>
      </c>
      <c r="BR37" s="96">
        <f t="shared" si="48"/>
        <v>0</v>
      </c>
      <c r="BS37" s="96">
        <f t="shared" si="71"/>
        <v>0</v>
      </c>
      <c r="BT37" s="96">
        <f t="shared" si="49"/>
        <v>0</v>
      </c>
      <c r="BU37" s="92">
        <f t="shared" si="16"/>
        <v>0</v>
      </c>
      <c r="BV37" s="98">
        <f t="shared" si="17"/>
        <v>0</v>
      </c>
      <c r="BW37" s="92">
        <f t="shared" si="18"/>
        <v>0</v>
      </c>
      <c r="BX37" s="98">
        <f t="shared" si="50"/>
        <v>0</v>
      </c>
      <c r="BY37" s="61">
        <f t="shared" si="73"/>
        <v>0</v>
      </c>
      <c r="BZ37" s="62">
        <f t="shared" si="51"/>
        <v>0</v>
      </c>
      <c r="CA37" s="98">
        <f t="shared" si="52"/>
        <v>0</v>
      </c>
      <c r="CB37" s="92">
        <f t="shared" si="19"/>
        <v>0</v>
      </c>
      <c r="CC37" s="92">
        <f t="shared" si="19"/>
        <v>0</v>
      </c>
      <c r="CD37" s="92">
        <f t="shared" si="19"/>
        <v>0</v>
      </c>
      <c r="CE37" s="99"/>
      <c r="CF37" s="99"/>
      <c r="CG37" s="51">
        <f t="shared" si="53"/>
        <v>0</v>
      </c>
      <c r="CH37" s="62">
        <f t="shared" si="54"/>
        <v>0</v>
      </c>
      <c r="CI37" s="89"/>
      <c r="CJ37" s="89"/>
      <c r="CK37" s="89"/>
      <c r="CL37" s="96"/>
      <c r="CM37" s="89"/>
      <c r="CN37" s="89"/>
      <c r="CO37" s="92"/>
      <c r="CP37" s="101"/>
      <c r="CQ37" s="102">
        <f t="shared" si="87"/>
        <v>0</v>
      </c>
      <c r="CR37" s="102">
        <f t="shared" si="87"/>
        <v>0</v>
      </c>
      <c r="CS37" s="102">
        <f t="shared" si="87"/>
        <v>0</v>
      </c>
      <c r="CT37" s="92">
        <f t="shared" si="56"/>
        <v>0</v>
      </c>
      <c r="CU37" s="92">
        <f t="shared" si="88"/>
        <v>0</v>
      </c>
      <c r="CV37" s="103">
        <f t="shared" si="88"/>
        <v>0</v>
      </c>
      <c r="CW37" s="104" t="s">
        <v>147</v>
      </c>
      <c r="CX37" s="105">
        <v>18</v>
      </c>
      <c r="CY37" s="106">
        <f t="shared" si="58"/>
        <v>2300</v>
      </c>
      <c r="CZ37" s="106">
        <f t="shared" si="59"/>
        <v>72.900000000000006</v>
      </c>
      <c r="DA37" s="106"/>
      <c r="DB37" s="106"/>
      <c r="DC37" s="105"/>
      <c r="DD37" s="107"/>
      <c r="DE37" s="92">
        <f t="shared" si="21"/>
        <v>0</v>
      </c>
      <c r="DF37" s="108">
        <f t="shared" si="22"/>
        <v>0</v>
      </c>
      <c r="DG37" s="112">
        <f t="shared" si="23"/>
        <v>0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6"/>
        <v>0</v>
      </c>
      <c r="DL37" s="108">
        <f t="shared" si="86"/>
        <v>0</v>
      </c>
      <c r="DM37" s="111">
        <f t="shared" si="86"/>
        <v>0</v>
      </c>
      <c r="DN37" s="76">
        <v>30</v>
      </c>
      <c r="DO37" s="76"/>
      <c r="DP37" s="112"/>
      <c r="DQ37" s="112"/>
      <c r="DR37" s="113" t="s">
        <v>435</v>
      </c>
      <c r="DS37" s="112"/>
      <c r="DT37" s="112"/>
      <c r="DU37" s="111"/>
      <c r="DV37" s="114"/>
      <c r="DW37" s="80">
        <f t="shared" si="61"/>
        <v>0</v>
      </c>
      <c r="DX37" s="81">
        <f t="shared" si="28"/>
        <v>0</v>
      </c>
      <c r="DY37" s="80">
        <f t="shared" si="62"/>
        <v>0</v>
      </c>
      <c r="DZ37" s="82">
        <f t="shared" si="63"/>
        <v>0</v>
      </c>
      <c r="EA37" s="82">
        <f t="shared" si="64"/>
        <v>0</v>
      </c>
      <c r="EB37" s="82">
        <f t="shared" si="65"/>
        <v>0</v>
      </c>
      <c r="EC37" s="82">
        <f t="shared" si="75"/>
        <v>0</v>
      </c>
      <c r="EF37" s="83">
        <f t="shared" si="92"/>
        <v>0</v>
      </c>
    </row>
    <row r="38" spans="1:136" s="143" customFormat="1" ht="14.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0"/>
        <v>MESUS303-5x3-H7B13</v>
      </c>
      <c r="H38" s="123" t="str">
        <f t="shared" si="31"/>
        <v>SUS303ME50DH7</v>
      </c>
      <c r="I38" s="123" t="str">
        <f t="shared" si="32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3"/>
        <v>4</v>
      </c>
      <c r="T38" s="51">
        <f>'06.02'!BG38</f>
        <v>0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4"/>
        <v>0</v>
      </c>
      <c r="AF38" s="54">
        <f>AE38+'06.02'!AF38</f>
        <v>0</v>
      </c>
      <c r="AG38" s="94">
        <f t="shared" si="66"/>
        <v>0</v>
      </c>
      <c r="AH38" s="56">
        <f t="shared" si="13"/>
        <v>0</v>
      </c>
      <c r="AI38" s="125"/>
      <c r="AJ38" s="93">
        <f t="shared" si="67"/>
        <v>0</v>
      </c>
      <c r="AK38" s="95">
        <f t="shared" si="35"/>
        <v>1</v>
      </c>
      <c r="AL38" s="58">
        <f t="shared" si="36"/>
        <v>0</v>
      </c>
      <c r="AM38" s="55">
        <f t="shared" si="68"/>
        <v>0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7"/>
        <v>0</v>
      </c>
      <c r="AV38" s="126">
        <f t="shared" si="37"/>
        <v>0</v>
      </c>
      <c r="AW38" s="126">
        <f t="shared" si="38"/>
        <v>0</v>
      </c>
      <c r="AX38" s="126">
        <f t="shared" si="39"/>
        <v>0</v>
      </c>
      <c r="AY38" s="162">
        <f t="shared" si="69"/>
        <v>0</v>
      </c>
      <c r="AZ38" s="94">
        <f t="shared" si="40"/>
        <v>0</v>
      </c>
      <c r="BA38" s="94">
        <f t="shared" si="41"/>
        <v>0</v>
      </c>
      <c r="BB38" s="97">
        <f t="shared" si="42"/>
        <v>0</v>
      </c>
      <c r="BC38" s="125"/>
      <c r="BD38" s="93">
        <f t="shared" si="43"/>
        <v>0</v>
      </c>
      <c r="BE38" s="127">
        <f t="shared" si="44"/>
        <v>1</v>
      </c>
      <c r="BF38" s="58">
        <f t="shared" si="45"/>
        <v>0</v>
      </c>
      <c r="BG38" s="94">
        <f t="shared" si="46"/>
        <v>0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0"/>
        <v>0</v>
      </c>
      <c r="BP38" s="124">
        <f t="shared" si="70"/>
        <v>0</v>
      </c>
      <c r="BQ38" s="126">
        <f t="shared" si="47"/>
        <v>0</v>
      </c>
      <c r="BR38" s="126">
        <f t="shared" si="48"/>
        <v>0</v>
      </c>
      <c r="BS38" s="126">
        <f t="shared" si="71"/>
        <v>0</v>
      </c>
      <c r="BT38" s="126">
        <f t="shared" si="49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0"/>
        <v>0</v>
      </c>
      <c r="BY38" s="129">
        <f t="shared" si="73"/>
        <v>0</v>
      </c>
      <c r="BZ38" s="62">
        <f t="shared" si="51"/>
        <v>0</v>
      </c>
      <c r="CA38" s="128">
        <f t="shared" si="52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3"/>
        <v>0</v>
      </c>
      <c r="CH38" s="62">
        <f t="shared" si="54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7"/>
        <v>0</v>
      </c>
      <c r="CR38" s="102">
        <f t="shared" si="87"/>
        <v>0</v>
      </c>
      <c r="CS38" s="102">
        <f t="shared" si="87"/>
        <v>0</v>
      </c>
      <c r="CT38" s="92">
        <f t="shared" si="56"/>
        <v>0</v>
      </c>
      <c r="CU38" s="92">
        <f t="shared" si="88"/>
        <v>0</v>
      </c>
      <c r="CV38" s="103">
        <f t="shared" si="88"/>
        <v>0</v>
      </c>
      <c r="CW38" s="131" t="s">
        <v>147</v>
      </c>
      <c r="CX38" s="132">
        <v>60</v>
      </c>
      <c r="CY38" s="133">
        <f t="shared" si="58"/>
        <v>714</v>
      </c>
      <c r="CZ38" s="133">
        <f t="shared" si="59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6"/>
        <v>0</v>
      </c>
      <c r="DL38" s="135">
        <f t="shared" si="86"/>
        <v>0</v>
      </c>
      <c r="DM38" s="137">
        <f t="shared" si="86"/>
        <v>0</v>
      </c>
      <c r="DN38" s="76">
        <v>0</v>
      </c>
      <c r="DO38" s="76"/>
      <c r="DP38" s="115"/>
      <c r="DQ38" s="115"/>
      <c r="DR38" s="138" t="s">
        <v>436</v>
      </c>
      <c r="DS38" s="115"/>
      <c r="DT38" s="115"/>
      <c r="DU38" s="137"/>
      <c r="DV38" s="139"/>
      <c r="DW38" s="140">
        <f t="shared" si="61"/>
        <v>0</v>
      </c>
      <c r="DX38" s="141">
        <f t="shared" si="28"/>
        <v>0</v>
      </c>
      <c r="DY38" s="140">
        <f t="shared" si="62"/>
        <v>0</v>
      </c>
      <c r="DZ38" s="142">
        <f t="shared" si="63"/>
        <v>0</v>
      </c>
      <c r="EA38" s="142">
        <f t="shared" si="64"/>
        <v>0</v>
      </c>
      <c r="EB38" s="142">
        <f t="shared" si="65"/>
        <v>0</v>
      </c>
      <c r="EC38" s="142">
        <f t="shared" si="75"/>
        <v>0</v>
      </c>
      <c r="EF38" s="83">
        <f t="shared" si="92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0"/>
        <v>GAA5052-5.7x3-H9A14</v>
      </c>
      <c r="H39" s="46" t="str">
        <f t="shared" si="31"/>
        <v>A5052GA5.70DH9</v>
      </c>
      <c r="I39" s="46" t="str">
        <f t="shared" si="32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3"/>
        <v>10</v>
      </c>
      <c r="T39" s="51">
        <f>'06.02'!BG39</f>
        <v>30</v>
      </c>
      <c r="U39" s="92"/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4"/>
        <v>0</v>
      </c>
      <c r="AF39" s="54">
        <f>AE39+'06.02'!AF39</f>
        <v>0</v>
      </c>
      <c r="AG39" s="94">
        <f t="shared" si="66"/>
        <v>30</v>
      </c>
      <c r="AH39" s="56">
        <f t="shared" si="13"/>
        <v>0</v>
      </c>
      <c r="AI39" s="93"/>
      <c r="AJ39" s="93">
        <f t="shared" si="67"/>
        <v>0</v>
      </c>
      <c r="AK39" s="95">
        <f t="shared" si="35"/>
        <v>1</v>
      </c>
      <c r="AL39" s="58">
        <f t="shared" si="36"/>
        <v>0</v>
      </c>
      <c r="AM39" s="55">
        <f t="shared" si="68"/>
        <v>30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7"/>
        <v>0</v>
      </c>
      <c r="AV39" s="96">
        <f t="shared" si="37"/>
        <v>0</v>
      </c>
      <c r="AW39" s="96">
        <f t="shared" si="38"/>
        <v>0</v>
      </c>
      <c r="AX39" s="96">
        <f t="shared" si="39"/>
        <v>0</v>
      </c>
      <c r="AY39" s="94">
        <f t="shared" si="69"/>
        <v>0</v>
      </c>
      <c r="AZ39" s="94">
        <f t="shared" si="40"/>
        <v>0</v>
      </c>
      <c r="BA39" s="94">
        <f t="shared" si="41"/>
        <v>30</v>
      </c>
      <c r="BB39" s="97">
        <f t="shared" si="42"/>
        <v>0</v>
      </c>
      <c r="BC39" s="93"/>
      <c r="BD39" s="93">
        <f t="shared" si="43"/>
        <v>0</v>
      </c>
      <c r="BE39" s="95">
        <f t="shared" si="44"/>
        <v>1</v>
      </c>
      <c r="BF39" s="58">
        <f t="shared" si="45"/>
        <v>0</v>
      </c>
      <c r="BG39" s="94">
        <f t="shared" si="46"/>
        <v>30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0"/>
        <v>0</v>
      </c>
      <c r="BP39" s="92">
        <f t="shared" si="70"/>
        <v>0</v>
      </c>
      <c r="BQ39" s="96">
        <f t="shared" si="47"/>
        <v>0</v>
      </c>
      <c r="BR39" s="96">
        <f t="shared" si="48"/>
        <v>0</v>
      </c>
      <c r="BS39" s="96">
        <f t="shared" si="71"/>
        <v>0</v>
      </c>
      <c r="BT39" s="96">
        <f t="shared" si="49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0"/>
        <v>0</v>
      </c>
      <c r="BY39" s="61">
        <f t="shared" si="73"/>
        <v>0</v>
      </c>
      <c r="BZ39" s="62">
        <f t="shared" si="51"/>
        <v>0</v>
      </c>
      <c r="CA39" s="98">
        <f t="shared" si="52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3"/>
        <v>0</v>
      </c>
      <c r="CH39" s="62">
        <f t="shared" si="54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7"/>
        <v>0</v>
      </c>
      <c r="CR39" s="102">
        <f t="shared" si="87"/>
        <v>0</v>
      </c>
      <c r="CS39" s="102">
        <f t="shared" si="87"/>
        <v>0</v>
      </c>
      <c r="CT39" s="92">
        <f t="shared" si="56"/>
        <v>0</v>
      </c>
      <c r="CU39" s="92">
        <f t="shared" si="88"/>
        <v>0</v>
      </c>
      <c r="CV39" s="103">
        <f t="shared" si="88"/>
        <v>0</v>
      </c>
      <c r="CW39" s="104" t="s">
        <v>147</v>
      </c>
      <c r="CX39" s="105">
        <v>35</v>
      </c>
      <c r="CY39" s="106">
        <f t="shared" si="58"/>
        <v>1203</v>
      </c>
      <c r="CZ39" s="106">
        <f t="shared" si="59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6"/>
        <v>0</v>
      </c>
      <c r="DL39" s="108">
        <f t="shared" si="86"/>
        <v>0</v>
      </c>
      <c r="DM39" s="111">
        <f t="shared" si="86"/>
        <v>0</v>
      </c>
      <c r="DN39" s="76">
        <v>30</v>
      </c>
      <c r="DO39" s="76"/>
      <c r="DP39" s="112"/>
      <c r="DQ39" s="112"/>
      <c r="DR39" s="113" t="s">
        <v>437</v>
      </c>
      <c r="DS39" s="112"/>
      <c r="DT39" s="112"/>
      <c r="DU39" s="111"/>
      <c r="DV39" s="114"/>
      <c r="DW39" s="80">
        <f t="shared" si="61"/>
        <v>0</v>
      </c>
      <c r="DX39" s="81">
        <f t="shared" si="28"/>
        <v>0</v>
      </c>
      <c r="DY39" s="80">
        <f t="shared" si="62"/>
        <v>0</v>
      </c>
      <c r="DZ39" s="82">
        <f t="shared" si="63"/>
        <v>0</v>
      </c>
      <c r="EA39" s="82">
        <f t="shared" si="64"/>
        <v>0</v>
      </c>
      <c r="EB39" s="82">
        <f t="shared" si="65"/>
        <v>0</v>
      </c>
      <c r="EC39" s="82">
        <f t="shared" si="75"/>
        <v>0</v>
      </c>
      <c r="EF39" s="83">
        <f t="shared" si="92"/>
        <v>0</v>
      </c>
    </row>
    <row r="40" spans="1:136" ht="14.1" customHeight="1">
      <c r="A40" s="84">
        <v>33</v>
      </c>
      <c r="B40" s="85" t="s">
        <v>232</v>
      </c>
      <c r="C40" s="86"/>
      <c r="D40" s="87" t="s">
        <v>233</v>
      </c>
      <c r="E40" s="88">
        <v>1166</v>
      </c>
      <c r="F40" s="89" t="s">
        <v>147</v>
      </c>
      <c r="G40" s="45" t="str">
        <f t="shared" si="30"/>
        <v>IBC3604-5x3-H9B14</v>
      </c>
      <c r="H40" s="46" t="str">
        <f t="shared" si="31"/>
        <v>C3604IB50DH9</v>
      </c>
      <c r="I40" s="46" t="str">
        <f t="shared" si="32"/>
        <v>C3604IB50DH93B14</v>
      </c>
      <c r="J40" s="90" t="s">
        <v>148</v>
      </c>
      <c r="K40" s="90" t="s">
        <v>156</v>
      </c>
      <c r="L40" s="90">
        <v>5</v>
      </c>
      <c r="M40" s="90">
        <v>0</v>
      </c>
      <c r="N40" s="90" t="s">
        <v>128</v>
      </c>
      <c r="O40" s="90" t="s">
        <v>131</v>
      </c>
      <c r="P40" s="90">
        <v>3</v>
      </c>
      <c r="Q40" s="91">
        <v>0.5</v>
      </c>
      <c r="R40" s="160" t="s">
        <v>171</v>
      </c>
      <c r="S40" s="89">
        <f t="shared" si="33"/>
        <v>6</v>
      </c>
      <c r="T40" s="51">
        <f>'06.02'!BG40</f>
        <v>21</v>
      </c>
      <c r="U40" s="92"/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8480</v>
      </c>
      <c r="AC40" s="93">
        <f t="shared" si="11"/>
        <v>0</v>
      </c>
      <c r="AD40" s="93">
        <f t="shared" si="12"/>
        <v>0</v>
      </c>
      <c r="AE40" s="93">
        <f t="shared" si="34"/>
        <v>8480</v>
      </c>
      <c r="AF40" s="54">
        <f>AE40+'06.02'!AF40</f>
        <v>47872</v>
      </c>
      <c r="AG40" s="94">
        <f t="shared" si="66"/>
        <v>21</v>
      </c>
      <c r="AH40" s="56">
        <f t="shared" si="13"/>
        <v>0</v>
      </c>
      <c r="AI40" s="93">
        <v>4</v>
      </c>
      <c r="AJ40" s="93">
        <f t="shared" si="67"/>
        <v>0</v>
      </c>
      <c r="AK40" s="95">
        <f t="shared" si="35"/>
        <v>1</v>
      </c>
      <c r="AL40" s="58">
        <f t="shared" si="36"/>
        <v>4</v>
      </c>
      <c r="AM40" s="55">
        <f t="shared" si="68"/>
        <v>17</v>
      </c>
      <c r="AN40" s="93"/>
      <c r="AO40" s="96"/>
      <c r="AP40" s="96"/>
      <c r="AQ40" s="96"/>
      <c r="AR40" s="96"/>
      <c r="AS40" s="96"/>
      <c r="AT40" s="96">
        <f>$CJ40</f>
        <v>600</v>
      </c>
      <c r="AU40" s="96">
        <f t="shared" si="37"/>
        <v>0</v>
      </c>
      <c r="AV40" s="96">
        <f t="shared" si="37"/>
        <v>0</v>
      </c>
      <c r="AW40" s="96">
        <f>SUM(AO40:AV40)</f>
        <v>600</v>
      </c>
      <c r="AX40" s="96">
        <f>IF(V40="","",INT(AW40/$V40))</f>
        <v>4800</v>
      </c>
      <c r="AY40" s="94">
        <f t="shared" si="69"/>
        <v>17</v>
      </c>
      <c r="AZ40" s="94">
        <f t="shared" si="40"/>
        <v>136</v>
      </c>
      <c r="BA40" s="94">
        <f t="shared" si="41"/>
        <v>17</v>
      </c>
      <c r="BB40" s="97">
        <f t="shared" si="42"/>
        <v>0</v>
      </c>
      <c r="BC40" s="93">
        <v>3</v>
      </c>
      <c r="BD40" s="93">
        <f t="shared" si="43"/>
        <v>0</v>
      </c>
      <c r="BE40" s="95">
        <f t="shared" si="44"/>
        <v>1</v>
      </c>
      <c r="BF40" s="58">
        <f t="shared" si="45"/>
        <v>3</v>
      </c>
      <c r="BG40" s="94">
        <f t="shared" si="46"/>
        <v>14</v>
      </c>
      <c r="BH40" s="89"/>
      <c r="BI40" s="89"/>
      <c r="BJ40" s="89"/>
      <c r="BK40" s="89"/>
      <c r="BL40" s="92"/>
      <c r="BM40" s="92"/>
      <c r="BN40" s="92">
        <f>$CN40</f>
        <v>460</v>
      </c>
      <c r="BO40" s="92">
        <f t="shared" si="70"/>
        <v>0</v>
      </c>
      <c r="BP40" s="92">
        <f t="shared" si="70"/>
        <v>0</v>
      </c>
      <c r="BQ40" s="96">
        <f t="shared" si="47"/>
        <v>460</v>
      </c>
      <c r="BR40" s="96">
        <f t="shared" si="48"/>
        <v>3680</v>
      </c>
      <c r="BS40" s="96">
        <f t="shared" si="71"/>
        <v>22.75</v>
      </c>
      <c r="BT40" s="96">
        <f t="shared" si="49"/>
        <v>182</v>
      </c>
      <c r="BU40" s="92">
        <f t="shared" si="16"/>
        <v>8480</v>
      </c>
      <c r="BV40" s="98">
        <f t="shared" si="17"/>
        <v>7</v>
      </c>
      <c r="BW40" s="92">
        <f t="shared" si="18"/>
        <v>318</v>
      </c>
      <c r="BX40" s="98">
        <f t="shared" si="50"/>
        <v>3.5</v>
      </c>
      <c r="BY40" s="61">
        <f t="shared" si="73"/>
        <v>7</v>
      </c>
      <c r="BZ40" s="62">
        <f t="shared" si="51"/>
        <v>7</v>
      </c>
      <c r="CA40" s="98">
        <f t="shared" si="52"/>
        <v>1.06</v>
      </c>
      <c r="CB40" s="92">
        <f t="shared" ref="CB40:CD71" si="98">IFERROR(BR40+AX40,"")</f>
        <v>8480</v>
      </c>
      <c r="CC40" s="92">
        <f t="shared" si="98"/>
        <v>39.75</v>
      </c>
      <c r="CD40" s="92">
        <f t="shared" si="98"/>
        <v>318</v>
      </c>
      <c r="CE40" s="99"/>
      <c r="CF40" s="99"/>
      <c r="CG40" s="51">
        <f t="shared" si="53"/>
        <v>2.44</v>
      </c>
      <c r="CH40" s="62">
        <f t="shared" si="54"/>
        <v>2.44</v>
      </c>
      <c r="CI40" s="89"/>
      <c r="CJ40" s="89">
        <v>600</v>
      </c>
      <c r="CK40" s="89"/>
      <c r="CL40" s="96"/>
      <c r="CM40" s="89"/>
      <c r="CN40" s="89">
        <v>460</v>
      </c>
      <c r="CO40" s="92"/>
      <c r="CP40" s="101"/>
      <c r="CQ40" s="102">
        <f t="shared" si="87"/>
        <v>4800</v>
      </c>
      <c r="CR40" s="102">
        <f t="shared" si="87"/>
        <v>0</v>
      </c>
      <c r="CS40" s="102">
        <f t="shared" si="87"/>
        <v>0</v>
      </c>
      <c r="CT40" s="92">
        <f t="shared" si="56"/>
        <v>3680</v>
      </c>
      <c r="CU40" s="92">
        <f t="shared" si="88"/>
        <v>0</v>
      </c>
      <c r="CV40" s="103">
        <f t="shared" si="88"/>
        <v>0</v>
      </c>
      <c r="CW40" s="104" t="s">
        <v>147</v>
      </c>
      <c r="CX40" s="105">
        <v>11</v>
      </c>
      <c r="CY40" s="106">
        <f t="shared" si="58"/>
        <v>3861</v>
      </c>
      <c r="CZ40" s="106">
        <f t="shared" si="59"/>
        <v>44.550000000000004</v>
      </c>
      <c r="DA40" s="106"/>
      <c r="DB40" s="106"/>
      <c r="DC40" s="105"/>
      <c r="DD40" s="107"/>
      <c r="DE40" s="92">
        <f t="shared" si="21"/>
        <v>4800</v>
      </c>
      <c r="DF40" s="108">
        <f t="shared" si="22"/>
        <v>4</v>
      </c>
      <c r="DG40" s="112">
        <f t="shared" si="23"/>
        <v>136</v>
      </c>
      <c r="DH40" s="110">
        <f t="shared" si="24"/>
        <v>3680</v>
      </c>
      <c r="DI40" s="108">
        <f t="shared" si="25"/>
        <v>3</v>
      </c>
      <c r="DJ40" s="112">
        <f t="shared" si="26"/>
        <v>182</v>
      </c>
      <c r="DK40" s="110">
        <f t="shared" si="86"/>
        <v>8480</v>
      </c>
      <c r="DL40" s="108">
        <f t="shared" si="86"/>
        <v>7</v>
      </c>
      <c r="DM40" s="111">
        <f t="shared" si="86"/>
        <v>318</v>
      </c>
      <c r="DN40" s="76">
        <v>14</v>
      </c>
      <c r="DO40" s="76"/>
      <c r="DP40" s="112"/>
      <c r="DQ40" s="112"/>
      <c r="DR40" s="113" t="s">
        <v>497</v>
      </c>
      <c r="DS40" s="112"/>
      <c r="DT40" s="112"/>
      <c r="DU40" s="111"/>
      <c r="DV40" s="114"/>
      <c r="DW40" s="80">
        <f t="shared" ref="DW40:DW42" si="99">IFERROR(AL40+BF40,"")</f>
        <v>7</v>
      </c>
      <c r="DX40" s="81">
        <f t="shared" si="28"/>
        <v>8805</v>
      </c>
      <c r="DY40" s="80">
        <f t="shared" si="62"/>
        <v>8480</v>
      </c>
      <c r="DZ40" s="82">
        <f t="shared" si="63"/>
        <v>0</v>
      </c>
      <c r="EA40" s="82">
        <f t="shared" si="64"/>
        <v>1.06</v>
      </c>
      <c r="EB40" s="82">
        <f t="shared" si="65"/>
        <v>2.44</v>
      </c>
      <c r="EC40" s="82">
        <f t="shared" ref="EC40:EC42" si="100">(BX40-CA40)+((AV40+BP40)/1000)</f>
        <v>2.44</v>
      </c>
      <c r="EF40" s="83">
        <f t="shared" si="92"/>
        <v>318</v>
      </c>
    </row>
    <row r="41" spans="1:136" ht="13.5" customHeight="1">
      <c r="A41" s="84">
        <v>34</v>
      </c>
      <c r="B41" s="85" t="s">
        <v>236</v>
      </c>
      <c r="C41" s="86"/>
      <c r="D41" s="119" t="s">
        <v>237</v>
      </c>
      <c r="E41" s="88">
        <v>394</v>
      </c>
      <c r="F41" s="89" t="s">
        <v>147</v>
      </c>
      <c r="G41" s="45" t="str">
        <f t="shared" si="30"/>
        <v>MESUS303Cu-3x3-H9A14</v>
      </c>
      <c r="H41" s="46" t="str">
        <f t="shared" si="31"/>
        <v>SUS303CuME30DH9</v>
      </c>
      <c r="I41" s="46" t="str">
        <f t="shared" si="32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3"/>
        <v>18</v>
      </c>
      <c r="T41" s="51">
        <f>'06.02'!BG41</f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4"/>
        <v>0</v>
      </c>
      <c r="AF41" s="54">
        <f>AE41+'06.02'!AF41</f>
        <v>0</v>
      </c>
      <c r="AG41" s="94">
        <f t="shared" si="66"/>
        <v>10</v>
      </c>
      <c r="AH41" s="56">
        <f t="shared" si="13"/>
        <v>0</v>
      </c>
      <c r="AI41" s="93"/>
      <c r="AJ41" s="93">
        <f t="shared" si="67"/>
        <v>0</v>
      </c>
      <c r="AK41" s="95">
        <f t="shared" si="35"/>
        <v>1</v>
      </c>
      <c r="AL41" s="58">
        <f t="shared" si="36"/>
        <v>0</v>
      </c>
      <c r="AM41" s="55">
        <f t="shared" si="68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7"/>
        <v>0</v>
      </c>
      <c r="AV41" s="96">
        <f t="shared" si="37"/>
        <v>0</v>
      </c>
      <c r="AW41" s="96">
        <f>SUM(AO41:AV41)</f>
        <v>0</v>
      </c>
      <c r="AX41" s="96">
        <f>IF(V41="","",INT(AW41/$V41))</f>
        <v>0</v>
      </c>
      <c r="AY41" s="94">
        <f t="shared" si="69"/>
        <v>0</v>
      </c>
      <c r="AZ41" s="94">
        <f t="shared" si="40"/>
        <v>0</v>
      </c>
      <c r="BA41" s="94">
        <f t="shared" si="41"/>
        <v>10</v>
      </c>
      <c r="BB41" s="97">
        <f t="shared" si="42"/>
        <v>0</v>
      </c>
      <c r="BC41" s="93"/>
      <c r="BD41" s="93">
        <f t="shared" si="43"/>
        <v>0</v>
      </c>
      <c r="BE41" s="95">
        <f t="shared" si="44"/>
        <v>1</v>
      </c>
      <c r="BF41" s="58">
        <f t="shared" si="45"/>
        <v>0</v>
      </c>
      <c r="BG41" s="94">
        <f t="shared" si="46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0"/>
        <v>0</v>
      </c>
      <c r="BP41" s="92">
        <f t="shared" si="70"/>
        <v>0</v>
      </c>
      <c r="BQ41" s="96">
        <f t="shared" si="47"/>
        <v>0</v>
      </c>
      <c r="BR41" s="96">
        <f>IF(AA41="","",INT(BQ41/$V41))</f>
        <v>0</v>
      </c>
      <c r="BS41" s="96">
        <f t="shared" si="71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0"/>
        <v>0</v>
      </c>
      <c r="BY41" s="61">
        <f t="shared" si="73"/>
        <v>0</v>
      </c>
      <c r="BZ41" s="62">
        <f t="shared" si="51"/>
        <v>0</v>
      </c>
      <c r="CA41" s="98">
        <f t="shared" si="52"/>
        <v>0</v>
      </c>
      <c r="CB41" s="92">
        <f t="shared" si="98"/>
        <v>0</v>
      </c>
      <c r="CC41" s="92">
        <f t="shared" si="98"/>
        <v>0</v>
      </c>
      <c r="CD41" s="92">
        <f t="shared" si="98"/>
        <v>0</v>
      </c>
      <c r="CE41" s="99"/>
      <c r="CF41" s="99"/>
      <c r="CG41" s="51">
        <f t="shared" si="53"/>
        <v>0</v>
      </c>
      <c r="CH41" s="62">
        <f t="shared" si="54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101">INT(IFERROR( CJ41/$V41,0))</f>
        <v>0</v>
      </c>
      <c r="CR41" s="102">
        <f t="shared" si="101"/>
        <v>0</v>
      </c>
      <c r="CS41" s="102">
        <f t="shared" si="101"/>
        <v>0</v>
      </c>
      <c r="CT41" s="92">
        <f t="shared" si="56"/>
        <v>0</v>
      </c>
      <c r="CU41" s="92">
        <f t="shared" ref="CU41:CV103" si="102">INT(IFERROR( AC41-CR41,0))</f>
        <v>0</v>
      </c>
      <c r="CV41" s="103">
        <f t="shared" si="102"/>
        <v>0</v>
      </c>
      <c r="CW41" s="104" t="s">
        <v>147</v>
      </c>
      <c r="CX41" s="105">
        <v>12</v>
      </c>
      <c r="CY41" s="106">
        <f t="shared" si="58"/>
        <v>3450</v>
      </c>
      <c r="CZ41" s="106">
        <f t="shared" si="59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6"/>
        <v>0</v>
      </c>
      <c r="DL41" s="108">
        <f t="shared" si="86"/>
        <v>0</v>
      </c>
      <c r="DM41" s="111">
        <f t="shared" si="86"/>
        <v>0</v>
      </c>
      <c r="DN41" s="76">
        <v>10</v>
      </c>
      <c r="DO41" s="76"/>
      <c r="DP41" s="112"/>
      <c r="DQ41" s="112"/>
      <c r="DR41" s="113" t="s">
        <v>439</v>
      </c>
      <c r="DS41" s="112"/>
      <c r="DT41" s="112"/>
      <c r="DU41" s="111"/>
      <c r="DV41" s="114"/>
      <c r="DW41" s="80">
        <f t="shared" si="99"/>
        <v>0</v>
      </c>
      <c r="DX41" s="81">
        <f t="shared" si="28"/>
        <v>0</v>
      </c>
      <c r="DY41" s="80">
        <f t="shared" si="62"/>
        <v>0</v>
      </c>
      <c r="DZ41" s="82">
        <f t="shared" si="63"/>
        <v>0</v>
      </c>
      <c r="EA41" s="82">
        <f t="shared" si="64"/>
        <v>0</v>
      </c>
      <c r="EB41" s="82">
        <f t="shared" si="65"/>
        <v>0</v>
      </c>
      <c r="EC41" s="82">
        <f t="shared" si="100"/>
        <v>0</v>
      </c>
      <c r="EF41" s="83">
        <f t="shared" si="92"/>
        <v>0</v>
      </c>
    </row>
    <row r="42" spans="1:136" ht="15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0"/>
        <v>IBC3604-6x3-H9C13</v>
      </c>
      <c r="H42" s="46" t="str">
        <f t="shared" si="31"/>
        <v>C3604IB60DH9</v>
      </c>
      <c r="I42" s="46" t="str">
        <f t="shared" si="32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3"/>
        <v>42</v>
      </c>
      <c r="T42" s="51">
        <f>'05.02'!BG42</f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4"/>
        <v>0</v>
      </c>
      <c r="AF42" s="54">
        <f>AE42+'06.02'!AF42</f>
        <v>0</v>
      </c>
      <c r="AG42" s="94">
        <f t="shared" si="66"/>
        <v>0</v>
      </c>
      <c r="AH42" s="56">
        <f t="shared" si="13"/>
        <v>0</v>
      </c>
      <c r="AI42" s="93"/>
      <c r="AJ42" s="93">
        <f t="shared" si="67"/>
        <v>0</v>
      </c>
      <c r="AK42" s="95">
        <f t="shared" si="35"/>
        <v>1</v>
      </c>
      <c r="AL42" s="58">
        <f t="shared" si="36"/>
        <v>0</v>
      </c>
      <c r="AM42" s="55">
        <f t="shared" si="68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7"/>
        <v>0</v>
      </c>
      <c r="AV42" s="96">
        <f t="shared" si="37"/>
        <v>0</v>
      </c>
      <c r="AW42" s="96">
        <f t="shared" si="38"/>
        <v>0</v>
      </c>
      <c r="AX42" s="96">
        <f t="shared" si="39"/>
        <v>0</v>
      </c>
      <c r="AY42" s="94">
        <f t="shared" si="69"/>
        <v>0</v>
      </c>
      <c r="AZ42" s="94">
        <f t="shared" si="40"/>
        <v>0</v>
      </c>
      <c r="BA42" s="94">
        <f t="shared" si="41"/>
        <v>0</v>
      </c>
      <c r="BB42" s="97">
        <f t="shared" si="42"/>
        <v>0</v>
      </c>
      <c r="BC42" s="93"/>
      <c r="BD42" s="93">
        <f t="shared" si="43"/>
        <v>0</v>
      </c>
      <c r="BE42" s="95">
        <f t="shared" si="44"/>
        <v>1</v>
      </c>
      <c r="BF42" s="58">
        <f t="shared" si="45"/>
        <v>0</v>
      </c>
      <c r="BG42" s="94">
        <f t="shared" si="46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0"/>
        <v>0</v>
      </c>
      <c r="BP42" s="92">
        <f t="shared" si="70"/>
        <v>0</v>
      </c>
      <c r="BQ42" s="96">
        <f t="shared" si="47"/>
        <v>0</v>
      </c>
      <c r="BR42" s="96">
        <f t="shared" si="48"/>
        <v>0</v>
      </c>
      <c r="BS42" s="96">
        <f t="shared" si="71"/>
        <v>0</v>
      </c>
      <c r="BT42" s="96">
        <f t="shared" si="49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0"/>
        <v>0</v>
      </c>
      <c r="BY42" s="61">
        <f t="shared" si="73"/>
        <v>0</v>
      </c>
      <c r="BZ42" s="62">
        <f t="shared" si="51"/>
        <v>0</v>
      </c>
      <c r="CA42" s="98">
        <f t="shared" si="52"/>
        <v>0</v>
      </c>
      <c r="CB42" s="92">
        <f t="shared" si="98"/>
        <v>0</v>
      </c>
      <c r="CC42" s="92">
        <f t="shared" si="98"/>
        <v>0</v>
      </c>
      <c r="CD42" s="92">
        <f t="shared" si="98"/>
        <v>0</v>
      </c>
      <c r="CE42" s="99"/>
      <c r="CF42" s="99"/>
      <c r="CG42" s="51">
        <f t="shared" si="53"/>
        <v>0</v>
      </c>
      <c r="CH42" s="62">
        <f t="shared" si="54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101"/>
        <v>0</v>
      </c>
      <c r="CR42" s="102">
        <f t="shared" si="101"/>
        <v>0</v>
      </c>
      <c r="CS42" s="102">
        <f t="shared" si="101"/>
        <v>0</v>
      </c>
      <c r="CT42" s="92">
        <f t="shared" si="56"/>
        <v>0</v>
      </c>
      <c r="CU42" s="92">
        <f t="shared" si="102"/>
        <v>0</v>
      </c>
      <c r="CV42" s="103">
        <f t="shared" si="102"/>
        <v>0</v>
      </c>
      <c r="CW42" s="104" t="s">
        <v>147</v>
      </c>
      <c r="CX42" s="105">
        <v>24</v>
      </c>
      <c r="CY42" s="106">
        <f t="shared" si="58"/>
        <v>1620</v>
      </c>
      <c r="CZ42" s="106">
        <f t="shared" si="59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6"/>
        <v>0</v>
      </c>
      <c r="DL42" s="108">
        <f t="shared" si="86"/>
        <v>0</v>
      </c>
      <c r="DM42" s="111">
        <f t="shared" si="86"/>
        <v>0</v>
      </c>
      <c r="DN42" s="76">
        <f t="shared" si="89"/>
        <v>0</v>
      </c>
      <c r="DO42" s="76">
        <f t="shared" si="89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99"/>
        <v>0</v>
      </c>
      <c r="DX42" s="81">
        <f t="shared" si="28"/>
        <v>0</v>
      </c>
      <c r="DY42" s="80">
        <f t="shared" si="62"/>
        <v>0</v>
      </c>
      <c r="DZ42" s="82">
        <f t="shared" si="63"/>
        <v>0</v>
      </c>
      <c r="EA42" s="82">
        <f t="shared" si="64"/>
        <v>0</v>
      </c>
      <c r="EB42" s="82">
        <f t="shared" si="65"/>
        <v>0</v>
      </c>
      <c r="EC42" s="82">
        <f t="shared" si="100"/>
        <v>0</v>
      </c>
      <c r="EF42" s="83">
        <f t="shared" si="92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0"/>
        <v>IBC3604-5.5x3-H9A14</v>
      </c>
      <c r="H43" s="46" t="str">
        <f t="shared" si="31"/>
        <v>C3604IB5.50DH9</v>
      </c>
      <c r="I43" s="46" t="str">
        <f t="shared" si="32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3"/>
        <v>16</v>
      </c>
      <c r="T43" s="51">
        <f>'06.02'!BG43</f>
        <v>60</v>
      </c>
      <c r="U43" s="92"/>
      <c r="V43" s="100">
        <v>1.1000000000000001</v>
      </c>
      <c r="W43" s="93">
        <f t="shared" si="5"/>
        <v>0</v>
      </c>
      <c r="X43" s="93">
        <f t="shared" si="6"/>
        <v>7563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9</v>
      </c>
      <c r="AE43" s="93">
        <f t="shared" si="34"/>
        <v>7563</v>
      </c>
      <c r="AF43" s="54">
        <f>AE43+'06.02'!AF43</f>
        <v>47170</v>
      </c>
      <c r="AG43" s="94">
        <f t="shared" si="66"/>
        <v>60</v>
      </c>
      <c r="AH43" s="56">
        <f t="shared" si="13"/>
        <v>0</v>
      </c>
      <c r="AI43" s="93">
        <v>22</v>
      </c>
      <c r="AJ43" s="93">
        <f t="shared" si="67"/>
        <v>0</v>
      </c>
      <c r="AK43" s="95">
        <f t="shared" si="35"/>
        <v>1</v>
      </c>
      <c r="AL43" s="58">
        <f t="shared" si="36"/>
        <v>22</v>
      </c>
      <c r="AM43" s="55">
        <f t="shared" si="68"/>
        <v>38</v>
      </c>
      <c r="AN43" s="93"/>
      <c r="AO43" s="96"/>
      <c r="AP43" s="96">
        <f>$CJ43</f>
        <v>3892</v>
      </c>
      <c r="AQ43" s="96"/>
      <c r="AR43" s="96"/>
      <c r="AS43" s="96"/>
      <c r="AT43" s="96"/>
      <c r="AU43" s="96">
        <f>CK43</f>
        <v>0</v>
      </c>
      <c r="AV43" s="96">
        <f>CL43</f>
        <v>10</v>
      </c>
      <c r="AW43" s="96">
        <f>SUM(AO43:AV43)</f>
        <v>3902</v>
      </c>
      <c r="AX43" s="96">
        <f>IF(V43="","",INT(AW43/$V43))</f>
        <v>3547</v>
      </c>
      <c r="AY43" s="94">
        <f t="shared" si="69"/>
        <v>-42.600000000000364</v>
      </c>
      <c r="AZ43" s="94">
        <f t="shared" si="40"/>
        <v>-38.727272727273053</v>
      </c>
      <c r="BA43" s="94">
        <f t="shared" si="41"/>
        <v>38</v>
      </c>
      <c r="BB43" s="97">
        <f t="shared" si="42"/>
        <v>0</v>
      </c>
      <c r="BC43" s="93">
        <v>25</v>
      </c>
      <c r="BD43" s="93">
        <f t="shared" si="43"/>
        <v>0</v>
      </c>
      <c r="BE43" s="95">
        <f t="shared" si="44"/>
        <v>1</v>
      </c>
      <c r="BF43" s="58">
        <f t="shared" si="45"/>
        <v>25</v>
      </c>
      <c r="BG43" s="94">
        <f t="shared" si="46"/>
        <v>13</v>
      </c>
      <c r="BH43" s="89"/>
      <c r="BI43" s="89"/>
      <c r="BJ43" s="92">
        <f>$CN43</f>
        <v>4428</v>
      </c>
      <c r="BK43" s="89"/>
      <c r="BL43" s="89"/>
      <c r="BM43" s="92"/>
      <c r="BN43" s="89"/>
      <c r="BO43" s="92">
        <f t="shared" si="70"/>
        <v>0</v>
      </c>
      <c r="BP43" s="92">
        <f t="shared" si="70"/>
        <v>0</v>
      </c>
      <c r="BQ43" s="96">
        <f t="shared" si="47"/>
        <v>4428</v>
      </c>
      <c r="BR43" s="96">
        <f>IF(AA43="","",INT(BQ43/$V43))</f>
        <v>4025</v>
      </c>
      <c r="BS43" s="96">
        <f t="shared" si="71"/>
        <v>-54.5</v>
      </c>
      <c r="BT43" s="96">
        <f t="shared" si="49"/>
        <v>-49.54545454545454</v>
      </c>
      <c r="BU43" s="92">
        <f t="shared" si="16"/>
        <v>7563</v>
      </c>
      <c r="BV43" s="98">
        <f t="shared" si="17"/>
        <v>47</v>
      </c>
      <c r="BW43" s="92">
        <f t="shared" si="18"/>
        <v>-88.272727272727593</v>
      </c>
      <c r="BX43" s="98">
        <f t="shared" si="50"/>
        <v>28.387999999999998</v>
      </c>
      <c r="BY43" s="61">
        <f t="shared" si="73"/>
        <v>47</v>
      </c>
      <c r="BZ43" s="62">
        <f t="shared" si="51"/>
        <v>47</v>
      </c>
      <c r="CA43" s="98">
        <f t="shared" si="52"/>
        <v>8.33</v>
      </c>
      <c r="CB43" s="92">
        <f t="shared" si="98"/>
        <v>7572</v>
      </c>
      <c r="CC43" s="92">
        <f t="shared" si="98"/>
        <v>-97.100000000000364</v>
      </c>
      <c r="CD43" s="92">
        <f t="shared" si="98"/>
        <v>-88.272727272727593</v>
      </c>
      <c r="CE43" s="99"/>
      <c r="CF43" s="99"/>
      <c r="CG43" s="51">
        <f t="shared" si="53"/>
        <v>20.068000000000001</v>
      </c>
      <c r="CH43" s="62">
        <f t="shared" si="54"/>
        <v>20.068000000000001</v>
      </c>
      <c r="CI43" s="89"/>
      <c r="CJ43" s="89">
        <v>3892</v>
      </c>
      <c r="CK43" s="89"/>
      <c r="CL43" s="96">
        <v>10</v>
      </c>
      <c r="CM43" s="89"/>
      <c r="CN43" s="89">
        <v>4428</v>
      </c>
      <c r="CO43" s="92"/>
      <c r="CP43" s="101"/>
      <c r="CQ43" s="102">
        <f t="shared" si="101"/>
        <v>3538</v>
      </c>
      <c r="CR43" s="102">
        <f t="shared" si="101"/>
        <v>0</v>
      </c>
      <c r="CS43" s="102">
        <f t="shared" si="101"/>
        <v>9</v>
      </c>
      <c r="CT43" s="92">
        <f t="shared" si="56"/>
        <v>4025</v>
      </c>
      <c r="CU43" s="92">
        <f t="shared" si="102"/>
        <v>0</v>
      </c>
      <c r="CV43" s="103">
        <f t="shared" si="102"/>
        <v>0</v>
      </c>
      <c r="CW43" s="104" t="s">
        <v>147</v>
      </c>
      <c r="CX43" s="105">
        <v>32</v>
      </c>
      <c r="CY43" s="106">
        <f t="shared" si="58"/>
        <v>1299</v>
      </c>
      <c r="CZ43" s="106">
        <f t="shared" si="59"/>
        <v>129.60000000000002</v>
      </c>
      <c r="DA43" s="106"/>
      <c r="DB43" s="106"/>
      <c r="DC43" s="105"/>
      <c r="DD43" s="107"/>
      <c r="DE43" s="92">
        <f t="shared" si="21"/>
        <v>3538</v>
      </c>
      <c r="DF43" s="108">
        <f t="shared" si="22"/>
        <v>22</v>
      </c>
      <c r="DG43" s="115">
        <f t="shared" si="23"/>
        <v>-38.727272727273053</v>
      </c>
      <c r="DH43" s="110">
        <f t="shared" si="24"/>
        <v>4025</v>
      </c>
      <c r="DI43" s="108">
        <f t="shared" si="25"/>
        <v>25</v>
      </c>
      <c r="DJ43" s="112">
        <f t="shared" si="26"/>
        <v>-49.54545454545454</v>
      </c>
      <c r="DK43" s="110">
        <f t="shared" si="86"/>
        <v>7563</v>
      </c>
      <c r="DL43" s="108">
        <f t="shared" si="86"/>
        <v>47</v>
      </c>
      <c r="DM43" s="111">
        <f t="shared" si="86"/>
        <v>-88.272727272727593</v>
      </c>
      <c r="DN43" s="76">
        <v>13</v>
      </c>
      <c r="DO43" s="76"/>
      <c r="DP43" s="112"/>
      <c r="DQ43" s="112"/>
      <c r="DR43" s="113" t="s">
        <v>440</v>
      </c>
      <c r="DS43" s="112"/>
      <c r="DT43" s="112"/>
      <c r="DU43" s="111"/>
      <c r="DV43" s="114"/>
      <c r="DW43" s="80">
        <f t="shared" si="61"/>
        <v>7610</v>
      </c>
      <c r="DX43" s="81">
        <f t="shared" si="28"/>
        <v>7521.7272727272721</v>
      </c>
      <c r="DY43" s="80">
        <f t="shared" si="62"/>
        <v>7572</v>
      </c>
      <c r="DZ43" s="82">
        <f t="shared" si="63"/>
        <v>9.9000000000000008E-3</v>
      </c>
      <c r="EA43" s="82">
        <f t="shared" si="64"/>
        <v>8.3193000000000019</v>
      </c>
      <c r="EB43" s="82">
        <f t="shared" si="65"/>
        <v>20.068699999999996</v>
      </c>
      <c r="EC43" s="82">
        <f t="shared" si="75"/>
        <v>20.078599999999994</v>
      </c>
      <c r="EF43" s="83">
        <f t="shared" si="92"/>
        <v>-88.272727272727593</v>
      </c>
    </row>
    <row r="44" spans="1:136" ht="14.1" customHeight="1">
      <c r="A44" s="84">
        <v>37</v>
      </c>
      <c r="B44" s="147" t="s">
        <v>244</v>
      </c>
      <c r="C44" s="148"/>
      <c r="D44" s="116" t="s">
        <v>495</v>
      </c>
      <c r="E44" s="149">
        <v>189</v>
      </c>
      <c r="F44" s="89" t="s">
        <v>136</v>
      </c>
      <c r="G44" s="45" t="str">
        <f t="shared" si="30"/>
        <v>MESUS303-4x3-H9A11</v>
      </c>
      <c r="H44" s="46" t="str">
        <f t="shared" si="31"/>
        <v>SUS303ME40DH9</v>
      </c>
      <c r="I44" s="46" t="str">
        <f t="shared" si="32"/>
        <v>SUS303ME40DH93A11</v>
      </c>
      <c r="J44" s="90" t="s">
        <v>226</v>
      </c>
      <c r="K44" s="90" t="s">
        <v>227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500</v>
      </c>
      <c r="S44" s="89">
        <f t="shared" si="33"/>
        <v>34</v>
      </c>
      <c r="T44" s="51">
        <f>'06.02'!BG44</f>
        <v>23</v>
      </c>
      <c r="U44" s="146"/>
      <c r="V44" s="100">
        <v>0.41</v>
      </c>
      <c r="W44" s="151">
        <f t="shared" si="5"/>
        <v>0</v>
      </c>
      <c r="X44" s="151">
        <f t="shared" si="6"/>
        <v>3014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0</v>
      </c>
      <c r="AE44" s="151">
        <f>IF(V44="","",SUM(W44:AC44))</f>
        <v>3014</v>
      </c>
      <c r="AF44" s="54">
        <f>AE44+'06.02'!AF44</f>
        <v>8613</v>
      </c>
      <c r="AG44" s="94">
        <f t="shared" si="66"/>
        <v>23</v>
      </c>
      <c r="AH44" s="56">
        <f t="shared" si="13"/>
        <v>0</v>
      </c>
      <c r="AI44" s="151">
        <v>8</v>
      </c>
      <c r="AJ44" s="93">
        <f t="shared" si="67"/>
        <v>0</v>
      </c>
      <c r="AK44" s="95">
        <f t="shared" si="35"/>
        <v>1</v>
      </c>
      <c r="AL44" s="58">
        <f t="shared" si="36"/>
        <v>8</v>
      </c>
      <c r="AM44" s="55">
        <f t="shared" si="68"/>
        <v>15</v>
      </c>
      <c r="AN44" s="151"/>
      <c r="AO44" s="145"/>
      <c r="AP44" s="145">
        <f>$CJ44</f>
        <v>636</v>
      </c>
      <c r="AQ44" s="145"/>
      <c r="AR44" s="145"/>
      <c r="AS44" s="145"/>
      <c r="AT44" s="145"/>
      <c r="AU44" s="145">
        <f t="shared" si="37"/>
        <v>0</v>
      </c>
      <c r="AV44" s="145">
        <f t="shared" si="37"/>
        <v>0</v>
      </c>
      <c r="AW44" s="145">
        <f t="shared" si="38"/>
        <v>636</v>
      </c>
      <c r="AX44" s="145">
        <f t="shared" si="39"/>
        <v>1551</v>
      </c>
      <c r="AY44" s="94">
        <f t="shared" si="69"/>
        <v>16.080000000000041</v>
      </c>
      <c r="AZ44" s="94">
        <f t="shared" si="40"/>
        <v>39.21951219512205</v>
      </c>
      <c r="BA44" s="94">
        <f t="shared" si="41"/>
        <v>15</v>
      </c>
      <c r="BB44" s="97">
        <f t="shared" si="42"/>
        <v>0</v>
      </c>
      <c r="BC44" s="151">
        <v>8</v>
      </c>
      <c r="BD44" s="93">
        <f t="shared" si="43"/>
        <v>0</v>
      </c>
      <c r="BE44" s="152">
        <f t="shared" si="44"/>
        <v>1</v>
      </c>
      <c r="BF44" s="58">
        <f t="shared" si="45"/>
        <v>8</v>
      </c>
      <c r="BG44" s="94">
        <f t="shared" si="46"/>
        <v>7</v>
      </c>
      <c r="BH44" s="150"/>
      <c r="BI44" s="150"/>
      <c r="BJ44" s="146">
        <f>$CN44</f>
        <v>600</v>
      </c>
      <c r="BK44" s="150"/>
      <c r="BL44" s="150"/>
      <c r="BM44" s="146"/>
      <c r="BN44" s="146"/>
      <c r="BO44" s="146">
        <f t="shared" si="70"/>
        <v>0</v>
      </c>
      <c r="BP44" s="146">
        <f t="shared" si="70"/>
        <v>0</v>
      </c>
      <c r="BQ44" s="145">
        <f>SUM(BI44:BP44)</f>
        <v>600</v>
      </c>
      <c r="BR44" s="145">
        <f>IF(AA44="","",INT(BQ44/$V44))</f>
        <v>1463</v>
      </c>
      <c r="BS44" s="96">
        <f t="shared" si="71"/>
        <v>-19.919999999999959</v>
      </c>
      <c r="BT44" s="145">
        <f t="shared" si="49"/>
        <v>-48.585365853658438</v>
      </c>
      <c r="BU44" s="146">
        <f t="shared" si="16"/>
        <v>3014</v>
      </c>
      <c r="BV44" s="98">
        <f t="shared" si="17"/>
        <v>16</v>
      </c>
      <c r="BW44" s="146">
        <f t="shared" si="18"/>
        <v>-9.3658536585363876</v>
      </c>
      <c r="BX44" s="153">
        <f t="shared" si="50"/>
        <v>4.7359999999999998</v>
      </c>
      <c r="BY44" s="61">
        <f>IFERROR(BF44+AL44,0)</f>
        <v>16</v>
      </c>
      <c r="BZ44" s="62">
        <f t="shared" si="51"/>
        <v>16</v>
      </c>
      <c r="CA44" s="98">
        <f t="shared" si="52"/>
        <v>1.236</v>
      </c>
      <c r="CB44" s="146">
        <f t="shared" si="98"/>
        <v>3014</v>
      </c>
      <c r="CC44" s="146">
        <f t="shared" si="98"/>
        <v>-3.8399999999999181</v>
      </c>
      <c r="CD44" s="146">
        <f t="shared" si="98"/>
        <v>-9.3658536585363876</v>
      </c>
      <c r="CE44" s="99"/>
      <c r="CF44" s="99"/>
      <c r="CG44" s="51">
        <f t="shared" si="53"/>
        <v>3.5</v>
      </c>
      <c r="CH44" s="62">
        <f t="shared" si="54"/>
        <v>3.5</v>
      </c>
      <c r="CI44" s="150"/>
      <c r="CJ44" s="150">
        <v>636</v>
      </c>
      <c r="CK44" s="150"/>
      <c r="CL44" s="145"/>
      <c r="CM44" s="150"/>
      <c r="CN44" s="150">
        <v>600</v>
      </c>
      <c r="CO44" s="146"/>
      <c r="CP44" s="154"/>
      <c r="CQ44" s="102">
        <f t="shared" si="101"/>
        <v>1551</v>
      </c>
      <c r="CR44" s="102">
        <f t="shared" si="101"/>
        <v>0</v>
      </c>
      <c r="CS44" s="102">
        <f t="shared" si="101"/>
        <v>0</v>
      </c>
      <c r="CT44" s="92">
        <f t="shared" si="56"/>
        <v>1463</v>
      </c>
      <c r="CU44" s="92">
        <f t="shared" si="102"/>
        <v>0</v>
      </c>
      <c r="CV44" s="103">
        <f t="shared" si="102"/>
        <v>0</v>
      </c>
      <c r="CW44" s="155" t="s">
        <v>147</v>
      </c>
      <c r="CX44" s="156">
        <v>12</v>
      </c>
      <c r="CY44" s="157">
        <f t="shared" si="58"/>
        <v>3300</v>
      </c>
      <c r="CZ44" s="157">
        <f t="shared" si="59"/>
        <v>48.6</v>
      </c>
      <c r="DA44" s="157"/>
      <c r="DB44" s="157"/>
      <c r="DC44" s="156"/>
      <c r="DD44" s="158"/>
      <c r="DE44" s="92">
        <f t="shared" si="21"/>
        <v>1551</v>
      </c>
      <c r="DF44" s="108">
        <f t="shared" si="22"/>
        <v>8</v>
      </c>
      <c r="DG44" s="112">
        <f t="shared" si="23"/>
        <v>39.21951219512205</v>
      </c>
      <c r="DH44" s="110">
        <f t="shared" si="24"/>
        <v>1463</v>
      </c>
      <c r="DI44" s="108">
        <f t="shared" si="25"/>
        <v>8</v>
      </c>
      <c r="DJ44" s="112">
        <f t="shared" si="26"/>
        <v>-48.585365853658438</v>
      </c>
      <c r="DK44" s="110">
        <f t="shared" si="86"/>
        <v>3014</v>
      </c>
      <c r="DL44" s="108">
        <f t="shared" si="86"/>
        <v>16</v>
      </c>
      <c r="DM44" s="111">
        <f t="shared" si="86"/>
        <v>-9.3658536585363876</v>
      </c>
      <c r="DN44" s="76">
        <v>12</v>
      </c>
      <c r="DO44" s="76"/>
      <c r="DP44" s="112"/>
      <c r="DQ44" s="112"/>
      <c r="DR44" s="113" t="s">
        <v>499</v>
      </c>
      <c r="DS44" s="112"/>
      <c r="DT44" s="112"/>
      <c r="DU44" s="111"/>
      <c r="DV44" s="114"/>
      <c r="DW44" s="80">
        <f>IFERROR(AL44+BF44,"")</f>
        <v>16</v>
      </c>
      <c r="DX44" s="159">
        <f t="shared" si="28"/>
        <v>3020.6341463414637</v>
      </c>
      <c r="DY44" s="80">
        <f t="shared" si="62"/>
        <v>3014</v>
      </c>
      <c r="DZ44" s="82">
        <f t="shared" si="63"/>
        <v>0</v>
      </c>
      <c r="EA44" s="82">
        <f t="shared" si="64"/>
        <v>1.2357400000000001</v>
      </c>
      <c r="EB44" s="82">
        <f t="shared" si="65"/>
        <v>3.5002599999999999</v>
      </c>
      <c r="EC44" s="82">
        <f t="shared" si="75"/>
        <v>3.5002599999999999</v>
      </c>
      <c r="EF44" s="83">
        <f t="shared" si="92"/>
        <v>-9.3658536585363876</v>
      </c>
    </row>
    <row r="45" spans="1:136" ht="14.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0"/>
        <v>IBC3604-6.2x3-H9A14</v>
      </c>
      <c r="H45" s="46" t="str">
        <f t="shared" si="31"/>
        <v>C3604IB6.20DH9</v>
      </c>
      <c r="I45" s="46" t="str">
        <f t="shared" si="32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3"/>
        <v>54</v>
      </c>
      <c r="T45" s="51">
        <f>'05.02'!BG45</f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4"/>
        <v>0</v>
      </c>
      <c r="AF45" s="54">
        <f>AE45+'06.02'!AF45</f>
        <v>0</v>
      </c>
      <c r="AG45" s="94">
        <f t="shared" si="66"/>
        <v>0</v>
      </c>
      <c r="AH45" s="56">
        <f t="shared" si="13"/>
        <v>0</v>
      </c>
      <c r="AI45" s="93"/>
      <c r="AJ45" s="93">
        <f t="shared" si="67"/>
        <v>0</v>
      </c>
      <c r="AK45" s="95">
        <f t="shared" si="35"/>
        <v>1</v>
      </c>
      <c r="AL45" s="58">
        <f t="shared" si="36"/>
        <v>0</v>
      </c>
      <c r="AM45" s="55">
        <f t="shared" si="68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7"/>
        <v>0</v>
      </c>
      <c r="AV45" s="96">
        <f t="shared" si="37"/>
        <v>0</v>
      </c>
      <c r="AW45" s="96">
        <f t="shared" si="38"/>
        <v>0</v>
      </c>
      <c r="AX45" s="96">
        <f t="shared" si="39"/>
        <v>0</v>
      </c>
      <c r="AY45" s="94">
        <f t="shared" si="69"/>
        <v>0</v>
      </c>
      <c r="AZ45" s="94">
        <f t="shared" si="40"/>
        <v>0</v>
      </c>
      <c r="BA45" s="94">
        <f t="shared" si="41"/>
        <v>0</v>
      </c>
      <c r="BB45" s="97">
        <f t="shared" si="42"/>
        <v>0</v>
      </c>
      <c r="BC45" s="93"/>
      <c r="BD45" s="93">
        <f t="shared" si="43"/>
        <v>0</v>
      </c>
      <c r="BE45" s="95">
        <f t="shared" si="44"/>
        <v>1</v>
      </c>
      <c r="BF45" s="58">
        <f t="shared" si="45"/>
        <v>0</v>
      </c>
      <c r="BG45" s="94">
        <f t="shared" si="46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0"/>
        <v>0</v>
      </c>
      <c r="BP45" s="92">
        <f t="shared" si="70"/>
        <v>0</v>
      </c>
      <c r="BQ45" s="96">
        <f t="shared" si="47"/>
        <v>0</v>
      </c>
      <c r="BR45" s="96">
        <f t="shared" si="48"/>
        <v>0</v>
      </c>
      <c r="BS45" s="96">
        <f t="shared" si="71"/>
        <v>0</v>
      </c>
      <c r="BT45" s="96">
        <f t="shared" si="49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0"/>
        <v>0</v>
      </c>
      <c r="BY45" s="61">
        <f t="shared" si="73"/>
        <v>0</v>
      </c>
      <c r="BZ45" s="62">
        <f t="shared" si="51"/>
        <v>0</v>
      </c>
      <c r="CA45" s="98">
        <f t="shared" si="52"/>
        <v>0</v>
      </c>
      <c r="CB45" s="92">
        <f t="shared" si="98"/>
        <v>0</v>
      </c>
      <c r="CC45" s="92">
        <f t="shared" si="98"/>
        <v>0</v>
      </c>
      <c r="CD45" s="92">
        <f t="shared" si="98"/>
        <v>0</v>
      </c>
      <c r="CE45" s="99"/>
      <c r="CF45" s="99"/>
      <c r="CG45" s="51">
        <f t="shared" si="53"/>
        <v>0</v>
      </c>
      <c r="CH45" s="62">
        <f t="shared" si="54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101"/>
        <v>0</v>
      </c>
      <c r="CR45" s="102">
        <f t="shared" si="101"/>
        <v>0</v>
      </c>
      <c r="CS45" s="102">
        <f t="shared" si="101"/>
        <v>0</v>
      </c>
      <c r="CT45" s="92">
        <f t="shared" si="56"/>
        <v>0</v>
      </c>
      <c r="CU45" s="92">
        <f t="shared" si="102"/>
        <v>0</v>
      </c>
      <c r="CV45" s="103">
        <f t="shared" si="102"/>
        <v>0</v>
      </c>
      <c r="CW45" s="104" t="s">
        <v>147</v>
      </c>
      <c r="CX45" s="105">
        <v>15</v>
      </c>
      <c r="CY45" s="106">
        <f t="shared" si="58"/>
        <v>2496</v>
      </c>
      <c r="CZ45" s="106">
        <f t="shared" si="59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6"/>
        <v>0</v>
      </c>
      <c r="DL45" s="108">
        <f t="shared" si="86"/>
        <v>0</v>
      </c>
      <c r="DM45" s="111">
        <f t="shared" si="86"/>
        <v>0</v>
      </c>
      <c r="DN45" s="76">
        <f t="shared" si="89"/>
        <v>0</v>
      </c>
      <c r="DO45" s="76">
        <f t="shared" si="89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1"/>
        <v>0</v>
      </c>
      <c r="DX45" s="81">
        <f t="shared" si="28"/>
        <v>0</v>
      </c>
      <c r="DY45" s="80">
        <f t="shared" si="62"/>
        <v>0</v>
      </c>
      <c r="DZ45" s="82">
        <f t="shared" si="63"/>
        <v>0</v>
      </c>
      <c r="EA45" s="82">
        <f t="shared" si="64"/>
        <v>0</v>
      </c>
      <c r="EB45" s="82">
        <f t="shared" si="65"/>
        <v>0</v>
      </c>
      <c r="EC45" s="82">
        <f t="shared" si="75"/>
        <v>0</v>
      </c>
      <c r="EF45" s="83">
        <f t="shared" si="92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0"/>
        <v>TV12L14-4.76x2.5-H9B14</v>
      </c>
      <c r="H46" s="46" t="str">
        <f t="shared" si="31"/>
        <v>12L14TV4.760DH9</v>
      </c>
      <c r="I46" s="46" t="str">
        <f t="shared" si="32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3"/>
        <v>44</v>
      </c>
      <c r="T46" s="51">
        <f>'06.02'!BG46</f>
        <v>78</v>
      </c>
      <c r="U46" s="92"/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714</v>
      </c>
      <c r="AB46" s="93">
        <f t="shared" si="10"/>
        <v>0</v>
      </c>
      <c r="AC46" s="93">
        <f t="shared" si="11"/>
        <v>0</v>
      </c>
      <c r="AD46" s="93">
        <f t="shared" si="12"/>
        <v>48</v>
      </c>
      <c r="AE46" s="93">
        <f t="shared" si="34"/>
        <v>714</v>
      </c>
      <c r="AF46" s="54">
        <f>AE46+'06.02'!AF46</f>
        <v>19319</v>
      </c>
      <c r="AG46" s="94">
        <f t="shared" si="66"/>
        <v>78</v>
      </c>
      <c r="AH46" s="56">
        <f t="shared" si="13"/>
        <v>0</v>
      </c>
      <c r="AI46" s="93">
        <v>9</v>
      </c>
      <c r="AJ46" s="93">
        <f t="shared" si="67"/>
        <v>0</v>
      </c>
      <c r="AK46" s="95">
        <f t="shared" si="35"/>
        <v>1</v>
      </c>
      <c r="AL46" s="58">
        <f t="shared" si="36"/>
        <v>9</v>
      </c>
      <c r="AM46" s="55">
        <f t="shared" si="68"/>
        <v>69</v>
      </c>
      <c r="AN46" s="93"/>
      <c r="AO46" s="96"/>
      <c r="AP46" s="96"/>
      <c r="AQ46" s="96"/>
      <c r="AR46" s="96"/>
      <c r="AS46" s="96">
        <f>$CJ46</f>
        <v>1608</v>
      </c>
      <c r="AT46" s="96"/>
      <c r="AU46" s="96">
        <f t="shared" si="37"/>
        <v>0</v>
      </c>
      <c r="AV46" s="96">
        <f t="shared" si="37"/>
        <v>109</v>
      </c>
      <c r="AW46" s="96">
        <f t="shared" si="38"/>
        <v>1717</v>
      </c>
      <c r="AX46" s="96">
        <f t="shared" si="39"/>
        <v>763</v>
      </c>
      <c r="AY46" s="94">
        <f t="shared" si="69"/>
        <v>-65</v>
      </c>
      <c r="AZ46" s="94">
        <f t="shared" si="40"/>
        <v>-28.888888888888889</v>
      </c>
      <c r="BA46" s="94">
        <f t="shared" si="41"/>
        <v>69</v>
      </c>
      <c r="BB46" s="97">
        <f t="shared" si="42"/>
        <v>0</v>
      </c>
      <c r="BC46" s="93"/>
      <c r="BD46" s="93">
        <f t="shared" si="43"/>
        <v>0</v>
      </c>
      <c r="BE46" s="95">
        <f t="shared" si="44"/>
        <v>1</v>
      </c>
      <c r="BF46" s="58">
        <f t="shared" si="45"/>
        <v>0</v>
      </c>
      <c r="BG46" s="94">
        <f t="shared" si="46"/>
        <v>69</v>
      </c>
      <c r="BH46" s="89"/>
      <c r="BI46" s="89"/>
      <c r="BJ46" s="89"/>
      <c r="BK46" s="89"/>
      <c r="BL46" s="89"/>
      <c r="BM46" s="92">
        <f>$CN46</f>
        <v>0</v>
      </c>
      <c r="BN46" s="89"/>
      <c r="BO46" s="92">
        <f t="shared" si="70"/>
        <v>0</v>
      </c>
      <c r="BP46" s="92">
        <f t="shared" si="70"/>
        <v>0</v>
      </c>
      <c r="BQ46" s="96">
        <f t="shared" si="47"/>
        <v>0</v>
      </c>
      <c r="BR46" s="96">
        <f t="shared" si="48"/>
        <v>0</v>
      </c>
      <c r="BS46" s="96">
        <f t="shared" si="71"/>
        <v>0</v>
      </c>
      <c r="BT46" s="96">
        <f t="shared" si="49"/>
        <v>0</v>
      </c>
      <c r="BU46" s="92">
        <f t="shared" si="16"/>
        <v>714</v>
      </c>
      <c r="BV46" s="98">
        <f t="shared" si="17"/>
        <v>9</v>
      </c>
      <c r="BW46" s="92">
        <f t="shared" si="18"/>
        <v>-28.888888888888889</v>
      </c>
      <c r="BX46" s="98">
        <f t="shared" si="50"/>
        <v>3.1229999999999998</v>
      </c>
      <c r="BY46" s="61">
        <f t="shared" si="73"/>
        <v>9</v>
      </c>
      <c r="BZ46" s="62">
        <f t="shared" si="51"/>
        <v>9</v>
      </c>
      <c r="CA46" s="98">
        <f t="shared" si="52"/>
        <v>1.7170000000000001</v>
      </c>
      <c r="CB46" s="92">
        <f t="shared" si="98"/>
        <v>763</v>
      </c>
      <c r="CC46" s="92">
        <f t="shared" si="98"/>
        <v>-65</v>
      </c>
      <c r="CD46" s="92">
        <f t="shared" si="98"/>
        <v>-28.888888888888889</v>
      </c>
      <c r="CE46" s="99"/>
      <c r="CF46" s="99"/>
      <c r="CG46" s="51">
        <f t="shared" si="53"/>
        <v>1.5149999999999997</v>
      </c>
      <c r="CH46" s="62">
        <f t="shared" si="54"/>
        <v>1.5149999999999997</v>
      </c>
      <c r="CI46" s="89"/>
      <c r="CJ46" s="89">
        <v>1608</v>
      </c>
      <c r="CK46" s="89"/>
      <c r="CL46" s="96">
        <v>109</v>
      </c>
      <c r="CM46" s="89"/>
      <c r="CN46" s="89"/>
      <c r="CO46" s="92"/>
      <c r="CP46" s="101"/>
      <c r="CQ46" s="102">
        <f t="shared" si="101"/>
        <v>714</v>
      </c>
      <c r="CR46" s="102">
        <f t="shared" si="101"/>
        <v>0</v>
      </c>
      <c r="CS46" s="102">
        <f t="shared" si="101"/>
        <v>48</v>
      </c>
      <c r="CT46" s="92">
        <f t="shared" si="56"/>
        <v>0</v>
      </c>
      <c r="CU46" s="92">
        <f t="shared" si="102"/>
        <v>0</v>
      </c>
      <c r="CV46" s="103">
        <f t="shared" si="102"/>
        <v>0</v>
      </c>
      <c r="CW46" s="104" t="s">
        <v>147</v>
      </c>
      <c r="CX46" s="105">
        <v>20</v>
      </c>
      <c r="CY46" s="106">
        <f t="shared" si="58"/>
        <v>1935</v>
      </c>
      <c r="CZ46" s="106">
        <f t="shared" si="59"/>
        <v>81</v>
      </c>
      <c r="DA46" s="106"/>
      <c r="DB46" s="106"/>
      <c r="DC46" s="105"/>
      <c r="DD46" s="107"/>
      <c r="DE46" s="92">
        <f t="shared" si="21"/>
        <v>714</v>
      </c>
      <c r="DF46" s="108">
        <f t="shared" si="22"/>
        <v>9</v>
      </c>
      <c r="DG46" s="112">
        <f t="shared" si="23"/>
        <v>-28.888888888888889</v>
      </c>
      <c r="DH46" s="110">
        <f t="shared" si="24"/>
        <v>0</v>
      </c>
      <c r="DI46" s="108">
        <f t="shared" si="25"/>
        <v>0</v>
      </c>
      <c r="DJ46" s="112">
        <f t="shared" si="26"/>
        <v>0</v>
      </c>
      <c r="DK46" s="110">
        <f t="shared" si="86"/>
        <v>714</v>
      </c>
      <c r="DL46" s="108">
        <f t="shared" si="86"/>
        <v>9</v>
      </c>
      <c r="DM46" s="111">
        <f t="shared" si="86"/>
        <v>-28.888888888888889</v>
      </c>
      <c r="DN46" s="76">
        <v>69</v>
      </c>
      <c r="DO46" s="76"/>
      <c r="DP46" s="112"/>
      <c r="DQ46" s="112"/>
      <c r="DR46" s="113" t="s">
        <v>442</v>
      </c>
      <c r="DS46" s="112"/>
      <c r="DT46" s="112"/>
      <c r="DU46" s="111"/>
      <c r="DV46" s="114"/>
      <c r="DW46" s="80">
        <f>IFERROR(AL46+BF46,"")</f>
        <v>9</v>
      </c>
      <c r="DX46" s="81">
        <f t="shared" si="28"/>
        <v>694.11111111111109</v>
      </c>
      <c r="DY46" s="80">
        <f t="shared" si="62"/>
        <v>762</v>
      </c>
      <c r="DZ46" s="82">
        <f t="shared" si="63"/>
        <v>0.108</v>
      </c>
      <c r="EA46" s="82">
        <f t="shared" si="64"/>
        <v>1.6065</v>
      </c>
      <c r="EB46" s="82">
        <f t="shared" si="65"/>
        <v>1.5164999999999997</v>
      </c>
      <c r="EC46" s="82">
        <f t="shared" si="75"/>
        <v>1.6244999999999998</v>
      </c>
      <c r="EF46" s="83">
        <f t="shared" si="92"/>
        <v>-28.888888888888889</v>
      </c>
    </row>
    <row r="47" spans="1:136" ht="14.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0"/>
        <v>MESUS303-2.5x3-H9B14</v>
      </c>
      <c r="H47" s="46" t="str">
        <f t="shared" si="31"/>
        <v>SUS303ME2.50DH9</v>
      </c>
      <c r="I47" s="46" t="str">
        <f t="shared" si="32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3"/>
        <v>62</v>
      </c>
      <c r="T47" s="51">
        <f>'05.02'!BG47</f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4"/>
        <v>0</v>
      </c>
      <c r="AF47" s="54">
        <f>AE47+'06.02'!AF47</f>
        <v>0</v>
      </c>
      <c r="AG47" s="94">
        <f t="shared" si="66"/>
        <v>0</v>
      </c>
      <c r="AH47" s="56">
        <f t="shared" si="13"/>
        <v>0</v>
      </c>
      <c r="AI47" s="93"/>
      <c r="AJ47" s="93">
        <f t="shared" si="67"/>
        <v>0</v>
      </c>
      <c r="AK47" s="95">
        <f t="shared" si="35"/>
        <v>1</v>
      </c>
      <c r="AL47" s="58">
        <f t="shared" si="36"/>
        <v>0</v>
      </c>
      <c r="AM47" s="55">
        <f t="shared" si="68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7"/>
        <v>0</v>
      </c>
      <c r="AV47" s="96">
        <f t="shared" si="37"/>
        <v>0</v>
      </c>
      <c r="AW47" s="96">
        <f t="shared" si="38"/>
        <v>0</v>
      </c>
      <c r="AX47" s="96">
        <f t="shared" si="39"/>
        <v>0</v>
      </c>
      <c r="AY47" s="94">
        <f t="shared" si="69"/>
        <v>0</v>
      </c>
      <c r="AZ47" s="94">
        <f t="shared" si="40"/>
        <v>0</v>
      </c>
      <c r="BA47" s="94">
        <f t="shared" si="41"/>
        <v>0</v>
      </c>
      <c r="BB47" s="97">
        <f t="shared" si="42"/>
        <v>0</v>
      </c>
      <c r="BC47" s="93"/>
      <c r="BD47" s="93">
        <f t="shared" si="43"/>
        <v>0</v>
      </c>
      <c r="BE47" s="95">
        <f t="shared" si="44"/>
        <v>1</v>
      </c>
      <c r="BF47" s="58">
        <f t="shared" si="45"/>
        <v>0</v>
      </c>
      <c r="BG47" s="94">
        <f t="shared" si="46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0"/>
        <v>0</v>
      </c>
      <c r="BP47" s="92">
        <f t="shared" si="70"/>
        <v>0</v>
      </c>
      <c r="BQ47" s="96">
        <f t="shared" si="47"/>
        <v>0</v>
      </c>
      <c r="BR47" s="96">
        <f t="shared" si="48"/>
        <v>0</v>
      </c>
      <c r="BS47" s="96">
        <f t="shared" si="71"/>
        <v>0</v>
      </c>
      <c r="BT47" s="96">
        <f t="shared" si="49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0"/>
        <v>0</v>
      </c>
      <c r="BY47" s="61">
        <f t="shared" si="73"/>
        <v>0</v>
      </c>
      <c r="BZ47" s="62">
        <f t="shared" si="51"/>
        <v>0</v>
      </c>
      <c r="CA47" s="98">
        <f t="shared" si="52"/>
        <v>0</v>
      </c>
      <c r="CB47" s="92">
        <f t="shared" si="98"/>
        <v>0</v>
      </c>
      <c r="CC47" s="92">
        <f t="shared" si="98"/>
        <v>0</v>
      </c>
      <c r="CD47" s="92">
        <f t="shared" si="98"/>
        <v>0</v>
      </c>
      <c r="CE47" s="99"/>
      <c r="CF47" s="99"/>
      <c r="CG47" s="51">
        <f t="shared" si="53"/>
        <v>0</v>
      </c>
      <c r="CH47" s="62">
        <f t="shared" si="54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101"/>
        <v>0</v>
      </c>
      <c r="CR47" s="102">
        <f t="shared" si="101"/>
        <v>0</v>
      </c>
      <c r="CS47" s="102">
        <f t="shared" si="101"/>
        <v>0</v>
      </c>
      <c r="CT47" s="92">
        <f t="shared" si="56"/>
        <v>0</v>
      </c>
      <c r="CU47" s="92">
        <f t="shared" si="102"/>
        <v>0</v>
      </c>
      <c r="CV47" s="103">
        <f t="shared" si="102"/>
        <v>0</v>
      </c>
      <c r="CW47" s="104" t="s">
        <v>147</v>
      </c>
      <c r="CX47" s="105">
        <v>17</v>
      </c>
      <c r="CY47" s="106">
        <f t="shared" si="58"/>
        <v>2149</v>
      </c>
      <c r="CZ47" s="106">
        <f t="shared" si="59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6"/>
        <v>0</v>
      </c>
      <c r="DL47" s="108">
        <f t="shared" si="86"/>
        <v>0</v>
      </c>
      <c r="DM47" s="111">
        <f t="shared" si="86"/>
        <v>0</v>
      </c>
      <c r="DN47" s="76">
        <f t="shared" si="89"/>
        <v>0</v>
      </c>
      <c r="DO47" s="76">
        <f t="shared" si="89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1"/>
        <v>0</v>
      </c>
      <c r="DX47" s="81">
        <f t="shared" si="28"/>
        <v>0</v>
      </c>
      <c r="DY47" s="80">
        <f t="shared" si="62"/>
        <v>0</v>
      </c>
      <c r="DZ47" s="82">
        <f t="shared" si="63"/>
        <v>0</v>
      </c>
      <c r="EA47" s="82">
        <f t="shared" si="64"/>
        <v>0</v>
      </c>
      <c r="EB47" s="82">
        <f t="shared" si="65"/>
        <v>0</v>
      </c>
      <c r="EC47" s="82">
        <f t="shared" si="75"/>
        <v>0</v>
      </c>
      <c r="EF47" s="83">
        <f t="shared" si="92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0"/>
        <v>TV12L14-3.975x2.5-H7A12</v>
      </c>
      <c r="H48" s="46" t="str">
        <f t="shared" si="31"/>
        <v>12L14TV3.9750DH7</v>
      </c>
      <c r="I48" s="46" t="str">
        <f t="shared" si="32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3"/>
        <v>16</v>
      </c>
      <c r="T48" s="51">
        <f>'06.02'!BG48</f>
        <v>24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4"/>
        <v>0</v>
      </c>
      <c r="AF48" s="54">
        <f>AE48+'06.02'!AF48</f>
        <v>0</v>
      </c>
      <c r="AG48" s="94">
        <f t="shared" si="66"/>
        <v>24</v>
      </c>
      <c r="AH48" s="56">
        <f t="shared" si="13"/>
        <v>0</v>
      </c>
      <c r="AI48" s="93"/>
      <c r="AJ48" s="93">
        <f t="shared" si="67"/>
        <v>0</v>
      </c>
      <c r="AK48" s="95">
        <f t="shared" si="35"/>
        <v>1</v>
      </c>
      <c r="AL48" s="58">
        <f t="shared" si="36"/>
        <v>0</v>
      </c>
      <c r="AM48" s="55">
        <f t="shared" si="68"/>
        <v>24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7"/>
        <v>0</v>
      </c>
      <c r="AV48" s="96">
        <f t="shared" si="37"/>
        <v>0</v>
      </c>
      <c r="AW48" s="96">
        <f t="shared" si="38"/>
        <v>0</v>
      </c>
      <c r="AX48" s="96">
        <f t="shared" si="39"/>
        <v>0</v>
      </c>
      <c r="AY48" s="94">
        <f t="shared" si="69"/>
        <v>0</v>
      </c>
      <c r="AZ48" s="94">
        <f t="shared" si="40"/>
        <v>0</v>
      </c>
      <c r="BA48" s="94">
        <f t="shared" si="41"/>
        <v>24</v>
      </c>
      <c r="BB48" s="97">
        <f t="shared" si="42"/>
        <v>0</v>
      </c>
      <c r="BC48" s="93"/>
      <c r="BD48" s="93">
        <f t="shared" si="43"/>
        <v>0</v>
      </c>
      <c r="BE48" s="95">
        <f t="shared" si="44"/>
        <v>1</v>
      </c>
      <c r="BF48" s="58">
        <f t="shared" si="45"/>
        <v>0</v>
      </c>
      <c r="BG48" s="94">
        <f t="shared" si="46"/>
        <v>24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0"/>
        <v>0</v>
      </c>
      <c r="BP48" s="92">
        <f t="shared" si="70"/>
        <v>0</v>
      </c>
      <c r="BQ48" s="96">
        <f t="shared" si="47"/>
        <v>0</v>
      </c>
      <c r="BR48" s="96">
        <f t="shared" si="48"/>
        <v>0</v>
      </c>
      <c r="BS48" s="96">
        <f t="shared" si="71"/>
        <v>0</v>
      </c>
      <c r="BT48" s="96">
        <f t="shared" si="49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0"/>
        <v>0</v>
      </c>
      <c r="BY48" s="61">
        <f t="shared" si="73"/>
        <v>0</v>
      </c>
      <c r="BZ48" s="62">
        <f t="shared" si="51"/>
        <v>0</v>
      </c>
      <c r="CA48" s="98">
        <f t="shared" si="52"/>
        <v>0</v>
      </c>
      <c r="CB48" s="92">
        <f t="shared" si="98"/>
        <v>0</v>
      </c>
      <c r="CC48" s="92">
        <f t="shared" si="98"/>
        <v>0</v>
      </c>
      <c r="CD48" s="92">
        <f t="shared" si="98"/>
        <v>0</v>
      </c>
      <c r="CE48" s="99"/>
      <c r="CF48" s="99"/>
      <c r="CG48" s="51">
        <f t="shared" si="53"/>
        <v>0</v>
      </c>
      <c r="CH48" s="62">
        <f t="shared" si="54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101"/>
        <v>0</v>
      </c>
      <c r="CR48" s="102">
        <f t="shared" si="101"/>
        <v>0</v>
      </c>
      <c r="CS48" s="102">
        <f t="shared" si="101"/>
        <v>0</v>
      </c>
      <c r="CT48" s="92">
        <f t="shared" si="56"/>
        <v>0</v>
      </c>
      <c r="CU48" s="92">
        <f t="shared" si="102"/>
        <v>0</v>
      </c>
      <c r="CV48" s="103">
        <f t="shared" si="102"/>
        <v>0</v>
      </c>
      <c r="CW48" s="104" t="s">
        <v>147</v>
      </c>
      <c r="CX48" s="105">
        <v>21</v>
      </c>
      <c r="CY48" s="106">
        <f t="shared" si="58"/>
        <v>1988</v>
      </c>
      <c r="CZ48" s="106">
        <f t="shared" si="59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6"/>
        <v>0</v>
      </c>
      <c r="DL48" s="108">
        <f t="shared" si="86"/>
        <v>0</v>
      </c>
      <c r="DM48" s="111">
        <f t="shared" si="86"/>
        <v>0</v>
      </c>
      <c r="DN48" s="76">
        <v>24</v>
      </c>
      <c r="DO48" s="76"/>
      <c r="DP48" s="112"/>
      <c r="DQ48" s="112"/>
      <c r="DR48" s="113" t="s">
        <v>443</v>
      </c>
      <c r="DS48" s="112"/>
      <c r="DT48" s="112"/>
      <c r="DU48" s="111"/>
      <c r="DV48" s="114"/>
      <c r="DW48" s="80">
        <f t="shared" si="61"/>
        <v>0</v>
      </c>
      <c r="DX48" s="81">
        <f t="shared" si="28"/>
        <v>0</v>
      </c>
      <c r="DY48" s="80">
        <f t="shared" si="62"/>
        <v>0</v>
      </c>
      <c r="DZ48" s="82">
        <f t="shared" si="63"/>
        <v>0</v>
      </c>
      <c r="EA48" s="82">
        <f t="shared" si="64"/>
        <v>0</v>
      </c>
      <c r="EB48" s="82">
        <f t="shared" si="65"/>
        <v>0</v>
      </c>
      <c r="EC48" s="82">
        <f t="shared" si="75"/>
        <v>0</v>
      </c>
      <c r="EF48" s="83">
        <f t="shared" si="92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0"/>
        <v>GAA5052-5.7x3-H9A14</v>
      </c>
      <c r="H49" s="46" t="str">
        <f t="shared" si="31"/>
        <v>A5052GA5.70DH9</v>
      </c>
      <c r="I49" s="46" t="str">
        <f t="shared" si="32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3"/>
        <v>14</v>
      </c>
      <c r="T49" s="51">
        <f>'06.02'!BG49</f>
        <v>39.999999999999993</v>
      </c>
      <c r="U49" s="92"/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2200</v>
      </c>
      <c r="AC49" s="93">
        <f t="shared" si="11"/>
        <v>0</v>
      </c>
      <c r="AD49" s="93">
        <f t="shared" si="12"/>
        <v>213</v>
      </c>
      <c r="AE49" s="93">
        <f t="shared" si="34"/>
        <v>2200</v>
      </c>
      <c r="AF49" s="54">
        <f>AE49+'06.02'!AF49</f>
        <v>15704</v>
      </c>
      <c r="AG49" s="94">
        <f t="shared" si="66"/>
        <v>39.999999999999993</v>
      </c>
      <c r="AH49" s="56">
        <f t="shared" si="13"/>
        <v>0</v>
      </c>
      <c r="AI49" s="93">
        <v>4</v>
      </c>
      <c r="AJ49" s="93">
        <f t="shared" si="67"/>
        <v>0</v>
      </c>
      <c r="AK49" s="95">
        <f t="shared" si="35"/>
        <v>1</v>
      </c>
      <c r="AL49" s="58">
        <f t="shared" si="36"/>
        <v>4</v>
      </c>
      <c r="AM49" s="55">
        <f t="shared" si="68"/>
        <v>35.999999999999993</v>
      </c>
      <c r="AN49" s="93"/>
      <c r="AO49" s="96"/>
      <c r="AP49" s="96"/>
      <c r="AQ49" s="96"/>
      <c r="AR49" s="96"/>
      <c r="AS49" s="96"/>
      <c r="AT49" s="96">
        <f>$CJ49</f>
        <v>120</v>
      </c>
      <c r="AU49" s="96">
        <f t="shared" si="37"/>
        <v>0</v>
      </c>
      <c r="AV49" s="96">
        <f t="shared" si="37"/>
        <v>32</v>
      </c>
      <c r="AW49" s="96">
        <f t="shared" si="38"/>
        <v>152</v>
      </c>
      <c r="AX49" s="96">
        <f t="shared" si="39"/>
        <v>1013</v>
      </c>
      <c r="AY49" s="94">
        <f t="shared" si="69"/>
        <v>8</v>
      </c>
      <c r="AZ49" s="94">
        <f t="shared" si="40"/>
        <v>53.333333333333336</v>
      </c>
      <c r="BA49" s="94">
        <f t="shared" si="41"/>
        <v>35.999999999999993</v>
      </c>
      <c r="BB49" s="97">
        <f t="shared" si="42"/>
        <v>0</v>
      </c>
      <c r="BC49" s="93">
        <v>6</v>
      </c>
      <c r="BD49" s="93">
        <f t="shared" si="43"/>
        <v>0</v>
      </c>
      <c r="BE49" s="95">
        <f t="shared" si="44"/>
        <v>1</v>
      </c>
      <c r="BF49" s="58">
        <f t="shared" si="45"/>
        <v>6</v>
      </c>
      <c r="BG49" s="94">
        <f t="shared" si="46"/>
        <v>29.999999999999993</v>
      </c>
      <c r="BH49" s="89"/>
      <c r="BI49" s="89"/>
      <c r="BJ49" s="89"/>
      <c r="BK49" s="89"/>
      <c r="BL49" s="89"/>
      <c r="BM49" s="89"/>
      <c r="BN49" s="146">
        <f>$CN49</f>
        <v>210</v>
      </c>
      <c r="BO49" s="92">
        <f t="shared" si="70"/>
        <v>0</v>
      </c>
      <c r="BP49" s="92">
        <f t="shared" si="70"/>
        <v>0</v>
      </c>
      <c r="BQ49" s="96">
        <f t="shared" si="47"/>
        <v>210</v>
      </c>
      <c r="BR49" s="96">
        <f t="shared" si="48"/>
        <v>1400</v>
      </c>
      <c r="BS49" s="96">
        <f t="shared" si="71"/>
        <v>-6</v>
      </c>
      <c r="BT49" s="96">
        <f t="shared" si="49"/>
        <v>-40</v>
      </c>
      <c r="BU49" s="92">
        <f t="shared" si="16"/>
        <v>2200</v>
      </c>
      <c r="BV49" s="98">
        <f t="shared" si="17"/>
        <v>10</v>
      </c>
      <c r="BW49" s="92">
        <f t="shared" si="18"/>
        <v>13.333333333333336</v>
      </c>
      <c r="BX49" s="98">
        <f t="shared" si="50"/>
        <v>2.04</v>
      </c>
      <c r="BY49" s="61">
        <f t="shared" si="73"/>
        <v>10</v>
      </c>
      <c r="BZ49" s="62">
        <f t="shared" si="51"/>
        <v>10</v>
      </c>
      <c r="CA49" s="98">
        <f t="shared" si="52"/>
        <v>0.36199999999999999</v>
      </c>
      <c r="CB49" s="92">
        <f t="shared" si="98"/>
        <v>2413</v>
      </c>
      <c r="CC49" s="92">
        <f t="shared" si="98"/>
        <v>2</v>
      </c>
      <c r="CD49" s="92">
        <f t="shared" si="98"/>
        <v>13.333333333333336</v>
      </c>
      <c r="CE49" s="99"/>
      <c r="CF49" s="99"/>
      <c r="CG49" s="51">
        <f t="shared" si="53"/>
        <v>1.71</v>
      </c>
      <c r="CH49" s="62">
        <f t="shared" si="54"/>
        <v>1.71</v>
      </c>
      <c r="CI49" s="89"/>
      <c r="CJ49" s="89">
        <v>120</v>
      </c>
      <c r="CK49" s="89"/>
      <c r="CL49" s="96">
        <v>32</v>
      </c>
      <c r="CM49" s="89"/>
      <c r="CN49" s="89">
        <v>210</v>
      </c>
      <c r="CO49" s="92"/>
      <c r="CP49" s="101"/>
      <c r="CQ49" s="102">
        <f t="shared" si="101"/>
        <v>800</v>
      </c>
      <c r="CR49" s="102">
        <f t="shared" si="101"/>
        <v>0</v>
      </c>
      <c r="CS49" s="102">
        <f t="shared" si="101"/>
        <v>213</v>
      </c>
      <c r="CT49" s="92">
        <f t="shared" si="56"/>
        <v>1400</v>
      </c>
      <c r="CU49" s="92">
        <f t="shared" si="102"/>
        <v>0</v>
      </c>
      <c r="CV49" s="103">
        <f t="shared" si="102"/>
        <v>0</v>
      </c>
      <c r="CW49" s="104" t="s">
        <v>147</v>
      </c>
      <c r="CX49" s="105">
        <v>26</v>
      </c>
      <c r="CY49" s="106">
        <f t="shared" si="58"/>
        <v>1613</v>
      </c>
      <c r="CZ49" s="106">
        <f t="shared" si="59"/>
        <v>105.30000000000001</v>
      </c>
      <c r="DA49" s="106"/>
      <c r="DB49" s="106"/>
      <c r="DC49" s="105"/>
      <c r="DD49" s="107"/>
      <c r="DE49" s="92">
        <f t="shared" si="21"/>
        <v>800</v>
      </c>
      <c r="DF49" s="108">
        <f t="shared" si="22"/>
        <v>4</v>
      </c>
      <c r="DG49" s="112">
        <f t="shared" si="23"/>
        <v>53.333333333333336</v>
      </c>
      <c r="DH49" s="110">
        <f t="shared" si="24"/>
        <v>1400</v>
      </c>
      <c r="DI49" s="108">
        <f t="shared" si="25"/>
        <v>6</v>
      </c>
      <c r="DJ49" s="112">
        <f t="shared" si="26"/>
        <v>-40</v>
      </c>
      <c r="DK49" s="110">
        <f t="shared" si="86"/>
        <v>2200</v>
      </c>
      <c r="DL49" s="108">
        <f t="shared" si="86"/>
        <v>10</v>
      </c>
      <c r="DM49" s="111">
        <f t="shared" si="86"/>
        <v>13.333333333333336</v>
      </c>
      <c r="DN49" s="76">
        <v>30</v>
      </c>
      <c r="DO49" s="76"/>
      <c r="DP49" s="112"/>
      <c r="DQ49" s="112"/>
      <c r="DR49" s="113" t="s">
        <v>444</v>
      </c>
      <c r="DS49" s="112"/>
      <c r="DT49" s="112"/>
      <c r="DU49" s="111"/>
      <c r="DV49" s="114"/>
      <c r="DW49" s="80">
        <f t="shared" si="61"/>
        <v>2210</v>
      </c>
      <c r="DX49" s="81">
        <f t="shared" si="28"/>
        <v>2223.3333333333335</v>
      </c>
      <c r="DY49" s="80">
        <f t="shared" si="62"/>
        <v>2413</v>
      </c>
      <c r="DZ49" s="82">
        <f t="shared" si="63"/>
        <v>3.1949999999999999E-2</v>
      </c>
      <c r="EA49" s="82">
        <f t="shared" si="64"/>
        <v>0.33</v>
      </c>
      <c r="EB49" s="82">
        <f t="shared" si="65"/>
        <v>1.71</v>
      </c>
      <c r="EC49" s="82">
        <f t="shared" si="75"/>
        <v>1.7419499999999999</v>
      </c>
      <c r="EF49" s="83">
        <f t="shared" si="92"/>
        <v>13.333333333333336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0"/>
        <v>MESUS303CU-3.5x3-H9B14</v>
      </c>
      <c r="H50" s="46" t="str">
        <f t="shared" si="31"/>
        <v>SUS303CUME3.50DH9</v>
      </c>
      <c r="I50" s="46" t="str">
        <f t="shared" si="32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3"/>
        <v>8</v>
      </c>
      <c r="T50" s="51">
        <f>'06.02'!BG50</f>
        <v>30</v>
      </c>
      <c r="U50" s="92"/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2527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4"/>
        <v>2527</v>
      </c>
      <c r="AF50" s="54">
        <f>AE50+'06.02'!AF50</f>
        <v>23207</v>
      </c>
      <c r="AG50" s="94">
        <f t="shared" si="66"/>
        <v>30</v>
      </c>
      <c r="AH50" s="56">
        <f t="shared" si="13"/>
        <v>0</v>
      </c>
      <c r="AI50" s="93">
        <v>5</v>
      </c>
      <c r="AJ50" s="93">
        <f t="shared" si="67"/>
        <v>20</v>
      </c>
      <c r="AK50" s="95">
        <f t="shared" si="35"/>
        <v>0.24539877300613497</v>
      </c>
      <c r="AL50" s="58">
        <f t="shared" si="36"/>
        <v>4.25</v>
      </c>
      <c r="AM50" s="55">
        <f t="shared" si="68"/>
        <v>25.75</v>
      </c>
      <c r="AN50" s="93"/>
      <c r="AO50" s="96"/>
      <c r="AP50" s="96"/>
      <c r="AQ50" s="96"/>
      <c r="AR50" s="96">
        <f>$CJ50</f>
        <v>352</v>
      </c>
      <c r="AS50" s="96"/>
      <c r="AT50" s="96"/>
      <c r="AU50" s="96">
        <f t="shared" si="37"/>
        <v>0</v>
      </c>
      <c r="AV50" s="96">
        <f t="shared" si="37"/>
        <v>0</v>
      </c>
      <c r="AW50" s="96">
        <f t="shared" si="38"/>
        <v>352</v>
      </c>
      <c r="AX50" s="96">
        <f t="shared" si="39"/>
        <v>2159</v>
      </c>
      <c r="AY50" s="94">
        <f t="shared" si="69"/>
        <v>5.625</v>
      </c>
      <c r="AZ50" s="94">
        <f t="shared" si="40"/>
        <v>34.509202453987726</v>
      </c>
      <c r="BA50" s="94">
        <f t="shared" si="41"/>
        <v>25.75</v>
      </c>
      <c r="BB50" s="97">
        <f t="shared" si="42"/>
        <v>0.75</v>
      </c>
      <c r="BC50" s="93">
        <v>1</v>
      </c>
      <c r="BD50" s="93">
        <f t="shared" si="43"/>
        <v>0</v>
      </c>
      <c r="BE50" s="95">
        <f t="shared" si="44"/>
        <v>1</v>
      </c>
      <c r="BF50" s="58">
        <v>0.75</v>
      </c>
      <c r="BG50" s="94">
        <f t="shared" si="46"/>
        <v>25</v>
      </c>
      <c r="BH50" s="89"/>
      <c r="BI50" s="89"/>
      <c r="BJ50" s="89"/>
      <c r="BK50" s="89"/>
      <c r="BL50" s="92">
        <f>$CN50</f>
        <v>60</v>
      </c>
      <c r="BM50" s="92"/>
      <c r="BN50" s="89"/>
      <c r="BO50" s="92">
        <f t="shared" si="70"/>
        <v>0</v>
      </c>
      <c r="BP50" s="92">
        <f t="shared" si="70"/>
        <v>0</v>
      </c>
      <c r="BQ50" s="96">
        <f t="shared" si="47"/>
        <v>60</v>
      </c>
      <c r="BR50" s="96">
        <f t="shared" si="48"/>
        <v>368</v>
      </c>
      <c r="BS50" s="96">
        <f t="shared" si="71"/>
        <v>-1.125</v>
      </c>
      <c r="BT50" s="96">
        <f t="shared" si="49"/>
        <v>-6.9018404907975457</v>
      </c>
      <c r="BU50" s="92">
        <f t="shared" si="16"/>
        <v>2527</v>
      </c>
      <c r="BV50" s="98">
        <f t="shared" si="17"/>
        <v>5</v>
      </c>
      <c r="BW50" s="92">
        <f t="shared" si="18"/>
        <v>27.607361963190179</v>
      </c>
      <c r="BX50" s="98">
        <f t="shared" si="50"/>
        <v>1.1500000000000001</v>
      </c>
      <c r="BY50" s="61">
        <f t="shared" si="73"/>
        <v>5</v>
      </c>
      <c r="BZ50" s="62">
        <f t="shared" si="51"/>
        <v>5</v>
      </c>
      <c r="CA50" s="98">
        <f t="shared" si="52"/>
        <v>0.41199999999999998</v>
      </c>
      <c r="CB50" s="92">
        <f t="shared" si="98"/>
        <v>2527</v>
      </c>
      <c r="CC50" s="92">
        <f t="shared" si="98"/>
        <v>4.5</v>
      </c>
      <c r="CD50" s="92">
        <f t="shared" si="98"/>
        <v>27.607361963190179</v>
      </c>
      <c r="CE50" s="99"/>
      <c r="CF50" s="99"/>
      <c r="CG50" s="51">
        <f t="shared" si="53"/>
        <v>0.73800000000000021</v>
      </c>
      <c r="CH50" s="62">
        <f t="shared" si="54"/>
        <v>0.73800000000000021</v>
      </c>
      <c r="CI50" s="89">
        <v>20</v>
      </c>
      <c r="CJ50" s="89">
        <v>352</v>
      </c>
      <c r="CK50" s="89"/>
      <c r="CL50" s="96"/>
      <c r="CM50" s="89"/>
      <c r="CN50" s="89">
        <v>60</v>
      </c>
      <c r="CO50" s="92"/>
      <c r="CP50" s="101"/>
      <c r="CQ50" s="102">
        <f t="shared" si="101"/>
        <v>2159</v>
      </c>
      <c r="CR50" s="102">
        <f t="shared" si="101"/>
        <v>0</v>
      </c>
      <c r="CS50" s="102">
        <f t="shared" si="101"/>
        <v>0</v>
      </c>
      <c r="CT50" s="92">
        <f t="shared" si="56"/>
        <v>368</v>
      </c>
      <c r="CU50" s="92">
        <f t="shared" si="102"/>
        <v>0</v>
      </c>
      <c r="CV50" s="103">
        <f t="shared" si="102"/>
        <v>0</v>
      </c>
      <c r="CW50" s="104" t="s">
        <v>147</v>
      </c>
      <c r="CX50" s="105">
        <v>23</v>
      </c>
      <c r="CY50" s="106">
        <f t="shared" si="58"/>
        <v>1846</v>
      </c>
      <c r="CZ50" s="106">
        <f t="shared" si="59"/>
        <v>93.15</v>
      </c>
      <c r="DA50" s="106"/>
      <c r="DB50" s="106"/>
      <c r="DC50" s="105"/>
      <c r="DD50" s="107"/>
      <c r="DE50" s="92">
        <f t="shared" si="21"/>
        <v>2159</v>
      </c>
      <c r="DF50" s="108">
        <f t="shared" si="22"/>
        <v>4.25</v>
      </c>
      <c r="DG50" s="112">
        <f t="shared" si="23"/>
        <v>34.509202453987726</v>
      </c>
      <c r="DH50" s="110">
        <f t="shared" si="24"/>
        <v>368</v>
      </c>
      <c r="DI50" s="108">
        <f t="shared" si="25"/>
        <v>0.75</v>
      </c>
      <c r="DJ50" s="112">
        <f t="shared" si="26"/>
        <v>-6.9018404907975457</v>
      </c>
      <c r="DK50" s="110">
        <f t="shared" si="86"/>
        <v>2527</v>
      </c>
      <c r="DL50" s="108">
        <f t="shared" si="86"/>
        <v>5</v>
      </c>
      <c r="DM50" s="111">
        <f t="shared" si="86"/>
        <v>27.607361963190179</v>
      </c>
      <c r="DN50" s="76">
        <v>25</v>
      </c>
      <c r="DO50" s="76"/>
      <c r="DP50" s="112"/>
      <c r="DQ50" s="112"/>
      <c r="DR50" s="113" t="s">
        <v>445</v>
      </c>
      <c r="DS50" s="112"/>
      <c r="DT50" s="112"/>
      <c r="DU50" s="111"/>
      <c r="DV50" s="114"/>
      <c r="DW50" s="80">
        <f t="shared" ref="DW50:DW52" si="103">IFERROR(AL50+BF50,"")</f>
        <v>5</v>
      </c>
      <c r="DX50" s="81">
        <f t="shared" si="28"/>
        <v>2559.6073619631902</v>
      </c>
      <c r="DY50" s="80">
        <f t="shared" si="62"/>
        <v>2527</v>
      </c>
      <c r="DZ50" s="82">
        <f t="shared" si="63"/>
        <v>0</v>
      </c>
      <c r="EA50" s="82">
        <f t="shared" si="64"/>
        <v>0.41190100000000002</v>
      </c>
      <c r="EB50" s="82">
        <f t="shared" si="65"/>
        <v>0.73809900000000006</v>
      </c>
      <c r="EC50" s="82">
        <f t="shared" si="75"/>
        <v>0.73809900000000006</v>
      </c>
      <c r="EF50" s="83">
        <f t="shared" si="92"/>
        <v>27.607361963190179</v>
      </c>
    </row>
    <row r="51" spans="1:136" ht="14.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0"/>
        <v>MESUS303-2.5x3-H9B14</v>
      </c>
      <c r="H51" s="46" t="str">
        <f t="shared" si="31"/>
        <v>SUS303ME2.50DH9</v>
      </c>
      <c r="I51" s="46" t="str">
        <f t="shared" si="32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3"/>
        <v>38</v>
      </c>
      <c r="T51" s="51">
        <f>'05.02'!BG51</f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4"/>
        <v>0</v>
      </c>
      <c r="AF51" s="54">
        <f>AE51+'06.02'!AF51</f>
        <v>0</v>
      </c>
      <c r="AG51" s="94">
        <f t="shared" si="66"/>
        <v>0</v>
      </c>
      <c r="AH51" s="56">
        <f t="shared" si="13"/>
        <v>0</v>
      </c>
      <c r="AI51" s="93"/>
      <c r="AJ51" s="93">
        <f t="shared" si="67"/>
        <v>0</v>
      </c>
      <c r="AK51" s="95">
        <f t="shared" si="35"/>
        <v>1</v>
      </c>
      <c r="AL51" s="58">
        <f t="shared" si="36"/>
        <v>0</v>
      </c>
      <c r="AM51" s="55">
        <f t="shared" si="68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7"/>
        <v>0</v>
      </c>
      <c r="AV51" s="96">
        <f t="shared" si="37"/>
        <v>0</v>
      </c>
      <c r="AW51" s="96">
        <f t="shared" si="38"/>
        <v>0</v>
      </c>
      <c r="AX51" s="96">
        <f t="shared" si="39"/>
        <v>0</v>
      </c>
      <c r="AY51" s="94">
        <f t="shared" si="69"/>
        <v>0</v>
      </c>
      <c r="AZ51" s="94">
        <f t="shared" si="40"/>
        <v>0</v>
      </c>
      <c r="BA51" s="94">
        <f t="shared" si="41"/>
        <v>0</v>
      </c>
      <c r="BB51" s="97">
        <f t="shared" si="42"/>
        <v>0</v>
      </c>
      <c r="BC51" s="93"/>
      <c r="BD51" s="93">
        <f t="shared" si="43"/>
        <v>0</v>
      </c>
      <c r="BE51" s="95">
        <f t="shared" si="44"/>
        <v>1</v>
      </c>
      <c r="BF51" s="58">
        <f t="shared" si="45"/>
        <v>0</v>
      </c>
      <c r="BG51" s="94">
        <f t="shared" si="46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0"/>
        <v>0</v>
      </c>
      <c r="BP51" s="92">
        <f t="shared" si="70"/>
        <v>0</v>
      </c>
      <c r="BQ51" s="96">
        <f t="shared" si="47"/>
        <v>0</v>
      </c>
      <c r="BR51" s="96">
        <f t="shared" si="48"/>
        <v>0</v>
      </c>
      <c r="BS51" s="96">
        <f t="shared" si="71"/>
        <v>0</v>
      </c>
      <c r="BT51" s="96">
        <f t="shared" si="49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0"/>
        <v>0</v>
      </c>
      <c r="BY51" s="61">
        <f t="shared" si="73"/>
        <v>0</v>
      </c>
      <c r="BZ51" s="62">
        <f t="shared" si="51"/>
        <v>0</v>
      </c>
      <c r="CA51" s="98">
        <f t="shared" si="52"/>
        <v>0</v>
      </c>
      <c r="CB51" s="92">
        <f t="shared" si="98"/>
        <v>0</v>
      </c>
      <c r="CC51" s="92">
        <f t="shared" si="98"/>
        <v>0</v>
      </c>
      <c r="CD51" s="92">
        <f t="shared" si="98"/>
        <v>0</v>
      </c>
      <c r="CE51" s="99"/>
      <c r="CF51" s="99"/>
      <c r="CG51" s="51">
        <f t="shared" si="53"/>
        <v>0</v>
      </c>
      <c r="CH51" s="62">
        <f t="shared" si="54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101"/>
        <v>0</v>
      </c>
      <c r="CR51" s="102">
        <f t="shared" si="101"/>
        <v>0</v>
      </c>
      <c r="CS51" s="102">
        <f t="shared" si="101"/>
        <v>0</v>
      </c>
      <c r="CT51" s="92">
        <f t="shared" si="56"/>
        <v>0</v>
      </c>
      <c r="CU51" s="92">
        <f t="shared" si="102"/>
        <v>0</v>
      </c>
      <c r="CV51" s="103">
        <f t="shared" si="102"/>
        <v>0</v>
      </c>
      <c r="CW51" s="104" t="s">
        <v>147</v>
      </c>
      <c r="CX51" s="105">
        <v>20</v>
      </c>
      <c r="CY51" s="106">
        <f t="shared" si="58"/>
        <v>1971</v>
      </c>
      <c r="CZ51" s="106">
        <f t="shared" si="59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6"/>
        <v>0</v>
      </c>
      <c r="DL51" s="108">
        <f t="shared" si="86"/>
        <v>0</v>
      </c>
      <c r="DM51" s="111">
        <f t="shared" si="86"/>
        <v>0</v>
      </c>
      <c r="DN51" s="76">
        <f t="shared" si="89"/>
        <v>0</v>
      </c>
      <c r="DO51" s="76">
        <f t="shared" si="89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3"/>
        <v>0</v>
      </c>
      <c r="DX51" s="81">
        <f t="shared" si="28"/>
        <v>0</v>
      </c>
      <c r="DY51" s="80">
        <f t="shared" si="62"/>
        <v>0</v>
      </c>
      <c r="DZ51" s="82">
        <f t="shared" si="63"/>
        <v>0</v>
      </c>
      <c r="EA51" s="82">
        <f t="shared" si="64"/>
        <v>0</v>
      </c>
      <c r="EB51" s="82">
        <f t="shared" si="65"/>
        <v>0</v>
      </c>
      <c r="EC51" s="82">
        <f t="shared" si="75"/>
        <v>0</v>
      </c>
      <c r="EF51" s="83">
        <f t="shared" si="92"/>
        <v>0</v>
      </c>
    </row>
    <row r="52" spans="1:136" ht="14.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0"/>
        <v>MESUS303CU-3.5x3-H9B14</v>
      </c>
      <c r="H52" s="46" t="str">
        <f t="shared" si="31"/>
        <v>SUS303CUME3.50DH9</v>
      </c>
      <c r="I52" s="46" t="str">
        <f t="shared" si="32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3"/>
        <v>14</v>
      </c>
      <c r="T52" s="51">
        <f>'05.02'!BG52</f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4"/>
        <v>0</v>
      </c>
      <c r="AF52" s="54">
        <f>AE52+'06.02'!AF52</f>
        <v>0</v>
      </c>
      <c r="AG52" s="94">
        <f t="shared" si="66"/>
        <v>0</v>
      </c>
      <c r="AH52" s="56">
        <f t="shared" si="13"/>
        <v>0</v>
      </c>
      <c r="AI52" s="93"/>
      <c r="AJ52" s="93">
        <f t="shared" si="67"/>
        <v>0</v>
      </c>
      <c r="AK52" s="95">
        <f t="shared" si="35"/>
        <v>1</v>
      </c>
      <c r="AL52" s="58">
        <f t="shared" si="36"/>
        <v>0</v>
      </c>
      <c r="AM52" s="55">
        <f t="shared" si="68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7"/>
        <v>0</v>
      </c>
      <c r="AV52" s="96">
        <f t="shared" si="37"/>
        <v>0</v>
      </c>
      <c r="AW52" s="96">
        <f t="shared" si="38"/>
        <v>0</v>
      </c>
      <c r="AX52" s="96">
        <f t="shared" si="39"/>
        <v>0</v>
      </c>
      <c r="AY52" s="94">
        <f t="shared" si="69"/>
        <v>0</v>
      </c>
      <c r="AZ52" s="94">
        <f t="shared" si="40"/>
        <v>0</v>
      </c>
      <c r="BA52" s="94">
        <f t="shared" si="41"/>
        <v>0</v>
      </c>
      <c r="BB52" s="97">
        <f t="shared" si="42"/>
        <v>0</v>
      </c>
      <c r="BC52" s="93"/>
      <c r="BD52" s="93">
        <f t="shared" si="43"/>
        <v>0</v>
      </c>
      <c r="BE52" s="95">
        <f t="shared" si="44"/>
        <v>1</v>
      </c>
      <c r="BF52" s="58">
        <f t="shared" si="45"/>
        <v>0</v>
      </c>
      <c r="BG52" s="94">
        <f t="shared" si="46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0"/>
        <v>0</v>
      </c>
      <c r="BP52" s="92">
        <f t="shared" si="70"/>
        <v>0</v>
      </c>
      <c r="BQ52" s="96">
        <f t="shared" si="47"/>
        <v>0</v>
      </c>
      <c r="BR52" s="96">
        <f t="shared" si="48"/>
        <v>0</v>
      </c>
      <c r="BS52" s="96">
        <f t="shared" si="71"/>
        <v>0</v>
      </c>
      <c r="BT52" s="96">
        <f t="shared" si="49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0"/>
        <v>0</v>
      </c>
      <c r="BY52" s="61">
        <f t="shared" si="73"/>
        <v>0</v>
      </c>
      <c r="BZ52" s="62">
        <f t="shared" si="51"/>
        <v>0</v>
      </c>
      <c r="CA52" s="98">
        <f t="shared" si="52"/>
        <v>0</v>
      </c>
      <c r="CB52" s="92">
        <f t="shared" si="98"/>
        <v>0</v>
      </c>
      <c r="CC52" s="92">
        <f t="shared" si="98"/>
        <v>0</v>
      </c>
      <c r="CD52" s="92">
        <f t="shared" si="98"/>
        <v>0</v>
      </c>
      <c r="CE52" s="99"/>
      <c r="CF52" s="99"/>
      <c r="CG52" s="51">
        <f t="shared" si="53"/>
        <v>0</v>
      </c>
      <c r="CH52" s="62">
        <f t="shared" si="54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101"/>
        <v>0</v>
      </c>
      <c r="CR52" s="102">
        <f t="shared" si="101"/>
        <v>0</v>
      </c>
      <c r="CS52" s="102">
        <f t="shared" si="101"/>
        <v>0</v>
      </c>
      <c r="CT52" s="92">
        <f t="shared" si="56"/>
        <v>0</v>
      </c>
      <c r="CU52" s="92">
        <f t="shared" si="102"/>
        <v>0</v>
      </c>
      <c r="CV52" s="103">
        <f t="shared" si="102"/>
        <v>0</v>
      </c>
      <c r="CW52" s="104" t="s">
        <v>147</v>
      </c>
      <c r="CX52" s="105">
        <v>12</v>
      </c>
      <c r="CY52" s="106">
        <f t="shared" si="58"/>
        <v>3480</v>
      </c>
      <c r="CZ52" s="106">
        <f t="shared" si="59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6"/>
        <v>0</v>
      </c>
      <c r="DL52" s="108">
        <f t="shared" si="86"/>
        <v>0</v>
      </c>
      <c r="DM52" s="111">
        <f t="shared" si="86"/>
        <v>0</v>
      </c>
      <c r="DN52" s="76">
        <f t="shared" si="89"/>
        <v>0</v>
      </c>
      <c r="DO52" s="76">
        <f t="shared" si="89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3"/>
        <v>0</v>
      </c>
      <c r="DX52" s="81">
        <f t="shared" si="28"/>
        <v>0</v>
      </c>
      <c r="DY52" s="80">
        <f t="shared" si="62"/>
        <v>0</v>
      </c>
      <c r="DZ52" s="82">
        <f t="shared" si="63"/>
        <v>0</v>
      </c>
      <c r="EA52" s="82">
        <f t="shared" si="64"/>
        <v>0</v>
      </c>
      <c r="EB52" s="82">
        <f t="shared" si="65"/>
        <v>0</v>
      </c>
      <c r="EC52" s="82">
        <f t="shared" si="75"/>
        <v>0</v>
      </c>
      <c r="EF52" s="83">
        <f t="shared" si="92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0"/>
        <v>MESUS420J2-2x2.5-H9A14</v>
      </c>
      <c r="H53" s="46" t="str">
        <f t="shared" si="31"/>
        <v>SUS420J2ME20DH9</v>
      </c>
      <c r="I53" s="46" t="str">
        <f t="shared" si="32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3"/>
        <v>42</v>
      </c>
      <c r="T53" s="51">
        <f>'06.02'!BG53</f>
        <v>20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4"/>
        <v>0</v>
      </c>
      <c r="AF53" s="54">
        <f>AE53+'06.02'!AF53</f>
        <v>0</v>
      </c>
      <c r="AG53" s="94">
        <f t="shared" si="66"/>
        <v>20</v>
      </c>
      <c r="AH53" s="56">
        <f t="shared" si="13"/>
        <v>0</v>
      </c>
      <c r="AI53" s="93"/>
      <c r="AJ53" s="93">
        <f t="shared" si="67"/>
        <v>0</v>
      </c>
      <c r="AK53" s="95">
        <f t="shared" si="35"/>
        <v>1</v>
      </c>
      <c r="AL53" s="58">
        <f t="shared" si="36"/>
        <v>0</v>
      </c>
      <c r="AM53" s="55">
        <f t="shared" si="68"/>
        <v>20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7"/>
        <v>0</v>
      </c>
      <c r="AV53" s="96">
        <f t="shared" si="37"/>
        <v>0</v>
      </c>
      <c r="AW53" s="96">
        <f t="shared" si="38"/>
        <v>0</v>
      </c>
      <c r="AX53" s="96">
        <f t="shared" si="39"/>
        <v>0</v>
      </c>
      <c r="AY53" s="94">
        <f t="shared" si="69"/>
        <v>0</v>
      </c>
      <c r="AZ53" s="94">
        <f t="shared" si="40"/>
        <v>0</v>
      </c>
      <c r="BA53" s="94">
        <f t="shared" si="41"/>
        <v>20</v>
      </c>
      <c r="BB53" s="97">
        <f t="shared" si="42"/>
        <v>0</v>
      </c>
      <c r="BC53" s="93"/>
      <c r="BD53" s="93">
        <f t="shared" si="43"/>
        <v>0</v>
      </c>
      <c r="BE53" s="95">
        <f t="shared" si="44"/>
        <v>1</v>
      </c>
      <c r="BF53" s="58">
        <f t="shared" si="45"/>
        <v>0</v>
      </c>
      <c r="BG53" s="94">
        <f t="shared" si="46"/>
        <v>20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0"/>
        <v>0</v>
      </c>
      <c r="BP53" s="92">
        <f t="shared" si="70"/>
        <v>0</v>
      </c>
      <c r="BQ53" s="96">
        <f t="shared" si="47"/>
        <v>0</v>
      </c>
      <c r="BR53" s="96">
        <f t="shared" si="48"/>
        <v>0</v>
      </c>
      <c r="BS53" s="96">
        <f t="shared" si="71"/>
        <v>0</v>
      </c>
      <c r="BT53" s="96">
        <f t="shared" si="49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0"/>
        <v>0</v>
      </c>
      <c r="BY53" s="61">
        <f t="shared" si="73"/>
        <v>0</v>
      </c>
      <c r="BZ53" s="62">
        <f t="shared" si="51"/>
        <v>0</v>
      </c>
      <c r="CA53" s="98">
        <f t="shared" si="52"/>
        <v>0</v>
      </c>
      <c r="CB53" s="92">
        <f t="shared" si="98"/>
        <v>0</v>
      </c>
      <c r="CC53" s="92">
        <f t="shared" si="98"/>
        <v>0</v>
      </c>
      <c r="CD53" s="92">
        <f t="shared" si="98"/>
        <v>0</v>
      </c>
      <c r="CE53" s="99"/>
      <c r="CF53" s="99"/>
      <c r="CG53" s="51">
        <f t="shared" si="53"/>
        <v>0</v>
      </c>
      <c r="CH53" s="62">
        <f t="shared" si="54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101"/>
        <v>0</v>
      </c>
      <c r="CR53" s="102">
        <f t="shared" si="101"/>
        <v>0</v>
      </c>
      <c r="CS53" s="102">
        <f t="shared" si="101"/>
        <v>0</v>
      </c>
      <c r="CT53" s="92">
        <f t="shared" si="56"/>
        <v>0</v>
      </c>
      <c r="CU53" s="92">
        <f t="shared" si="102"/>
        <v>0</v>
      </c>
      <c r="CV53" s="103">
        <f t="shared" si="102"/>
        <v>0</v>
      </c>
      <c r="CW53" s="104" t="s">
        <v>147</v>
      </c>
      <c r="CX53" s="105">
        <v>8.0500000000000007</v>
      </c>
      <c r="CY53" s="106">
        <f t="shared" si="58"/>
        <v>4829</v>
      </c>
      <c r="CZ53" s="106">
        <f t="shared" si="59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6"/>
        <v>0</v>
      </c>
      <c r="DL53" s="108">
        <f t="shared" si="86"/>
        <v>0</v>
      </c>
      <c r="DM53" s="111">
        <f t="shared" si="86"/>
        <v>0</v>
      </c>
      <c r="DN53" s="76">
        <v>20</v>
      </c>
      <c r="DO53" s="76"/>
      <c r="DP53" s="112"/>
      <c r="DQ53" s="112"/>
      <c r="DR53" s="113" t="s">
        <v>446</v>
      </c>
      <c r="DS53" s="112"/>
      <c r="DT53" s="112"/>
      <c r="DU53" s="111"/>
      <c r="DV53" s="114"/>
      <c r="DW53" s="80">
        <f t="shared" si="61"/>
        <v>0</v>
      </c>
      <c r="DX53" s="81">
        <f t="shared" si="28"/>
        <v>0</v>
      </c>
      <c r="DY53" s="80">
        <f t="shared" si="62"/>
        <v>0</v>
      </c>
      <c r="DZ53" s="82">
        <f t="shared" si="63"/>
        <v>0</v>
      </c>
      <c r="EA53" s="82">
        <f t="shared" si="64"/>
        <v>0</v>
      </c>
      <c r="EB53" s="82">
        <f t="shared" si="65"/>
        <v>0</v>
      </c>
      <c r="EC53" s="82">
        <f t="shared" si="75"/>
        <v>0</v>
      </c>
      <c r="EF53" s="83">
        <f t="shared" si="92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0"/>
        <v>MESUS303CU-3.5x3-H9B14</v>
      </c>
      <c r="H54" s="46" t="str">
        <f t="shared" si="31"/>
        <v>SUS303CUME3.50DH9</v>
      </c>
      <c r="I54" s="46" t="str">
        <f t="shared" si="32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3"/>
        <v>12</v>
      </c>
      <c r="T54" s="51">
        <f>'06.02'!BG54</f>
        <v>40</v>
      </c>
      <c r="U54" s="92"/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4"/>
        <v>0</v>
      </c>
      <c r="AF54" s="54">
        <f>AE54+'06.02'!AF54</f>
        <v>0</v>
      </c>
      <c r="AG54" s="94">
        <f t="shared" si="66"/>
        <v>40</v>
      </c>
      <c r="AH54" s="56">
        <f t="shared" si="13"/>
        <v>0</v>
      </c>
      <c r="AI54" s="93"/>
      <c r="AJ54" s="93">
        <f t="shared" si="67"/>
        <v>0</v>
      </c>
      <c r="AK54" s="95">
        <f t="shared" si="35"/>
        <v>1</v>
      </c>
      <c r="AL54" s="58">
        <f t="shared" si="36"/>
        <v>0</v>
      </c>
      <c r="AM54" s="55">
        <f t="shared" si="68"/>
        <v>40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7"/>
        <v>0</v>
      </c>
      <c r="AV54" s="96">
        <f t="shared" si="37"/>
        <v>0</v>
      </c>
      <c r="AW54" s="96">
        <f t="shared" si="38"/>
        <v>0</v>
      </c>
      <c r="AX54" s="96">
        <f t="shared" si="39"/>
        <v>0</v>
      </c>
      <c r="AY54" s="94">
        <f t="shared" si="69"/>
        <v>0</v>
      </c>
      <c r="AZ54" s="94">
        <f t="shared" si="40"/>
        <v>0</v>
      </c>
      <c r="BA54" s="94">
        <f t="shared" si="41"/>
        <v>40</v>
      </c>
      <c r="BB54" s="97">
        <f t="shared" si="42"/>
        <v>0</v>
      </c>
      <c r="BC54" s="93"/>
      <c r="BD54" s="93">
        <f t="shared" si="43"/>
        <v>0</v>
      </c>
      <c r="BE54" s="95">
        <f t="shared" si="44"/>
        <v>1</v>
      </c>
      <c r="BF54" s="58">
        <f t="shared" si="45"/>
        <v>0</v>
      </c>
      <c r="BG54" s="94">
        <f t="shared" si="46"/>
        <v>40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0"/>
        <v>0</v>
      </c>
      <c r="BP54" s="92">
        <f t="shared" si="70"/>
        <v>0</v>
      </c>
      <c r="BQ54" s="96">
        <f t="shared" si="47"/>
        <v>0</v>
      </c>
      <c r="BR54" s="96">
        <f t="shared" si="48"/>
        <v>0</v>
      </c>
      <c r="BS54" s="96">
        <f t="shared" si="71"/>
        <v>0</v>
      </c>
      <c r="BT54" s="96">
        <f t="shared" si="49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0"/>
        <v>0</v>
      </c>
      <c r="BY54" s="61">
        <f t="shared" si="73"/>
        <v>0</v>
      </c>
      <c r="BZ54" s="62">
        <f t="shared" si="51"/>
        <v>0</v>
      </c>
      <c r="CA54" s="98">
        <f t="shared" si="52"/>
        <v>0</v>
      </c>
      <c r="CB54" s="92">
        <f t="shared" si="98"/>
        <v>0</v>
      </c>
      <c r="CC54" s="92">
        <f t="shared" si="98"/>
        <v>0</v>
      </c>
      <c r="CD54" s="92">
        <f t="shared" si="98"/>
        <v>0</v>
      </c>
      <c r="CE54" s="99"/>
      <c r="CF54" s="99"/>
      <c r="CG54" s="51">
        <f t="shared" si="53"/>
        <v>0</v>
      </c>
      <c r="CH54" s="62">
        <f t="shared" si="54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101"/>
        <v>0</v>
      </c>
      <c r="CR54" s="102">
        <f t="shared" si="101"/>
        <v>0</v>
      </c>
      <c r="CS54" s="102">
        <f t="shared" si="101"/>
        <v>0</v>
      </c>
      <c r="CT54" s="92">
        <f t="shared" si="56"/>
        <v>0</v>
      </c>
      <c r="CU54" s="92">
        <f t="shared" si="102"/>
        <v>0</v>
      </c>
      <c r="CV54" s="103">
        <f t="shared" si="102"/>
        <v>0</v>
      </c>
      <c r="CW54" s="104" t="s">
        <v>147</v>
      </c>
      <c r="CX54" s="105">
        <v>15</v>
      </c>
      <c r="CY54" s="106">
        <f t="shared" si="58"/>
        <v>2808</v>
      </c>
      <c r="CZ54" s="106">
        <f t="shared" si="59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6"/>
        <v>0</v>
      </c>
      <c r="DL54" s="108">
        <f t="shared" si="86"/>
        <v>0</v>
      </c>
      <c r="DM54" s="111">
        <f t="shared" si="86"/>
        <v>0</v>
      </c>
      <c r="DN54" s="76">
        <v>40</v>
      </c>
      <c r="DO54" s="76"/>
      <c r="DP54" s="112"/>
      <c r="DQ54" s="112"/>
      <c r="DR54" s="113" t="s">
        <v>447</v>
      </c>
      <c r="DS54" s="112"/>
      <c r="DT54" s="112"/>
      <c r="DU54" s="111"/>
      <c r="DV54" s="114"/>
      <c r="DW54" s="80">
        <f t="shared" ref="DW54:DW58" si="104">IFERROR(AL54+BF54,"")</f>
        <v>0</v>
      </c>
      <c r="DX54" s="81">
        <f t="shared" si="28"/>
        <v>0</v>
      </c>
      <c r="DY54" s="80">
        <f t="shared" si="62"/>
        <v>0</v>
      </c>
      <c r="DZ54" s="82">
        <f t="shared" si="63"/>
        <v>0</v>
      </c>
      <c r="EA54" s="82">
        <f t="shared" si="64"/>
        <v>0</v>
      </c>
      <c r="EB54" s="82">
        <f t="shared" si="65"/>
        <v>0</v>
      </c>
      <c r="EC54" s="82">
        <f t="shared" si="75"/>
        <v>0</v>
      </c>
      <c r="EF54" s="83">
        <f t="shared" si="92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0"/>
        <v>YHC3604-4.03x3-H9A14</v>
      </c>
      <c r="H55" s="46" t="str">
        <f t="shared" si="31"/>
        <v>C3604YH4.030DH9</v>
      </c>
      <c r="I55" s="46" t="str">
        <f t="shared" si="32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3"/>
        <v>60</v>
      </c>
      <c r="T55" s="51">
        <f>'06.02'!BG55</f>
        <v>83</v>
      </c>
      <c r="U55" s="92"/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9539</v>
      </c>
      <c r="AC55" s="93">
        <f t="shared" si="11"/>
        <v>0</v>
      </c>
      <c r="AD55" s="93">
        <f t="shared" si="12"/>
        <v>0</v>
      </c>
      <c r="AE55" s="93">
        <f t="shared" si="34"/>
        <v>9539</v>
      </c>
      <c r="AF55" s="54">
        <f>AE55+'06.02'!AF55</f>
        <v>64165</v>
      </c>
      <c r="AG55" s="94">
        <f t="shared" si="66"/>
        <v>83</v>
      </c>
      <c r="AH55" s="56">
        <f t="shared" si="13"/>
        <v>0</v>
      </c>
      <c r="AI55" s="93">
        <v>30</v>
      </c>
      <c r="AJ55" s="93">
        <f t="shared" si="67"/>
        <v>0</v>
      </c>
      <c r="AK55" s="95">
        <f t="shared" si="35"/>
        <v>1</v>
      </c>
      <c r="AL55" s="58">
        <f t="shared" si="36"/>
        <v>30</v>
      </c>
      <c r="AM55" s="55">
        <f t="shared" si="68"/>
        <v>53</v>
      </c>
      <c r="AN55" s="93"/>
      <c r="AO55" s="96"/>
      <c r="AP55" s="96"/>
      <c r="AQ55" s="96"/>
      <c r="AR55" s="96"/>
      <c r="AS55" s="96"/>
      <c r="AT55" s="96">
        <f>$CJ55</f>
        <v>3258</v>
      </c>
      <c r="AU55" s="96">
        <f t="shared" si="37"/>
        <v>0</v>
      </c>
      <c r="AV55" s="96">
        <f t="shared" si="37"/>
        <v>0</v>
      </c>
      <c r="AW55" s="96">
        <f t="shared" si="38"/>
        <v>3258</v>
      </c>
      <c r="AX55" s="96">
        <f t="shared" si="39"/>
        <v>5090</v>
      </c>
      <c r="AY55" s="94">
        <f t="shared" si="69"/>
        <v>-140.40000000000009</v>
      </c>
      <c r="AZ55" s="94">
        <f t="shared" si="40"/>
        <v>-219.37500000000014</v>
      </c>
      <c r="BA55" s="94">
        <f t="shared" si="41"/>
        <v>53</v>
      </c>
      <c r="BB55" s="97">
        <f t="shared" si="42"/>
        <v>0</v>
      </c>
      <c r="BC55" s="93">
        <v>26</v>
      </c>
      <c r="BD55" s="93">
        <f t="shared" si="43"/>
        <v>0</v>
      </c>
      <c r="BE55" s="95">
        <f t="shared" si="44"/>
        <v>1</v>
      </c>
      <c r="BF55" s="58">
        <f t="shared" si="45"/>
        <v>26</v>
      </c>
      <c r="BG55" s="94">
        <f t="shared" si="46"/>
        <v>27</v>
      </c>
      <c r="BH55" s="89"/>
      <c r="BI55" s="89"/>
      <c r="BJ55" s="89"/>
      <c r="BK55" s="89"/>
      <c r="BL55" s="89"/>
      <c r="BM55" s="89"/>
      <c r="BN55" s="92">
        <f>$CN55</f>
        <v>2847</v>
      </c>
      <c r="BO55" s="92">
        <f t="shared" si="70"/>
        <v>0</v>
      </c>
      <c r="BP55" s="92">
        <f t="shared" si="70"/>
        <v>0</v>
      </c>
      <c r="BQ55" s="96">
        <f t="shared" si="47"/>
        <v>2847</v>
      </c>
      <c r="BR55" s="96">
        <f t="shared" si="48"/>
        <v>4448</v>
      </c>
      <c r="BS55" s="96">
        <f t="shared" si="71"/>
        <v>-98.2800000000002</v>
      </c>
      <c r="BT55" s="96">
        <f t="shared" si="49"/>
        <v>-153.56250000000031</v>
      </c>
      <c r="BU55" s="92">
        <f t="shared" si="16"/>
        <v>9539</v>
      </c>
      <c r="BV55" s="98">
        <f t="shared" si="17"/>
        <v>56</v>
      </c>
      <c r="BW55" s="92">
        <f t="shared" si="18"/>
        <v>-372.93750000000045</v>
      </c>
      <c r="BX55" s="98">
        <f t="shared" si="50"/>
        <v>18.088000000000001</v>
      </c>
      <c r="BY55" s="61">
        <f t="shared" si="73"/>
        <v>56</v>
      </c>
      <c r="BZ55" s="62">
        <f t="shared" si="51"/>
        <v>56</v>
      </c>
      <c r="CA55" s="98">
        <f t="shared" si="52"/>
        <v>6.1050000000000004</v>
      </c>
      <c r="CB55" s="92">
        <f t="shared" si="98"/>
        <v>9538</v>
      </c>
      <c r="CC55" s="92">
        <f t="shared" si="98"/>
        <v>-238.68000000000029</v>
      </c>
      <c r="CD55" s="92">
        <f t="shared" si="98"/>
        <v>-372.93750000000045</v>
      </c>
      <c r="CE55" s="99"/>
      <c r="CF55" s="99"/>
      <c r="CG55" s="51">
        <f t="shared" si="53"/>
        <v>11.983000000000001</v>
      </c>
      <c r="CH55" s="62">
        <f t="shared" si="54"/>
        <v>11.983000000000001</v>
      </c>
      <c r="CI55" s="89"/>
      <c r="CJ55" s="89">
        <v>3258</v>
      </c>
      <c r="CK55" s="89"/>
      <c r="CL55" s="96"/>
      <c r="CM55" s="89"/>
      <c r="CN55" s="89">
        <v>2847</v>
      </c>
      <c r="CO55" s="92"/>
      <c r="CP55" s="101"/>
      <c r="CQ55" s="102">
        <f t="shared" si="101"/>
        <v>5090</v>
      </c>
      <c r="CR55" s="102">
        <f t="shared" si="101"/>
        <v>0</v>
      </c>
      <c r="CS55" s="102">
        <f t="shared" si="101"/>
        <v>0</v>
      </c>
      <c r="CT55" s="92">
        <f t="shared" si="56"/>
        <v>4449</v>
      </c>
      <c r="CU55" s="92">
        <f t="shared" si="102"/>
        <v>0</v>
      </c>
      <c r="CV55" s="103">
        <f t="shared" si="102"/>
        <v>0</v>
      </c>
      <c r="CW55" s="104" t="s">
        <v>147</v>
      </c>
      <c r="CX55" s="105">
        <v>7</v>
      </c>
      <c r="CY55" s="106">
        <f t="shared" si="58"/>
        <v>5271</v>
      </c>
      <c r="CZ55" s="106">
        <f t="shared" si="59"/>
        <v>28.35</v>
      </c>
      <c r="DA55" s="106"/>
      <c r="DB55" s="106"/>
      <c r="DC55" s="105"/>
      <c r="DD55" s="107"/>
      <c r="DE55" s="92">
        <f t="shared" si="21"/>
        <v>5090</v>
      </c>
      <c r="DF55" s="108">
        <f t="shared" si="22"/>
        <v>30</v>
      </c>
      <c r="DG55" s="112">
        <f t="shared" si="23"/>
        <v>-219.37500000000014</v>
      </c>
      <c r="DH55" s="110">
        <f t="shared" si="24"/>
        <v>4449</v>
      </c>
      <c r="DI55" s="108">
        <f t="shared" si="25"/>
        <v>26</v>
      </c>
      <c r="DJ55" s="112">
        <f t="shared" si="26"/>
        <v>-153.56250000000031</v>
      </c>
      <c r="DK55" s="110">
        <f t="shared" si="86"/>
        <v>9539</v>
      </c>
      <c r="DL55" s="108">
        <f t="shared" si="86"/>
        <v>56</v>
      </c>
      <c r="DM55" s="111">
        <f t="shared" si="86"/>
        <v>-372.93750000000045</v>
      </c>
      <c r="DN55" s="76">
        <v>27</v>
      </c>
      <c r="DO55" s="76"/>
      <c r="DP55" s="112"/>
      <c r="DQ55" s="112"/>
      <c r="DR55" s="113" t="s">
        <v>448</v>
      </c>
      <c r="DS55" s="112"/>
      <c r="DT55" s="112"/>
      <c r="DU55" s="111"/>
      <c r="DV55" s="114"/>
      <c r="DW55" s="80">
        <f t="shared" si="104"/>
        <v>56</v>
      </c>
      <c r="DX55" s="81">
        <f t="shared" si="28"/>
        <v>9222.0625</v>
      </c>
      <c r="DY55" s="80">
        <f t="shared" si="62"/>
        <v>9539</v>
      </c>
      <c r="DZ55" s="82">
        <f t="shared" si="63"/>
        <v>0</v>
      </c>
      <c r="EA55" s="82">
        <f t="shared" si="64"/>
        <v>6.1049600000000002</v>
      </c>
      <c r="EB55" s="82">
        <f t="shared" si="65"/>
        <v>11.983040000000001</v>
      </c>
      <c r="EC55" s="82">
        <f t="shared" ref="EC55:EC56" si="105">(BX55-CA55)+((AV55+BP55)/1000)</f>
        <v>11.983000000000001</v>
      </c>
      <c r="EF55" s="83">
        <f t="shared" si="92"/>
        <v>-372.93750000000045</v>
      </c>
    </row>
    <row r="56" spans="1:136" ht="14.1" customHeight="1">
      <c r="A56" s="84">
        <v>49</v>
      </c>
      <c r="B56" s="85" t="s">
        <v>278</v>
      </c>
      <c r="C56" s="86"/>
      <c r="D56" s="240" t="s">
        <v>279</v>
      </c>
      <c r="E56" s="88">
        <v>51</v>
      </c>
      <c r="F56" s="89" t="s">
        <v>147</v>
      </c>
      <c r="G56" s="45" t="str">
        <f t="shared" si="30"/>
        <v>TVSUS303-6x2.5-H9A14</v>
      </c>
      <c r="H56" s="46" t="str">
        <f t="shared" si="31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3"/>
        <v>110</v>
      </c>
      <c r="T56" s="51">
        <f>'06.02'!BG56</f>
        <v>30</v>
      </c>
      <c r="U56" s="92"/>
      <c r="V56" s="100">
        <v>7</v>
      </c>
      <c r="W56" s="93">
        <f t="shared" si="5"/>
        <v>0</v>
      </c>
      <c r="X56" s="93">
        <f t="shared" si="6"/>
        <v>0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0</v>
      </c>
      <c r="AE56" s="93">
        <f t="shared" si="34"/>
        <v>0</v>
      </c>
      <c r="AF56" s="54">
        <f>AE56+'06.02'!AF56</f>
        <v>1582</v>
      </c>
      <c r="AG56" s="94">
        <f t="shared" si="66"/>
        <v>30</v>
      </c>
      <c r="AH56" s="56">
        <f t="shared" si="13"/>
        <v>0</v>
      </c>
      <c r="AI56" s="93"/>
      <c r="AJ56" s="93">
        <f t="shared" si="67"/>
        <v>0</v>
      </c>
      <c r="AK56" s="95">
        <f t="shared" si="35"/>
        <v>1</v>
      </c>
      <c r="AL56" s="58">
        <f t="shared" si="36"/>
        <v>0</v>
      </c>
      <c r="AM56" s="55">
        <f t="shared" si="68"/>
        <v>30</v>
      </c>
      <c r="AN56" s="93"/>
      <c r="AO56" s="96"/>
      <c r="AP56" s="96">
        <f>$CJ56</f>
        <v>0</v>
      </c>
      <c r="AQ56" s="96"/>
      <c r="AR56" s="96"/>
      <c r="AS56" s="96"/>
      <c r="AT56" s="96"/>
      <c r="AU56" s="96">
        <f t="shared" si="37"/>
        <v>0</v>
      </c>
      <c r="AV56" s="96">
        <f t="shared" si="37"/>
        <v>0</v>
      </c>
      <c r="AW56" s="96">
        <f t="shared" si="38"/>
        <v>0</v>
      </c>
      <c r="AX56" s="96">
        <f t="shared" si="39"/>
        <v>0</v>
      </c>
      <c r="AY56" s="94">
        <f t="shared" si="69"/>
        <v>0</v>
      </c>
      <c r="AZ56" s="94">
        <f t="shared" si="40"/>
        <v>0</v>
      </c>
      <c r="BA56" s="94">
        <f t="shared" si="41"/>
        <v>30</v>
      </c>
      <c r="BB56" s="97">
        <f t="shared" si="42"/>
        <v>0</v>
      </c>
      <c r="BC56" s="93"/>
      <c r="BD56" s="93">
        <f t="shared" si="43"/>
        <v>0</v>
      </c>
      <c r="BE56" s="95">
        <f t="shared" si="44"/>
        <v>1</v>
      </c>
      <c r="BF56" s="58">
        <f t="shared" si="45"/>
        <v>0</v>
      </c>
      <c r="BG56" s="94">
        <f t="shared" si="46"/>
        <v>30</v>
      </c>
      <c r="BH56" s="89"/>
      <c r="BI56" s="89"/>
      <c r="BJ56" s="92">
        <f>$CN56</f>
        <v>0</v>
      </c>
      <c r="BK56" s="92"/>
      <c r="BL56" s="92"/>
      <c r="BM56" s="92"/>
      <c r="BN56" s="92"/>
      <c r="BO56" s="92">
        <f t="shared" si="70"/>
        <v>0</v>
      </c>
      <c r="BP56" s="92">
        <f t="shared" si="70"/>
        <v>0</v>
      </c>
      <c r="BQ56" s="96">
        <f t="shared" si="47"/>
        <v>0</v>
      </c>
      <c r="BR56" s="96">
        <f t="shared" si="48"/>
        <v>0</v>
      </c>
      <c r="BS56" s="96">
        <f t="shared" si="71"/>
        <v>0</v>
      </c>
      <c r="BT56" s="96">
        <f t="shared" si="49"/>
        <v>0</v>
      </c>
      <c r="BU56" s="92">
        <f t="shared" si="16"/>
        <v>0</v>
      </c>
      <c r="BV56" s="98">
        <f t="shared" si="17"/>
        <v>0</v>
      </c>
      <c r="BW56" s="92">
        <f t="shared" si="18"/>
        <v>0</v>
      </c>
      <c r="BX56" s="98">
        <f t="shared" si="50"/>
        <v>0</v>
      </c>
      <c r="BY56" s="61">
        <f t="shared" si="73"/>
        <v>0</v>
      </c>
      <c r="BZ56" s="62">
        <f t="shared" si="51"/>
        <v>0</v>
      </c>
      <c r="CA56" s="98">
        <f t="shared" si="52"/>
        <v>0</v>
      </c>
      <c r="CB56" s="92">
        <f t="shared" si="98"/>
        <v>0</v>
      </c>
      <c r="CC56" s="92">
        <f t="shared" si="98"/>
        <v>0</v>
      </c>
      <c r="CD56" s="92">
        <f t="shared" si="98"/>
        <v>0</v>
      </c>
      <c r="CE56" s="99"/>
      <c r="CF56" s="99"/>
      <c r="CG56" s="51">
        <f t="shared" si="53"/>
        <v>0</v>
      </c>
      <c r="CH56" s="62">
        <f t="shared" si="54"/>
        <v>0</v>
      </c>
      <c r="CI56" s="89"/>
      <c r="CJ56" s="89"/>
      <c r="CK56" s="89"/>
      <c r="CL56" s="96"/>
      <c r="CM56" s="89"/>
      <c r="CN56" s="89"/>
      <c r="CO56" s="92"/>
      <c r="CP56" s="101"/>
      <c r="CQ56" s="102">
        <f t="shared" si="101"/>
        <v>0</v>
      </c>
      <c r="CR56" s="102">
        <f t="shared" si="101"/>
        <v>0</v>
      </c>
      <c r="CS56" s="102">
        <f t="shared" si="101"/>
        <v>0</v>
      </c>
      <c r="CT56" s="92">
        <f t="shared" si="56"/>
        <v>0</v>
      </c>
      <c r="CU56" s="92">
        <f t="shared" si="102"/>
        <v>0</v>
      </c>
      <c r="CV56" s="103">
        <f t="shared" si="102"/>
        <v>0</v>
      </c>
      <c r="CW56" s="104" t="s">
        <v>147</v>
      </c>
      <c r="CX56" s="105">
        <v>10</v>
      </c>
      <c r="CY56" s="106">
        <f t="shared" si="58"/>
        <v>2790</v>
      </c>
      <c r="CZ56" s="106">
        <f t="shared" si="59"/>
        <v>40.5</v>
      </c>
      <c r="DA56" s="106"/>
      <c r="DB56" s="106"/>
      <c r="DC56" s="105"/>
      <c r="DD56" s="107"/>
      <c r="DE56" s="92">
        <f t="shared" si="21"/>
        <v>0</v>
      </c>
      <c r="DF56" s="108">
        <f t="shared" si="22"/>
        <v>0</v>
      </c>
      <c r="DG56" s="112">
        <f t="shared" si="23"/>
        <v>0</v>
      </c>
      <c r="DH56" s="136">
        <f t="shared" si="24"/>
        <v>0</v>
      </c>
      <c r="DI56" s="135">
        <f t="shared" si="25"/>
        <v>0</v>
      </c>
      <c r="DJ56" s="115">
        <f t="shared" si="26"/>
        <v>0</v>
      </c>
      <c r="DK56" s="110">
        <f t="shared" si="86"/>
        <v>0</v>
      </c>
      <c r="DL56" s="108">
        <f t="shared" si="86"/>
        <v>0</v>
      </c>
      <c r="DM56" s="111">
        <f t="shared" si="86"/>
        <v>0</v>
      </c>
      <c r="DN56" s="76">
        <v>30</v>
      </c>
      <c r="DO56" s="76"/>
      <c r="DP56" s="112"/>
      <c r="DQ56" s="112"/>
      <c r="DR56" s="113" t="s">
        <v>449</v>
      </c>
      <c r="DS56" s="112"/>
      <c r="DT56" s="112"/>
      <c r="DU56" s="111"/>
      <c r="DV56" s="114"/>
      <c r="DW56" s="80">
        <f t="shared" si="104"/>
        <v>0</v>
      </c>
      <c r="DX56" s="81">
        <f t="shared" si="28"/>
        <v>0</v>
      </c>
      <c r="DY56" s="80">
        <f t="shared" si="62"/>
        <v>0</v>
      </c>
      <c r="DZ56" s="82">
        <f t="shared" si="63"/>
        <v>0</v>
      </c>
      <c r="EA56" s="82">
        <f t="shared" si="64"/>
        <v>0</v>
      </c>
      <c r="EB56" s="82">
        <f t="shared" si="65"/>
        <v>0</v>
      </c>
      <c r="EC56" s="82">
        <f t="shared" si="105"/>
        <v>0</v>
      </c>
      <c r="EF56" s="83">
        <f t="shared" si="92"/>
        <v>0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0"/>
        <v>GWA6063-T5-8.3x3-H9B14</v>
      </c>
      <c r="H57" s="46" t="str">
        <f t="shared" si="31"/>
        <v>A6063-T5GW8.30DH9</v>
      </c>
      <c r="I57" s="46" t="str">
        <f t="shared" si="32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3"/>
        <v>12</v>
      </c>
      <c r="T57" s="51">
        <f>'06.02'!BG57</f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4"/>
        <v>0</v>
      </c>
      <c r="AF57" s="54">
        <f>AE57+'06.02'!AF57</f>
        <v>0</v>
      </c>
      <c r="AG57" s="94">
        <f t="shared" si="66"/>
        <v>47</v>
      </c>
      <c r="AH57" s="56">
        <f t="shared" si="13"/>
        <v>0</v>
      </c>
      <c r="AI57" s="93"/>
      <c r="AJ57" s="93">
        <f t="shared" si="67"/>
        <v>0</v>
      </c>
      <c r="AK57" s="95">
        <f t="shared" si="35"/>
        <v>1</v>
      </c>
      <c r="AL57" s="58">
        <f t="shared" si="36"/>
        <v>0</v>
      </c>
      <c r="AM57" s="55">
        <f t="shared" si="68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7"/>
        <v>0</v>
      </c>
      <c r="AV57" s="96">
        <f t="shared" si="37"/>
        <v>0</v>
      </c>
      <c r="AW57" s="96">
        <f t="shared" si="38"/>
        <v>0</v>
      </c>
      <c r="AX57" s="96">
        <f t="shared" si="39"/>
        <v>0</v>
      </c>
      <c r="AY57" s="94">
        <f t="shared" si="69"/>
        <v>0</v>
      </c>
      <c r="AZ57" s="94">
        <f t="shared" si="40"/>
        <v>0</v>
      </c>
      <c r="BA57" s="94">
        <f t="shared" si="41"/>
        <v>47</v>
      </c>
      <c r="BB57" s="97">
        <f t="shared" si="42"/>
        <v>0</v>
      </c>
      <c r="BC57" s="93"/>
      <c r="BD57" s="93">
        <f t="shared" si="43"/>
        <v>0</v>
      </c>
      <c r="BE57" s="95">
        <f t="shared" si="44"/>
        <v>1</v>
      </c>
      <c r="BF57" s="58">
        <f t="shared" si="45"/>
        <v>0</v>
      </c>
      <c r="BG57" s="94">
        <f t="shared" si="46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0"/>
        <v>0</v>
      </c>
      <c r="BP57" s="92">
        <f t="shared" si="70"/>
        <v>0</v>
      </c>
      <c r="BQ57" s="96">
        <f t="shared" si="47"/>
        <v>0</v>
      </c>
      <c r="BR57" s="96">
        <f t="shared" si="48"/>
        <v>0</v>
      </c>
      <c r="BS57" s="96">
        <f t="shared" si="71"/>
        <v>0</v>
      </c>
      <c r="BT57" s="96">
        <f t="shared" si="49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0"/>
        <v>0</v>
      </c>
      <c r="BY57" s="61">
        <f t="shared" si="73"/>
        <v>0</v>
      </c>
      <c r="BZ57" s="62">
        <f t="shared" si="51"/>
        <v>0</v>
      </c>
      <c r="CA57" s="98">
        <f t="shared" si="52"/>
        <v>0</v>
      </c>
      <c r="CB57" s="92">
        <f t="shared" si="98"/>
        <v>0</v>
      </c>
      <c r="CC57" s="92">
        <f t="shared" si="98"/>
        <v>0</v>
      </c>
      <c r="CD57" s="92">
        <f t="shared" si="98"/>
        <v>0</v>
      </c>
      <c r="CE57" s="99"/>
      <c r="CF57" s="99"/>
      <c r="CG57" s="51">
        <f t="shared" si="53"/>
        <v>0</v>
      </c>
      <c r="CH57" s="62">
        <f t="shared" si="54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101"/>
        <v>0</v>
      </c>
      <c r="CR57" s="102">
        <f t="shared" si="101"/>
        <v>0</v>
      </c>
      <c r="CS57" s="102">
        <f t="shared" si="101"/>
        <v>0</v>
      </c>
      <c r="CT57" s="92">
        <f t="shared" si="56"/>
        <v>0</v>
      </c>
      <c r="CU57" s="92">
        <f t="shared" si="102"/>
        <v>0</v>
      </c>
      <c r="CV57" s="103">
        <f t="shared" si="102"/>
        <v>0</v>
      </c>
      <c r="CW57" s="104" t="s">
        <v>147</v>
      </c>
      <c r="CX57" s="105">
        <v>22</v>
      </c>
      <c r="CY57" s="106">
        <f t="shared" si="58"/>
        <v>1914</v>
      </c>
      <c r="CZ57" s="106">
        <f t="shared" si="59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6"/>
        <v>0</v>
      </c>
      <c r="DL57" s="108">
        <f t="shared" si="86"/>
        <v>0</v>
      </c>
      <c r="DM57" s="111">
        <f t="shared" si="86"/>
        <v>0</v>
      </c>
      <c r="DN57" s="76">
        <v>47</v>
      </c>
      <c r="DO57" s="76"/>
      <c r="DP57" s="112"/>
      <c r="DQ57" s="112"/>
      <c r="DR57" s="113" t="s">
        <v>450</v>
      </c>
      <c r="DS57" s="112"/>
      <c r="DT57" s="112"/>
      <c r="DU57" s="111"/>
      <c r="DV57" s="114"/>
      <c r="DW57" s="80">
        <f t="shared" si="104"/>
        <v>0</v>
      </c>
      <c r="DX57" s="81">
        <f t="shared" si="28"/>
        <v>0</v>
      </c>
      <c r="DY57" s="80">
        <f t="shared" si="62"/>
        <v>0</v>
      </c>
      <c r="DZ57" s="82">
        <f t="shared" si="63"/>
        <v>0</v>
      </c>
      <c r="EA57" s="82">
        <f t="shared" si="64"/>
        <v>0</v>
      </c>
      <c r="EB57" s="82">
        <f t="shared" si="65"/>
        <v>0</v>
      </c>
      <c r="EC57" s="82">
        <f t="shared" si="75"/>
        <v>0</v>
      </c>
      <c r="EF57" s="83">
        <f t="shared" si="92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0"/>
        <v>IBC3604-6.5x3-H9A15</v>
      </c>
      <c r="H58" s="46" t="str">
        <f t="shared" si="31"/>
        <v>C3604IB6.50DH9</v>
      </c>
      <c r="I58" s="46" t="str">
        <f t="shared" si="32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3"/>
        <v>20</v>
      </c>
      <c r="T58" s="51">
        <f>'06.02'!BG58</f>
        <v>30.999999999999996</v>
      </c>
      <c r="U58" s="92"/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6713</v>
      </c>
      <c r="AC58" s="93">
        <f t="shared" si="11"/>
        <v>0</v>
      </c>
      <c r="AD58" s="93">
        <f t="shared" si="12"/>
        <v>0</v>
      </c>
      <c r="AE58" s="93">
        <f t="shared" si="34"/>
        <v>6713</v>
      </c>
      <c r="AF58" s="54">
        <f>AE58+'06.02'!AF58</f>
        <v>43248</v>
      </c>
      <c r="AG58" s="94">
        <f t="shared" si="66"/>
        <v>30.999999999999996</v>
      </c>
      <c r="AH58" s="56">
        <f t="shared" si="13"/>
        <v>0</v>
      </c>
      <c r="AI58" s="93">
        <v>11</v>
      </c>
      <c r="AJ58" s="93">
        <f t="shared" si="67"/>
        <v>0</v>
      </c>
      <c r="AK58" s="95">
        <f t="shared" si="35"/>
        <v>1</v>
      </c>
      <c r="AL58" s="58">
        <f t="shared" si="36"/>
        <v>11</v>
      </c>
      <c r="AM58" s="55">
        <f t="shared" si="68"/>
        <v>19.999999999999996</v>
      </c>
      <c r="AN58" s="93"/>
      <c r="AO58" s="96"/>
      <c r="AP58" s="96"/>
      <c r="AQ58" s="96"/>
      <c r="AR58" s="96"/>
      <c r="AS58" s="96"/>
      <c r="AT58" s="96">
        <f>$CJ58</f>
        <v>2034</v>
      </c>
      <c r="AU58" s="96">
        <f t="shared" si="37"/>
        <v>0</v>
      </c>
      <c r="AV58" s="96">
        <f t="shared" si="37"/>
        <v>0</v>
      </c>
      <c r="AW58" s="96">
        <f t="shared" si="38"/>
        <v>2034</v>
      </c>
      <c r="AX58" s="96">
        <f t="shared" si="39"/>
        <v>3334</v>
      </c>
      <c r="AY58" s="94">
        <f t="shared" si="69"/>
        <v>-52.809999999999945</v>
      </c>
      <c r="AZ58" s="94">
        <f t="shared" si="40"/>
        <v>-86.573770491803188</v>
      </c>
      <c r="BA58" s="94">
        <f t="shared" si="41"/>
        <v>19.999999999999996</v>
      </c>
      <c r="BB58" s="97">
        <f t="shared" si="42"/>
        <v>0</v>
      </c>
      <c r="BC58" s="93">
        <v>11</v>
      </c>
      <c r="BD58" s="93">
        <f t="shared" si="43"/>
        <v>0</v>
      </c>
      <c r="BE58" s="95">
        <f t="shared" si="44"/>
        <v>1</v>
      </c>
      <c r="BF58" s="58">
        <f t="shared" si="45"/>
        <v>11</v>
      </c>
      <c r="BG58" s="94">
        <f t="shared" si="46"/>
        <v>8.9999999999999964</v>
      </c>
      <c r="BH58" s="89"/>
      <c r="BI58" s="89"/>
      <c r="BJ58" s="89"/>
      <c r="BK58" s="89"/>
      <c r="BL58" s="89"/>
      <c r="BM58" s="89"/>
      <c r="BN58" s="92">
        <f>$CN58</f>
        <v>2061</v>
      </c>
      <c r="BO58" s="92">
        <f t="shared" si="70"/>
        <v>0</v>
      </c>
      <c r="BP58" s="92">
        <f t="shared" si="70"/>
        <v>0</v>
      </c>
      <c r="BQ58" s="96">
        <f t="shared" si="47"/>
        <v>2061</v>
      </c>
      <c r="BR58" s="96">
        <f t="shared" si="48"/>
        <v>3378</v>
      </c>
      <c r="BS58" s="96">
        <f t="shared" si="71"/>
        <v>-25.809999999999945</v>
      </c>
      <c r="BT58" s="96">
        <f t="shared" si="49"/>
        <v>-42.311475409835978</v>
      </c>
      <c r="BU58" s="92">
        <f t="shared" si="16"/>
        <v>6713</v>
      </c>
      <c r="BV58" s="98">
        <f t="shared" si="17"/>
        <v>22</v>
      </c>
      <c r="BW58" s="92">
        <f t="shared" si="18"/>
        <v>-128.88524590163917</v>
      </c>
      <c r="BX58" s="98">
        <f t="shared" si="50"/>
        <v>18.501999999999999</v>
      </c>
      <c r="BY58" s="61">
        <f t="shared" si="73"/>
        <v>22</v>
      </c>
      <c r="BZ58" s="62">
        <f t="shared" si="51"/>
        <v>22</v>
      </c>
      <c r="CA58" s="98">
        <f t="shared" si="52"/>
        <v>4.0949999999999998</v>
      </c>
      <c r="CB58" s="92">
        <f t="shared" si="98"/>
        <v>6712</v>
      </c>
      <c r="CC58" s="92">
        <f t="shared" si="98"/>
        <v>-78.619999999999891</v>
      </c>
      <c r="CD58" s="92">
        <f t="shared" si="98"/>
        <v>-128.88524590163917</v>
      </c>
      <c r="CE58" s="99"/>
      <c r="CF58" s="99"/>
      <c r="CG58" s="51">
        <f t="shared" si="53"/>
        <v>14.407</v>
      </c>
      <c r="CH58" s="62">
        <f t="shared" si="54"/>
        <v>14.407</v>
      </c>
      <c r="CI58" s="89"/>
      <c r="CJ58" s="89">
        <v>2034</v>
      </c>
      <c r="CK58" s="89"/>
      <c r="CL58" s="96"/>
      <c r="CM58" s="89"/>
      <c r="CN58" s="89">
        <v>2061</v>
      </c>
      <c r="CO58" s="92"/>
      <c r="CP58" s="101"/>
      <c r="CQ58" s="102">
        <f t="shared" si="101"/>
        <v>3334</v>
      </c>
      <c r="CR58" s="102">
        <f t="shared" si="101"/>
        <v>0</v>
      </c>
      <c r="CS58" s="102">
        <f t="shared" si="101"/>
        <v>0</v>
      </c>
      <c r="CT58" s="92">
        <f t="shared" si="56"/>
        <v>3379</v>
      </c>
      <c r="CU58" s="92">
        <f t="shared" si="102"/>
        <v>0</v>
      </c>
      <c r="CV58" s="103">
        <f t="shared" si="102"/>
        <v>0</v>
      </c>
      <c r="CW58" s="104" t="s">
        <v>147</v>
      </c>
      <c r="CX58" s="105">
        <v>13</v>
      </c>
      <c r="CY58" s="106">
        <f t="shared" si="58"/>
        <v>3170</v>
      </c>
      <c r="CZ58" s="106">
        <f t="shared" si="59"/>
        <v>52.650000000000006</v>
      </c>
      <c r="DA58" s="106"/>
      <c r="DB58" s="106"/>
      <c r="DC58" s="105"/>
      <c r="DD58" s="107"/>
      <c r="DE58" s="92">
        <f t="shared" si="21"/>
        <v>3334</v>
      </c>
      <c r="DF58" s="108">
        <f t="shared" si="22"/>
        <v>11</v>
      </c>
      <c r="DG58" s="112">
        <f t="shared" si="23"/>
        <v>-86.573770491803188</v>
      </c>
      <c r="DH58" s="110">
        <f t="shared" si="24"/>
        <v>3379</v>
      </c>
      <c r="DI58" s="108">
        <f t="shared" si="25"/>
        <v>11</v>
      </c>
      <c r="DJ58" s="112">
        <f t="shared" si="26"/>
        <v>-42.311475409835978</v>
      </c>
      <c r="DK58" s="110">
        <f t="shared" si="86"/>
        <v>6713</v>
      </c>
      <c r="DL58" s="108">
        <f t="shared" si="86"/>
        <v>22</v>
      </c>
      <c r="DM58" s="111">
        <f t="shared" si="86"/>
        <v>-128.88524590163917</v>
      </c>
      <c r="DN58" s="76">
        <v>9</v>
      </c>
      <c r="DO58" s="76"/>
      <c r="DP58" s="112"/>
      <c r="DQ58" s="112"/>
      <c r="DR58" s="113" t="s">
        <v>451</v>
      </c>
      <c r="DS58" s="112"/>
      <c r="DT58" s="112"/>
      <c r="DU58" s="111"/>
      <c r="DV58" s="114"/>
      <c r="DW58" s="80">
        <f t="shared" si="104"/>
        <v>22</v>
      </c>
      <c r="DX58" s="81">
        <f t="shared" si="28"/>
        <v>6606.1147540983611</v>
      </c>
      <c r="DY58" s="80">
        <f t="shared" si="62"/>
        <v>6713</v>
      </c>
      <c r="DZ58" s="82">
        <f t="shared" si="63"/>
        <v>0</v>
      </c>
      <c r="EA58" s="82">
        <f t="shared" si="64"/>
        <v>4.0949299999999997</v>
      </c>
      <c r="EB58" s="82">
        <f t="shared" si="65"/>
        <v>14.407069999999999</v>
      </c>
      <c r="EC58" s="82">
        <f>(BX58-CA58)+((AV58+BP58)/1000)</f>
        <v>14.407</v>
      </c>
      <c r="EF58" s="83">
        <f t="shared" si="92"/>
        <v>-128.88524590163917</v>
      </c>
    </row>
    <row r="59" spans="1:136" ht="14.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0"/>
        <v>GWA6063-T5-7.5x3-H9B14</v>
      </c>
      <c r="H59" s="46" t="str">
        <f t="shared" si="31"/>
        <v>A6063-T5GW7.50DH9</v>
      </c>
      <c r="I59" s="46" t="str">
        <f t="shared" si="32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3"/>
        <v>22</v>
      </c>
      <c r="T59" s="51">
        <f>'05.02'!BG59</f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4"/>
        <v>0</v>
      </c>
      <c r="AF59" s="54">
        <f>AE59+'06.02'!AF59</f>
        <v>0</v>
      </c>
      <c r="AG59" s="94">
        <f t="shared" si="66"/>
        <v>0</v>
      </c>
      <c r="AH59" s="56">
        <f t="shared" si="13"/>
        <v>0</v>
      </c>
      <c r="AI59" s="93"/>
      <c r="AJ59" s="93">
        <f t="shared" si="67"/>
        <v>0</v>
      </c>
      <c r="AK59" s="95">
        <f t="shared" si="35"/>
        <v>1</v>
      </c>
      <c r="AL59" s="58">
        <f t="shared" si="36"/>
        <v>0</v>
      </c>
      <c r="AM59" s="55">
        <f t="shared" si="68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7"/>
        <v>0</v>
      </c>
      <c r="AV59" s="96">
        <f t="shared" si="37"/>
        <v>0</v>
      </c>
      <c r="AW59" s="96">
        <f t="shared" si="38"/>
        <v>0</v>
      </c>
      <c r="AX59" s="96">
        <f t="shared" si="39"/>
        <v>0</v>
      </c>
      <c r="AY59" s="94">
        <f t="shared" si="69"/>
        <v>0</v>
      </c>
      <c r="AZ59" s="94">
        <f t="shared" si="40"/>
        <v>0</v>
      </c>
      <c r="BA59" s="94">
        <f t="shared" si="41"/>
        <v>0</v>
      </c>
      <c r="BB59" s="97">
        <f t="shared" si="42"/>
        <v>0</v>
      </c>
      <c r="BC59" s="93"/>
      <c r="BD59" s="93">
        <f t="shared" si="43"/>
        <v>0</v>
      </c>
      <c r="BE59" s="95">
        <f t="shared" si="44"/>
        <v>1</v>
      </c>
      <c r="BF59" s="58">
        <f t="shared" si="45"/>
        <v>0</v>
      </c>
      <c r="BG59" s="94">
        <f t="shared" si="46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0"/>
        <v>0</v>
      </c>
      <c r="BP59" s="92">
        <f t="shared" si="70"/>
        <v>0</v>
      </c>
      <c r="BQ59" s="96">
        <f t="shared" si="47"/>
        <v>0</v>
      </c>
      <c r="BR59" s="96">
        <f t="shared" si="48"/>
        <v>0</v>
      </c>
      <c r="BS59" s="96">
        <f t="shared" si="71"/>
        <v>0</v>
      </c>
      <c r="BT59" s="96">
        <f t="shared" si="49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0"/>
        <v>0</v>
      </c>
      <c r="BY59" s="61">
        <f t="shared" si="73"/>
        <v>0</v>
      </c>
      <c r="BZ59" s="62">
        <f t="shared" si="51"/>
        <v>0</v>
      </c>
      <c r="CA59" s="98">
        <f t="shared" si="52"/>
        <v>0</v>
      </c>
      <c r="CB59" s="92">
        <f t="shared" si="98"/>
        <v>0</v>
      </c>
      <c r="CC59" s="92">
        <f t="shared" si="98"/>
        <v>0</v>
      </c>
      <c r="CD59" s="92">
        <f t="shared" si="98"/>
        <v>0</v>
      </c>
      <c r="CE59" s="99"/>
      <c r="CF59" s="99"/>
      <c r="CG59" s="51">
        <f t="shared" si="53"/>
        <v>0</v>
      </c>
      <c r="CH59" s="62">
        <f t="shared" si="54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101"/>
        <v>0</v>
      </c>
      <c r="CR59" s="102">
        <f t="shared" si="101"/>
        <v>0</v>
      </c>
      <c r="CS59" s="102">
        <f t="shared" si="101"/>
        <v>0</v>
      </c>
      <c r="CT59" s="92">
        <f t="shared" si="56"/>
        <v>0</v>
      </c>
      <c r="CU59" s="92">
        <f t="shared" si="102"/>
        <v>0</v>
      </c>
      <c r="CV59" s="103">
        <f t="shared" si="102"/>
        <v>0</v>
      </c>
      <c r="CW59" s="104" t="s">
        <v>147</v>
      </c>
      <c r="CX59" s="105">
        <v>15.56</v>
      </c>
      <c r="CY59" s="106">
        <f t="shared" si="58"/>
        <v>2637</v>
      </c>
      <c r="CZ59" s="106">
        <f t="shared" si="59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6"/>
        <v>0</v>
      </c>
      <c r="DL59" s="108">
        <f t="shared" si="86"/>
        <v>0</v>
      </c>
      <c r="DM59" s="111">
        <f t="shared" si="86"/>
        <v>0</v>
      </c>
      <c r="DN59" s="76">
        <f t="shared" si="89"/>
        <v>0</v>
      </c>
      <c r="DO59" s="76">
        <f t="shared" si="89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1"/>
        <v>0</v>
      </c>
      <c r="DX59" s="81">
        <f t="shared" si="28"/>
        <v>0</v>
      </c>
      <c r="DY59" s="80">
        <f t="shared" si="62"/>
        <v>0</v>
      </c>
      <c r="DZ59" s="82">
        <f t="shared" si="63"/>
        <v>0</v>
      </c>
      <c r="EA59" s="82">
        <f t="shared" si="64"/>
        <v>0</v>
      </c>
      <c r="EB59" s="82">
        <f t="shared" si="65"/>
        <v>0</v>
      </c>
      <c r="EC59" s="82">
        <f t="shared" si="75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0"/>
        <v>TVSUS303-5x3-H7B13</v>
      </c>
      <c r="H60" s="46" t="str">
        <f t="shared" si="31"/>
        <v>SUS303TV50DH7</v>
      </c>
      <c r="I60" s="46" t="str">
        <f t="shared" si="32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3"/>
        <v>6</v>
      </c>
      <c r="T60" s="51">
        <f>'06.02'!BG60</f>
        <v>19</v>
      </c>
      <c r="U60" s="92"/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2183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0</v>
      </c>
      <c r="AE60" s="93">
        <f t="shared" si="34"/>
        <v>2183</v>
      </c>
      <c r="AF60" s="54">
        <f>AE60+'06.02'!AF60</f>
        <v>4800</v>
      </c>
      <c r="AG60" s="94">
        <f t="shared" si="66"/>
        <v>19</v>
      </c>
      <c r="AH60" s="56">
        <f t="shared" si="13"/>
        <v>0</v>
      </c>
      <c r="AI60" s="93">
        <v>2</v>
      </c>
      <c r="AJ60" s="93">
        <f t="shared" si="67"/>
        <v>0</v>
      </c>
      <c r="AK60" s="95">
        <f t="shared" si="35"/>
        <v>1</v>
      </c>
      <c r="AL60" s="58">
        <f t="shared" si="36"/>
        <v>2</v>
      </c>
      <c r="AM60" s="55">
        <f t="shared" si="68"/>
        <v>17</v>
      </c>
      <c r="AN60" s="93"/>
      <c r="AO60" s="96"/>
      <c r="AP60" s="96"/>
      <c r="AQ60" s="96"/>
      <c r="AR60" s="96">
        <f t="shared" ref="AR60:AS61" si="106">$CJ60</f>
        <v>387</v>
      </c>
      <c r="AS60" s="96"/>
      <c r="AT60" s="96"/>
      <c r="AU60" s="96">
        <f t="shared" si="37"/>
        <v>0</v>
      </c>
      <c r="AV60" s="96">
        <f t="shared" si="37"/>
        <v>0</v>
      </c>
      <c r="AW60" s="96">
        <f t="shared" si="38"/>
        <v>387</v>
      </c>
      <c r="AX60" s="96">
        <f t="shared" si="39"/>
        <v>1060</v>
      </c>
      <c r="AY60" s="94">
        <f t="shared" si="69"/>
        <v>15.430000000000007</v>
      </c>
      <c r="AZ60" s="94">
        <f t="shared" si="40"/>
        <v>42.273972602739747</v>
      </c>
      <c r="BA60" s="94">
        <f t="shared" si="41"/>
        <v>17</v>
      </c>
      <c r="BB60" s="97">
        <f t="shared" si="42"/>
        <v>0</v>
      </c>
      <c r="BC60" s="93">
        <v>2</v>
      </c>
      <c r="BD60" s="93">
        <f t="shared" si="43"/>
        <v>0</v>
      </c>
      <c r="BE60" s="95">
        <f t="shared" si="44"/>
        <v>1</v>
      </c>
      <c r="BF60" s="58">
        <f t="shared" si="45"/>
        <v>2</v>
      </c>
      <c r="BG60" s="94">
        <f t="shared" si="46"/>
        <v>15</v>
      </c>
      <c r="BH60" s="89"/>
      <c r="BI60" s="89"/>
      <c r="BJ60" s="92"/>
      <c r="BK60" s="89"/>
      <c r="BL60" s="92">
        <f>$CN60</f>
        <v>410</v>
      </c>
      <c r="BM60" s="92"/>
      <c r="BN60" s="92"/>
      <c r="BO60" s="92">
        <f t="shared" si="70"/>
        <v>0</v>
      </c>
      <c r="BP60" s="92">
        <f t="shared" si="70"/>
        <v>0</v>
      </c>
      <c r="BQ60" s="96">
        <f t="shared" si="47"/>
        <v>410</v>
      </c>
      <c r="BR60" s="96">
        <f t="shared" si="48"/>
        <v>1123</v>
      </c>
      <c r="BS60" s="96">
        <f t="shared" si="71"/>
        <v>38.430000000000007</v>
      </c>
      <c r="BT60" s="96">
        <f t="shared" si="49"/>
        <v>105.28767123287673</v>
      </c>
      <c r="BU60" s="92">
        <f t="shared" si="16"/>
        <v>2183</v>
      </c>
      <c r="BV60" s="98">
        <f t="shared" si="17"/>
        <v>4</v>
      </c>
      <c r="BW60" s="92">
        <f t="shared" si="18"/>
        <v>147.56164383561648</v>
      </c>
      <c r="BX60" s="98">
        <f t="shared" si="50"/>
        <v>1.88</v>
      </c>
      <c r="BY60" s="61">
        <f t="shared" si="73"/>
        <v>4</v>
      </c>
      <c r="BZ60" s="62">
        <f t="shared" si="51"/>
        <v>4</v>
      </c>
      <c r="CA60" s="98">
        <f t="shared" si="52"/>
        <v>0.79700000000000004</v>
      </c>
      <c r="CB60" s="92">
        <f t="shared" si="98"/>
        <v>2183</v>
      </c>
      <c r="CC60" s="92">
        <f t="shared" si="98"/>
        <v>53.860000000000014</v>
      </c>
      <c r="CD60" s="92">
        <f t="shared" si="98"/>
        <v>147.56164383561648</v>
      </c>
      <c r="CE60" s="99"/>
      <c r="CF60" s="99"/>
      <c r="CG60" s="51">
        <f t="shared" si="53"/>
        <v>1.0829999999999997</v>
      </c>
      <c r="CH60" s="62">
        <f t="shared" si="54"/>
        <v>1.0829999999999997</v>
      </c>
      <c r="CI60" s="89"/>
      <c r="CJ60" s="89">
        <v>387</v>
      </c>
      <c r="CK60" s="89"/>
      <c r="CL60" s="96"/>
      <c r="CM60" s="89"/>
      <c r="CN60" s="89">
        <v>410</v>
      </c>
      <c r="CO60" s="92"/>
      <c r="CP60" s="101"/>
      <c r="CQ60" s="102">
        <f t="shared" si="101"/>
        <v>1060</v>
      </c>
      <c r="CR60" s="102">
        <f t="shared" si="101"/>
        <v>0</v>
      </c>
      <c r="CS60" s="102">
        <f t="shared" si="101"/>
        <v>0</v>
      </c>
      <c r="CT60" s="92">
        <f t="shared" si="56"/>
        <v>1123</v>
      </c>
      <c r="CU60" s="92">
        <f t="shared" si="102"/>
        <v>0</v>
      </c>
      <c r="CV60" s="103">
        <f t="shared" si="102"/>
        <v>0</v>
      </c>
      <c r="CW60" s="104" t="s">
        <v>147</v>
      </c>
      <c r="CX60" s="105">
        <v>30</v>
      </c>
      <c r="CY60" s="106">
        <f t="shared" si="58"/>
        <v>1422</v>
      </c>
      <c r="CZ60" s="106">
        <f t="shared" si="59"/>
        <v>121.50000000000001</v>
      </c>
      <c r="DA60" s="106"/>
      <c r="DB60" s="106"/>
      <c r="DC60" s="105"/>
      <c r="DD60" s="107"/>
      <c r="DE60" s="92">
        <f t="shared" si="21"/>
        <v>1060</v>
      </c>
      <c r="DF60" s="108">
        <f t="shared" si="22"/>
        <v>2</v>
      </c>
      <c r="DG60" s="115">
        <f t="shared" si="23"/>
        <v>42.273972602739747</v>
      </c>
      <c r="DH60" s="110">
        <f t="shared" si="24"/>
        <v>1123</v>
      </c>
      <c r="DI60" s="108">
        <f t="shared" si="25"/>
        <v>2</v>
      </c>
      <c r="DJ60" s="115">
        <f t="shared" si="26"/>
        <v>105.28767123287673</v>
      </c>
      <c r="DK60" s="110">
        <f t="shared" si="86"/>
        <v>2183</v>
      </c>
      <c r="DL60" s="108">
        <f t="shared" si="86"/>
        <v>4</v>
      </c>
      <c r="DM60" s="111">
        <f t="shared" si="86"/>
        <v>147.56164383561648</v>
      </c>
      <c r="DN60" s="76">
        <v>15</v>
      </c>
      <c r="DO60" s="76"/>
      <c r="DP60" s="112"/>
      <c r="DQ60" s="112"/>
      <c r="DR60" s="113" t="s">
        <v>452</v>
      </c>
      <c r="DS60" s="112"/>
      <c r="DT60" s="112"/>
      <c r="DU60" s="111"/>
      <c r="DV60" s="114"/>
      <c r="DW60" s="80">
        <f>IFERROR(AL60+BF60,"")</f>
        <v>4</v>
      </c>
      <c r="DX60" s="81">
        <f t="shared" si="28"/>
        <v>2334.5616438356165</v>
      </c>
      <c r="DY60" s="80">
        <f t="shared" si="62"/>
        <v>2183</v>
      </c>
      <c r="DZ60" s="82">
        <f t="shared" si="63"/>
        <v>0</v>
      </c>
      <c r="EA60" s="82">
        <f t="shared" si="64"/>
        <v>0.79679499999999992</v>
      </c>
      <c r="EB60" s="82">
        <f t="shared" si="65"/>
        <v>1.083205</v>
      </c>
      <c r="EC60" s="82">
        <f t="shared" si="75"/>
        <v>1.083205</v>
      </c>
      <c r="EF60" s="83">
        <f t="shared" ref="EF60:EF88" si="107">DG60+DJ60</f>
        <v>147.56164383561648</v>
      </c>
    </row>
    <row r="61" spans="1:136" ht="14.1" customHeight="1">
      <c r="A61" s="84">
        <v>54</v>
      </c>
      <c r="B61" s="85" t="s">
        <v>290</v>
      </c>
      <c r="C61" s="86"/>
      <c r="D61" s="171" t="s">
        <v>496</v>
      </c>
      <c r="E61" s="88">
        <v>61</v>
      </c>
      <c r="F61" s="89" t="s">
        <v>147</v>
      </c>
      <c r="G61" s="45" t="str">
        <f t="shared" si="30"/>
        <v>TV12L14-5x3-H9A14</v>
      </c>
      <c r="H61" s="46" t="str">
        <f t="shared" si="31"/>
        <v>12L14TV50DH9</v>
      </c>
      <c r="I61" s="46" t="str">
        <f t="shared" si="32"/>
        <v>12L14TV50DH93A14</v>
      </c>
      <c r="J61" s="90" t="s">
        <v>137</v>
      </c>
      <c r="K61" s="90" t="s">
        <v>138</v>
      </c>
      <c r="L61" s="90">
        <v>5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139</v>
      </c>
      <c r="S61" s="89">
        <f t="shared" si="33"/>
        <v>84</v>
      </c>
      <c r="T61" s="51">
        <f>'06.02'!BG61</f>
        <v>50</v>
      </c>
      <c r="U61" s="92"/>
      <c r="V61" s="100">
        <v>2.0499999999999998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34"/>
        <v>0</v>
      </c>
      <c r="AF61" s="54">
        <f>AE61+'06.02'!AF61</f>
        <v>608</v>
      </c>
      <c r="AG61" s="94">
        <f t="shared" si="66"/>
        <v>50</v>
      </c>
      <c r="AH61" s="56">
        <f t="shared" si="13"/>
        <v>0</v>
      </c>
      <c r="AI61" s="93"/>
      <c r="AJ61" s="93">
        <f t="shared" si="67"/>
        <v>0</v>
      </c>
      <c r="AK61" s="95">
        <f t="shared" si="35"/>
        <v>1</v>
      </c>
      <c r="AL61" s="58">
        <f t="shared" si="36"/>
        <v>0</v>
      </c>
      <c r="AM61" s="55">
        <f t="shared" si="68"/>
        <v>50</v>
      </c>
      <c r="AN61" s="93"/>
      <c r="AO61" s="96"/>
      <c r="AP61" s="96"/>
      <c r="AQ61" s="96"/>
      <c r="AR61" s="96"/>
      <c r="AS61" s="96">
        <f t="shared" si="106"/>
        <v>0</v>
      </c>
      <c r="AT61" s="96"/>
      <c r="AU61" s="96">
        <f t="shared" si="37"/>
        <v>0</v>
      </c>
      <c r="AV61" s="96">
        <f t="shared" si="37"/>
        <v>0</v>
      </c>
      <c r="AW61" s="96">
        <f t="shared" si="38"/>
        <v>0</v>
      </c>
      <c r="AX61" s="96">
        <f t="shared" si="39"/>
        <v>0</v>
      </c>
      <c r="AY61" s="94">
        <f t="shared" si="69"/>
        <v>0</v>
      </c>
      <c r="AZ61" s="94">
        <f t="shared" si="40"/>
        <v>0</v>
      </c>
      <c r="BA61" s="94">
        <f t="shared" si="41"/>
        <v>50</v>
      </c>
      <c r="BB61" s="97">
        <f t="shared" si="42"/>
        <v>0</v>
      </c>
      <c r="BC61" s="93"/>
      <c r="BD61" s="93">
        <f t="shared" si="43"/>
        <v>0</v>
      </c>
      <c r="BE61" s="95">
        <f t="shared" si="44"/>
        <v>1</v>
      </c>
      <c r="BF61" s="58">
        <f t="shared" si="45"/>
        <v>0</v>
      </c>
      <c r="BG61" s="94">
        <f t="shared" si="46"/>
        <v>50</v>
      </c>
      <c r="BH61" s="89"/>
      <c r="BI61" s="89"/>
      <c r="BJ61" s="92"/>
      <c r="BK61" s="89"/>
      <c r="BL61" s="89"/>
      <c r="BM61" s="92">
        <f>$CN61</f>
        <v>0</v>
      </c>
      <c r="BN61" s="92"/>
      <c r="BO61" s="92">
        <f t="shared" si="70"/>
        <v>0</v>
      </c>
      <c r="BP61" s="92">
        <f t="shared" si="70"/>
        <v>0</v>
      </c>
      <c r="BQ61" s="96">
        <f t="shared" si="47"/>
        <v>0</v>
      </c>
      <c r="BR61" s="96">
        <f t="shared" si="48"/>
        <v>0</v>
      </c>
      <c r="BS61" s="96">
        <f t="shared" si="71"/>
        <v>0</v>
      </c>
      <c r="BT61" s="96">
        <f>IF($V61="","",BS61/$V61)</f>
        <v>0</v>
      </c>
      <c r="BU61" s="92">
        <f t="shared" si="16"/>
        <v>0</v>
      </c>
      <c r="BV61" s="98">
        <f t="shared" si="17"/>
        <v>0</v>
      </c>
      <c r="BW61" s="92">
        <f t="shared" si="18"/>
        <v>0</v>
      </c>
      <c r="BX61" s="98">
        <f t="shared" si="50"/>
        <v>0</v>
      </c>
      <c r="BY61" s="61">
        <f t="shared" si="73"/>
        <v>0</v>
      </c>
      <c r="BZ61" s="62">
        <f t="shared" si="51"/>
        <v>0</v>
      </c>
      <c r="CA61" s="98">
        <f t="shared" si="52"/>
        <v>0</v>
      </c>
      <c r="CB61" s="92">
        <f t="shared" si="98"/>
        <v>0</v>
      </c>
      <c r="CC61" s="92">
        <f t="shared" si="98"/>
        <v>0</v>
      </c>
      <c r="CD61" s="92">
        <f t="shared" si="98"/>
        <v>0</v>
      </c>
      <c r="CE61" s="99"/>
      <c r="CF61" s="99"/>
      <c r="CG61" s="51">
        <f t="shared" si="53"/>
        <v>0</v>
      </c>
      <c r="CH61" s="62">
        <f t="shared" si="54"/>
        <v>0</v>
      </c>
      <c r="CI61" s="89"/>
      <c r="CJ61" s="89"/>
      <c r="CK61" s="89"/>
      <c r="CL61" s="96"/>
      <c r="CM61" s="89"/>
      <c r="CN61" s="89"/>
      <c r="CO61" s="92"/>
      <c r="CP61" s="101"/>
      <c r="CQ61" s="102">
        <f t="shared" si="101"/>
        <v>0</v>
      </c>
      <c r="CR61" s="102">
        <f t="shared" si="101"/>
        <v>0</v>
      </c>
      <c r="CS61" s="102">
        <f t="shared" si="101"/>
        <v>0</v>
      </c>
      <c r="CT61" s="92">
        <f t="shared" si="56"/>
        <v>0</v>
      </c>
      <c r="CU61" s="92">
        <f t="shared" si="102"/>
        <v>0</v>
      </c>
      <c r="CV61" s="103">
        <f t="shared" si="102"/>
        <v>0</v>
      </c>
      <c r="CW61" s="104" t="s">
        <v>147</v>
      </c>
      <c r="CX61" s="105">
        <v>13</v>
      </c>
      <c r="CY61" s="106">
        <f t="shared" si="58"/>
        <v>2561</v>
      </c>
      <c r="CZ61" s="106">
        <f t="shared" si="59"/>
        <v>52.650000000000006</v>
      </c>
      <c r="DA61" s="106"/>
      <c r="DB61" s="106"/>
      <c r="DC61" s="105"/>
      <c r="DD61" s="107"/>
      <c r="DE61" s="92">
        <f t="shared" si="21"/>
        <v>0</v>
      </c>
      <c r="DF61" s="108">
        <f t="shared" si="22"/>
        <v>0</v>
      </c>
      <c r="DG61" s="112">
        <f t="shared" si="23"/>
        <v>0</v>
      </c>
      <c r="DH61" s="110">
        <f t="shared" si="24"/>
        <v>0</v>
      </c>
      <c r="DI61" s="108">
        <f t="shared" si="25"/>
        <v>0</v>
      </c>
      <c r="DJ61" s="112">
        <f t="shared" si="26"/>
        <v>0</v>
      </c>
      <c r="DK61" s="110">
        <f t="shared" si="86"/>
        <v>0</v>
      </c>
      <c r="DL61" s="108">
        <f t="shared" si="86"/>
        <v>0</v>
      </c>
      <c r="DM61" s="111">
        <f t="shared" si="86"/>
        <v>0</v>
      </c>
      <c r="DN61" s="76">
        <v>50</v>
      </c>
      <c r="DO61" s="76"/>
      <c r="DP61" s="112"/>
      <c r="DQ61" s="112"/>
      <c r="DR61" s="113" t="s">
        <v>498</v>
      </c>
      <c r="DS61" s="112"/>
      <c r="DT61" s="112"/>
      <c r="DU61" s="111"/>
      <c r="DV61" s="114"/>
      <c r="DW61" s="80">
        <f t="shared" si="61"/>
        <v>0</v>
      </c>
      <c r="DX61" s="81">
        <f t="shared" si="28"/>
        <v>0</v>
      </c>
      <c r="DY61" s="80">
        <f t="shared" si="62"/>
        <v>0</v>
      </c>
      <c r="DZ61" s="82">
        <f t="shared" si="63"/>
        <v>0</v>
      </c>
      <c r="EA61" s="82">
        <f t="shared" si="64"/>
        <v>0</v>
      </c>
      <c r="EB61" s="82">
        <f t="shared" si="65"/>
        <v>0</v>
      </c>
      <c r="EC61" s="82">
        <f t="shared" ref="EC61:EC65" si="108">(BX61-CA61)+((AV61+BP61)/1000)</f>
        <v>0</v>
      </c>
      <c r="EF61" s="83">
        <f t="shared" si="107"/>
        <v>0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0"/>
        <v>MIC3602-3x2.5-H9A14</v>
      </c>
      <c r="H62" s="46" t="str">
        <f t="shared" si="31"/>
        <v>C3602MI30DH9</v>
      </c>
      <c r="I62" s="46" t="str">
        <f t="shared" si="32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3"/>
        <v>34</v>
      </c>
      <c r="T62" s="51">
        <f>'06.02'!BG62</f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4"/>
        <v>0</v>
      </c>
      <c r="AF62" s="54">
        <f>AE62+'06.02'!AF62</f>
        <v>0</v>
      </c>
      <c r="AG62" s="94">
        <f t="shared" si="66"/>
        <v>47</v>
      </c>
      <c r="AH62" s="56">
        <f t="shared" si="13"/>
        <v>0</v>
      </c>
      <c r="AI62" s="93"/>
      <c r="AJ62" s="93">
        <f t="shared" si="67"/>
        <v>0</v>
      </c>
      <c r="AK62" s="95">
        <f t="shared" si="35"/>
        <v>1</v>
      </c>
      <c r="AL62" s="58">
        <f t="shared" si="36"/>
        <v>0</v>
      </c>
      <c r="AM62" s="55">
        <f t="shared" si="68"/>
        <v>47</v>
      </c>
      <c r="AN62" s="93"/>
      <c r="AO62" s="96"/>
      <c r="AP62" s="96"/>
      <c r="AQ62" s="96"/>
      <c r="AR62" s="96"/>
      <c r="AS62" s="96"/>
      <c r="AT62" s="96">
        <f t="shared" ref="AT62:AT64" si="109">$CJ62</f>
        <v>0</v>
      </c>
      <c r="AU62" s="96">
        <f t="shared" si="37"/>
        <v>0</v>
      </c>
      <c r="AV62" s="96">
        <f t="shared" si="37"/>
        <v>0</v>
      </c>
      <c r="AW62" s="96">
        <f t="shared" si="38"/>
        <v>0</v>
      </c>
      <c r="AX62" s="96">
        <f t="shared" si="39"/>
        <v>0</v>
      </c>
      <c r="AY62" s="94">
        <f t="shared" si="69"/>
        <v>0</v>
      </c>
      <c r="AZ62" s="94">
        <f t="shared" si="40"/>
        <v>0</v>
      </c>
      <c r="BA62" s="94">
        <f t="shared" si="41"/>
        <v>47</v>
      </c>
      <c r="BB62" s="97">
        <f t="shared" si="42"/>
        <v>0</v>
      </c>
      <c r="BC62" s="93"/>
      <c r="BD62" s="93">
        <f t="shared" si="43"/>
        <v>0</v>
      </c>
      <c r="BE62" s="95">
        <f t="shared" si="44"/>
        <v>1</v>
      </c>
      <c r="BF62" s="58">
        <f t="shared" si="45"/>
        <v>0</v>
      </c>
      <c r="BG62" s="94">
        <f t="shared" si="46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0"/>
        <v>0</v>
      </c>
      <c r="BP62" s="92">
        <f t="shared" si="70"/>
        <v>0</v>
      </c>
      <c r="BQ62" s="96">
        <f t="shared" si="47"/>
        <v>0</v>
      </c>
      <c r="BR62" s="96">
        <f t="shared" si="48"/>
        <v>0</v>
      </c>
      <c r="BS62" s="96">
        <f t="shared" si="71"/>
        <v>0</v>
      </c>
      <c r="BT62" s="96">
        <f t="shared" si="49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0"/>
        <v>0</v>
      </c>
      <c r="BY62" s="61">
        <f t="shared" si="73"/>
        <v>0</v>
      </c>
      <c r="BZ62" s="62">
        <f t="shared" si="51"/>
        <v>0</v>
      </c>
      <c r="CA62" s="98">
        <f t="shared" si="52"/>
        <v>0</v>
      </c>
      <c r="CB62" s="92">
        <f t="shared" si="98"/>
        <v>0</v>
      </c>
      <c r="CC62" s="92">
        <f t="shared" si="98"/>
        <v>0</v>
      </c>
      <c r="CD62" s="92">
        <f t="shared" si="98"/>
        <v>0</v>
      </c>
      <c r="CE62" s="99"/>
      <c r="CF62" s="99"/>
      <c r="CG62" s="51">
        <f t="shared" si="53"/>
        <v>0</v>
      </c>
      <c r="CH62" s="62">
        <f t="shared" si="54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101"/>
        <v>0</v>
      </c>
      <c r="CR62" s="102">
        <f t="shared" si="101"/>
        <v>0</v>
      </c>
      <c r="CS62" s="102">
        <f t="shared" si="101"/>
        <v>0</v>
      </c>
      <c r="CT62" s="92">
        <f t="shared" si="56"/>
        <v>0</v>
      </c>
      <c r="CU62" s="92">
        <f t="shared" si="102"/>
        <v>0</v>
      </c>
      <c r="CV62" s="103">
        <f t="shared" si="102"/>
        <v>0</v>
      </c>
      <c r="CW62" s="104" t="s">
        <v>147</v>
      </c>
      <c r="CX62" s="105">
        <v>6</v>
      </c>
      <c r="CY62" s="106">
        <f t="shared" si="58"/>
        <v>6630</v>
      </c>
      <c r="CZ62" s="106">
        <f t="shared" si="59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6"/>
        <v>0</v>
      </c>
      <c r="DL62" s="108">
        <f t="shared" si="86"/>
        <v>0</v>
      </c>
      <c r="DM62" s="111">
        <f t="shared" si="86"/>
        <v>0</v>
      </c>
      <c r="DN62" s="76">
        <v>47</v>
      </c>
      <c r="DO62" s="76"/>
      <c r="DP62" s="112"/>
      <c r="DQ62" s="112"/>
      <c r="DR62" s="113" t="s">
        <v>454</v>
      </c>
      <c r="DS62" s="112"/>
      <c r="DT62" s="112"/>
      <c r="DU62" s="111"/>
      <c r="DV62" s="114"/>
      <c r="DW62" s="80">
        <f t="shared" ref="DW62:DW65" si="110">IFERROR(AL62+BF62,"")</f>
        <v>0</v>
      </c>
      <c r="DX62" s="81">
        <f t="shared" si="28"/>
        <v>0</v>
      </c>
      <c r="DY62" s="80">
        <f t="shared" si="62"/>
        <v>0</v>
      </c>
      <c r="DZ62" s="82">
        <f t="shared" si="63"/>
        <v>0</v>
      </c>
      <c r="EA62" s="82">
        <f t="shared" si="64"/>
        <v>0</v>
      </c>
      <c r="EB62" s="82">
        <f t="shared" si="65"/>
        <v>0</v>
      </c>
      <c r="EC62" s="82">
        <f t="shared" si="108"/>
        <v>0</v>
      </c>
      <c r="EF62" s="83">
        <f t="shared" si="107"/>
        <v>0</v>
      </c>
    </row>
    <row r="63" spans="1:136" ht="11.25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0"/>
        <v>FRCuBe2Pb-3.15x3-H9A08</v>
      </c>
      <c r="H63" s="46" t="str">
        <f t="shared" si="31"/>
        <v>CuBe2PbFR3.150DH9</v>
      </c>
      <c r="I63" s="46" t="str">
        <f t="shared" si="32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3"/>
        <v>16</v>
      </c>
      <c r="T63" s="51">
        <f>'05.02'!BG63</f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4"/>
        <v>0</v>
      </c>
      <c r="AF63" s="54">
        <f>AE63+'06.02'!AF63</f>
        <v>0</v>
      </c>
      <c r="AG63" s="94">
        <f t="shared" si="66"/>
        <v>0</v>
      </c>
      <c r="AH63" s="56">
        <f t="shared" si="13"/>
        <v>0</v>
      </c>
      <c r="AI63" s="93"/>
      <c r="AJ63" s="93">
        <f t="shared" si="67"/>
        <v>0</v>
      </c>
      <c r="AK63" s="95">
        <f t="shared" si="35"/>
        <v>1</v>
      </c>
      <c r="AL63" s="58">
        <f t="shared" si="36"/>
        <v>0</v>
      </c>
      <c r="AM63" s="55">
        <f t="shared" si="68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7"/>
        <v>0</v>
      </c>
      <c r="AV63" s="96">
        <f t="shared" si="37"/>
        <v>0</v>
      </c>
      <c r="AW63" s="96">
        <f t="shared" si="38"/>
        <v>0</v>
      </c>
      <c r="AX63" s="96">
        <f t="shared" si="39"/>
        <v>0</v>
      </c>
      <c r="AY63" s="94">
        <f t="shared" si="69"/>
        <v>0</v>
      </c>
      <c r="AZ63" s="94">
        <f t="shared" si="40"/>
        <v>0</v>
      </c>
      <c r="BA63" s="94">
        <f t="shared" si="41"/>
        <v>0</v>
      </c>
      <c r="BB63" s="97">
        <f t="shared" si="42"/>
        <v>0</v>
      </c>
      <c r="BC63" s="93"/>
      <c r="BD63" s="93">
        <f t="shared" si="43"/>
        <v>0</v>
      </c>
      <c r="BE63" s="95">
        <f t="shared" si="44"/>
        <v>1</v>
      </c>
      <c r="BF63" s="58">
        <f t="shared" si="45"/>
        <v>0</v>
      </c>
      <c r="BG63" s="94">
        <f t="shared" si="46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0"/>
        <v>0</v>
      </c>
      <c r="BP63" s="92">
        <f t="shared" si="70"/>
        <v>0</v>
      </c>
      <c r="BQ63" s="96">
        <f t="shared" si="47"/>
        <v>0</v>
      </c>
      <c r="BR63" s="96">
        <f>IF(AA63="","",INT(BQ63/$V63))</f>
        <v>0</v>
      </c>
      <c r="BS63" s="96">
        <f t="shared" si="71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0"/>
        <v>0</v>
      </c>
      <c r="BY63" s="61">
        <f t="shared" si="73"/>
        <v>0</v>
      </c>
      <c r="BZ63" s="62">
        <f t="shared" si="51"/>
        <v>0</v>
      </c>
      <c r="CA63" s="98">
        <f t="shared" si="52"/>
        <v>0</v>
      </c>
      <c r="CB63" s="92">
        <f t="shared" si="98"/>
        <v>0</v>
      </c>
      <c r="CC63" s="92">
        <f t="shared" si="98"/>
        <v>0</v>
      </c>
      <c r="CD63" s="92">
        <f t="shared" si="98"/>
        <v>0</v>
      </c>
      <c r="CE63" s="99"/>
      <c r="CF63" s="99"/>
      <c r="CG63" s="51">
        <f t="shared" si="53"/>
        <v>0</v>
      </c>
      <c r="CH63" s="62">
        <f t="shared" si="54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101"/>
        <v>0</v>
      </c>
      <c r="CR63" s="102">
        <f t="shared" si="101"/>
        <v>0</v>
      </c>
      <c r="CS63" s="102">
        <f t="shared" si="101"/>
        <v>0</v>
      </c>
      <c r="CT63" s="92">
        <f t="shared" si="56"/>
        <v>0</v>
      </c>
      <c r="CU63" s="92">
        <f t="shared" si="102"/>
        <v>0</v>
      </c>
      <c r="CV63" s="103">
        <f t="shared" si="102"/>
        <v>0</v>
      </c>
      <c r="CW63" s="104" t="s">
        <v>147</v>
      </c>
      <c r="CX63" s="105">
        <v>6</v>
      </c>
      <c r="CY63" s="106">
        <f t="shared" si="58"/>
        <v>6960</v>
      </c>
      <c r="CZ63" s="106">
        <f t="shared" si="59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6"/>
        <v>0</v>
      </c>
      <c r="DL63" s="108">
        <f t="shared" si="86"/>
        <v>0</v>
      </c>
      <c r="DM63" s="111">
        <f t="shared" si="86"/>
        <v>0</v>
      </c>
      <c r="DN63" s="76">
        <f t="shared" si="89"/>
        <v>0</v>
      </c>
      <c r="DO63" s="76">
        <f t="shared" si="89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10"/>
        <v>0</v>
      </c>
      <c r="DX63" s="81">
        <f t="shared" si="28"/>
        <v>0</v>
      </c>
      <c r="DY63" s="80">
        <f t="shared" si="62"/>
        <v>0</v>
      </c>
      <c r="DZ63" s="82">
        <f t="shared" si="63"/>
        <v>0</v>
      </c>
      <c r="EA63" s="82">
        <f t="shared" si="64"/>
        <v>0</v>
      </c>
      <c r="EB63" s="82">
        <f t="shared" si="65"/>
        <v>0</v>
      </c>
      <c r="EC63" s="82">
        <f t="shared" si="108"/>
        <v>0</v>
      </c>
      <c r="EF63" s="83">
        <f t="shared" si="107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0"/>
        <v>IBC3604-5x3-H9B14</v>
      </c>
      <c r="H64" s="46" t="str">
        <f t="shared" si="31"/>
        <v>C3604IB50DH9</v>
      </c>
      <c r="I64" s="46" t="str">
        <f t="shared" si="32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3"/>
        <v>22</v>
      </c>
      <c r="T64" s="51">
        <f>'06.02'!BG64</f>
        <v>33</v>
      </c>
      <c r="U64" s="92"/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9493</v>
      </c>
      <c r="AC64" s="93">
        <f t="shared" si="11"/>
        <v>0</v>
      </c>
      <c r="AD64" s="93">
        <f t="shared" si="12"/>
        <v>0</v>
      </c>
      <c r="AE64" s="93">
        <f t="shared" si="34"/>
        <v>9493</v>
      </c>
      <c r="AF64" s="54">
        <f>AE64+'06.02'!AF64</f>
        <v>67194</v>
      </c>
      <c r="AG64" s="94">
        <f t="shared" si="66"/>
        <v>33</v>
      </c>
      <c r="AH64" s="56">
        <f t="shared" si="13"/>
        <v>0</v>
      </c>
      <c r="AI64" s="93">
        <v>10</v>
      </c>
      <c r="AJ64" s="93">
        <f t="shared" si="67"/>
        <v>0</v>
      </c>
      <c r="AK64" s="95">
        <f t="shared" si="35"/>
        <v>1</v>
      </c>
      <c r="AL64" s="58">
        <f t="shared" si="36"/>
        <v>10</v>
      </c>
      <c r="AM64" s="55">
        <f t="shared" si="68"/>
        <v>23</v>
      </c>
      <c r="AN64" s="93"/>
      <c r="AO64" s="96"/>
      <c r="AP64" s="96"/>
      <c r="AQ64" s="96"/>
      <c r="AR64" s="96"/>
      <c r="AS64" s="96"/>
      <c r="AT64" s="96">
        <f t="shared" si="109"/>
        <v>2196</v>
      </c>
      <c r="AU64" s="96">
        <f t="shared" si="37"/>
        <v>0</v>
      </c>
      <c r="AV64" s="96">
        <f t="shared" si="37"/>
        <v>0</v>
      </c>
      <c r="AW64" s="96">
        <f t="shared" si="38"/>
        <v>2196</v>
      </c>
      <c r="AX64" s="96">
        <f t="shared" si="39"/>
        <v>4773</v>
      </c>
      <c r="AY64" s="94">
        <f t="shared" si="69"/>
        <v>15.599999999999909</v>
      </c>
      <c r="AZ64" s="94">
        <f t="shared" si="40"/>
        <v>33.913043478260668</v>
      </c>
      <c r="BA64" s="94">
        <f t="shared" si="41"/>
        <v>23</v>
      </c>
      <c r="BB64" s="97">
        <f t="shared" si="42"/>
        <v>0</v>
      </c>
      <c r="BC64" s="93">
        <v>10</v>
      </c>
      <c r="BD64" s="93">
        <f t="shared" si="43"/>
        <v>0</v>
      </c>
      <c r="BE64" s="95">
        <f t="shared" si="44"/>
        <v>1</v>
      </c>
      <c r="BF64" s="58">
        <f t="shared" si="45"/>
        <v>10</v>
      </c>
      <c r="BG64" s="94">
        <f t="shared" si="46"/>
        <v>13</v>
      </c>
      <c r="BH64" s="89"/>
      <c r="BI64" s="89"/>
      <c r="BJ64" s="89"/>
      <c r="BK64" s="89"/>
      <c r="BL64" s="89"/>
      <c r="BM64" s="92"/>
      <c r="BN64" s="92">
        <f>$CN64</f>
        <v>2171</v>
      </c>
      <c r="BO64" s="92">
        <f t="shared" si="70"/>
        <v>0</v>
      </c>
      <c r="BP64" s="92">
        <f t="shared" si="70"/>
        <v>0</v>
      </c>
      <c r="BQ64" s="96">
        <f t="shared" si="47"/>
        <v>2171</v>
      </c>
      <c r="BR64" s="96">
        <f t="shared" si="48"/>
        <v>4719</v>
      </c>
      <c r="BS64" s="96">
        <f t="shared" si="71"/>
        <v>-9.4000000000000909</v>
      </c>
      <c r="BT64" s="96">
        <f t="shared" si="49"/>
        <v>-20.434782608695848</v>
      </c>
      <c r="BU64" s="92">
        <f t="shared" si="16"/>
        <v>9493</v>
      </c>
      <c r="BV64" s="98">
        <f t="shared" si="17"/>
        <v>20</v>
      </c>
      <c r="BW64" s="92">
        <f t="shared" si="18"/>
        <v>13.478260869564821</v>
      </c>
      <c r="BX64" s="98">
        <f t="shared" si="50"/>
        <v>10</v>
      </c>
      <c r="BY64" s="61">
        <f>IFERROR(BF64+AL64,0)</f>
        <v>20</v>
      </c>
      <c r="BZ64" s="62">
        <f t="shared" si="51"/>
        <v>20</v>
      </c>
      <c r="CA64" s="98">
        <f t="shared" si="52"/>
        <v>4.367</v>
      </c>
      <c r="CB64" s="92">
        <f t="shared" si="98"/>
        <v>9492</v>
      </c>
      <c r="CC64" s="92">
        <f t="shared" si="98"/>
        <v>6.1999999999998181</v>
      </c>
      <c r="CD64" s="92">
        <f t="shared" si="98"/>
        <v>13.478260869564821</v>
      </c>
      <c r="CE64" s="99"/>
      <c r="CF64" s="99"/>
      <c r="CG64" s="51">
        <f t="shared" si="53"/>
        <v>5.633</v>
      </c>
      <c r="CH64" s="62">
        <f t="shared" si="54"/>
        <v>5.633</v>
      </c>
      <c r="CI64" s="89"/>
      <c r="CJ64" s="89">
        <v>2196</v>
      </c>
      <c r="CK64" s="89"/>
      <c r="CL64" s="96"/>
      <c r="CM64" s="89"/>
      <c r="CN64" s="89">
        <v>2171</v>
      </c>
      <c r="CO64" s="92"/>
      <c r="CP64" s="101"/>
      <c r="CQ64" s="102">
        <f t="shared" si="101"/>
        <v>4773</v>
      </c>
      <c r="CR64" s="102">
        <f t="shared" si="101"/>
        <v>0</v>
      </c>
      <c r="CS64" s="102">
        <f t="shared" si="101"/>
        <v>0</v>
      </c>
      <c r="CT64" s="92">
        <f t="shared" si="56"/>
        <v>4720</v>
      </c>
      <c r="CU64" s="92">
        <f t="shared" si="102"/>
        <v>0</v>
      </c>
      <c r="CV64" s="103">
        <f t="shared" si="102"/>
        <v>0</v>
      </c>
      <c r="CW64" s="104" t="s">
        <v>147</v>
      </c>
      <c r="CX64" s="105">
        <v>8</v>
      </c>
      <c r="CY64" s="106">
        <f t="shared" si="58"/>
        <v>5130</v>
      </c>
      <c r="CZ64" s="106">
        <f t="shared" si="59"/>
        <v>32.400000000000006</v>
      </c>
      <c r="DA64" s="106"/>
      <c r="DB64" s="106"/>
      <c r="DC64" s="105"/>
      <c r="DD64" s="107"/>
      <c r="DE64" s="92">
        <f t="shared" si="21"/>
        <v>4773</v>
      </c>
      <c r="DF64" s="108">
        <f t="shared" si="22"/>
        <v>10</v>
      </c>
      <c r="DG64" s="112">
        <f t="shared" si="23"/>
        <v>33.913043478260668</v>
      </c>
      <c r="DH64" s="110">
        <f t="shared" si="24"/>
        <v>4720</v>
      </c>
      <c r="DI64" s="108">
        <f t="shared" si="25"/>
        <v>10</v>
      </c>
      <c r="DJ64" s="112">
        <f t="shared" si="26"/>
        <v>-20.434782608695848</v>
      </c>
      <c r="DK64" s="110">
        <f t="shared" si="86"/>
        <v>9493</v>
      </c>
      <c r="DL64" s="108">
        <f t="shared" si="86"/>
        <v>20</v>
      </c>
      <c r="DM64" s="111">
        <f t="shared" si="86"/>
        <v>13.478260869564821</v>
      </c>
      <c r="DN64" s="76">
        <v>13</v>
      </c>
      <c r="DO64" s="76"/>
      <c r="DP64" s="112"/>
      <c r="DQ64" s="112"/>
      <c r="DR64" s="113" t="s">
        <v>455</v>
      </c>
      <c r="DS64" s="112"/>
      <c r="DT64" s="112"/>
      <c r="DU64" s="111"/>
      <c r="DV64" s="114"/>
      <c r="DW64" s="80">
        <f t="shared" si="110"/>
        <v>20</v>
      </c>
      <c r="DX64" s="81">
        <f t="shared" si="28"/>
        <v>9526.4782608695641</v>
      </c>
      <c r="DY64" s="80">
        <f t="shared" si="62"/>
        <v>9493</v>
      </c>
      <c r="DZ64" s="82">
        <f t="shared" si="63"/>
        <v>0</v>
      </c>
      <c r="EA64" s="82">
        <f t="shared" si="64"/>
        <v>4.3667799999999994</v>
      </c>
      <c r="EB64" s="82">
        <f t="shared" si="65"/>
        <v>5.6332200000000006</v>
      </c>
      <c r="EC64" s="82">
        <f t="shared" si="108"/>
        <v>5.633</v>
      </c>
      <c r="EF64" s="83">
        <f t="shared" si="107"/>
        <v>13.478260869564821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0"/>
        <v>TVA2011-T3-6x3-H9B14</v>
      </c>
      <c r="H65" s="46" t="str">
        <f t="shared" si="31"/>
        <v>A2011-T3TV60DH9</v>
      </c>
      <c r="I65" s="46" t="str">
        <f t="shared" si="32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3"/>
        <v>#DIV/0!</v>
      </c>
      <c r="T65" s="51">
        <f>'06.02'!BG65</f>
        <v>40</v>
      </c>
      <c r="U65" s="92"/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0</v>
      </c>
      <c r="AC65" s="93">
        <f t="shared" si="11"/>
        <v>0</v>
      </c>
      <c r="AD65" s="93">
        <f t="shared" si="12"/>
        <v>0</v>
      </c>
      <c r="AE65" s="93">
        <f t="shared" si="34"/>
        <v>0</v>
      </c>
      <c r="AF65" s="54">
        <f>AE65+'06.02'!AF65</f>
        <v>9679</v>
      </c>
      <c r="AG65" s="94">
        <f t="shared" si="66"/>
        <v>40</v>
      </c>
      <c r="AH65" s="56">
        <f t="shared" si="13"/>
        <v>0</v>
      </c>
      <c r="AI65" s="93"/>
      <c r="AJ65" s="93">
        <f t="shared" si="67"/>
        <v>0</v>
      </c>
      <c r="AK65" s="95">
        <f t="shared" si="35"/>
        <v>1</v>
      </c>
      <c r="AL65" s="58">
        <f t="shared" si="36"/>
        <v>0</v>
      </c>
      <c r="AM65" s="55">
        <f t="shared" si="68"/>
        <v>40</v>
      </c>
      <c r="AN65" s="93"/>
      <c r="AO65" s="96"/>
      <c r="AP65" s="96"/>
      <c r="AQ65" s="96"/>
      <c r="AR65" s="96"/>
      <c r="AS65" s="96"/>
      <c r="AT65" s="96">
        <f>$CJ65</f>
        <v>0</v>
      </c>
      <c r="AU65" s="96">
        <f t="shared" si="37"/>
        <v>0</v>
      </c>
      <c r="AV65" s="96">
        <f t="shared" si="37"/>
        <v>0</v>
      </c>
      <c r="AW65" s="96">
        <f t="shared" si="38"/>
        <v>0</v>
      </c>
      <c r="AX65" s="96">
        <f t="shared" si="39"/>
        <v>0</v>
      </c>
      <c r="AY65" s="94">
        <f t="shared" si="69"/>
        <v>0</v>
      </c>
      <c r="AZ65" s="94">
        <f t="shared" si="40"/>
        <v>0</v>
      </c>
      <c r="BA65" s="94">
        <f t="shared" si="41"/>
        <v>40</v>
      </c>
      <c r="BB65" s="97">
        <f t="shared" si="42"/>
        <v>0</v>
      </c>
      <c r="BC65" s="93"/>
      <c r="BD65" s="93">
        <f t="shared" si="43"/>
        <v>0</v>
      </c>
      <c r="BE65" s="95">
        <f t="shared" si="44"/>
        <v>1</v>
      </c>
      <c r="BF65" s="58">
        <f t="shared" si="45"/>
        <v>0</v>
      </c>
      <c r="BG65" s="94">
        <f t="shared" si="46"/>
        <v>40</v>
      </c>
      <c r="BH65" s="89"/>
      <c r="BI65" s="89"/>
      <c r="BJ65" s="92"/>
      <c r="BK65" s="89"/>
      <c r="BL65" s="89"/>
      <c r="BM65" s="89"/>
      <c r="BN65" s="92">
        <f>$CN65</f>
        <v>0</v>
      </c>
      <c r="BO65" s="92">
        <f t="shared" si="70"/>
        <v>0</v>
      </c>
      <c r="BP65" s="92">
        <f t="shared" si="70"/>
        <v>0</v>
      </c>
      <c r="BQ65" s="96">
        <f t="shared" si="47"/>
        <v>0</v>
      </c>
      <c r="BR65" s="96">
        <f t="shared" si="48"/>
        <v>0</v>
      </c>
      <c r="BS65" s="96">
        <f t="shared" si="71"/>
        <v>0</v>
      </c>
      <c r="BT65" s="96">
        <f t="shared" si="49"/>
        <v>0</v>
      </c>
      <c r="BU65" s="92">
        <f t="shared" si="16"/>
        <v>0</v>
      </c>
      <c r="BV65" s="98">
        <f t="shared" si="17"/>
        <v>0</v>
      </c>
      <c r="BW65" s="92">
        <f t="shared" si="18"/>
        <v>0</v>
      </c>
      <c r="BX65" s="98">
        <f t="shared" si="50"/>
        <v>0</v>
      </c>
      <c r="BY65" s="61">
        <f t="shared" si="73"/>
        <v>0</v>
      </c>
      <c r="BZ65" s="62">
        <f t="shared" si="51"/>
        <v>0</v>
      </c>
      <c r="CA65" s="98">
        <f t="shared" si="52"/>
        <v>0</v>
      </c>
      <c r="CB65" s="92">
        <f t="shared" si="98"/>
        <v>0</v>
      </c>
      <c r="CC65" s="92">
        <f t="shared" si="98"/>
        <v>0</v>
      </c>
      <c r="CD65" s="92">
        <f t="shared" si="98"/>
        <v>0</v>
      </c>
      <c r="CE65" s="99"/>
      <c r="CF65" s="99"/>
      <c r="CG65" s="51">
        <f t="shared" si="53"/>
        <v>0</v>
      </c>
      <c r="CH65" s="62">
        <f t="shared" si="54"/>
        <v>0</v>
      </c>
      <c r="CI65" s="89"/>
      <c r="CJ65" s="89"/>
      <c r="CK65" s="89"/>
      <c r="CL65" s="96"/>
      <c r="CM65" s="89"/>
      <c r="CN65" s="89"/>
      <c r="CO65" s="92"/>
      <c r="CP65" s="101"/>
      <c r="CQ65" s="102">
        <f t="shared" si="101"/>
        <v>0</v>
      </c>
      <c r="CR65" s="102">
        <f t="shared" si="101"/>
        <v>0</v>
      </c>
      <c r="CS65" s="102">
        <f t="shared" si="101"/>
        <v>0</v>
      </c>
      <c r="CT65" s="92">
        <f t="shared" si="56"/>
        <v>0</v>
      </c>
      <c r="CU65" s="92">
        <f t="shared" si="102"/>
        <v>0</v>
      </c>
      <c r="CV65" s="103">
        <f t="shared" si="102"/>
        <v>0</v>
      </c>
      <c r="CW65" s="104" t="s">
        <v>147</v>
      </c>
      <c r="CX65" s="105"/>
      <c r="CY65" s="106" t="e">
        <f t="shared" si="58"/>
        <v>#DIV/0!</v>
      </c>
      <c r="CZ65" s="106">
        <f t="shared" si="59"/>
        <v>0</v>
      </c>
      <c r="DA65" s="106"/>
      <c r="DB65" s="106"/>
      <c r="DC65" s="105"/>
      <c r="DD65" s="107"/>
      <c r="DE65" s="92">
        <f t="shared" si="21"/>
        <v>0</v>
      </c>
      <c r="DF65" s="108">
        <f t="shared" si="22"/>
        <v>0</v>
      </c>
      <c r="DG65" s="115">
        <f t="shared" si="23"/>
        <v>0</v>
      </c>
      <c r="DH65" s="110">
        <f t="shared" si="24"/>
        <v>0</v>
      </c>
      <c r="DI65" s="108">
        <f t="shared" si="25"/>
        <v>0</v>
      </c>
      <c r="DJ65" s="115">
        <f t="shared" si="26"/>
        <v>0</v>
      </c>
      <c r="DK65" s="110">
        <f t="shared" si="86"/>
        <v>0</v>
      </c>
      <c r="DL65" s="108">
        <f t="shared" si="86"/>
        <v>0</v>
      </c>
      <c r="DM65" s="111">
        <f t="shared" si="86"/>
        <v>0</v>
      </c>
      <c r="DN65" s="76">
        <v>40</v>
      </c>
      <c r="DO65" s="76"/>
      <c r="DP65" s="112"/>
      <c r="DQ65" s="112"/>
      <c r="DR65" s="113" t="s">
        <v>456</v>
      </c>
      <c r="DS65" s="112"/>
      <c r="DT65" s="112"/>
      <c r="DU65" s="111"/>
      <c r="DV65" s="114"/>
      <c r="DW65" s="80">
        <f t="shared" si="110"/>
        <v>0</v>
      </c>
      <c r="DX65" s="81">
        <f t="shared" si="28"/>
        <v>0</v>
      </c>
      <c r="DY65" s="80">
        <f t="shared" si="62"/>
        <v>0</v>
      </c>
      <c r="DZ65" s="82">
        <f t="shared" si="63"/>
        <v>0</v>
      </c>
      <c r="EA65" s="82">
        <f t="shared" si="64"/>
        <v>0</v>
      </c>
      <c r="EB65" s="82">
        <f t="shared" si="65"/>
        <v>0</v>
      </c>
      <c r="EC65" s="82">
        <f t="shared" si="108"/>
        <v>0</v>
      </c>
      <c r="EF65" s="83">
        <f t="shared" si="107"/>
        <v>0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0"/>
        <v>GAA5052-5.7x3-H9A14</v>
      </c>
      <c r="H66" s="46" t="str">
        <f t="shared" si="31"/>
        <v>A5052GA5.70DH9</v>
      </c>
      <c r="I66" s="46" t="str">
        <f t="shared" si="32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3"/>
        <v>52</v>
      </c>
      <c r="T66" s="51">
        <f>'06.02'!BG66</f>
        <v>38</v>
      </c>
      <c r="U66" s="92"/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2933</v>
      </c>
      <c r="AC66" s="93">
        <f t="shared" si="11"/>
        <v>0</v>
      </c>
      <c r="AD66" s="93">
        <f t="shared" si="12"/>
        <v>33</v>
      </c>
      <c r="AE66" s="93">
        <f t="shared" si="34"/>
        <v>2933</v>
      </c>
      <c r="AF66" s="54">
        <f>AE66+'06.02'!AF66</f>
        <v>20911</v>
      </c>
      <c r="AG66" s="94">
        <f t="shared" si="66"/>
        <v>38</v>
      </c>
      <c r="AH66" s="56">
        <f t="shared" si="13"/>
        <v>0</v>
      </c>
      <c r="AI66" s="93">
        <v>7</v>
      </c>
      <c r="AJ66" s="93">
        <f t="shared" si="67"/>
        <v>13</v>
      </c>
      <c r="AK66" s="95">
        <f t="shared" si="35"/>
        <v>0.3611111111111111</v>
      </c>
      <c r="AL66" s="58">
        <f t="shared" si="36"/>
        <v>6.37</v>
      </c>
      <c r="AM66" s="55">
        <f t="shared" si="68"/>
        <v>31.63</v>
      </c>
      <c r="AN66" s="93"/>
      <c r="AO66" s="96"/>
      <c r="AP66" s="96"/>
      <c r="AQ66" s="96"/>
      <c r="AR66" s="96"/>
      <c r="AS66" s="96"/>
      <c r="AT66" s="96">
        <f>$CJ66</f>
        <v>220</v>
      </c>
      <c r="AU66" s="96">
        <f t="shared" si="37"/>
        <v>0</v>
      </c>
      <c r="AV66" s="96">
        <f t="shared" si="37"/>
        <v>0</v>
      </c>
      <c r="AW66" s="96">
        <f t="shared" si="38"/>
        <v>220</v>
      </c>
      <c r="AX66" s="96">
        <f t="shared" si="39"/>
        <v>1466</v>
      </c>
      <c r="AY66" s="94">
        <f t="shared" si="69"/>
        <v>-9.3199999999999932</v>
      </c>
      <c r="AZ66" s="94">
        <f t="shared" si="40"/>
        <v>-62.13333333333329</v>
      </c>
      <c r="BA66" s="94">
        <f t="shared" si="41"/>
        <v>31.63</v>
      </c>
      <c r="BB66" s="97">
        <f t="shared" si="42"/>
        <v>0.63</v>
      </c>
      <c r="BC66" s="93">
        <v>6</v>
      </c>
      <c r="BD66" s="93">
        <f t="shared" si="43"/>
        <v>0</v>
      </c>
      <c r="BE66" s="95">
        <f t="shared" si="44"/>
        <v>1</v>
      </c>
      <c r="BF66" s="58">
        <f t="shared" si="45"/>
        <v>6.63</v>
      </c>
      <c r="BG66" s="94">
        <f t="shared" si="46"/>
        <v>25</v>
      </c>
      <c r="BH66" s="89"/>
      <c r="BI66" s="89"/>
      <c r="BJ66" s="89"/>
      <c r="BK66" s="92"/>
      <c r="BL66" s="89"/>
      <c r="BM66" s="92"/>
      <c r="BN66" s="92">
        <f>$CN66</f>
        <v>220</v>
      </c>
      <c r="BO66" s="92">
        <f t="shared" si="70"/>
        <v>0</v>
      </c>
      <c r="BP66" s="92">
        <f t="shared" si="70"/>
        <v>5</v>
      </c>
      <c r="BQ66" s="96">
        <f t="shared" si="47"/>
        <v>225</v>
      </c>
      <c r="BR66" s="96">
        <f t="shared" si="48"/>
        <v>1500</v>
      </c>
      <c r="BS66" s="96">
        <f t="shared" si="71"/>
        <v>-13.680000000000007</v>
      </c>
      <c r="BT66" s="96">
        <f t="shared" si="49"/>
        <v>-91.200000000000045</v>
      </c>
      <c r="BU66" s="92">
        <f t="shared" si="16"/>
        <v>2933</v>
      </c>
      <c r="BV66" s="98">
        <f t="shared" si="17"/>
        <v>13</v>
      </c>
      <c r="BW66" s="92">
        <f t="shared" si="18"/>
        <v>-153.33333333333334</v>
      </c>
      <c r="BX66" s="98">
        <f t="shared" si="50"/>
        <v>2.6519999999999997</v>
      </c>
      <c r="BY66" s="61">
        <f t="shared" si="73"/>
        <v>13</v>
      </c>
      <c r="BZ66" s="62">
        <f t="shared" si="51"/>
        <v>13</v>
      </c>
      <c r="CA66" s="98">
        <f t="shared" si="52"/>
        <v>0.44500000000000001</v>
      </c>
      <c r="CB66" s="92">
        <f t="shared" si="98"/>
        <v>2966</v>
      </c>
      <c r="CC66" s="92">
        <f t="shared" si="98"/>
        <v>-23</v>
      </c>
      <c r="CD66" s="92">
        <f t="shared" si="98"/>
        <v>-153.33333333333334</v>
      </c>
      <c r="CE66" s="99" t="s">
        <v>2</v>
      </c>
      <c r="CF66" s="99"/>
      <c r="CG66" s="51">
        <f t="shared" si="53"/>
        <v>2.2119999999999997</v>
      </c>
      <c r="CH66" s="62">
        <f t="shared" si="54"/>
        <v>2.2119999999999997</v>
      </c>
      <c r="CI66" s="89">
        <v>13</v>
      </c>
      <c r="CJ66" s="89">
        <v>220</v>
      </c>
      <c r="CK66" s="89"/>
      <c r="CL66" s="96"/>
      <c r="CM66" s="89"/>
      <c r="CN66" s="89">
        <v>220</v>
      </c>
      <c r="CO66" s="92"/>
      <c r="CP66" s="101">
        <v>5</v>
      </c>
      <c r="CQ66" s="102">
        <f t="shared" si="101"/>
        <v>1466</v>
      </c>
      <c r="CR66" s="102">
        <f t="shared" si="101"/>
        <v>0</v>
      </c>
      <c r="CS66" s="102">
        <f t="shared" si="101"/>
        <v>0</v>
      </c>
      <c r="CT66" s="92">
        <f t="shared" si="56"/>
        <v>1467</v>
      </c>
      <c r="CU66" s="92">
        <f t="shared" si="102"/>
        <v>0</v>
      </c>
      <c r="CV66" s="103">
        <f t="shared" si="102"/>
        <v>33</v>
      </c>
      <c r="CW66" s="104" t="s">
        <v>147</v>
      </c>
      <c r="CX66" s="105">
        <v>6</v>
      </c>
      <c r="CY66" s="106">
        <f t="shared" si="58"/>
        <v>6300</v>
      </c>
      <c r="CZ66" s="106">
        <f t="shared" si="59"/>
        <v>24.3</v>
      </c>
      <c r="DA66" s="106"/>
      <c r="DB66" s="106"/>
      <c r="DC66" s="105"/>
      <c r="DD66" s="107"/>
      <c r="DE66" s="92">
        <f t="shared" si="21"/>
        <v>1466</v>
      </c>
      <c r="DF66" s="108">
        <f t="shared" si="22"/>
        <v>6.37</v>
      </c>
      <c r="DG66" s="115">
        <f t="shared" si="23"/>
        <v>-62.13333333333329</v>
      </c>
      <c r="DH66" s="110">
        <f t="shared" si="24"/>
        <v>1467</v>
      </c>
      <c r="DI66" s="108">
        <f t="shared" si="25"/>
        <v>6.63</v>
      </c>
      <c r="DJ66" s="112">
        <f t="shared" si="26"/>
        <v>-91.200000000000045</v>
      </c>
      <c r="DK66" s="110">
        <f t="shared" si="86"/>
        <v>2933</v>
      </c>
      <c r="DL66" s="108">
        <f t="shared" si="86"/>
        <v>13</v>
      </c>
      <c r="DM66" s="111">
        <f t="shared" si="86"/>
        <v>-153.33333333333334</v>
      </c>
      <c r="DN66" s="76">
        <v>25</v>
      </c>
      <c r="DO66" s="76"/>
      <c r="DP66" s="112"/>
      <c r="DQ66" s="112"/>
      <c r="DR66" s="113" t="s">
        <v>457</v>
      </c>
      <c r="DS66" s="112"/>
      <c r="DT66" s="112"/>
      <c r="DU66" s="111"/>
      <c r="DV66" s="114"/>
      <c r="DW66" s="80">
        <f t="shared" si="61"/>
        <v>2946</v>
      </c>
      <c r="DX66" s="81">
        <f t="shared" si="28"/>
        <v>2792.6666666666665</v>
      </c>
      <c r="DY66" s="80">
        <f t="shared" si="62"/>
        <v>2966</v>
      </c>
      <c r="DZ66" s="82">
        <f t="shared" si="63"/>
        <v>4.9500000000000004E-3</v>
      </c>
      <c r="EA66" s="82">
        <f t="shared" si="64"/>
        <v>0.43995000000000001</v>
      </c>
      <c r="EB66" s="82">
        <f t="shared" si="65"/>
        <v>2.2120499999999996</v>
      </c>
      <c r="EC66" s="82">
        <f t="shared" si="75"/>
        <v>2.2169999999999996</v>
      </c>
      <c r="EF66" s="83">
        <f t="shared" si="107"/>
        <v>-153.33333333333334</v>
      </c>
    </row>
    <row r="67" spans="1:136" ht="14.1" customHeight="1">
      <c r="A67" s="84">
        <v>60</v>
      </c>
      <c r="B67" s="147" t="s">
        <v>309</v>
      </c>
      <c r="C67" s="148"/>
      <c r="D67" s="172" t="s">
        <v>310</v>
      </c>
      <c r="E67" s="149">
        <v>175</v>
      </c>
      <c r="F67" s="150" t="s">
        <v>147</v>
      </c>
      <c r="G67" s="45" t="str">
        <f t="shared" si="30"/>
        <v>IBC3604-H7x3-H11C14</v>
      </c>
      <c r="H67" s="46" t="str">
        <f t="shared" si="31"/>
        <v>C3604IB70HH11</v>
      </c>
      <c r="I67" s="46" t="str">
        <f t="shared" si="32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3"/>
        <v>30</v>
      </c>
      <c r="T67" s="51">
        <f>'05.02'!BG67</f>
        <v>-1</v>
      </c>
      <c r="U67" s="146"/>
      <c r="V67" s="100">
        <v>2.44</v>
      </c>
      <c r="W67" s="151">
        <f t="shared" si="5"/>
        <v>0</v>
      </c>
      <c r="X67" s="151">
        <f t="shared" si="6"/>
        <v>0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4"/>
        <v>0</v>
      </c>
      <c r="AF67" s="54">
        <f>AE67+'06.02'!AF67</f>
        <v>103</v>
      </c>
      <c r="AG67" s="94">
        <f t="shared" si="66"/>
        <v>-1</v>
      </c>
      <c r="AH67" s="56">
        <f t="shared" si="13"/>
        <v>0</v>
      </c>
      <c r="AI67" s="151"/>
      <c r="AJ67" s="93">
        <f t="shared" si="67"/>
        <v>0</v>
      </c>
      <c r="AK67" s="95">
        <f t="shared" si="35"/>
        <v>1</v>
      </c>
      <c r="AL67" s="58">
        <f t="shared" si="36"/>
        <v>0</v>
      </c>
      <c r="AM67" s="55">
        <f t="shared" si="68"/>
        <v>-1</v>
      </c>
      <c r="AN67" s="151"/>
      <c r="AO67" s="145"/>
      <c r="AP67" s="145">
        <f>$CJ67</f>
        <v>0</v>
      </c>
      <c r="AQ67" s="145"/>
      <c r="AR67" s="145"/>
      <c r="AS67" s="145"/>
      <c r="AT67" s="145"/>
      <c r="AU67" s="145">
        <f t="shared" si="37"/>
        <v>0</v>
      </c>
      <c r="AV67" s="145">
        <f t="shared" si="37"/>
        <v>0</v>
      </c>
      <c r="AW67" s="145">
        <f t="shared" si="38"/>
        <v>0</v>
      </c>
      <c r="AX67" s="145">
        <f t="shared" si="39"/>
        <v>0</v>
      </c>
      <c r="AY67" s="94">
        <f t="shared" si="69"/>
        <v>0</v>
      </c>
      <c r="AZ67" s="94">
        <f t="shared" si="40"/>
        <v>0</v>
      </c>
      <c r="BA67" s="94">
        <f t="shared" si="41"/>
        <v>-1</v>
      </c>
      <c r="BB67" s="97">
        <f t="shared" si="42"/>
        <v>0</v>
      </c>
      <c r="BC67" s="151"/>
      <c r="BD67" s="93">
        <f t="shared" si="43"/>
        <v>0</v>
      </c>
      <c r="BE67" s="152">
        <f t="shared" si="44"/>
        <v>1</v>
      </c>
      <c r="BF67" s="58">
        <f t="shared" si="45"/>
        <v>0</v>
      </c>
      <c r="BG67" s="94">
        <f t="shared" si="46"/>
        <v>-1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0"/>
        <v>0</v>
      </c>
      <c r="BP67" s="146">
        <f t="shared" si="70"/>
        <v>0</v>
      </c>
      <c r="BQ67" s="145">
        <f t="shared" si="47"/>
        <v>0</v>
      </c>
      <c r="BR67" s="145">
        <f t="shared" si="48"/>
        <v>0</v>
      </c>
      <c r="BS67" s="96">
        <f t="shared" si="71"/>
        <v>0</v>
      </c>
      <c r="BT67" s="145">
        <f t="shared" si="49"/>
        <v>0</v>
      </c>
      <c r="BU67" s="146">
        <f t="shared" si="16"/>
        <v>0</v>
      </c>
      <c r="BV67" s="153">
        <f t="shared" si="17"/>
        <v>0</v>
      </c>
      <c r="BW67" s="146">
        <f t="shared" si="18"/>
        <v>0</v>
      </c>
      <c r="BX67" s="153">
        <f t="shared" si="50"/>
        <v>0</v>
      </c>
      <c r="BY67" s="61">
        <f t="shared" si="73"/>
        <v>0</v>
      </c>
      <c r="BZ67" s="62">
        <f t="shared" si="51"/>
        <v>0</v>
      </c>
      <c r="CA67" s="153">
        <f t="shared" si="52"/>
        <v>0</v>
      </c>
      <c r="CB67" s="146">
        <f t="shared" si="98"/>
        <v>0</v>
      </c>
      <c r="CC67" s="146">
        <f t="shared" si="98"/>
        <v>0</v>
      </c>
      <c r="CD67" s="146">
        <f t="shared" si="98"/>
        <v>0</v>
      </c>
      <c r="CE67" s="150"/>
      <c r="CF67" s="150"/>
      <c r="CG67" s="51">
        <f t="shared" si="53"/>
        <v>0</v>
      </c>
      <c r="CH67" s="62">
        <f t="shared" si="54"/>
        <v>0</v>
      </c>
      <c r="CI67" s="150"/>
      <c r="CJ67" s="150"/>
      <c r="CK67" s="150"/>
      <c r="CL67" s="145"/>
      <c r="CM67" s="150"/>
      <c r="CN67" s="150"/>
      <c r="CO67" s="146"/>
      <c r="CP67" s="154"/>
      <c r="CQ67" s="102">
        <f t="shared" si="101"/>
        <v>0</v>
      </c>
      <c r="CR67" s="102">
        <f t="shared" si="101"/>
        <v>0</v>
      </c>
      <c r="CS67" s="102">
        <f t="shared" si="101"/>
        <v>0</v>
      </c>
      <c r="CT67" s="92">
        <f t="shared" si="56"/>
        <v>0</v>
      </c>
      <c r="CU67" s="92">
        <f t="shared" si="102"/>
        <v>0</v>
      </c>
      <c r="CV67" s="103">
        <f t="shared" si="102"/>
        <v>0</v>
      </c>
      <c r="CW67" s="155" t="s">
        <v>147</v>
      </c>
      <c r="CX67" s="156">
        <v>15</v>
      </c>
      <c r="CY67" s="157">
        <f t="shared" si="58"/>
        <v>2676</v>
      </c>
      <c r="CZ67" s="157">
        <f t="shared" si="59"/>
        <v>60.750000000000007</v>
      </c>
      <c r="DA67" s="157"/>
      <c r="DB67" s="157"/>
      <c r="DC67" s="156"/>
      <c r="DD67" s="158"/>
      <c r="DE67" s="92">
        <f t="shared" si="21"/>
        <v>0</v>
      </c>
      <c r="DF67" s="108">
        <f t="shared" si="22"/>
        <v>0</v>
      </c>
      <c r="DG67" s="115">
        <f t="shared" si="23"/>
        <v>0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6"/>
        <v>0</v>
      </c>
      <c r="DL67" s="108">
        <f t="shared" si="86"/>
        <v>0</v>
      </c>
      <c r="DM67" s="111">
        <f t="shared" si="86"/>
        <v>0</v>
      </c>
      <c r="DN67" s="76">
        <f t="shared" si="89"/>
        <v>-1</v>
      </c>
      <c r="DO67" s="76">
        <f t="shared" si="89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11">IFERROR(AL67+BF67,"")</f>
        <v>0</v>
      </c>
      <c r="DX67" s="159">
        <f t="shared" si="28"/>
        <v>0</v>
      </c>
      <c r="DY67" s="80">
        <f t="shared" si="62"/>
        <v>0</v>
      </c>
      <c r="DZ67" s="82">
        <f t="shared" si="63"/>
        <v>0</v>
      </c>
      <c r="EA67" s="82">
        <f t="shared" si="64"/>
        <v>0</v>
      </c>
      <c r="EB67" s="82">
        <f t="shared" si="65"/>
        <v>0</v>
      </c>
      <c r="EC67" s="82">
        <f>(BX67-CA67)+((AV67+BP67)/1000)</f>
        <v>0</v>
      </c>
      <c r="EF67" s="83">
        <f t="shared" si="107"/>
        <v>0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0"/>
        <v>TVA2011-T3-6.35x3-H9A14</v>
      </c>
      <c r="H68" s="46" t="str">
        <f t="shared" si="31"/>
        <v>A2011-T3TV6.350DH9</v>
      </c>
      <c r="I68" s="46" t="str">
        <f t="shared" si="32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3"/>
        <v>8</v>
      </c>
      <c r="T68" s="51">
        <f>'06.02'!BG68</f>
        <v>30</v>
      </c>
      <c r="U68" s="92"/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10000</v>
      </c>
      <c r="AC68" s="93">
        <f t="shared" si="11"/>
        <v>0</v>
      </c>
      <c r="AD68" s="93">
        <f t="shared" si="12"/>
        <v>0</v>
      </c>
      <c r="AE68" s="93">
        <f t="shared" si="34"/>
        <v>10000</v>
      </c>
      <c r="AF68" s="54">
        <f>AE68+'06.02'!AF68</f>
        <v>76685</v>
      </c>
      <c r="AG68" s="94">
        <f t="shared" si="66"/>
        <v>30</v>
      </c>
      <c r="AH68" s="56">
        <f t="shared" si="13"/>
        <v>0</v>
      </c>
      <c r="AI68" s="93">
        <v>12</v>
      </c>
      <c r="AJ68" s="93">
        <f t="shared" si="67"/>
        <v>0</v>
      </c>
      <c r="AK68" s="95">
        <f t="shared" si="35"/>
        <v>1</v>
      </c>
      <c r="AL68" s="58">
        <f t="shared" si="36"/>
        <v>12</v>
      </c>
      <c r="AM68" s="55">
        <f t="shared" si="68"/>
        <v>18</v>
      </c>
      <c r="AN68" s="93"/>
      <c r="AO68" s="96"/>
      <c r="AP68" s="96"/>
      <c r="AQ68" s="96"/>
      <c r="AR68" s="96"/>
      <c r="AS68" s="96"/>
      <c r="AT68" s="96">
        <f t="shared" ref="AT68:AT73" si="112">$CJ68</f>
        <v>2157</v>
      </c>
      <c r="AU68" s="96">
        <f t="shared" si="37"/>
        <v>0</v>
      </c>
      <c r="AV68" s="96">
        <f t="shared" si="37"/>
        <v>0</v>
      </c>
      <c r="AW68" s="96">
        <f t="shared" si="38"/>
        <v>2157</v>
      </c>
      <c r="AX68" s="96">
        <f t="shared" si="39"/>
        <v>5474</v>
      </c>
      <c r="AY68" s="94">
        <f t="shared" si="69"/>
        <v>71.951999999999771</v>
      </c>
      <c r="AZ68" s="94">
        <f t="shared" si="40"/>
        <v>182.61928934010092</v>
      </c>
      <c r="BA68" s="94">
        <f t="shared" si="41"/>
        <v>18</v>
      </c>
      <c r="BB68" s="97">
        <f t="shared" si="42"/>
        <v>0</v>
      </c>
      <c r="BC68" s="93">
        <v>10</v>
      </c>
      <c r="BD68" s="93">
        <f t="shared" si="43"/>
        <v>0</v>
      </c>
      <c r="BE68" s="95">
        <f t="shared" si="44"/>
        <v>1</v>
      </c>
      <c r="BF68" s="58">
        <f t="shared" si="45"/>
        <v>10</v>
      </c>
      <c r="BG68" s="94">
        <f t="shared" si="46"/>
        <v>8</v>
      </c>
      <c r="BH68" s="89"/>
      <c r="BI68" s="89"/>
      <c r="BJ68" s="92"/>
      <c r="BK68" s="89"/>
      <c r="BL68" s="89"/>
      <c r="BM68" s="89"/>
      <c r="BN68" s="92">
        <f t="shared" ref="BN68:BN73" si="113">$CN68</f>
        <v>1783</v>
      </c>
      <c r="BO68" s="92">
        <f t="shared" si="70"/>
        <v>0</v>
      </c>
      <c r="BP68" s="92">
        <f t="shared" si="70"/>
        <v>0</v>
      </c>
      <c r="BQ68" s="96">
        <f t="shared" si="47"/>
        <v>1783</v>
      </c>
      <c r="BR68" s="96">
        <f t="shared" si="48"/>
        <v>4525</v>
      </c>
      <c r="BS68" s="96">
        <f t="shared" si="71"/>
        <v>45.460000000000036</v>
      </c>
      <c r="BT68" s="96">
        <f t="shared" si="49"/>
        <v>115.38071065989857</v>
      </c>
      <c r="BU68" s="92">
        <f t="shared" si="16"/>
        <v>10000</v>
      </c>
      <c r="BV68" s="98">
        <f t="shared" si="17"/>
        <v>22</v>
      </c>
      <c r="BW68" s="92">
        <f t="shared" si="18"/>
        <v>297.99999999999949</v>
      </c>
      <c r="BX68" s="98">
        <f t="shared" si="50"/>
        <v>5.7200000000000006</v>
      </c>
      <c r="BY68" s="61">
        <f t="shared" si="73"/>
        <v>22</v>
      </c>
      <c r="BZ68" s="62">
        <f t="shared" si="51"/>
        <v>22</v>
      </c>
      <c r="CA68" s="98">
        <f t="shared" si="52"/>
        <v>3.94</v>
      </c>
      <c r="CB68" s="92">
        <f t="shared" si="98"/>
        <v>9999</v>
      </c>
      <c r="CC68" s="92">
        <f t="shared" si="98"/>
        <v>117.41199999999981</v>
      </c>
      <c r="CD68" s="92">
        <f t="shared" si="98"/>
        <v>297.99999999999949</v>
      </c>
      <c r="CE68" s="99"/>
      <c r="CF68" s="99"/>
      <c r="CG68" s="51">
        <f t="shared" si="53"/>
        <v>1.7800000000000007</v>
      </c>
      <c r="CH68" s="62">
        <f t="shared" si="54"/>
        <v>1.7800000000000007</v>
      </c>
      <c r="CI68" s="89"/>
      <c r="CJ68" s="89">
        <v>2157</v>
      </c>
      <c r="CK68" s="89"/>
      <c r="CL68" s="96"/>
      <c r="CM68" s="89"/>
      <c r="CN68" s="89">
        <v>1783</v>
      </c>
      <c r="CO68" s="92"/>
      <c r="CP68" s="101"/>
      <c r="CQ68" s="102">
        <f t="shared" si="101"/>
        <v>5474</v>
      </c>
      <c r="CR68" s="102">
        <f t="shared" si="101"/>
        <v>0</v>
      </c>
      <c r="CS68" s="102">
        <f t="shared" si="101"/>
        <v>0</v>
      </c>
      <c r="CT68" s="92">
        <f t="shared" si="56"/>
        <v>4526</v>
      </c>
      <c r="CU68" s="92">
        <f t="shared" si="102"/>
        <v>0</v>
      </c>
      <c r="CV68" s="103">
        <f t="shared" si="102"/>
        <v>0</v>
      </c>
      <c r="CW68" s="104" t="s">
        <v>147</v>
      </c>
      <c r="CX68" s="105">
        <v>23.98</v>
      </c>
      <c r="CY68" s="106">
        <f t="shared" si="58"/>
        <v>1763</v>
      </c>
      <c r="CZ68" s="106">
        <f t="shared" si="59"/>
        <v>97.119</v>
      </c>
      <c r="DA68" s="106"/>
      <c r="DB68" s="106"/>
      <c r="DC68" s="105"/>
      <c r="DD68" s="107"/>
      <c r="DE68" s="92">
        <f t="shared" si="21"/>
        <v>5474</v>
      </c>
      <c r="DF68" s="108">
        <f t="shared" si="22"/>
        <v>12</v>
      </c>
      <c r="DG68" s="115">
        <f t="shared" si="23"/>
        <v>182.61928934010092</v>
      </c>
      <c r="DH68" s="110">
        <f t="shared" si="24"/>
        <v>4526</v>
      </c>
      <c r="DI68" s="108">
        <f t="shared" si="25"/>
        <v>10</v>
      </c>
      <c r="DJ68" s="115">
        <f t="shared" si="26"/>
        <v>115.38071065989857</v>
      </c>
      <c r="DK68" s="110">
        <f t="shared" si="86"/>
        <v>10000</v>
      </c>
      <c r="DL68" s="108">
        <f t="shared" si="86"/>
        <v>22</v>
      </c>
      <c r="DM68" s="111">
        <f t="shared" si="86"/>
        <v>297.99999999999949</v>
      </c>
      <c r="DN68" s="76">
        <v>8</v>
      </c>
      <c r="DO68" s="76"/>
      <c r="DP68" s="112"/>
      <c r="DQ68" s="112"/>
      <c r="DR68" s="113" t="s">
        <v>458</v>
      </c>
      <c r="DS68" s="112"/>
      <c r="DT68" s="112"/>
      <c r="DU68" s="111"/>
      <c r="DV68" s="114"/>
      <c r="DW68" s="80">
        <f t="shared" si="111"/>
        <v>22</v>
      </c>
      <c r="DX68" s="81">
        <f t="shared" si="28"/>
        <v>10320</v>
      </c>
      <c r="DY68" s="80">
        <f t="shared" si="62"/>
        <v>10000</v>
      </c>
      <c r="DZ68" s="82">
        <f t="shared" si="63"/>
        <v>0</v>
      </c>
      <c r="EA68" s="82">
        <f t="shared" si="64"/>
        <v>3.94</v>
      </c>
      <c r="EB68" s="82">
        <f t="shared" si="65"/>
        <v>1.7800000000000007</v>
      </c>
      <c r="EC68" s="82">
        <f t="shared" si="75"/>
        <v>1.7800000000000007</v>
      </c>
      <c r="EF68" s="83">
        <f t="shared" si="107"/>
        <v>297.99999999999949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0"/>
        <v>GAA5052-5.7x3-H9A14</v>
      </c>
      <c r="H69" s="46" t="str">
        <f t="shared" si="31"/>
        <v>A5052GA5.70DH9</v>
      </c>
      <c r="I69" s="46" t="str">
        <f t="shared" si="32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3"/>
        <v>20</v>
      </c>
      <c r="T69" s="51">
        <f>'06.02'!BG69</f>
        <v>42.69</v>
      </c>
      <c r="U69" s="92"/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2266</v>
      </c>
      <c r="AC69" s="93">
        <f t="shared" si="11"/>
        <v>0</v>
      </c>
      <c r="AD69" s="93">
        <f t="shared" si="12"/>
        <v>0</v>
      </c>
      <c r="AE69" s="93">
        <f t="shared" si="34"/>
        <v>2266</v>
      </c>
      <c r="AF69" s="54">
        <f>AE69+'06.02'!AF69</f>
        <v>18804</v>
      </c>
      <c r="AG69" s="94">
        <f t="shared" si="66"/>
        <v>42.69</v>
      </c>
      <c r="AH69" s="56">
        <f t="shared" si="13"/>
        <v>0.69</v>
      </c>
      <c r="AI69" s="93">
        <v>3</v>
      </c>
      <c r="AJ69" s="93">
        <f t="shared" si="67"/>
        <v>0</v>
      </c>
      <c r="AK69" s="95">
        <f t="shared" si="35"/>
        <v>1</v>
      </c>
      <c r="AL69" s="58">
        <f t="shared" si="36"/>
        <v>3.69</v>
      </c>
      <c r="AM69" s="55">
        <f t="shared" si="68"/>
        <v>39</v>
      </c>
      <c r="AN69" s="93"/>
      <c r="AO69" s="96"/>
      <c r="AP69" s="96"/>
      <c r="AQ69" s="96"/>
      <c r="AR69" s="96"/>
      <c r="AS69" s="96"/>
      <c r="AT69" s="96">
        <f t="shared" si="112"/>
        <v>120</v>
      </c>
      <c r="AU69" s="96">
        <f t="shared" si="37"/>
        <v>0</v>
      </c>
      <c r="AV69" s="96">
        <f t="shared" si="37"/>
        <v>0</v>
      </c>
      <c r="AW69" s="96">
        <f t="shared" si="38"/>
        <v>120</v>
      </c>
      <c r="AX69" s="96">
        <f t="shared" si="39"/>
        <v>800</v>
      </c>
      <c r="AY69" s="94">
        <f t="shared" si="69"/>
        <v>-12.840000000000003</v>
      </c>
      <c r="AZ69" s="94">
        <f t="shared" si="40"/>
        <v>-85.600000000000023</v>
      </c>
      <c r="BA69" s="94">
        <f t="shared" si="41"/>
        <v>39</v>
      </c>
      <c r="BB69" s="97">
        <f t="shared" si="42"/>
        <v>0</v>
      </c>
      <c r="BC69" s="93">
        <v>7</v>
      </c>
      <c r="BD69" s="93">
        <f t="shared" si="43"/>
        <v>23</v>
      </c>
      <c r="BE69" s="95">
        <f t="shared" si="44"/>
        <v>0.63888888888888895</v>
      </c>
      <c r="BF69" s="58">
        <f t="shared" si="45"/>
        <v>6.64</v>
      </c>
      <c r="BG69" s="94">
        <f t="shared" si="46"/>
        <v>32.36</v>
      </c>
      <c r="BH69" s="89"/>
      <c r="BI69" s="89"/>
      <c r="BJ69" s="89"/>
      <c r="BK69" s="89"/>
      <c r="BL69" s="89"/>
      <c r="BM69" s="89"/>
      <c r="BN69" s="92">
        <f t="shared" si="113"/>
        <v>220</v>
      </c>
      <c r="BO69" s="92">
        <f t="shared" si="70"/>
        <v>0</v>
      </c>
      <c r="BP69" s="92">
        <f t="shared" si="70"/>
        <v>0</v>
      </c>
      <c r="BQ69" s="96">
        <f t="shared" si="47"/>
        <v>220</v>
      </c>
      <c r="BR69" s="96">
        <f t="shared" si="48"/>
        <v>1466</v>
      </c>
      <c r="BS69" s="96">
        <f t="shared" si="71"/>
        <v>-19.039999999999964</v>
      </c>
      <c r="BT69" s="96">
        <f>IF($V69="","",BS69/$V69)</f>
        <v>-126.9333333333331</v>
      </c>
      <c r="BU69" s="92">
        <f t="shared" si="16"/>
        <v>2266</v>
      </c>
      <c r="BV69" s="98">
        <f t="shared" si="17"/>
        <v>10.33</v>
      </c>
      <c r="BW69" s="92">
        <f t="shared" si="18"/>
        <v>-212.53333333333313</v>
      </c>
      <c r="BX69" s="98">
        <f t="shared" si="50"/>
        <v>2.1073200000000001</v>
      </c>
      <c r="BY69" s="61">
        <f t="shared" si="73"/>
        <v>10.33</v>
      </c>
      <c r="BZ69" s="62">
        <f t="shared" si="51"/>
        <v>10.33</v>
      </c>
      <c r="CA69" s="98">
        <f t="shared" si="52"/>
        <v>0.34</v>
      </c>
      <c r="CB69" s="92">
        <f t="shared" si="98"/>
        <v>2266</v>
      </c>
      <c r="CC69" s="92">
        <f t="shared" si="98"/>
        <v>-31.879999999999967</v>
      </c>
      <c r="CD69" s="92">
        <f t="shared" si="98"/>
        <v>-212.53333333333313</v>
      </c>
      <c r="CE69" s="99"/>
      <c r="CF69" s="99"/>
      <c r="CG69" s="51">
        <f t="shared" si="53"/>
        <v>1.76732</v>
      </c>
      <c r="CH69" s="62">
        <f t="shared" si="54"/>
        <v>1.76732</v>
      </c>
      <c r="CI69" s="89"/>
      <c r="CJ69" s="89">
        <v>120</v>
      </c>
      <c r="CK69" s="89"/>
      <c r="CL69" s="96"/>
      <c r="CM69" s="89">
        <v>23</v>
      </c>
      <c r="CN69" s="89">
        <v>220</v>
      </c>
      <c r="CO69" s="92"/>
      <c r="CP69" s="101"/>
      <c r="CQ69" s="102">
        <f t="shared" si="101"/>
        <v>800</v>
      </c>
      <c r="CR69" s="102">
        <f t="shared" si="101"/>
        <v>0</v>
      </c>
      <c r="CS69" s="102">
        <f t="shared" si="101"/>
        <v>0</v>
      </c>
      <c r="CT69" s="92">
        <f t="shared" si="56"/>
        <v>1466</v>
      </c>
      <c r="CU69" s="92">
        <f t="shared" si="102"/>
        <v>0</v>
      </c>
      <c r="CV69" s="103">
        <f t="shared" si="102"/>
        <v>0</v>
      </c>
      <c r="CW69" s="104" t="s">
        <v>147</v>
      </c>
      <c r="CX69" s="105">
        <v>16.8</v>
      </c>
      <c r="CY69" s="106">
        <f t="shared" si="58"/>
        <v>2453</v>
      </c>
      <c r="CZ69" s="106">
        <f t="shared" si="59"/>
        <v>68.040000000000006</v>
      </c>
      <c r="DA69" s="106"/>
      <c r="DB69" s="106"/>
      <c r="DC69" s="105"/>
      <c r="DD69" s="107"/>
      <c r="DE69" s="92">
        <f t="shared" si="21"/>
        <v>800</v>
      </c>
      <c r="DF69" s="108">
        <f t="shared" si="22"/>
        <v>3.69</v>
      </c>
      <c r="DG69" s="115">
        <f t="shared" si="23"/>
        <v>-85.600000000000023</v>
      </c>
      <c r="DH69" s="110">
        <f t="shared" si="24"/>
        <v>1466</v>
      </c>
      <c r="DI69" s="108">
        <f t="shared" si="25"/>
        <v>6.64</v>
      </c>
      <c r="DJ69" s="112">
        <f t="shared" si="26"/>
        <v>-126.9333333333331</v>
      </c>
      <c r="DK69" s="110">
        <f t="shared" si="86"/>
        <v>2266</v>
      </c>
      <c r="DL69" s="108">
        <f t="shared" si="86"/>
        <v>10.33</v>
      </c>
      <c r="DM69" s="111">
        <f t="shared" si="86"/>
        <v>-212.53333333333313</v>
      </c>
      <c r="DN69" s="76">
        <v>33</v>
      </c>
      <c r="DO69" s="76"/>
      <c r="DP69" s="112"/>
      <c r="DQ69" s="112"/>
      <c r="DR69" s="113" t="s">
        <v>459</v>
      </c>
      <c r="DS69" s="112"/>
      <c r="DT69" s="112"/>
      <c r="DU69" s="111"/>
      <c r="DV69" s="114"/>
      <c r="DW69" s="80">
        <f t="shared" si="61"/>
        <v>2276.33</v>
      </c>
      <c r="DX69" s="81">
        <f t="shared" si="28"/>
        <v>2063.7966666666666</v>
      </c>
      <c r="DY69" s="80">
        <f t="shared" si="62"/>
        <v>2266</v>
      </c>
      <c r="DZ69" s="82">
        <f t="shared" si="63"/>
        <v>0</v>
      </c>
      <c r="EA69" s="82">
        <f t="shared" si="64"/>
        <v>0.33989999999999998</v>
      </c>
      <c r="EB69" s="82">
        <f t="shared" si="65"/>
        <v>1.76742</v>
      </c>
      <c r="EC69" s="82">
        <f t="shared" si="75"/>
        <v>1.76742</v>
      </c>
      <c r="EF69" s="83">
        <f t="shared" si="107"/>
        <v>-212.53333333333313</v>
      </c>
    </row>
    <row r="70" spans="1:136" ht="14.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0"/>
        <v>YHC2700-5.5x3-H9A14</v>
      </c>
      <c r="H70" s="46" t="str">
        <f t="shared" si="31"/>
        <v>C2700YH5.50DH9</v>
      </c>
      <c r="I70" s="46" t="str">
        <f t="shared" si="32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3"/>
        <v>24</v>
      </c>
      <c r="T70" s="51">
        <f>'05.02'!BG70</f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>AE70+'06.02'!AF70</f>
        <v>0</v>
      </c>
      <c r="AG70" s="94">
        <f t="shared" si="66"/>
        <v>0</v>
      </c>
      <c r="AH70" s="56">
        <f t="shared" si="13"/>
        <v>0</v>
      </c>
      <c r="AI70" s="93"/>
      <c r="AJ70" s="93">
        <f t="shared" si="67"/>
        <v>0</v>
      </c>
      <c r="AK70" s="95">
        <f t="shared" si="35"/>
        <v>1</v>
      </c>
      <c r="AL70" s="58">
        <f t="shared" si="36"/>
        <v>0</v>
      </c>
      <c r="AM70" s="55">
        <f t="shared" si="68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7"/>
        <v>0</v>
      </c>
      <c r="AV70" s="96">
        <f t="shared" si="37"/>
        <v>0</v>
      </c>
      <c r="AW70" s="96">
        <f t="shared" si="38"/>
        <v>0</v>
      </c>
      <c r="AX70" s="96">
        <f>IF(V70="","",INT(AW70/$V70))</f>
        <v>0</v>
      </c>
      <c r="AY70" s="94">
        <f t="shared" si="69"/>
        <v>0</v>
      </c>
      <c r="AZ70" s="94">
        <f t="shared" si="40"/>
        <v>0</v>
      </c>
      <c r="BA70" s="94">
        <f t="shared" si="41"/>
        <v>0</v>
      </c>
      <c r="BB70" s="97">
        <f t="shared" si="42"/>
        <v>0</v>
      </c>
      <c r="BC70" s="93"/>
      <c r="BD70" s="93">
        <f t="shared" si="43"/>
        <v>0</v>
      </c>
      <c r="BE70" s="95">
        <f t="shared" si="44"/>
        <v>1</v>
      </c>
      <c r="BF70" s="58">
        <f t="shared" si="45"/>
        <v>0</v>
      </c>
      <c r="BG70" s="94">
        <f t="shared" si="46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0"/>
        <v>0</v>
      </c>
      <c r="BP70" s="92">
        <f t="shared" si="70"/>
        <v>0</v>
      </c>
      <c r="BQ70" s="96">
        <f t="shared" si="47"/>
        <v>0</v>
      </c>
      <c r="BR70" s="96">
        <f t="shared" si="48"/>
        <v>0</v>
      </c>
      <c r="BS70" s="96">
        <f t="shared" si="71"/>
        <v>0</v>
      </c>
      <c r="BT70" s="96">
        <f t="shared" si="49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0"/>
        <v>0</v>
      </c>
      <c r="BY70" s="61">
        <f t="shared" si="73"/>
        <v>0</v>
      </c>
      <c r="BZ70" s="62">
        <f t="shared" si="51"/>
        <v>0</v>
      </c>
      <c r="CA70" s="98">
        <f t="shared" si="52"/>
        <v>0</v>
      </c>
      <c r="CB70" s="92">
        <f t="shared" si="98"/>
        <v>0</v>
      </c>
      <c r="CC70" s="92">
        <f t="shared" si="98"/>
        <v>0</v>
      </c>
      <c r="CD70" s="92">
        <f t="shared" si="98"/>
        <v>0</v>
      </c>
      <c r="CE70" s="99"/>
      <c r="CF70" s="99"/>
      <c r="CG70" s="51">
        <f t="shared" si="53"/>
        <v>0</v>
      </c>
      <c r="CH70" s="62">
        <f t="shared" si="54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101"/>
        <v>0</v>
      </c>
      <c r="CR70" s="102">
        <f t="shared" si="101"/>
        <v>0</v>
      </c>
      <c r="CS70" s="102">
        <f t="shared" si="101"/>
        <v>0</v>
      </c>
      <c r="CT70" s="92">
        <f t="shared" si="56"/>
        <v>0</v>
      </c>
      <c r="CU70" s="92">
        <f t="shared" si="102"/>
        <v>0</v>
      </c>
      <c r="CV70" s="103">
        <f t="shared" si="102"/>
        <v>0</v>
      </c>
      <c r="CW70" s="104" t="s">
        <v>147</v>
      </c>
      <c r="CX70" s="105">
        <v>20</v>
      </c>
      <c r="CY70" s="106">
        <f t="shared" si="58"/>
        <v>2034</v>
      </c>
      <c r="CZ70" s="106">
        <f t="shared" si="59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6"/>
        <v>0</v>
      </c>
      <c r="DL70" s="108">
        <f t="shared" si="86"/>
        <v>0</v>
      </c>
      <c r="DM70" s="111">
        <f t="shared" si="86"/>
        <v>0</v>
      </c>
      <c r="DN70" s="76">
        <f t="shared" si="89"/>
        <v>0</v>
      </c>
      <c r="DO70" s="76">
        <f t="shared" si="89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1"/>
        <v>0</v>
      </c>
      <c r="DX70" s="81">
        <f t="shared" si="28"/>
        <v>0</v>
      </c>
      <c r="DY70" s="80">
        <f t="shared" si="62"/>
        <v>0</v>
      </c>
      <c r="DZ70" s="82">
        <f t="shared" si="63"/>
        <v>0</v>
      </c>
      <c r="EA70" s="82">
        <f t="shared" si="64"/>
        <v>0</v>
      </c>
      <c r="EB70" s="82">
        <f t="shared" si="65"/>
        <v>0</v>
      </c>
      <c r="EC70" s="82">
        <f>(BX70-CA70)+((AV70+BP70)/1000)</f>
        <v>0</v>
      </c>
      <c r="EF70" s="83">
        <f t="shared" si="107"/>
        <v>0</v>
      </c>
    </row>
    <row r="71" spans="1:136">
      <c r="A71" s="84">
        <v>64</v>
      </c>
      <c r="B71" s="85" t="s">
        <v>319</v>
      </c>
      <c r="C71" s="86"/>
      <c r="D71" s="165" t="s">
        <v>505</v>
      </c>
      <c r="E71" s="88">
        <v>92</v>
      </c>
      <c r="F71" s="89" t="s">
        <v>147</v>
      </c>
      <c r="G71" s="45" t="str">
        <f t="shared" si="30"/>
        <v>IBC3604-6.2x3-H9B14</v>
      </c>
      <c r="H71" s="46" t="str">
        <f t="shared" si="31"/>
        <v>C3604IB6.20DH9</v>
      </c>
      <c r="I71" s="46" t="str">
        <f t="shared" si="32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3"/>
        <v>38</v>
      </c>
      <c r="T71" s="51">
        <f>'05.02'!BG71</f>
        <v>0</v>
      </c>
      <c r="U71" s="92"/>
      <c r="V71" s="100">
        <v>4.3</v>
      </c>
      <c r="W71" s="93">
        <f t="shared" si="5"/>
        <v>0</v>
      </c>
      <c r="X71" s="93">
        <f t="shared" si="6"/>
        <v>1223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4"/>
        <v>1223</v>
      </c>
      <c r="AF71" s="54">
        <f>AE71+'06.02'!AF71</f>
        <v>1223</v>
      </c>
      <c r="AG71" s="94">
        <f t="shared" si="66"/>
        <v>0</v>
      </c>
      <c r="AH71" s="56">
        <f t="shared" si="13"/>
        <v>0</v>
      </c>
      <c r="AI71" s="93"/>
      <c r="AJ71" s="93">
        <f t="shared" si="67"/>
        <v>0</v>
      </c>
      <c r="AK71" s="95">
        <f t="shared" si="35"/>
        <v>1</v>
      </c>
      <c r="AL71" s="58">
        <f t="shared" si="36"/>
        <v>0</v>
      </c>
      <c r="AM71" s="55">
        <f t="shared" si="68"/>
        <v>0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7"/>
        <v>0</v>
      </c>
      <c r="AV71" s="96">
        <f t="shared" si="37"/>
        <v>0</v>
      </c>
      <c r="AW71" s="96">
        <f t="shared" si="38"/>
        <v>0</v>
      </c>
      <c r="AX71" s="96">
        <f t="shared" si="39"/>
        <v>0</v>
      </c>
      <c r="AY71" s="94">
        <f t="shared" si="69"/>
        <v>0</v>
      </c>
      <c r="AZ71" s="94">
        <f t="shared" si="40"/>
        <v>0</v>
      </c>
      <c r="BA71" s="94">
        <f t="shared" si="41"/>
        <v>0</v>
      </c>
      <c r="BB71" s="97">
        <f t="shared" si="42"/>
        <v>0</v>
      </c>
      <c r="BC71" s="93">
        <v>13</v>
      </c>
      <c r="BD71" s="93">
        <f t="shared" si="43"/>
        <v>0</v>
      </c>
      <c r="BE71" s="95">
        <f t="shared" si="44"/>
        <v>1</v>
      </c>
      <c r="BF71" s="58">
        <f t="shared" si="45"/>
        <v>13</v>
      </c>
      <c r="BG71" s="94">
        <f t="shared" si="46"/>
        <v>-13</v>
      </c>
      <c r="BH71" s="89"/>
      <c r="BI71" s="89"/>
      <c r="BJ71" s="92">
        <f>$CN71</f>
        <v>5262</v>
      </c>
      <c r="BK71" s="89"/>
      <c r="BL71" s="89"/>
      <c r="BM71" s="89"/>
      <c r="BN71" s="89"/>
      <c r="BO71" s="92">
        <f t="shared" si="70"/>
        <v>0</v>
      </c>
      <c r="BP71" s="92">
        <f t="shared" si="70"/>
        <v>0</v>
      </c>
      <c r="BQ71" s="96">
        <f t="shared" si="47"/>
        <v>5262</v>
      </c>
      <c r="BR71" s="96">
        <f t="shared" si="48"/>
        <v>1223</v>
      </c>
      <c r="BS71" s="96">
        <f t="shared" si="71"/>
        <v>119.19999999999982</v>
      </c>
      <c r="BT71" s="96">
        <f t="shared" si="49"/>
        <v>27.7209302325581</v>
      </c>
      <c r="BU71" s="92">
        <f t="shared" si="16"/>
        <v>1223</v>
      </c>
      <c r="BV71" s="98">
        <f t="shared" si="17"/>
        <v>13</v>
      </c>
      <c r="BW71" s="92">
        <f t="shared" si="18"/>
        <v>27.7209302325581</v>
      </c>
      <c r="BX71" s="98">
        <f t="shared" si="50"/>
        <v>9.9320000000000004</v>
      </c>
      <c r="BY71" s="61">
        <f t="shared" si="73"/>
        <v>13</v>
      </c>
      <c r="BZ71" s="62">
        <f t="shared" si="51"/>
        <v>13</v>
      </c>
      <c r="CA71" s="98">
        <f t="shared" si="52"/>
        <v>5.2619999999999996</v>
      </c>
      <c r="CB71" s="92">
        <f t="shared" si="98"/>
        <v>1223</v>
      </c>
      <c r="CC71" s="92">
        <f t="shared" si="98"/>
        <v>119.19999999999982</v>
      </c>
      <c r="CD71" s="92">
        <f t="shared" si="98"/>
        <v>27.7209302325581</v>
      </c>
      <c r="CE71" s="99"/>
      <c r="CF71" s="99"/>
      <c r="CG71" s="51">
        <f t="shared" si="53"/>
        <v>4.6700000000000008</v>
      </c>
      <c r="CH71" s="62">
        <f t="shared" si="54"/>
        <v>4.6700000000000008</v>
      </c>
      <c r="CI71" s="89"/>
      <c r="CJ71" s="89"/>
      <c r="CK71" s="89"/>
      <c r="CL71" s="96"/>
      <c r="CM71" s="89"/>
      <c r="CN71" s="89">
        <v>5262</v>
      </c>
      <c r="CO71" s="92"/>
      <c r="CP71" s="101"/>
      <c r="CQ71" s="102">
        <f t="shared" si="101"/>
        <v>0</v>
      </c>
      <c r="CR71" s="102">
        <f t="shared" si="101"/>
        <v>0</v>
      </c>
      <c r="CS71" s="102">
        <f t="shared" si="101"/>
        <v>0</v>
      </c>
      <c r="CT71" s="92">
        <f t="shared" si="56"/>
        <v>1223</v>
      </c>
      <c r="CU71" s="92">
        <f t="shared" si="102"/>
        <v>0</v>
      </c>
      <c r="CV71" s="103">
        <f t="shared" si="102"/>
        <v>0</v>
      </c>
      <c r="CW71" s="104" t="s">
        <v>147</v>
      </c>
      <c r="CX71" s="105">
        <v>23</v>
      </c>
      <c r="CY71" s="106">
        <f t="shared" si="58"/>
        <v>1713</v>
      </c>
      <c r="CZ71" s="106">
        <f t="shared" si="59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0</v>
      </c>
      <c r="DG71" s="115">
        <f t="shared" si="23"/>
        <v>0</v>
      </c>
      <c r="DH71" s="110">
        <f t="shared" si="24"/>
        <v>1223</v>
      </c>
      <c r="DI71" s="108">
        <f t="shared" si="25"/>
        <v>13</v>
      </c>
      <c r="DJ71" s="112">
        <f t="shared" si="26"/>
        <v>27.7209302325581</v>
      </c>
      <c r="DK71" s="110">
        <f t="shared" si="86"/>
        <v>1223</v>
      </c>
      <c r="DL71" s="108">
        <f t="shared" si="86"/>
        <v>13</v>
      </c>
      <c r="DM71" s="111">
        <f t="shared" si="86"/>
        <v>27.7209302325581</v>
      </c>
      <c r="DN71" s="76">
        <v>6</v>
      </c>
      <c r="DO71" s="76"/>
      <c r="DP71" s="112"/>
      <c r="DQ71" s="112"/>
      <c r="DR71" s="113" t="s">
        <v>504</v>
      </c>
      <c r="DS71" s="112"/>
      <c r="DT71" s="112"/>
      <c r="DU71" s="111"/>
      <c r="DV71" s="114"/>
      <c r="DW71" s="80">
        <f t="shared" si="61"/>
        <v>1236</v>
      </c>
      <c r="DX71" s="81">
        <f t="shared" si="28"/>
        <v>1263.7209302325582</v>
      </c>
      <c r="DY71" s="80">
        <f t="shared" si="62"/>
        <v>1223</v>
      </c>
      <c r="DZ71" s="82">
        <f t="shared" si="63"/>
        <v>0</v>
      </c>
      <c r="EA71" s="82">
        <f t="shared" si="64"/>
        <v>5.2588999999999997</v>
      </c>
      <c r="EB71" s="82">
        <f t="shared" si="65"/>
        <v>4.6731000000000007</v>
      </c>
      <c r="EC71" s="82">
        <f t="shared" si="75"/>
        <v>4.6731000000000007</v>
      </c>
      <c r="EF71" s="83">
        <f t="shared" si="107"/>
        <v>27.7209302325581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0"/>
        <v>TVA2011-T3-7.5x3-H9B14</v>
      </c>
      <c r="H72" s="46" t="str">
        <f t="shared" si="31"/>
        <v>A2011-T3TV7.50DH9</v>
      </c>
      <c r="I72" s="46" t="str">
        <f t="shared" si="32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3"/>
        <v>24</v>
      </c>
      <c r="T72" s="51">
        <f>'06.02'!BG72</f>
        <v>30</v>
      </c>
      <c r="U72" s="92"/>
      <c r="V72" s="100">
        <v>0.58299999999999996</v>
      </c>
      <c r="W72" s="93">
        <f t="shared" ref="W72:W103" si="114">IF(V72="","",INT((AO72+BI72)/$V72))</f>
        <v>0</v>
      </c>
      <c r="X72" s="93">
        <f t="shared" ref="X72:X106" si="115">IF(V72="","",INT((AP72+BJ72)/$V72))</f>
        <v>0</v>
      </c>
      <c r="Y72" s="93">
        <f t="shared" ref="Y72:Y106" si="116">IF(V72="","",INT((AQ72+BK72)/$V72))</f>
        <v>0</v>
      </c>
      <c r="Z72" s="93">
        <f t="shared" ref="Z72:Z106" si="117">IF(V72="","",INT((AR72+BL72)/$V72))</f>
        <v>0</v>
      </c>
      <c r="AA72" s="93">
        <f t="shared" ref="AA72:AA106" si="118">IF(V72="","",INT((AS72+BM72)/$V72))</f>
        <v>0</v>
      </c>
      <c r="AB72" s="93">
        <f t="shared" ref="AB72:AB106" si="119">IF(V72="","",INT((AT72+BN72)/$V72))</f>
        <v>0</v>
      </c>
      <c r="AC72" s="93">
        <f t="shared" ref="AC72:AC106" si="120">IF(V72="","",INT((AU72+BO72)/$V72))</f>
        <v>0</v>
      </c>
      <c r="AD72" s="93">
        <f t="shared" ref="AD72:AD106" si="121">IF(V72="","",INT((AV72+BP72)/$V72))</f>
        <v>0</v>
      </c>
      <c r="AE72" s="93">
        <f t="shared" si="34"/>
        <v>0</v>
      </c>
      <c r="AF72" s="54">
        <f>AE72+'06.02'!AF72</f>
        <v>0</v>
      </c>
      <c r="AG72" s="94">
        <f t="shared" si="66"/>
        <v>30</v>
      </c>
      <c r="AH72" s="56">
        <f t="shared" si="13"/>
        <v>0</v>
      </c>
      <c r="AI72" s="93"/>
      <c r="AJ72" s="93">
        <f t="shared" si="67"/>
        <v>0</v>
      </c>
      <c r="AK72" s="95">
        <f t="shared" si="35"/>
        <v>1</v>
      </c>
      <c r="AL72" s="58">
        <f t="shared" si="36"/>
        <v>0</v>
      </c>
      <c r="AM72" s="55">
        <f t="shared" si="68"/>
        <v>30</v>
      </c>
      <c r="AN72" s="93"/>
      <c r="AO72" s="96"/>
      <c r="AP72" s="96"/>
      <c r="AQ72" s="96"/>
      <c r="AR72" s="96"/>
      <c r="AS72" s="96"/>
      <c r="AT72" s="96">
        <f t="shared" si="112"/>
        <v>0</v>
      </c>
      <c r="AU72" s="96">
        <f t="shared" si="37"/>
        <v>0</v>
      </c>
      <c r="AV72" s="96">
        <f t="shared" si="37"/>
        <v>0</v>
      </c>
      <c r="AW72" s="96">
        <f t="shared" si="38"/>
        <v>0</v>
      </c>
      <c r="AX72" s="96">
        <f t="shared" si="39"/>
        <v>0</v>
      </c>
      <c r="AY72" s="94">
        <f t="shared" si="69"/>
        <v>0</v>
      </c>
      <c r="AZ72" s="94">
        <f t="shared" si="40"/>
        <v>0</v>
      </c>
      <c r="BA72" s="94">
        <f t="shared" si="41"/>
        <v>30</v>
      </c>
      <c r="BB72" s="97">
        <f t="shared" si="42"/>
        <v>0</v>
      </c>
      <c r="BC72" s="93"/>
      <c r="BD72" s="93">
        <f t="shared" si="43"/>
        <v>0</v>
      </c>
      <c r="BE72" s="95">
        <f t="shared" si="44"/>
        <v>1</v>
      </c>
      <c r="BF72" s="58">
        <f t="shared" si="45"/>
        <v>0</v>
      </c>
      <c r="BG72" s="94">
        <f t="shared" si="46"/>
        <v>30</v>
      </c>
      <c r="BH72" s="89"/>
      <c r="BI72" s="89"/>
      <c r="BJ72" s="89"/>
      <c r="BK72" s="89"/>
      <c r="BL72" s="89"/>
      <c r="BM72" s="89"/>
      <c r="BN72" s="92">
        <f t="shared" si="113"/>
        <v>0</v>
      </c>
      <c r="BO72" s="92">
        <f t="shared" si="70"/>
        <v>0</v>
      </c>
      <c r="BP72" s="92">
        <f t="shared" si="70"/>
        <v>0</v>
      </c>
      <c r="BQ72" s="96">
        <f t="shared" si="47"/>
        <v>0</v>
      </c>
      <c r="BR72" s="96">
        <f t="shared" si="48"/>
        <v>0</v>
      </c>
      <c r="BS72" s="96">
        <f t="shared" si="71"/>
        <v>0</v>
      </c>
      <c r="BT72" s="96">
        <f t="shared" si="49"/>
        <v>0</v>
      </c>
      <c r="BU72" s="92">
        <f t="shared" ref="BU72:BU106" si="122">IFERROR(AE72,"")</f>
        <v>0</v>
      </c>
      <c r="BV72" s="98">
        <f t="shared" si="17"/>
        <v>0</v>
      </c>
      <c r="BW72" s="92">
        <f t="shared" ref="BW72:BW106" si="123">IFERROR(BT72+AZ72,"")</f>
        <v>0</v>
      </c>
      <c r="BX72" s="98">
        <f t="shared" si="50"/>
        <v>0</v>
      </c>
      <c r="BY72" s="61">
        <f t="shared" si="73"/>
        <v>0</v>
      </c>
      <c r="BZ72" s="62">
        <f t="shared" si="51"/>
        <v>0</v>
      </c>
      <c r="CA72" s="98">
        <f t="shared" si="52"/>
        <v>0</v>
      </c>
      <c r="CB72" s="92">
        <f t="shared" ref="CB72:CD106" si="124">IFERROR(BR72+AX72,"")</f>
        <v>0</v>
      </c>
      <c r="CC72" s="92">
        <f t="shared" si="124"/>
        <v>0</v>
      </c>
      <c r="CD72" s="92">
        <f t="shared" si="124"/>
        <v>0</v>
      </c>
      <c r="CE72" s="99"/>
      <c r="CF72" s="99"/>
      <c r="CG72" s="51">
        <f t="shared" si="53"/>
        <v>0</v>
      </c>
      <c r="CH72" s="62">
        <f t="shared" si="54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101"/>
        <v>0</v>
      </c>
      <c r="CR72" s="102">
        <f t="shared" si="101"/>
        <v>0</v>
      </c>
      <c r="CS72" s="102">
        <f t="shared" si="101"/>
        <v>0</v>
      </c>
      <c r="CT72" s="92">
        <f t="shared" si="56"/>
        <v>0</v>
      </c>
      <c r="CU72" s="92">
        <f t="shared" si="102"/>
        <v>0</v>
      </c>
      <c r="CV72" s="103">
        <f t="shared" si="102"/>
        <v>0</v>
      </c>
      <c r="CW72" s="104" t="s">
        <v>147</v>
      </c>
      <c r="CX72" s="105">
        <v>8</v>
      </c>
      <c r="CY72" s="106">
        <f t="shared" si="58"/>
        <v>5107</v>
      </c>
      <c r="CZ72" s="106">
        <f t="shared" si="59"/>
        <v>32.400000000000006</v>
      </c>
      <c r="DA72" s="106"/>
      <c r="DB72" s="106"/>
      <c r="DC72" s="105"/>
      <c r="DD72" s="107"/>
      <c r="DE72" s="92">
        <f t="shared" ref="DE72:DE106" si="125">IFERROR(CQ72+CR72,"")</f>
        <v>0</v>
      </c>
      <c r="DF72" s="108">
        <f t="shared" ref="DF72:DF106" si="126">IFERROR(AL72,"")</f>
        <v>0</v>
      </c>
      <c r="DG72" s="115">
        <f t="shared" ref="DG72:DG106" si="127">IFERROR(AZ72,"")</f>
        <v>0</v>
      </c>
      <c r="DH72" s="110">
        <f t="shared" ref="DH72:DH106" si="128">IFERROR(CT72+CU72,"")</f>
        <v>0</v>
      </c>
      <c r="DI72" s="108">
        <f t="shared" ref="DI72:DI106" si="129">IFERROR(BF72,"")</f>
        <v>0</v>
      </c>
      <c r="DJ72" s="112">
        <f t="shared" ref="DJ72:DJ106" si="130">IFERROR(BT72,"")</f>
        <v>0</v>
      </c>
      <c r="DK72" s="110">
        <f t="shared" si="86"/>
        <v>0</v>
      </c>
      <c r="DL72" s="108">
        <f t="shared" si="86"/>
        <v>0</v>
      </c>
      <c r="DM72" s="111">
        <f t="shared" si="86"/>
        <v>0</v>
      </c>
      <c r="DN72" s="76">
        <v>30</v>
      </c>
      <c r="DO72" s="76"/>
      <c r="DP72" s="112"/>
      <c r="DQ72" s="112"/>
      <c r="DR72" s="113" t="s">
        <v>460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31">IFERROR(DK72+DL72+DM72,"")</f>
        <v>0</v>
      </c>
      <c r="DY72" s="80">
        <f t="shared" si="62"/>
        <v>0</v>
      </c>
      <c r="DZ72" s="82">
        <f t="shared" si="63"/>
        <v>0</v>
      </c>
      <c r="EA72" s="82">
        <f t="shared" si="64"/>
        <v>0</v>
      </c>
      <c r="EB72" s="82">
        <f t="shared" si="65"/>
        <v>0</v>
      </c>
      <c r="EC72" s="82">
        <f t="shared" si="75"/>
        <v>0</v>
      </c>
      <c r="EF72" s="83">
        <f t="shared" si="107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2">CONCATENATE(K73,J73,"-",IF(N73="D",L73,IF(N73="H",CONCATENATE(N73,L73),CONCATENATE(N73,L73,"x",M73))),"x",P73,"-",O73,R73)</f>
        <v>GAA5052-5.7x3-H9A14</v>
      </c>
      <c r="H73" s="46" t="str">
        <f t="shared" ref="H73:H106" si="133">CONCATENATE(J73,,K73,L73,M73,N73,O73)</f>
        <v>A5052GA5.70DH9</v>
      </c>
      <c r="I73" s="46" t="str">
        <f t="shared" ref="I73:I106" si="134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5">ROUND(CY73/E73,0)*2</f>
        <v>14</v>
      </c>
      <c r="T73" s="51">
        <f>'06.02'!BG73</f>
        <v>37</v>
      </c>
      <c r="U73" s="92"/>
      <c r="V73" s="100">
        <v>0.15</v>
      </c>
      <c r="W73" s="93">
        <f t="shared" si="114"/>
        <v>0</v>
      </c>
      <c r="X73" s="93">
        <f t="shared" si="115"/>
        <v>0</v>
      </c>
      <c r="Y73" s="93">
        <f t="shared" si="116"/>
        <v>0</v>
      </c>
      <c r="Z73" s="93">
        <f t="shared" si="117"/>
        <v>0</v>
      </c>
      <c r="AA73" s="93">
        <f t="shared" si="118"/>
        <v>0</v>
      </c>
      <c r="AB73" s="93">
        <f t="shared" si="119"/>
        <v>1066</v>
      </c>
      <c r="AC73" s="93">
        <f t="shared" si="120"/>
        <v>0</v>
      </c>
      <c r="AD73" s="93">
        <f t="shared" si="121"/>
        <v>33</v>
      </c>
      <c r="AE73" s="93">
        <f t="shared" ref="AE73:AE106" si="136">IF(V73="","",SUM(W73:AC73))</f>
        <v>1066</v>
      </c>
      <c r="AF73" s="54">
        <f>AE73+'06.02'!AF73</f>
        <v>18145</v>
      </c>
      <c r="AG73" s="94">
        <f t="shared" si="66"/>
        <v>37</v>
      </c>
      <c r="AH73" s="56">
        <f t="shared" ref="AH73:AH106" si="137">IFERROR(VALUE("0"&amp;RIGHT(AG73,(LEN(AG73)-LEN(TRUNC(AG73))))),"")</f>
        <v>0</v>
      </c>
      <c r="AI73" s="93">
        <v>3</v>
      </c>
      <c r="AJ73" s="93">
        <f t="shared" si="67"/>
        <v>0</v>
      </c>
      <c r="AK73" s="95">
        <f t="shared" ref="AK73:AK107" si="138">IF(V73="","",IF(AJ73=0,1,AJ73/$V73/$E73))</f>
        <v>1</v>
      </c>
      <c r="AL73" s="58">
        <f t="shared" si="36"/>
        <v>3</v>
      </c>
      <c r="AM73" s="55">
        <f t="shared" si="68"/>
        <v>34</v>
      </c>
      <c r="AN73" s="93"/>
      <c r="AO73" s="96"/>
      <c r="AP73" s="96"/>
      <c r="AQ73" s="96"/>
      <c r="AR73" s="96"/>
      <c r="AS73" s="96"/>
      <c r="AT73" s="96">
        <f t="shared" si="112"/>
        <v>110</v>
      </c>
      <c r="AU73" s="96">
        <f t="shared" ref="AU73:AV106" si="139">CK73</f>
        <v>0</v>
      </c>
      <c r="AV73" s="96">
        <f t="shared" si="139"/>
        <v>5</v>
      </c>
      <c r="AW73" s="96">
        <f t="shared" ref="AW73:AW106" si="140">SUM(AO73:AV73)</f>
        <v>115</v>
      </c>
      <c r="AX73" s="96">
        <f t="shared" ref="AX73:AX106" si="141">IF(V73="","",INT(AW73/$V73))</f>
        <v>766</v>
      </c>
      <c r="AY73" s="94">
        <f t="shared" si="69"/>
        <v>4.2999999999999972</v>
      </c>
      <c r="AZ73" s="94">
        <f t="shared" ref="AZ73:AZ106" si="142">IF($V73="","",AY73/$V73)</f>
        <v>28.66666666666665</v>
      </c>
      <c r="BA73" s="94">
        <f t="shared" si="41"/>
        <v>34</v>
      </c>
      <c r="BB73" s="97">
        <f t="shared" si="42"/>
        <v>0</v>
      </c>
      <c r="BC73" s="93">
        <v>1</v>
      </c>
      <c r="BD73" s="93">
        <f t="shared" ref="BD73:BD106" si="143">$CM73</f>
        <v>0</v>
      </c>
      <c r="BE73" s="95">
        <f t="shared" ref="BE73:BE106" si="144">IF(AA73="","",IF(BD73=0,1,BD73/$V73/$E73))</f>
        <v>1</v>
      </c>
      <c r="BF73" s="58">
        <f t="shared" si="45"/>
        <v>1</v>
      </c>
      <c r="BG73" s="94">
        <f t="shared" ref="BG73:BG106" si="145">IF(AA73="","",BA73-BF73)</f>
        <v>33</v>
      </c>
      <c r="BH73" s="89"/>
      <c r="BI73" s="89"/>
      <c r="BJ73" s="89"/>
      <c r="BK73" s="89"/>
      <c r="BL73" s="89"/>
      <c r="BM73" s="89"/>
      <c r="BN73" s="92">
        <f t="shared" si="113"/>
        <v>50</v>
      </c>
      <c r="BO73" s="92">
        <f t="shared" si="70"/>
        <v>0</v>
      </c>
      <c r="BP73" s="92">
        <f t="shared" si="70"/>
        <v>0</v>
      </c>
      <c r="BQ73" s="96">
        <f t="shared" ref="BQ73:BQ106" si="146">SUM(BI73:BP73)</f>
        <v>50</v>
      </c>
      <c r="BR73" s="96">
        <f t="shared" ref="BR73:BR106" si="147">IF(AA73="","",INT(BQ73/$V73))</f>
        <v>333</v>
      </c>
      <c r="BS73" s="96">
        <f t="shared" si="71"/>
        <v>13.100000000000001</v>
      </c>
      <c r="BT73" s="96">
        <f t="shared" ref="BT73:BT106" si="148">IF($V73="","",BS73/$V73)</f>
        <v>87.333333333333343</v>
      </c>
      <c r="BU73" s="92">
        <f t="shared" si="122"/>
        <v>1066</v>
      </c>
      <c r="BV73" s="98">
        <f t="shared" si="17"/>
        <v>4</v>
      </c>
      <c r="BW73" s="92">
        <f t="shared" si="123"/>
        <v>116</v>
      </c>
      <c r="BX73" s="98">
        <f t="shared" ref="BX73:BX106" si="149">IF($Q73="","",(BF73+AL73)*$Q73)</f>
        <v>0.81599999999999995</v>
      </c>
      <c r="BY73" s="61">
        <f t="shared" si="73"/>
        <v>4</v>
      </c>
      <c r="BZ73" s="62">
        <f t="shared" ref="BZ73:BZ108" si="150">BY73</f>
        <v>4</v>
      </c>
      <c r="CA73" s="98">
        <f t="shared" ref="CA73:CA106" si="151">IFERROR((BQ73+AW73)/1000,"")</f>
        <v>0.16500000000000001</v>
      </c>
      <c r="CB73" s="92">
        <f t="shared" si="124"/>
        <v>1099</v>
      </c>
      <c r="CC73" s="92">
        <f t="shared" si="124"/>
        <v>17.399999999999999</v>
      </c>
      <c r="CD73" s="92">
        <f t="shared" si="124"/>
        <v>116</v>
      </c>
      <c r="CE73" s="99"/>
      <c r="CF73" s="99"/>
      <c r="CG73" s="51">
        <f t="shared" ref="CG73:CG106" si="152">IF(BX73="",0,(BX73-CA73)+((AV73+BP73)/1000))</f>
        <v>0.65599999999999992</v>
      </c>
      <c r="CH73" s="62">
        <f t="shared" ref="CH73:CH108" si="153">CG73</f>
        <v>0.65599999999999992</v>
      </c>
      <c r="CI73" s="89"/>
      <c r="CJ73" s="89">
        <v>110</v>
      </c>
      <c r="CK73" s="89"/>
      <c r="CL73" s="96">
        <v>5</v>
      </c>
      <c r="CM73" s="89"/>
      <c r="CN73" s="89">
        <v>50</v>
      </c>
      <c r="CO73" s="92"/>
      <c r="CP73" s="101"/>
      <c r="CQ73" s="102">
        <f t="shared" si="101"/>
        <v>733</v>
      </c>
      <c r="CR73" s="102">
        <f t="shared" si="101"/>
        <v>0</v>
      </c>
      <c r="CS73" s="102">
        <f t="shared" si="101"/>
        <v>33</v>
      </c>
      <c r="CT73" s="92">
        <f t="shared" ref="CT73:CT106" si="154">INT(IFERROR( AE73-CQ73-CU73-CR73,0))</f>
        <v>333</v>
      </c>
      <c r="CU73" s="92">
        <f t="shared" si="102"/>
        <v>0</v>
      </c>
      <c r="CV73" s="103">
        <f t="shared" si="102"/>
        <v>0</v>
      </c>
      <c r="CW73" s="104" t="s">
        <v>147</v>
      </c>
      <c r="CX73" s="105">
        <v>23.04</v>
      </c>
      <c r="CY73" s="106">
        <f t="shared" ref="CY73:CY106" si="155">INT(60/CX73*60*(12-(CEILING((60/CX73*60*12)/E73,1)*IF(CW73="T",0.45,IF(CW73="",5,3))/60)))</f>
        <v>1812</v>
      </c>
      <c r="CZ73" s="106">
        <f t="shared" ref="CZ73:CZ106" si="156">IF(CX73="",0,(IF(CW73="",360,180)/(60/CX73))*1.35)</f>
        <v>93.311999999999998</v>
      </c>
      <c r="DA73" s="106"/>
      <c r="DB73" s="106"/>
      <c r="DC73" s="105"/>
      <c r="DD73" s="107"/>
      <c r="DE73" s="92">
        <f t="shared" si="125"/>
        <v>733</v>
      </c>
      <c r="DF73" s="108">
        <f t="shared" si="126"/>
        <v>3</v>
      </c>
      <c r="DG73" s="115">
        <f t="shared" si="127"/>
        <v>28.66666666666665</v>
      </c>
      <c r="DH73" s="110">
        <f t="shared" si="128"/>
        <v>333</v>
      </c>
      <c r="DI73" s="108">
        <f t="shared" si="129"/>
        <v>1</v>
      </c>
      <c r="DJ73" s="112">
        <f t="shared" si="130"/>
        <v>87.333333333333343</v>
      </c>
      <c r="DK73" s="110">
        <f t="shared" si="86"/>
        <v>1066</v>
      </c>
      <c r="DL73" s="108">
        <f t="shared" si="86"/>
        <v>4</v>
      </c>
      <c r="DM73" s="111">
        <f t="shared" si="86"/>
        <v>116</v>
      </c>
      <c r="DN73" s="76">
        <v>30</v>
      </c>
      <c r="DO73" s="76"/>
      <c r="DP73" s="112"/>
      <c r="DQ73" s="112"/>
      <c r="DR73" s="113" t="s">
        <v>461</v>
      </c>
      <c r="DS73" s="112"/>
      <c r="DT73" s="112"/>
      <c r="DU73" s="111"/>
      <c r="DV73" s="114"/>
      <c r="DW73" s="80">
        <f t="shared" ref="DW73:DW106" si="157">IFERROR(BU73+BV73,"")</f>
        <v>1070</v>
      </c>
      <c r="DX73" s="81">
        <f t="shared" si="131"/>
        <v>1186</v>
      </c>
      <c r="DY73" s="80">
        <f t="shared" ref="DY73:DY106" si="158">CQ73+CR73+CS73+CT73+CU73+CV73</f>
        <v>1099</v>
      </c>
      <c r="DZ73" s="82">
        <f t="shared" ref="DZ73:DZ106" si="159">IFERROR((AD73*V73/1000),0)</f>
        <v>4.9500000000000004E-3</v>
      </c>
      <c r="EA73" s="82">
        <f t="shared" ref="EA73:EA106" si="160">IFERROR((AE73*V73/1000),0)</f>
        <v>0.15990000000000001</v>
      </c>
      <c r="EB73" s="82">
        <f t="shared" ref="EB73:EB106" si="161">BX73-EA73</f>
        <v>0.65609999999999991</v>
      </c>
      <c r="EC73" s="82">
        <f t="shared" si="75"/>
        <v>0.66104999999999992</v>
      </c>
      <c r="EF73" s="83">
        <f t="shared" si="107"/>
        <v>116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2"/>
        <v>IBC3604-7x3-H9D14</v>
      </c>
      <c r="H74" s="46" t="str">
        <f t="shared" si="133"/>
        <v>C3604IB70DH9</v>
      </c>
      <c r="I74" s="46" t="str">
        <f t="shared" si="134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5"/>
        <v>28</v>
      </c>
      <c r="T74" s="51">
        <f>'06.02'!BG74</f>
        <v>52</v>
      </c>
      <c r="U74" s="92"/>
      <c r="V74" s="100">
        <v>3.3769999999999998</v>
      </c>
      <c r="W74" s="93">
        <f t="shared" si="114"/>
        <v>0</v>
      </c>
      <c r="X74" s="93">
        <f t="shared" si="115"/>
        <v>3686</v>
      </c>
      <c r="Y74" s="93">
        <f t="shared" si="116"/>
        <v>0</v>
      </c>
      <c r="Z74" s="93">
        <f t="shared" si="117"/>
        <v>0</v>
      </c>
      <c r="AA74" s="93">
        <f t="shared" si="118"/>
        <v>0</v>
      </c>
      <c r="AB74" s="93">
        <f t="shared" si="119"/>
        <v>0</v>
      </c>
      <c r="AC74" s="93">
        <f t="shared" si="120"/>
        <v>0</v>
      </c>
      <c r="AD74" s="93">
        <f t="shared" si="121"/>
        <v>0</v>
      </c>
      <c r="AE74" s="93">
        <f t="shared" si="136"/>
        <v>3686</v>
      </c>
      <c r="AF74" s="54">
        <f>AE74+'06.02'!AF74</f>
        <v>22678</v>
      </c>
      <c r="AG74" s="94">
        <f t="shared" ref="AG74:AG106" si="162">T74</f>
        <v>52</v>
      </c>
      <c r="AH74" s="56">
        <f t="shared" si="137"/>
        <v>0</v>
      </c>
      <c r="AI74" s="93">
        <v>13</v>
      </c>
      <c r="AJ74" s="93">
        <f t="shared" ref="AJ74:AJ106" si="163">$CI74</f>
        <v>0</v>
      </c>
      <c r="AK74" s="95">
        <f t="shared" si="138"/>
        <v>1</v>
      </c>
      <c r="AL74" s="58">
        <f t="shared" si="36"/>
        <v>13</v>
      </c>
      <c r="AM74" s="55">
        <f t="shared" ref="AM74:AM106" si="164">IF(V74="","",AG74+U74-AL74)</f>
        <v>39</v>
      </c>
      <c r="AN74" s="93"/>
      <c r="AO74" s="96"/>
      <c r="AP74" s="96">
        <f>$CJ74</f>
        <v>6130</v>
      </c>
      <c r="AQ74" s="96"/>
      <c r="AR74" s="96"/>
      <c r="AS74" s="96"/>
      <c r="AT74" s="96"/>
      <c r="AU74" s="96">
        <f t="shared" si="139"/>
        <v>0</v>
      </c>
      <c r="AV74" s="96">
        <f t="shared" si="139"/>
        <v>0</v>
      </c>
      <c r="AW74" s="96">
        <f t="shared" si="140"/>
        <v>6130</v>
      </c>
      <c r="AX74" s="96">
        <f t="shared" si="141"/>
        <v>1815</v>
      </c>
      <c r="AY74" s="94">
        <f t="shared" ref="AY74:AY106" si="165">IF(V74="","",AW74-AL74*$E74*$V74)</f>
        <v>203.36500000000069</v>
      </c>
      <c r="AZ74" s="94">
        <f t="shared" si="142"/>
        <v>60.220610008883831</v>
      </c>
      <c r="BA74" s="94">
        <f t="shared" si="41"/>
        <v>39</v>
      </c>
      <c r="BB74" s="97">
        <f t="shared" si="42"/>
        <v>0</v>
      </c>
      <c r="BC74" s="93">
        <v>14</v>
      </c>
      <c r="BD74" s="93">
        <f t="shared" si="143"/>
        <v>0</v>
      </c>
      <c r="BE74" s="95">
        <f t="shared" si="144"/>
        <v>1</v>
      </c>
      <c r="BF74" s="58">
        <f t="shared" si="45"/>
        <v>14</v>
      </c>
      <c r="BG74" s="94">
        <f t="shared" si="145"/>
        <v>25</v>
      </c>
      <c r="BH74" s="89"/>
      <c r="BI74" s="89"/>
      <c r="BJ74" s="92">
        <f>$CN74</f>
        <v>6319</v>
      </c>
      <c r="BK74" s="89"/>
      <c r="BL74" s="89"/>
      <c r="BM74" s="89"/>
      <c r="BN74" s="89"/>
      <c r="BO74" s="92">
        <f t="shared" ref="BO74:BP103" si="166">CO74</f>
        <v>0</v>
      </c>
      <c r="BP74" s="92">
        <f t="shared" si="166"/>
        <v>0</v>
      </c>
      <c r="BQ74" s="96">
        <f t="shared" si="146"/>
        <v>6319</v>
      </c>
      <c r="BR74" s="96">
        <f t="shared" si="147"/>
        <v>1871</v>
      </c>
      <c r="BS74" s="96">
        <f t="shared" ref="BS74:BS106" si="167">IF(AA74="","",-BF74*$E74*$V74+BQ74)</f>
        <v>-63.529999999999745</v>
      </c>
      <c r="BT74" s="96">
        <f t="shared" si="148"/>
        <v>-18.812555522653167</v>
      </c>
      <c r="BU74" s="92">
        <f t="shared" si="122"/>
        <v>3686</v>
      </c>
      <c r="BV74" s="98">
        <f t="shared" ref="BV74:BV106" si="168">IFERROR(BF74+AL74,"")</f>
        <v>27</v>
      </c>
      <c r="BW74" s="92">
        <f t="shared" si="123"/>
        <v>41.408054486230668</v>
      </c>
      <c r="BX74" s="98">
        <f t="shared" si="149"/>
        <v>26.46</v>
      </c>
      <c r="BY74" s="61">
        <f>IFERROR(BF74+AL74,0)</f>
        <v>27</v>
      </c>
      <c r="BZ74" s="62">
        <f t="shared" si="150"/>
        <v>27</v>
      </c>
      <c r="CA74" s="98">
        <f t="shared" si="151"/>
        <v>12.449</v>
      </c>
      <c r="CB74" s="92">
        <f t="shared" si="124"/>
        <v>3686</v>
      </c>
      <c r="CC74" s="92">
        <f t="shared" si="124"/>
        <v>139.83500000000095</v>
      </c>
      <c r="CD74" s="92">
        <f t="shared" si="124"/>
        <v>41.408054486230668</v>
      </c>
      <c r="CE74" s="99"/>
      <c r="CF74" s="99"/>
      <c r="CG74" s="51">
        <f t="shared" si="152"/>
        <v>14.011000000000001</v>
      </c>
      <c r="CH74" s="62">
        <f t="shared" si="153"/>
        <v>14.011000000000001</v>
      </c>
      <c r="CI74" s="89"/>
      <c r="CJ74" s="89">
        <v>6130</v>
      </c>
      <c r="CK74" s="89"/>
      <c r="CL74" s="96"/>
      <c r="CM74" s="89"/>
      <c r="CN74" s="89">
        <v>6319</v>
      </c>
      <c r="CO74" s="92"/>
      <c r="CP74" s="101"/>
      <c r="CQ74" s="102">
        <f t="shared" si="101"/>
        <v>1815</v>
      </c>
      <c r="CR74" s="102">
        <f t="shared" si="101"/>
        <v>0</v>
      </c>
      <c r="CS74" s="102">
        <f t="shared" si="101"/>
        <v>0</v>
      </c>
      <c r="CT74" s="92">
        <f t="shared" si="154"/>
        <v>1871</v>
      </c>
      <c r="CU74" s="92">
        <f t="shared" si="102"/>
        <v>0</v>
      </c>
      <c r="CV74" s="103">
        <f t="shared" si="102"/>
        <v>0</v>
      </c>
      <c r="CW74" s="104" t="s">
        <v>147</v>
      </c>
      <c r="CX74" s="105">
        <v>22</v>
      </c>
      <c r="CY74" s="106">
        <f t="shared" si="155"/>
        <v>1840</v>
      </c>
      <c r="CZ74" s="106">
        <f t="shared" si="156"/>
        <v>89.100000000000009</v>
      </c>
      <c r="DA74" s="106"/>
      <c r="DB74" s="106"/>
      <c r="DC74" s="105"/>
      <c r="DD74" s="107"/>
      <c r="DE74" s="92">
        <f t="shared" si="125"/>
        <v>1815</v>
      </c>
      <c r="DF74" s="108">
        <f t="shared" si="126"/>
        <v>13</v>
      </c>
      <c r="DG74" s="115">
        <f t="shared" si="127"/>
        <v>60.220610008883831</v>
      </c>
      <c r="DH74" s="110">
        <f t="shared" si="128"/>
        <v>1871</v>
      </c>
      <c r="DI74" s="108">
        <f t="shared" si="129"/>
        <v>14</v>
      </c>
      <c r="DJ74" s="112">
        <f t="shared" si="130"/>
        <v>-18.812555522653167</v>
      </c>
      <c r="DK74" s="110">
        <f t="shared" si="86"/>
        <v>3686</v>
      </c>
      <c r="DL74" s="108">
        <f t="shared" si="86"/>
        <v>27</v>
      </c>
      <c r="DM74" s="111">
        <f t="shared" si="86"/>
        <v>41.408054486230668</v>
      </c>
      <c r="DN74" s="76">
        <v>25</v>
      </c>
      <c r="DO74" s="76"/>
      <c r="DP74" s="112"/>
      <c r="DQ74" s="112"/>
      <c r="DR74" s="113" t="s">
        <v>462</v>
      </c>
      <c r="DS74" s="112"/>
      <c r="DT74" s="112"/>
      <c r="DU74" s="111"/>
      <c r="DV74" s="114"/>
      <c r="DW74" s="80">
        <f t="shared" ref="DW74:DW76" si="169">IFERROR(AL74+BF74,"")</f>
        <v>27</v>
      </c>
      <c r="DX74" s="81">
        <f t="shared" si="131"/>
        <v>3754.4080544862309</v>
      </c>
      <c r="DY74" s="80">
        <f t="shared" si="158"/>
        <v>3686</v>
      </c>
      <c r="DZ74" s="82">
        <f t="shared" si="159"/>
        <v>0</v>
      </c>
      <c r="EA74" s="82">
        <f t="shared" si="160"/>
        <v>12.447621999999999</v>
      </c>
      <c r="EB74" s="82">
        <f t="shared" si="161"/>
        <v>14.012378000000002</v>
      </c>
      <c r="EC74" s="82">
        <f t="shared" ref="EC74:EC75" si="170">(BX74-CA74)+((AV74+BP74)/1000)</f>
        <v>14.011000000000001</v>
      </c>
      <c r="EF74" s="83">
        <f t="shared" si="107"/>
        <v>41.408054486230668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2"/>
        <v>IBC3604-5x3-H9B14</v>
      </c>
      <c r="H75" s="46" t="str">
        <f t="shared" si="133"/>
        <v>C3604IB50DH9</v>
      </c>
      <c r="I75" s="46" t="str">
        <f t="shared" si="134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5"/>
        <v>82</v>
      </c>
      <c r="T75" s="51">
        <f>'06.02'!BG75</f>
        <v>220</v>
      </c>
      <c r="U75" s="92"/>
      <c r="V75" s="100">
        <v>2.65</v>
      </c>
      <c r="W75" s="93">
        <f t="shared" si="114"/>
        <v>0</v>
      </c>
      <c r="X75" s="93">
        <f t="shared" si="115"/>
        <v>0</v>
      </c>
      <c r="Y75" s="93">
        <f t="shared" si="116"/>
        <v>0</v>
      </c>
      <c r="Z75" s="93">
        <f t="shared" si="117"/>
        <v>0</v>
      </c>
      <c r="AA75" s="93">
        <f t="shared" si="118"/>
        <v>0</v>
      </c>
      <c r="AB75" s="93">
        <f t="shared" si="119"/>
        <v>0</v>
      </c>
      <c r="AC75" s="93">
        <f t="shared" si="120"/>
        <v>0</v>
      </c>
      <c r="AD75" s="93">
        <f t="shared" si="121"/>
        <v>0</v>
      </c>
      <c r="AE75" s="93">
        <f t="shared" si="136"/>
        <v>0</v>
      </c>
      <c r="AF75" s="54">
        <f>AE75+'06.02'!AF75</f>
        <v>0</v>
      </c>
      <c r="AG75" s="94">
        <f t="shared" si="162"/>
        <v>220</v>
      </c>
      <c r="AH75" s="56">
        <f t="shared" si="137"/>
        <v>0</v>
      </c>
      <c r="AI75" s="93"/>
      <c r="AJ75" s="93">
        <f t="shared" si="163"/>
        <v>0</v>
      </c>
      <c r="AK75" s="95">
        <f t="shared" si="138"/>
        <v>1</v>
      </c>
      <c r="AL75" s="58">
        <f t="shared" si="36"/>
        <v>0</v>
      </c>
      <c r="AM75" s="55">
        <f t="shared" si="164"/>
        <v>220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39"/>
        <v>0</v>
      </c>
      <c r="AV75" s="96">
        <f t="shared" si="139"/>
        <v>0</v>
      </c>
      <c r="AW75" s="96">
        <f t="shared" si="140"/>
        <v>0</v>
      </c>
      <c r="AX75" s="96">
        <f t="shared" si="141"/>
        <v>0</v>
      </c>
      <c r="AY75" s="94">
        <f t="shared" si="165"/>
        <v>0</v>
      </c>
      <c r="AZ75" s="94">
        <f t="shared" si="142"/>
        <v>0</v>
      </c>
      <c r="BA75" s="94">
        <f t="shared" ref="BA75:BA106" si="171">AM75</f>
        <v>220</v>
      </c>
      <c r="BB75" s="97">
        <f t="shared" ref="BB75:BB106" si="172">VALUE("0"&amp;RIGHT(BA75,(LEN(BA75)-LEN(TRUNC(BA75)))))</f>
        <v>0</v>
      </c>
      <c r="BC75" s="93"/>
      <c r="BD75" s="93">
        <f t="shared" si="143"/>
        <v>0</v>
      </c>
      <c r="BE75" s="95">
        <f t="shared" si="144"/>
        <v>1</v>
      </c>
      <c r="BF75" s="58">
        <f t="shared" si="45"/>
        <v>0</v>
      </c>
      <c r="BG75" s="94">
        <f t="shared" si="145"/>
        <v>220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6"/>
        <v>0</v>
      </c>
      <c r="BP75" s="92">
        <f t="shared" si="166"/>
        <v>0</v>
      </c>
      <c r="BQ75" s="96">
        <f t="shared" si="146"/>
        <v>0</v>
      </c>
      <c r="BR75" s="96">
        <f t="shared" si="147"/>
        <v>0</v>
      </c>
      <c r="BS75" s="96">
        <f t="shared" si="167"/>
        <v>0</v>
      </c>
      <c r="BT75" s="96">
        <f t="shared" si="148"/>
        <v>0</v>
      </c>
      <c r="BU75" s="92">
        <f t="shared" si="122"/>
        <v>0</v>
      </c>
      <c r="BV75" s="98">
        <f t="shared" si="168"/>
        <v>0</v>
      </c>
      <c r="BW75" s="92">
        <f t="shared" si="123"/>
        <v>0</v>
      </c>
      <c r="BX75" s="98">
        <f t="shared" si="149"/>
        <v>0</v>
      </c>
      <c r="BY75" s="61">
        <f t="shared" ref="BY75:BY106" si="173">IFERROR(BF75+AL75,0)</f>
        <v>0</v>
      </c>
      <c r="BZ75" s="62">
        <f t="shared" si="150"/>
        <v>0</v>
      </c>
      <c r="CA75" s="98">
        <f t="shared" si="151"/>
        <v>0</v>
      </c>
      <c r="CB75" s="92">
        <f t="shared" si="124"/>
        <v>0</v>
      </c>
      <c r="CC75" s="92">
        <f t="shared" si="124"/>
        <v>0</v>
      </c>
      <c r="CD75" s="92">
        <f t="shared" si="124"/>
        <v>0</v>
      </c>
      <c r="CE75" s="99"/>
      <c r="CF75" s="99"/>
      <c r="CG75" s="51">
        <f t="shared" si="152"/>
        <v>0</v>
      </c>
      <c r="CH75" s="62">
        <f t="shared" si="153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101"/>
        <v>0</v>
      </c>
      <c r="CR75" s="102">
        <f t="shared" si="101"/>
        <v>0</v>
      </c>
      <c r="CS75" s="102">
        <f t="shared" si="101"/>
        <v>0</v>
      </c>
      <c r="CT75" s="92">
        <f t="shared" si="154"/>
        <v>0</v>
      </c>
      <c r="CU75" s="92">
        <f t="shared" si="102"/>
        <v>0</v>
      </c>
      <c r="CV75" s="103">
        <f t="shared" si="102"/>
        <v>0</v>
      </c>
      <c r="CW75" s="104" t="s">
        <v>147</v>
      </c>
      <c r="CX75" s="105">
        <v>11</v>
      </c>
      <c r="CY75" s="106">
        <f t="shared" si="155"/>
        <v>3043</v>
      </c>
      <c r="CZ75" s="106">
        <f t="shared" si="156"/>
        <v>44.550000000000004</v>
      </c>
      <c r="DA75" s="106"/>
      <c r="DB75" s="106"/>
      <c r="DC75" s="105"/>
      <c r="DD75" s="107"/>
      <c r="DE75" s="92">
        <f t="shared" si="125"/>
        <v>0</v>
      </c>
      <c r="DF75" s="108">
        <f t="shared" si="126"/>
        <v>0</v>
      </c>
      <c r="DG75" s="115">
        <f t="shared" si="127"/>
        <v>0</v>
      </c>
      <c r="DH75" s="110">
        <f t="shared" si="128"/>
        <v>0</v>
      </c>
      <c r="DI75" s="108">
        <f t="shared" si="129"/>
        <v>0</v>
      </c>
      <c r="DJ75" s="112">
        <f t="shared" si="130"/>
        <v>0</v>
      </c>
      <c r="DK75" s="110">
        <f t="shared" si="86"/>
        <v>0</v>
      </c>
      <c r="DL75" s="108">
        <f t="shared" si="86"/>
        <v>0</v>
      </c>
      <c r="DM75" s="111">
        <f t="shared" si="86"/>
        <v>0</v>
      </c>
      <c r="DN75" s="76">
        <v>220</v>
      </c>
      <c r="DO75" s="76"/>
      <c r="DP75" s="112"/>
      <c r="DQ75" s="112"/>
      <c r="DR75" s="113" t="s">
        <v>463</v>
      </c>
      <c r="DS75" s="112"/>
      <c r="DT75" s="112"/>
      <c r="DU75" s="111"/>
      <c r="DV75" s="114"/>
      <c r="DW75" s="80">
        <f t="shared" si="169"/>
        <v>0</v>
      </c>
      <c r="DX75" s="81">
        <f t="shared" si="131"/>
        <v>0</v>
      </c>
      <c r="DY75" s="80">
        <f t="shared" si="158"/>
        <v>0</v>
      </c>
      <c r="DZ75" s="82">
        <f t="shared" si="159"/>
        <v>0</v>
      </c>
      <c r="EA75" s="82">
        <f t="shared" si="160"/>
        <v>0</v>
      </c>
      <c r="EB75" s="82">
        <f t="shared" si="161"/>
        <v>0</v>
      </c>
      <c r="EC75" s="82">
        <f t="shared" si="170"/>
        <v>0</v>
      </c>
      <c r="EF75" s="83">
        <f t="shared" si="107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2"/>
        <v>GAA5052-5.7x3-H9A14</v>
      </c>
      <c r="H76" s="46" t="str">
        <f t="shared" si="133"/>
        <v>A5052GA5.70DH9</v>
      </c>
      <c r="I76" s="46" t="str">
        <f t="shared" si="134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5"/>
        <v>22</v>
      </c>
      <c r="T76" s="51">
        <f>'06.02'!BG76</f>
        <v>47</v>
      </c>
      <c r="U76" s="92"/>
      <c r="V76" s="100">
        <v>0.15</v>
      </c>
      <c r="W76" s="93">
        <f t="shared" si="114"/>
        <v>0</v>
      </c>
      <c r="X76" s="93">
        <f t="shared" si="115"/>
        <v>0</v>
      </c>
      <c r="Y76" s="93">
        <f t="shared" si="116"/>
        <v>0</v>
      </c>
      <c r="Z76" s="93">
        <f t="shared" si="117"/>
        <v>0</v>
      </c>
      <c r="AA76" s="93">
        <f t="shared" si="118"/>
        <v>0</v>
      </c>
      <c r="AB76" s="93">
        <f t="shared" si="119"/>
        <v>2753</v>
      </c>
      <c r="AC76" s="93">
        <f t="shared" si="120"/>
        <v>0</v>
      </c>
      <c r="AD76" s="93">
        <f t="shared" si="121"/>
        <v>0</v>
      </c>
      <c r="AE76" s="93">
        <f t="shared" si="136"/>
        <v>2753</v>
      </c>
      <c r="AF76" s="54">
        <f>AE76+'06.02'!AF76</f>
        <v>17678</v>
      </c>
      <c r="AG76" s="94">
        <f t="shared" si="162"/>
        <v>47</v>
      </c>
      <c r="AH76" s="56">
        <f t="shared" si="137"/>
        <v>0</v>
      </c>
      <c r="AI76" s="93">
        <v>5</v>
      </c>
      <c r="AJ76" s="93">
        <f t="shared" si="163"/>
        <v>14</v>
      </c>
      <c r="AK76" s="95">
        <f t="shared" si="138"/>
        <v>0.38888888888888895</v>
      </c>
      <c r="AL76" s="58">
        <f t="shared" ref="AL76:AL108" si="174">IF(V76="","",MAX(ROUNDUP((IF(AI76+AJ76=0,0,AH76)+AI76+AK76-1),2),0))</f>
        <v>4.3899999999999997</v>
      </c>
      <c r="AM76" s="55">
        <f t="shared" si="164"/>
        <v>42.61</v>
      </c>
      <c r="AN76" s="93"/>
      <c r="AO76" s="96"/>
      <c r="AP76" s="96"/>
      <c r="AQ76" s="96"/>
      <c r="AR76" s="96"/>
      <c r="AS76" s="96"/>
      <c r="AT76" s="96">
        <f>$CJ76</f>
        <v>150</v>
      </c>
      <c r="AU76" s="96">
        <f t="shared" si="139"/>
        <v>0</v>
      </c>
      <c r="AV76" s="96">
        <f t="shared" si="139"/>
        <v>0</v>
      </c>
      <c r="AW76" s="96">
        <f t="shared" si="140"/>
        <v>150</v>
      </c>
      <c r="AX76" s="96">
        <f t="shared" si="141"/>
        <v>1000</v>
      </c>
      <c r="AY76" s="94">
        <f t="shared" si="165"/>
        <v>-8.039999999999992</v>
      </c>
      <c r="AZ76" s="94">
        <f t="shared" si="142"/>
        <v>-53.599999999999952</v>
      </c>
      <c r="BA76" s="94">
        <f t="shared" si="171"/>
        <v>42.61</v>
      </c>
      <c r="BB76" s="97">
        <f t="shared" si="172"/>
        <v>0.61</v>
      </c>
      <c r="BC76" s="93">
        <v>7</v>
      </c>
      <c r="BD76" s="93">
        <f t="shared" si="143"/>
        <v>0</v>
      </c>
      <c r="BE76" s="95">
        <f t="shared" si="144"/>
        <v>1</v>
      </c>
      <c r="BF76" s="58">
        <f t="shared" si="45"/>
        <v>7.61</v>
      </c>
      <c r="BG76" s="94">
        <f t="shared" si="145"/>
        <v>35</v>
      </c>
      <c r="BH76" s="89"/>
      <c r="BI76" s="89"/>
      <c r="BJ76" s="92"/>
      <c r="BK76" s="89"/>
      <c r="BL76" s="89"/>
      <c r="BM76" s="89"/>
      <c r="BN76" s="92">
        <f>$CN76</f>
        <v>263</v>
      </c>
      <c r="BO76" s="92">
        <f t="shared" si="166"/>
        <v>0</v>
      </c>
      <c r="BP76" s="92">
        <f t="shared" si="166"/>
        <v>0</v>
      </c>
      <c r="BQ76" s="96">
        <f t="shared" si="146"/>
        <v>263</v>
      </c>
      <c r="BR76" s="96">
        <f t="shared" si="147"/>
        <v>1753</v>
      </c>
      <c r="BS76" s="96">
        <f t="shared" si="167"/>
        <v>-10.95999999999998</v>
      </c>
      <c r="BT76" s="96">
        <f t="shared" si="148"/>
        <v>-73.066666666666535</v>
      </c>
      <c r="BU76" s="92">
        <f t="shared" si="122"/>
        <v>2753</v>
      </c>
      <c r="BV76" s="98">
        <f t="shared" si="168"/>
        <v>12</v>
      </c>
      <c r="BW76" s="92">
        <f t="shared" si="123"/>
        <v>-126.66666666666649</v>
      </c>
      <c r="BX76" s="98">
        <f t="shared" si="149"/>
        <v>2.448</v>
      </c>
      <c r="BY76" s="61">
        <f>IFERROR(BF76+AL76,0)</f>
        <v>12</v>
      </c>
      <c r="BZ76" s="62">
        <f t="shared" si="150"/>
        <v>12</v>
      </c>
      <c r="CA76" s="98">
        <f t="shared" si="151"/>
        <v>0.41299999999999998</v>
      </c>
      <c r="CB76" s="92">
        <f t="shared" si="124"/>
        <v>2753</v>
      </c>
      <c r="CC76" s="92">
        <f t="shared" si="124"/>
        <v>-18.999999999999972</v>
      </c>
      <c r="CD76" s="92">
        <f t="shared" si="124"/>
        <v>-126.66666666666649</v>
      </c>
      <c r="CE76" s="99"/>
      <c r="CF76" s="99"/>
      <c r="CG76" s="51">
        <f t="shared" si="152"/>
        <v>2.0350000000000001</v>
      </c>
      <c r="CH76" s="62">
        <f t="shared" si="153"/>
        <v>2.0350000000000001</v>
      </c>
      <c r="CI76" s="89">
        <v>14</v>
      </c>
      <c r="CJ76" s="89">
        <v>150</v>
      </c>
      <c r="CK76" s="89"/>
      <c r="CL76" s="96"/>
      <c r="CM76" s="89"/>
      <c r="CN76" s="89">
        <v>263</v>
      </c>
      <c r="CO76" s="92"/>
      <c r="CP76" s="101"/>
      <c r="CQ76" s="102">
        <f t="shared" si="101"/>
        <v>1000</v>
      </c>
      <c r="CR76" s="102">
        <f t="shared" si="101"/>
        <v>0</v>
      </c>
      <c r="CS76" s="102">
        <f t="shared" si="101"/>
        <v>0</v>
      </c>
      <c r="CT76" s="92">
        <f t="shared" si="154"/>
        <v>1753</v>
      </c>
      <c r="CU76" s="92">
        <f t="shared" si="102"/>
        <v>0</v>
      </c>
      <c r="CV76" s="103">
        <f t="shared" si="102"/>
        <v>0</v>
      </c>
      <c r="CW76" s="104" t="s">
        <v>147</v>
      </c>
      <c r="CX76" s="105">
        <v>16</v>
      </c>
      <c r="CY76" s="106">
        <f t="shared" si="155"/>
        <v>2565</v>
      </c>
      <c r="CZ76" s="106">
        <f t="shared" si="156"/>
        <v>64.800000000000011</v>
      </c>
      <c r="DA76" s="106"/>
      <c r="DB76" s="106"/>
      <c r="DC76" s="105"/>
      <c r="DD76" s="107"/>
      <c r="DE76" s="92">
        <f t="shared" si="125"/>
        <v>1000</v>
      </c>
      <c r="DF76" s="108">
        <f t="shared" si="126"/>
        <v>4.3899999999999997</v>
      </c>
      <c r="DG76" s="115">
        <f t="shared" si="127"/>
        <v>-53.599999999999952</v>
      </c>
      <c r="DH76" s="110">
        <f t="shared" si="128"/>
        <v>1753</v>
      </c>
      <c r="DI76" s="108">
        <f t="shared" si="129"/>
        <v>7.61</v>
      </c>
      <c r="DJ76" s="112">
        <f t="shared" si="130"/>
        <v>-73.066666666666535</v>
      </c>
      <c r="DK76" s="110">
        <f t="shared" si="86"/>
        <v>2753</v>
      </c>
      <c r="DL76" s="108">
        <f t="shared" si="86"/>
        <v>12</v>
      </c>
      <c r="DM76" s="111">
        <f t="shared" si="86"/>
        <v>-126.66666666666649</v>
      </c>
      <c r="DN76" s="76">
        <v>35</v>
      </c>
      <c r="DO76" s="76"/>
      <c r="DP76" s="112"/>
      <c r="DQ76" s="112"/>
      <c r="DR76" s="113" t="s">
        <v>464</v>
      </c>
      <c r="DS76" s="112"/>
      <c r="DT76" s="112"/>
      <c r="DU76" s="111"/>
      <c r="DV76" s="114"/>
      <c r="DW76" s="80">
        <f t="shared" si="169"/>
        <v>12</v>
      </c>
      <c r="DX76" s="81">
        <f t="shared" si="131"/>
        <v>2638.3333333333335</v>
      </c>
      <c r="DY76" s="80">
        <f t="shared" si="158"/>
        <v>2753</v>
      </c>
      <c r="DZ76" s="82">
        <f t="shared" si="159"/>
        <v>0</v>
      </c>
      <c r="EA76" s="82">
        <f t="shared" si="160"/>
        <v>0.41294999999999998</v>
      </c>
      <c r="EB76" s="82">
        <f t="shared" si="161"/>
        <v>2.03505</v>
      </c>
      <c r="EC76" s="82">
        <f t="shared" si="75"/>
        <v>2.03505</v>
      </c>
      <c r="EF76" s="83">
        <f t="shared" si="107"/>
        <v>-126.66666666666649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2"/>
        <v>GAA5052-5.7x3-H9A14</v>
      </c>
      <c r="H77" s="46" t="str">
        <f t="shared" si="133"/>
        <v>A5052GA5.70DH9</v>
      </c>
      <c r="I77" s="46" t="str">
        <f t="shared" si="134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5"/>
        <v>16</v>
      </c>
      <c r="T77" s="51">
        <f>'06.02'!BG77</f>
        <v>38</v>
      </c>
      <c r="U77" s="92"/>
      <c r="V77" s="100">
        <v>0.15</v>
      </c>
      <c r="W77" s="93">
        <f t="shared" si="114"/>
        <v>0</v>
      </c>
      <c r="X77" s="93">
        <f t="shared" si="115"/>
        <v>0</v>
      </c>
      <c r="Y77" s="93">
        <f t="shared" si="116"/>
        <v>0</v>
      </c>
      <c r="Z77" s="93">
        <f t="shared" si="117"/>
        <v>0</v>
      </c>
      <c r="AA77" s="93">
        <f t="shared" si="118"/>
        <v>0</v>
      </c>
      <c r="AB77" s="93">
        <f t="shared" si="119"/>
        <v>3000</v>
      </c>
      <c r="AC77" s="93">
        <f t="shared" si="120"/>
        <v>0</v>
      </c>
      <c r="AD77" s="93">
        <f t="shared" si="121"/>
        <v>0</v>
      </c>
      <c r="AE77" s="93">
        <f t="shared" si="136"/>
        <v>3000</v>
      </c>
      <c r="AF77" s="54">
        <f>AE77+'06.02'!AF77</f>
        <v>16232</v>
      </c>
      <c r="AG77" s="94">
        <f t="shared" si="162"/>
        <v>38</v>
      </c>
      <c r="AH77" s="56">
        <f t="shared" si="137"/>
        <v>0</v>
      </c>
      <c r="AI77" s="93">
        <v>6</v>
      </c>
      <c r="AJ77" s="93">
        <f t="shared" si="163"/>
        <v>0</v>
      </c>
      <c r="AK77" s="95">
        <f t="shared" si="138"/>
        <v>1</v>
      </c>
      <c r="AL77" s="58">
        <f t="shared" si="174"/>
        <v>6</v>
      </c>
      <c r="AM77" s="55">
        <f t="shared" si="164"/>
        <v>32</v>
      </c>
      <c r="AN77" s="93"/>
      <c r="AO77" s="96"/>
      <c r="AP77" s="96"/>
      <c r="AQ77" s="96"/>
      <c r="AR77" s="96"/>
      <c r="AS77" s="96"/>
      <c r="AT77" s="96">
        <f>$CJ77</f>
        <v>230</v>
      </c>
      <c r="AU77" s="96">
        <f t="shared" si="139"/>
        <v>0</v>
      </c>
      <c r="AV77" s="96">
        <f t="shared" si="139"/>
        <v>0</v>
      </c>
      <c r="AW77" s="96">
        <f t="shared" si="140"/>
        <v>230</v>
      </c>
      <c r="AX77" s="96">
        <f t="shared" si="141"/>
        <v>1533</v>
      </c>
      <c r="AY77" s="94">
        <f t="shared" si="165"/>
        <v>14</v>
      </c>
      <c r="AZ77" s="94">
        <f t="shared" si="142"/>
        <v>93.333333333333343</v>
      </c>
      <c r="BA77" s="94">
        <f t="shared" si="171"/>
        <v>32</v>
      </c>
      <c r="BB77" s="97">
        <f t="shared" si="172"/>
        <v>0</v>
      </c>
      <c r="BC77" s="93">
        <v>6</v>
      </c>
      <c r="BD77" s="93">
        <f t="shared" si="143"/>
        <v>0</v>
      </c>
      <c r="BE77" s="95">
        <f t="shared" si="144"/>
        <v>1</v>
      </c>
      <c r="BF77" s="58">
        <f t="shared" ref="BF77:BF106" si="175">IF(V77="","",MAX(ROUNDUP((IF(BC77+BD77=0,0,BB77)+BC77+BE77-1),2),0))</f>
        <v>6</v>
      </c>
      <c r="BG77" s="94">
        <f t="shared" si="145"/>
        <v>26</v>
      </c>
      <c r="BH77" s="89"/>
      <c r="BI77" s="89"/>
      <c r="BJ77" s="89"/>
      <c r="BK77" s="89"/>
      <c r="BL77" s="89"/>
      <c r="BM77" s="89"/>
      <c r="BN77" s="92">
        <f>$CN77</f>
        <v>220</v>
      </c>
      <c r="BO77" s="92">
        <f t="shared" si="166"/>
        <v>0</v>
      </c>
      <c r="BP77" s="92">
        <f t="shared" si="166"/>
        <v>0</v>
      </c>
      <c r="BQ77" s="96">
        <f t="shared" si="146"/>
        <v>220</v>
      </c>
      <c r="BR77" s="96">
        <f t="shared" si="147"/>
        <v>1466</v>
      </c>
      <c r="BS77" s="96">
        <f t="shared" si="167"/>
        <v>4</v>
      </c>
      <c r="BT77" s="96">
        <f t="shared" si="148"/>
        <v>26.666666666666668</v>
      </c>
      <c r="BU77" s="92">
        <f t="shared" si="122"/>
        <v>3000</v>
      </c>
      <c r="BV77" s="98">
        <f t="shared" si="168"/>
        <v>12</v>
      </c>
      <c r="BW77" s="92">
        <f t="shared" si="123"/>
        <v>120.00000000000001</v>
      </c>
      <c r="BX77" s="98">
        <f t="shared" si="149"/>
        <v>2.448</v>
      </c>
      <c r="BY77" s="61">
        <f t="shared" si="173"/>
        <v>12</v>
      </c>
      <c r="BZ77" s="62">
        <f t="shared" si="150"/>
        <v>12</v>
      </c>
      <c r="CA77" s="98">
        <f t="shared" si="151"/>
        <v>0.45</v>
      </c>
      <c r="CB77" s="92">
        <f t="shared" si="124"/>
        <v>2999</v>
      </c>
      <c r="CC77" s="92">
        <f t="shared" si="124"/>
        <v>18</v>
      </c>
      <c r="CD77" s="92">
        <f t="shared" si="124"/>
        <v>120.00000000000001</v>
      </c>
      <c r="CE77" s="99"/>
      <c r="CF77" s="99"/>
      <c r="CG77" s="51">
        <f t="shared" si="152"/>
        <v>1.998</v>
      </c>
      <c r="CH77" s="62">
        <f t="shared" si="153"/>
        <v>1.998</v>
      </c>
      <c r="CI77" s="89"/>
      <c r="CJ77" s="89">
        <v>230</v>
      </c>
      <c r="CK77" s="89"/>
      <c r="CL77" s="96"/>
      <c r="CM77" s="89"/>
      <c r="CN77" s="89">
        <v>220</v>
      </c>
      <c r="CO77" s="92"/>
      <c r="CP77" s="101"/>
      <c r="CQ77" s="102">
        <f t="shared" si="101"/>
        <v>1533</v>
      </c>
      <c r="CR77" s="102">
        <f t="shared" si="101"/>
        <v>0</v>
      </c>
      <c r="CS77" s="102">
        <f t="shared" si="101"/>
        <v>0</v>
      </c>
      <c r="CT77" s="92">
        <f t="shared" si="154"/>
        <v>1467</v>
      </c>
      <c r="CU77" s="92">
        <f t="shared" si="102"/>
        <v>0</v>
      </c>
      <c r="CV77" s="103">
        <f t="shared" si="102"/>
        <v>0</v>
      </c>
      <c r="CW77" s="104" t="s">
        <v>147</v>
      </c>
      <c r="CX77" s="105">
        <v>21.26</v>
      </c>
      <c r="CY77" s="106">
        <f t="shared" si="155"/>
        <v>1955</v>
      </c>
      <c r="CZ77" s="106">
        <f t="shared" si="156"/>
        <v>86.103000000000023</v>
      </c>
      <c r="DA77" s="106"/>
      <c r="DB77" s="106"/>
      <c r="DC77" s="105"/>
      <c r="DD77" s="107"/>
      <c r="DE77" s="92">
        <f t="shared" si="125"/>
        <v>1533</v>
      </c>
      <c r="DF77" s="108">
        <f t="shared" si="126"/>
        <v>6</v>
      </c>
      <c r="DG77" s="115">
        <f t="shared" si="127"/>
        <v>93.333333333333343</v>
      </c>
      <c r="DH77" s="110">
        <f t="shared" si="128"/>
        <v>1467</v>
      </c>
      <c r="DI77" s="108">
        <f t="shared" si="129"/>
        <v>6</v>
      </c>
      <c r="DJ77" s="112">
        <f t="shared" si="130"/>
        <v>26.666666666666668</v>
      </c>
      <c r="DK77" s="110">
        <f t="shared" si="86"/>
        <v>3000</v>
      </c>
      <c r="DL77" s="108">
        <f t="shared" si="86"/>
        <v>12</v>
      </c>
      <c r="DM77" s="111">
        <f t="shared" si="86"/>
        <v>120.00000000000001</v>
      </c>
      <c r="DN77" s="76">
        <v>26</v>
      </c>
      <c r="DO77" s="76"/>
      <c r="DP77" s="112"/>
      <c r="DQ77" s="112"/>
      <c r="DR77" s="113" t="s">
        <v>465</v>
      </c>
      <c r="DS77" s="112"/>
      <c r="DT77" s="112"/>
      <c r="DU77" s="111"/>
      <c r="DV77" s="114"/>
      <c r="DW77" s="80">
        <f t="shared" si="157"/>
        <v>3012</v>
      </c>
      <c r="DX77" s="81">
        <f t="shared" si="131"/>
        <v>3132</v>
      </c>
      <c r="DY77" s="80">
        <f t="shared" si="158"/>
        <v>3000</v>
      </c>
      <c r="DZ77" s="82">
        <f t="shared" si="159"/>
        <v>0</v>
      </c>
      <c r="EA77" s="82">
        <f t="shared" si="160"/>
        <v>0.45</v>
      </c>
      <c r="EB77" s="82">
        <f t="shared" si="161"/>
        <v>1.998</v>
      </c>
      <c r="EC77" s="82">
        <f t="shared" si="75"/>
        <v>1.998</v>
      </c>
      <c r="EF77" s="83">
        <f t="shared" si="107"/>
        <v>120.00000000000001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2"/>
        <v>TTS22C-2x2-H9A12</v>
      </c>
      <c r="H78" s="46" t="str">
        <f t="shared" si="133"/>
        <v>S22CTT20DH9</v>
      </c>
      <c r="I78" s="46" t="str">
        <f t="shared" si="134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5"/>
        <v>16</v>
      </c>
      <c r="T78" s="51">
        <f>'06.02'!BG78</f>
        <v>36</v>
      </c>
      <c r="U78" s="92"/>
      <c r="V78" s="100">
        <v>3.5000000000000003E-2</v>
      </c>
      <c r="W78" s="93">
        <f t="shared" si="114"/>
        <v>0</v>
      </c>
      <c r="X78" s="93">
        <f t="shared" si="115"/>
        <v>0</v>
      </c>
      <c r="Y78" s="93">
        <f t="shared" si="116"/>
        <v>0</v>
      </c>
      <c r="Z78" s="93">
        <f t="shared" si="117"/>
        <v>3714</v>
      </c>
      <c r="AA78" s="93">
        <f t="shared" si="118"/>
        <v>0</v>
      </c>
      <c r="AB78" s="93">
        <f t="shared" si="119"/>
        <v>0</v>
      </c>
      <c r="AC78" s="93">
        <f t="shared" si="120"/>
        <v>0</v>
      </c>
      <c r="AD78" s="93">
        <f t="shared" si="121"/>
        <v>0</v>
      </c>
      <c r="AE78" s="93">
        <f t="shared" si="136"/>
        <v>3714</v>
      </c>
      <c r="AF78" s="54">
        <f>AE78+'06.02'!AF78</f>
        <v>45710</v>
      </c>
      <c r="AG78" s="94">
        <f t="shared" si="162"/>
        <v>36</v>
      </c>
      <c r="AH78" s="56">
        <f t="shared" si="137"/>
        <v>0</v>
      </c>
      <c r="AI78" s="93">
        <v>7</v>
      </c>
      <c r="AJ78" s="93">
        <f t="shared" si="163"/>
        <v>0</v>
      </c>
      <c r="AK78" s="95">
        <f t="shared" si="138"/>
        <v>1</v>
      </c>
      <c r="AL78" s="58">
        <f t="shared" si="174"/>
        <v>7</v>
      </c>
      <c r="AM78" s="55">
        <f t="shared" si="164"/>
        <v>29</v>
      </c>
      <c r="AN78" s="93"/>
      <c r="AO78" s="96"/>
      <c r="AP78" s="96"/>
      <c r="AQ78" s="96"/>
      <c r="AR78" s="96">
        <f>$CJ78</f>
        <v>130</v>
      </c>
      <c r="AS78" s="96"/>
      <c r="AT78" s="96"/>
      <c r="AU78" s="96">
        <f t="shared" si="139"/>
        <v>0</v>
      </c>
      <c r="AV78" s="96">
        <f t="shared" si="139"/>
        <v>0</v>
      </c>
      <c r="AW78" s="96">
        <f t="shared" si="140"/>
        <v>130</v>
      </c>
      <c r="AX78" s="96">
        <f t="shared" si="141"/>
        <v>3714</v>
      </c>
      <c r="AY78" s="94">
        <f t="shared" si="165"/>
        <v>7.2549999999999812</v>
      </c>
      <c r="AZ78" s="94">
        <f t="shared" si="142"/>
        <v>207.28571428571374</v>
      </c>
      <c r="BA78" s="94">
        <f t="shared" si="171"/>
        <v>29</v>
      </c>
      <c r="BB78" s="97">
        <f t="shared" si="172"/>
        <v>0</v>
      </c>
      <c r="BC78" s="93"/>
      <c r="BD78" s="93">
        <f t="shared" si="143"/>
        <v>0</v>
      </c>
      <c r="BE78" s="95">
        <f t="shared" si="144"/>
        <v>1</v>
      </c>
      <c r="BF78" s="58">
        <f t="shared" si="175"/>
        <v>0</v>
      </c>
      <c r="BG78" s="94">
        <f t="shared" si="145"/>
        <v>29</v>
      </c>
      <c r="BH78" s="89"/>
      <c r="BI78" s="89"/>
      <c r="BJ78" s="89"/>
      <c r="BK78" s="89"/>
      <c r="BL78" s="92">
        <f>$CN78</f>
        <v>0</v>
      </c>
      <c r="BM78" s="89"/>
      <c r="BN78" s="89"/>
      <c r="BO78" s="92">
        <f t="shared" si="166"/>
        <v>0</v>
      </c>
      <c r="BP78" s="92">
        <f t="shared" si="166"/>
        <v>0</v>
      </c>
      <c r="BQ78" s="96">
        <f t="shared" si="146"/>
        <v>0</v>
      </c>
      <c r="BR78" s="96">
        <f t="shared" si="147"/>
        <v>0</v>
      </c>
      <c r="BS78" s="96">
        <f t="shared" si="167"/>
        <v>0</v>
      </c>
      <c r="BT78" s="96">
        <f t="shared" si="148"/>
        <v>0</v>
      </c>
      <c r="BU78" s="92">
        <f t="shared" si="122"/>
        <v>3714</v>
      </c>
      <c r="BV78" s="98">
        <f t="shared" si="168"/>
        <v>7</v>
      </c>
      <c r="BW78" s="92">
        <f t="shared" si="123"/>
        <v>207.28571428571374</v>
      </c>
      <c r="BX78" s="98" t="str">
        <f t="shared" si="149"/>
        <v/>
      </c>
      <c r="BY78" s="61">
        <f t="shared" si="173"/>
        <v>7</v>
      </c>
      <c r="BZ78" s="62">
        <f t="shared" si="150"/>
        <v>7</v>
      </c>
      <c r="CA78" s="98">
        <f t="shared" si="151"/>
        <v>0.13</v>
      </c>
      <c r="CB78" s="92">
        <f t="shared" si="124"/>
        <v>3714</v>
      </c>
      <c r="CC78" s="92">
        <f t="shared" si="124"/>
        <v>7.2549999999999812</v>
      </c>
      <c r="CD78" s="92">
        <f t="shared" si="124"/>
        <v>207.28571428571374</v>
      </c>
      <c r="CE78" s="99"/>
      <c r="CF78" s="99"/>
      <c r="CG78" s="51">
        <f t="shared" si="152"/>
        <v>0</v>
      </c>
      <c r="CH78" s="62">
        <f t="shared" si="153"/>
        <v>0</v>
      </c>
      <c r="CI78" s="89"/>
      <c r="CJ78" s="89">
        <v>130</v>
      </c>
      <c r="CK78" s="89"/>
      <c r="CL78" s="96"/>
      <c r="CM78" s="89"/>
      <c r="CN78" s="89"/>
      <c r="CO78" s="92"/>
      <c r="CP78" s="101"/>
      <c r="CQ78" s="102">
        <f t="shared" si="101"/>
        <v>3714</v>
      </c>
      <c r="CR78" s="102">
        <f t="shared" si="101"/>
        <v>0</v>
      </c>
      <c r="CS78" s="102">
        <f t="shared" si="101"/>
        <v>0</v>
      </c>
      <c r="CT78" s="92">
        <f t="shared" si="154"/>
        <v>0</v>
      </c>
      <c r="CU78" s="92">
        <f t="shared" si="102"/>
        <v>0</v>
      </c>
      <c r="CV78" s="103">
        <f t="shared" si="102"/>
        <v>0</v>
      </c>
      <c r="CW78" s="104" t="s">
        <v>147</v>
      </c>
      <c r="CX78" s="105">
        <v>9.85</v>
      </c>
      <c r="CY78" s="106">
        <f t="shared" si="155"/>
        <v>4221</v>
      </c>
      <c r="CZ78" s="106">
        <f t="shared" si="156"/>
        <v>39.892499999999998</v>
      </c>
      <c r="DA78" s="106"/>
      <c r="DB78" s="106"/>
      <c r="DC78" s="105"/>
      <c r="DD78" s="107"/>
      <c r="DE78" s="92">
        <f t="shared" si="125"/>
        <v>3714</v>
      </c>
      <c r="DF78" s="108">
        <f t="shared" si="126"/>
        <v>7</v>
      </c>
      <c r="DG78" s="115">
        <f t="shared" si="127"/>
        <v>207.28571428571374</v>
      </c>
      <c r="DH78" s="110">
        <f t="shared" si="128"/>
        <v>0</v>
      </c>
      <c r="DI78" s="108">
        <f t="shared" si="129"/>
        <v>0</v>
      </c>
      <c r="DJ78" s="115">
        <f t="shared" si="130"/>
        <v>0</v>
      </c>
      <c r="DK78" s="110">
        <f t="shared" si="86"/>
        <v>3714</v>
      </c>
      <c r="DL78" s="108">
        <f t="shared" si="86"/>
        <v>7</v>
      </c>
      <c r="DM78" s="111">
        <f t="shared" si="86"/>
        <v>207.28571428571374</v>
      </c>
      <c r="DN78" s="76">
        <v>29</v>
      </c>
      <c r="DO78" s="76"/>
      <c r="DP78" s="112"/>
      <c r="DQ78" s="112"/>
      <c r="DR78" s="113" t="s">
        <v>466</v>
      </c>
      <c r="DS78" s="112"/>
      <c r="DT78" s="112"/>
      <c r="DU78" s="111"/>
      <c r="DV78" s="114"/>
      <c r="DW78" s="80">
        <f t="shared" si="157"/>
        <v>3721</v>
      </c>
      <c r="DX78" s="81">
        <f t="shared" si="131"/>
        <v>3928.2857142857138</v>
      </c>
      <c r="DY78" s="80">
        <f t="shared" si="158"/>
        <v>3714</v>
      </c>
      <c r="DZ78" s="82">
        <f t="shared" si="159"/>
        <v>0</v>
      </c>
      <c r="EA78" s="82">
        <f t="shared" si="160"/>
        <v>0.12999000000000002</v>
      </c>
      <c r="EB78" s="82" t="e">
        <f t="shared" si="161"/>
        <v>#VALUE!</v>
      </c>
      <c r="EC78" s="82" t="e">
        <f t="shared" si="75"/>
        <v>#VALUE!</v>
      </c>
      <c r="EF78" s="83">
        <f t="shared" si="107"/>
        <v>207.28571428571374</v>
      </c>
    </row>
    <row r="79" spans="1:136" ht="15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2"/>
        <v>IBC3604-6x3-H9B13</v>
      </c>
      <c r="H79" s="46" t="str">
        <f t="shared" si="133"/>
        <v>C3604IB60DH9</v>
      </c>
      <c r="I79" s="46" t="str">
        <f t="shared" si="134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5"/>
        <v>10</v>
      </c>
      <c r="T79" s="51">
        <f>'05.02'!BG79</f>
        <v>0</v>
      </c>
      <c r="U79" s="92"/>
      <c r="V79" s="100">
        <v>0.67</v>
      </c>
      <c r="W79" s="93">
        <f t="shared" si="114"/>
        <v>0</v>
      </c>
      <c r="X79" s="93">
        <f t="shared" si="115"/>
        <v>0</v>
      </c>
      <c r="Y79" s="93">
        <f t="shared" si="116"/>
        <v>0</v>
      </c>
      <c r="Z79" s="93">
        <f t="shared" si="117"/>
        <v>0</v>
      </c>
      <c r="AA79" s="93">
        <f t="shared" si="118"/>
        <v>0</v>
      </c>
      <c r="AB79" s="93">
        <f t="shared" si="119"/>
        <v>0</v>
      </c>
      <c r="AC79" s="93">
        <f t="shared" si="120"/>
        <v>0</v>
      </c>
      <c r="AD79" s="93">
        <f t="shared" si="121"/>
        <v>0</v>
      </c>
      <c r="AE79" s="93">
        <f t="shared" si="136"/>
        <v>0</v>
      </c>
      <c r="AF79" s="54">
        <f>AE79+'06.02'!AF79</f>
        <v>0</v>
      </c>
      <c r="AG79" s="94">
        <f t="shared" si="162"/>
        <v>0</v>
      </c>
      <c r="AH79" s="56">
        <f t="shared" si="137"/>
        <v>0</v>
      </c>
      <c r="AI79" s="93"/>
      <c r="AJ79" s="93">
        <f t="shared" si="163"/>
        <v>0</v>
      </c>
      <c r="AK79" s="95">
        <f t="shared" si="138"/>
        <v>1</v>
      </c>
      <c r="AL79" s="58">
        <f t="shared" si="174"/>
        <v>0</v>
      </c>
      <c r="AM79" s="55">
        <f t="shared" si="164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39"/>
        <v>0</v>
      </c>
      <c r="AV79" s="96">
        <f t="shared" si="139"/>
        <v>0</v>
      </c>
      <c r="AW79" s="96">
        <f t="shared" si="140"/>
        <v>0</v>
      </c>
      <c r="AX79" s="96">
        <f t="shared" si="141"/>
        <v>0</v>
      </c>
      <c r="AY79" s="94">
        <f t="shared" si="165"/>
        <v>0</v>
      </c>
      <c r="AZ79" s="94">
        <f t="shared" si="142"/>
        <v>0</v>
      </c>
      <c r="BA79" s="94">
        <f t="shared" si="171"/>
        <v>0</v>
      </c>
      <c r="BB79" s="97">
        <f t="shared" si="172"/>
        <v>0</v>
      </c>
      <c r="BC79" s="93"/>
      <c r="BD79" s="93">
        <f t="shared" si="143"/>
        <v>0</v>
      </c>
      <c r="BE79" s="95">
        <f t="shared" si="144"/>
        <v>1</v>
      </c>
      <c r="BF79" s="58">
        <f t="shared" si="175"/>
        <v>0</v>
      </c>
      <c r="BG79" s="94">
        <f t="shared" si="145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6"/>
        <v>0</v>
      </c>
      <c r="BP79" s="92">
        <f t="shared" si="166"/>
        <v>0</v>
      </c>
      <c r="BQ79" s="96">
        <f t="shared" si="146"/>
        <v>0</v>
      </c>
      <c r="BR79" s="96">
        <f t="shared" si="147"/>
        <v>0</v>
      </c>
      <c r="BS79" s="96">
        <f t="shared" si="167"/>
        <v>0</v>
      </c>
      <c r="BT79" s="96">
        <f t="shared" si="148"/>
        <v>0</v>
      </c>
      <c r="BU79" s="92">
        <f t="shared" si="122"/>
        <v>0</v>
      </c>
      <c r="BV79" s="98">
        <f t="shared" si="168"/>
        <v>0</v>
      </c>
      <c r="BW79" s="92">
        <f t="shared" si="123"/>
        <v>0</v>
      </c>
      <c r="BX79" s="98">
        <f t="shared" si="149"/>
        <v>0</v>
      </c>
      <c r="BY79" s="61">
        <f t="shared" si="173"/>
        <v>0</v>
      </c>
      <c r="BZ79" s="62">
        <f t="shared" si="150"/>
        <v>0</v>
      </c>
      <c r="CA79" s="98">
        <f t="shared" si="151"/>
        <v>0</v>
      </c>
      <c r="CB79" s="92">
        <f t="shared" si="124"/>
        <v>0</v>
      </c>
      <c r="CC79" s="92">
        <f t="shared" si="124"/>
        <v>0</v>
      </c>
      <c r="CD79" s="92">
        <f t="shared" si="124"/>
        <v>0</v>
      </c>
      <c r="CE79" s="99"/>
      <c r="CF79" s="99"/>
      <c r="CG79" s="51">
        <f t="shared" si="152"/>
        <v>0</v>
      </c>
      <c r="CH79" s="62">
        <f t="shared" si="153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101"/>
        <v>0</v>
      </c>
      <c r="CR79" s="102">
        <f t="shared" si="101"/>
        <v>0</v>
      </c>
      <c r="CS79" s="102">
        <f t="shared" si="101"/>
        <v>0</v>
      </c>
      <c r="CT79" s="92">
        <f t="shared" si="154"/>
        <v>0</v>
      </c>
      <c r="CU79" s="92">
        <f t="shared" si="102"/>
        <v>0</v>
      </c>
      <c r="CV79" s="103">
        <f t="shared" si="102"/>
        <v>0</v>
      </c>
      <c r="CW79" s="104" t="s">
        <v>147</v>
      </c>
      <c r="CX79" s="105">
        <v>20</v>
      </c>
      <c r="CY79" s="106">
        <f t="shared" si="155"/>
        <v>2106</v>
      </c>
      <c r="CZ79" s="106">
        <f t="shared" si="156"/>
        <v>81</v>
      </c>
      <c r="DA79" s="106"/>
      <c r="DB79" s="106"/>
      <c r="DC79" s="105"/>
      <c r="DD79" s="107"/>
      <c r="DE79" s="92">
        <f t="shared" si="125"/>
        <v>0</v>
      </c>
      <c r="DF79" s="108">
        <f t="shared" si="126"/>
        <v>0</v>
      </c>
      <c r="DG79" s="115">
        <f t="shared" si="127"/>
        <v>0</v>
      </c>
      <c r="DH79" s="110">
        <f t="shared" si="128"/>
        <v>0</v>
      </c>
      <c r="DI79" s="108">
        <f t="shared" si="129"/>
        <v>0</v>
      </c>
      <c r="DJ79" s="112">
        <f t="shared" si="130"/>
        <v>0</v>
      </c>
      <c r="DK79" s="110">
        <f t="shared" si="86"/>
        <v>0</v>
      </c>
      <c r="DL79" s="108">
        <f t="shared" si="86"/>
        <v>0</v>
      </c>
      <c r="DM79" s="111">
        <f t="shared" si="86"/>
        <v>0</v>
      </c>
      <c r="DN79" s="76">
        <f t="shared" si="89"/>
        <v>0</v>
      </c>
      <c r="DO79" s="76">
        <f t="shared" si="89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7"/>
        <v>0</v>
      </c>
      <c r="DX79" s="81">
        <f t="shared" si="131"/>
        <v>0</v>
      </c>
      <c r="DY79" s="80">
        <f t="shared" si="158"/>
        <v>0</v>
      </c>
      <c r="DZ79" s="82">
        <f t="shared" si="159"/>
        <v>0</v>
      </c>
      <c r="EA79" s="82">
        <f t="shared" si="160"/>
        <v>0</v>
      </c>
      <c r="EB79" s="82">
        <f t="shared" si="161"/>
        <v>0</v>
      </c>
      <c r="EC79" s="82">
        <f t="shared" ref="EC79:EC82" si="176">(BX79-CA79)+((AV79+BP79)/1000)</f>
        <v>0</v>
      </c>
      <c r="EF79" s="83">
        <f t="shared" si="107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2"/>
        <v>YHC2700-5.5x3-H9A14</v>
      </c>
      <c r="H80" s="46" t="str">
        <f t="shared" si="133"/>
        <v>C2700YH5.50DH9</v>
      </c>
      <c r="I80" s="46" t="str">
        <f t="shared" si="134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5"/>
        <v>46</v>
      </c>
      <c r="T80" s="51">
        <f>'06.02'!BG80</f>
        <v>55</v>
      </c>
      <c r="U80" s="92"/>
      <c r="V80" s="100">
        <v>1.1000000000000001</v>
      </c>
      <c r="W80" s="93">
        <f t="shared" si="114"/>
        <v>0</v>
      </c>
      <c r="X80" s="93">
        <f t="shared" si="115"/>
        <v>3401</v>
      </c>
      <c r="Y80" s="93">
        <f t="shared" si="116"/>
        <v>0</v>
      </c>
      <c r="Z80" s="93">
        <f t="shared" si="117"/>
        <v>0</v>
      </c>
      <c r="AA80" s="93">
        <f t="shared" si="118"/>
        <v>0</v>
      </c>
      <c r="AB80" s="93">
        <f t="shared" si="119"/>
        <v>0</v>
      </c>
      <c r="AC80" s="93">
        <f t="shared" si="120"/>
        <v>0</v>
      </c>
      <c r="AD80" s="93">
        <f t="shared" si="121"/>
        <v>45</v>
      </c>
      <c r="AE80" s="93">
        <f t="shared" si="136"/>
        <v>3401</v>
      </c>
      <c r="AF80" s="54">
        <f>AE80+'06.02'!AF80</f>
        <v>17558</v>
      </c>
      <c r="AG80" s="94">
        <f t="shared" si="162"/>
        <v>55</v>
      </c>
      <c r="AH80" s="56">
        <f t="shared" si="137"/>
        <v>0</v>
      </c>
      <c r="AI80" s="93">
        <v>11</v>
      </c>
      <c r="AJ80" s="93">
        <f t="shared" si="163"/>
        <v>0</v>
      </c>
      <c r="AK80" s="95">
        <f t="shared" si="138"/>
        <v>1</v>
      </c>
      <c r="AL80" s="58">
        <f t="shared" si="174"/>
        <v>11</v>
      </c>
      <c r="AM80" s="55">
        <f t="shared" si="164"/>
        <v>44</v>
      </c>
      <c r="AN80" s="93"/>
      <c r="AO80" s="96"/>
      <c r="AP80" s="96">
        <f>$CJ80</f>
        <v>1847</v>
      </c>
      <c r="AQ80" s="96"/>
      <c r="AR80" s="96"/>
      <c r="AS80" s="96"/>
      <c r="AT80" s="96"/>
      <c r="AU80" s="96">
        <f t="shared" si="139"/>
        <v>0</v>
      </c>
      <c r="AV80" s="96">
        <f t="shared" si="139"/>
        <v>0</v>
      </c>
      <c r="AW80" s="96">
        <f t="shared" si="140"/>
        <v>1847</v>
      </c>
      <c r="AX80" s="96">
        <f t="shared" si="141"/>
        <v>1679</v>
      </c>
      <c r="AY80" s="94">
        <f t="shared" si="165"/>
        <v>-149.50000000000023</v>
      </c>
      <c r="AZ80" s="94">
        <f t="shared" si="142"/>
        <v>-135.90909090909111</v>
      </c>
      <c r="BA80" s="94">
        <f t="shared" si="171"/>
        <v>44</v>
      </c>
      <c r="BB80" s="97">
        <f t="shared" si="172"/>
        <v>0</v>
      </c>
      <c r="BC80" s="93">
        <v>10</v>
      </c>
      <c r="BD80" s="93">
        <f t="shared" si="143"/>
        <v>0</v>
      </c>
      <c r="BE80" s="95">
        <f t="shared" si="144"/>
        <v>1</v>
      </c>
      <c r="BF80" s="58">
        <f t="shared" si="175"/>
        <v>10</v>
      </c>
      <c r="BG80" s="94">
        <f t="shared" si="145"/>
        <v>34</v>
      </c>
      <c r="BH80" s="89"/>
      <c r="BI80" s="89"/>
      <c r="BJ80" s="92">
        <f>$CN80</f>
        <v>1895</v>
      </c>
      <c r="BK80" s="89"/>
      <c r="BL80" s="89"/>
      <c r="BM80" s="89"/>
      <c r="BN80" s="92"/>
      <c r="BO80" s="92">
        <f t="shared" si="166"/>
        <v>0</v>
      </c>
      <c r="BP80" s="92">
        <f t="shared" si="166"/>
        <v>50</v>
      </c>
      <c r="BQ80" s="96">
        <f t="shared" si="146"/>
        <v>1945</v>
      </c>
      <c r="BR80" s="96">
        <f t="shared" si="147"/>
        <v>1768</v>
      </c>
      <c r="BS80" s="96">
        <f t="shared" si="167"/>
        <v>129.99999999999977</v>
      </c>
      <c r="BT80" s="96">
        <f t="shared" si="148"/>
        <v>118.18181818181796</v>
      </c>
      <c r="BU80" s="92">
        <f t="shared" si="122"/>
        <v>3401</v>
      </c>
      <c r="BV80" s="98">
        <f t="shared" si="168"/>
        <v>21</v>
      </c>
      <c r="BW80" s="92">
        <f t="shared" si="123"/>
        <v>-17.727272727273146</v>
      </c>
      <c r="BX80" s="98">
        <f t="shared" si="149"/>
        <v>12.578999999999999</v>
      </c>
      <c r="BY80" s="61">
        <f t="shared" si="173"/>
        <v>21</v>
      </c>
      <c r="BZ80" s="62">
        <f t="shared" si="150"/>
        <v>21</v>
      </c>
      <c r="CA80" s="98">
        <f t="shared" si="151"/>
        <v>3.7919999999999998</v>
      </c>
      <c r="CB80" s="92">
        <f>IFERROR(BR80+AX80,"")</f>
        <v>3447</v>
      </c>
      <c r="CC80" s="92">
        <f t="shared" si="124"/>
        <v>-19.500000000000455</v>
      </c>
      <c r="CD80" s="92">
        <f t="shared" si="124"/>
        <v>-17.727272727273146</v>
      </c>
      <c r="CE80" s="99"/>
      <c r="CF80" s="99"/>
      <c r="CG80" s="51">
        <f t="shared" si="152"/>
        <v>8.8369999999999997</v>
      </c>
      <c r="CH80" s="62">
        <f t="shared" si="153"/>
        <v>8.8369999999999997</v>
      </c>
      <c r="CI80" s="89"/>
      <c r="CJ80" s="89">
        <v>1847</v>
      </c>
      <c r="CK80" s="89"/>
      <c r="CL80" s="96"/>
      <c r="CM80" s="89"/>
      <c r="CN80" s="89">
        <v>1895</v>
      </c>
      <c r="CO80" s="92"/>
      <c r="CP80" s="101">
        <v>50</v>
      </c>
      <c r="CQ80" s="102">
        <f t="shared" si="101"/>
        <v>1679</v>
      </c>
      <c r="CR80" s="102">
        <f t="shared" si="101"/>
        <v>0</v>
      </c>
      <c r="CS80" s="102">
        <f t="shared" si="101"/>
        <v>0</v>
      </c>
      <c r="CT80" s="92">
        <f t="shared" si="154"/>
        <v>1722</v>
      </c>
      <c r="CU80" s="92">
        <f t="shared" si="102"/>
        <v>0</v>
      </c>
      <c r="CV80" s="103">
        <f t="shared" si="102"/>
        <v>45</v>
      </c>
      <c r="CW80" s="104" t="s">
        <v>147</v>
      </c>
      <c r="CX80" s="105">
        <v>10</v>
      </c>
      <c r="CY80" s="106">
        <f t="shared" si="155"/>
        <v>3834</v>
      </c>
      <c r="CZ80" s="106">
        <f t="shared" si="156"/>
        <v>40.5</v>
      </c>
      <c r="DA80" s="106"/>
      <c r="DB80" s="106"/>
      <c r="DC80" s="105"/>
      <c r="DD80" s="107"/>
      <c r="DE80" s="92">
        <f t="shared" si="125"/>
        <v>1679</v>
      </c>
      <c r="DF80" s="108">
        <f t="shared" si="126"/>
        <v>11</v>
      </c>
      <c r="DG80" s="115">
        <f t="shared" si="127"/>
        <v>-135.90909090909111</v>
      </c>
      <c r="DH80" s="110">
        <f t="shared" si="128"/>
        <v>1722</v>
      </c>
      <c r="DI80" s="108">
        <f t="shared" si="129"/>
        <v>10</v>
      </c>
      <c r="DJ80" s="112">
        <f t="shared" si="130"/>
        <v>118.18181818181796</v>
      </c>
      <c r="DK80" s="110">
        <f t="shared" si="86"/>
        <v>3401</v>
      </c>
      <c r="DL80" s="108">
        <f t="shared" si="86"/>
        <v>21</v>
      </c>
      <c r="DM80" s="111">
        <f t="shared" si="86"/>
        <v>-17.727272727273146</v>
      </c>
      <c r="DN80" s="76">
        <v>34</v>
      </c>
      <c r="DO80" s="76"/>
      <c r="DP80" s="112"/>
      <c r="DQ80" s="112"/>
      <c r="DR80" s="113" t="s">
        <v>467</v>
      </c>
      <c r="DS80" s="112"/>
      <c r="DT80" s="112"/>
      <c r="DU80" s="111"/>
      <c r="DV80" s="114"/>
      <c r="DW80" s="80">
        <f t="shared" si="157"/>
        <v>3422</v>
      </c>
      <c r="DX80" s="81">
        <f t="shared" si="131"/>
        <v>3404.272727272727</v>
      </c>
      <c r="DY80" s="80">
        <f t="shared" si="158"/>
        <v>3446</v>
      </c>
      <c r="DZ80" s="82">
        <f t="shared" si="159"/>
        <v>4.9500000000000009E-2</v>
      </c>
      <c r="EA80" s="82">
        <f t="shared" si="160"/>
        <v>3.7411000000000003</v>
      </c>
      <c r="EB80" s="82">
        <f t="shared" si="161"/>
        <v>8.8378999999999976</v>
      </c>
      <c r="EC80" s="82">
        <f t="shared" si="176"/>
        <v>8.8369999999999997</v>
      </c>
      <c r="EF80" s="83">
        <f t="shared" si="107"/>
        <v>-17.727272727273146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2"/>
        <v>IBC3604-7x3-H9D14</v>
      </c>
      <c r="H81" s="46" t="str">
        <f t="shared" si="133"/>
        <v>C3604IB70DH9</v>
      </c>
      <c r="I81" s="46" t="str">
        <f t="shared" si="134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5"/>
        <v>34</v>
      </c>
      <c r="T81" s="51">
        <f>'06.02'!BG81</f>
        <v>56.879999999999995</v>
      </c>
      <c r="U81" s="92"/>
      <c r="V81" s="100">
        <v>2.12</v>
      </c>
      <c r="W81" s="93">
        <f t="shared" si="114"/>
        <v>0</v>
      </c>
      <c r="X81" s="93">
        <f t="shared" si="115"/>
        <v>5500</v>
      </c>
      <c r="Y81" s="93">
        <f t="shared" si="116"/>
        <v>0</v>
      </c>
      <c r="Z81" s="93">
        <f t="shared" si="117"/>
        <v>0</v>
      </c>
      <c r="AA81" s="93">
        <f t="shared" si="118"/>
        <v>0</v>
      </c>
      <c r="AB81" s="93">
        <f t="shared" si="119"/>
        <v>0</v>
      </c>
      <c r="AC81" s="93">
        <f t="shared" si="120"/>
        <v>0</v>
      </c>
      <c r="AD81" s="93">
        <f t="shared" si="121"/>
        <v>2</v>
      </c>
      <c r="AE81" s="93">
        <f t="shared" si="136"/>
        <v>5500</v>
      </c>
      <c r="AF81" s="54">
        <f>AE81+'06.02'!AF81</f>
        <v>36662</v>
      </c>
      <c r="AG81" s="94">
        <f t="shared" si="162"/>
        <v>56.879999999999995</v>
      </c>
      <c r="AH81" s="56">
        <f t="shared" si="137"/>
        <v>0.88</v>
      </c>
      <c r="AI81" s="93">
        <v>15</v>
      </c>
      <c r="AJ81" s="93">
        <f t="shared" si="163"/>
        <v>0</v>
      </c>
      <c r="AK81" s="95">
        <f t="shared" si="138"/>
        <v>1</v>
      </c>
      <c r="AL81" s="58">
        <f t="shared" si="174"/>
        <v>15.88</v>
      </c>
      <c r="AM81" s="55">
        <f t="shared" si="164"/>
        <v>40.999999999999993</v>
      </c>
      <c r="AN81" s="93"/>
      <c r="AO81" s="96"/>
      <c r="AP81" s="96">
        <f>$CJ81</f>
        <v>5617</v>
      </c>
      <c r="AQ81" s="96"/>
      <c r="AR81" s="96"/>
      <c r="AS81" s="96"/>
      <c r="AT81" s="96"/>
      <c r="AU81" s="96">
        <f t="shared" si="139"/>
        <v>0</v>
      </c>
      <c r="AV81" s="96">
        <f t="shared" si="139"/>
        <v>0</v>
      </c>
      <c r="AW81" s="96">
        <f t="shared" si="140"/>
        <v>5617</v>
      </c>
      <c r="AX81" s="96">
        <f t="shared" si="141"/>
        <v>2649</v>
      </c>
      <c r="AY81" s="94">
        <f t="shared" si="165"/>
        <v>-207.14880000000085</v>
      </c>
      <c r="AZ81" s="94">
        <f t="shared" si="142"/>
        <v>-97.711698113207945</v>
      </c>
      <c r="BA81" s="94">
        <f t="shared" si="171"/>
        <v>40.999999999999993</v>
      </c>
      <c r="BB81" s="97">
        <f t="shared" si="172"/>
        <v>0</v>
      </c>
      <c r="BC81" s="93">
        <v>16</v>
      </c>
      <c r="BD81" s="93">
        <f t="shared" si="143"/>
        <v>0</v>
      </c>
      <c r="BE81" s="95">
        <f t="shared" si="144"/>
        <v>1</v>
      </c>
      <c r="BF81" s="58">
        <f t="shared" si="175"/>
        <v>16</v>
      </c>
      <c r="BG81" s="94">
        <f t="shared" si="145"/>
        <v>24.999999999999993</v>
      </c>
      <c r="BH81" s="89"/>
      <c r="BI81" s="89"/>
      <c r="BJ81" s="92">
        <f>$CN81</f>
        <v>6043</v>
      </c>
      <c r="BK81" s="89"/>
      <c r="BL81" s="89"/>
      <c r="BM81" s="89"/>
      <c r="BN81" s="89"/>
      <c r="BO81" s="92">
        <f t="shared" si="166"/>
        <v>0</v>
      </c>
      <c r="BP81" s="92">
        <f t="shared" si="166"/>
        <v>5</v>
      </c>
      <c r="BQ81" s="96">
        <f t="shared" si="146"/>
        <v>6048</v>
      </c>
      <c r="BR81" s="96">
        <f t="shared" si="147"/>
        <v>2852</v>
      </c>
      <c r="BS81" s="96">
        <f t="shared" si="167"/>
        <v>179.84000000000015</v>
      </c>
      <c r="BT81" s="96">
        <f t="shared" si="148"/>
        <v>84.830188679245353</v>
      </c>
      <c r="BU81" s="92">
        <f t="shared" si="122"/>
        <v>5500</v>
      </c>
      <c r="BV81" s="98">
        <f t="shared" si="168"/>
        <v>31.880000000000003</v>
      </c>
      <c r="BW81" s="92">
        <f t="shared" si="123"/>
        <v>-12.881509433962592</v>
      </c>
      <c r="BX81" s="98">
        <f t="shared" si="149"/>
        <v>31.242400000000004</v>
      </c>
      <c r="BY81" s="61">
        <f t="shared" si="173"/>
        <v>31.880000000000003</v>
      </c>
      <c r="BZ81" s="62">
        <f t="shared" si="150"/>
        <v>31.880000000000003</v>
      </c>
      <c r="CA81" s="98">
        <f t="shared" si="151"/>
        <v>11.664999999999999</v>
      </c>
      <c r="CB81" s="92">
        <f t="shared" si="124"/>
        <v>5501</v>
      </c>
      <c r="CC81" s="92">
        <f t="shared" si="124"/>
        <v>-27.308800000000701</v>
      </c>
      <c r="CD81" s="92">
        <f t="shared" si="124"/>
        <v>-12.881509433962592</v>
      </c>
      <c r="CE81" s="99"/>
      <c r="CF81" s="99"/>
      <c r="CG81" s="51">
        <f t="shared" si="152"/>
        <v>19.582400000000003</v>
      </c>
      <c r="CH81" s="62">
        <f t="shared" si="153"/>
        <v>19.582400000000003</v>
      </c>
      <c r="CI81" s="89"/>
      <c r="CJ81" s="89">
        <v>5617</v>
      </c>
      <c r="CK81" s="89"/>
      <c r="CL81" s="96"/>
      <c r="CM81" s="89"/>
      <c r="CN81" s="89">
        <v>6043</v>
      </c>
      <c r="CO81" s="92"/>
      <c r="CP81" s="101">
        <v>5</v>
      </c>
      <c r="CQ81" s="102">
        <f t="shared" si="101"/>
        <v>2649</v>
      </c>
      <c r="CR81" s="102">
        <f t="shared" si="101"/>
        <v>0</v>
      </c>
      <c r="CS81" s="102">
        <f t="shared" si="101"/>
        <v>0</v>
      </c>
      <c r="CT81" s="92">
        <f t="shared" si="154"/>
        <v>2851</v>
      </c>
      <c r="CU81" s="92">
        <f t="shared" si="102"/>
        <v>0</v>
      </c>
      <c r="CV81" s="103">
        <f t="shared" si="102"/>
        <v>2</v>
      </c>
      <c r="CW81" s="104" t="s">
        <v>147</v>
      </c>
      <c r="CX81" s="105">
        <v>13.35</v>
      </c>
      <c r="CY81" s="106">
        <f t="shared" si="155"/>
        <v>2979</v>
      </c>
      <c r="CZ81" s="106">
        <f t="shared" si="156"/>
        <v>54.067500000000003</v>
      </c>
      <c r="DA81" s="106"/>
      <c r="DB81" s="106"/>
      <c r="DC81" s="105"/>
      <c r="DD81" s="107"/>
      <c r="DE81" s="92">
        <f t="shared" si="125"/>
        <v>2649</v>
      </c>
      <c r="DF81" s="108">
        <f t="shared" si="126"/>
        <v>15.88</v>
      </c>
      <c r="DG81" s="115">
        <f t="shared" si="127"/>
        <v>-97.711698113207945</v>
      </c>
      <c r="DH81" s="110">
        <f t="shared" si="128"/>
        <v>2851</v>
      </c>
      <c r="DI81" s="108">
        <f t="shared" si="129"/>
        <v>16</v>
      </c>
      <c r="DJ81" s="112">
        <f t="shared" si="130"/>
        <v>84.830188679245353</v>
      </c>
      <c r="DK81" s="110">
        <f t="shared" si="86"/>
        <v>5500</v>
      </c>
      <c r="DL81" s="108">
        <f t="shared" si="86"/>
        <v>31.880000000000003</v>
      </c>
      <c r="DM81" s="111">
        <f t="shared" si="86"/>
        <v>-12.881509433962592</v>
      </c>
      <c r="DN81" s="76">
        <v>26</v>
      </c>
      <c r="DO81" s="76"/>
      <c r="DP81" s="112"/>
      <c r="DQ81" s="112"/>
      <c r="DR81" s="113" t="s">
        <v>468</v>
      </c>
      <c r="DS81" s="112"/>
      <c r="DT81" s="112"/>
      <c r="DU81" s="111"/>
      <c r="DV81" s="114"/>
      <c r="DW81" s="80">
        <f t="shared" ref="DW81:DW82" si="177">IFERROR(AL81+BF81,"")</f>
        <v>31.880000000000003</v>
      </c>
      <c r="DX81" s="81">
        <f t="shared" si="131"/>
        <v>5518.9984905660376</v>
      </c>
      <c r="DY81" s="80">
        <f t="shared" si="158"/>
        <v>5502</v>
      </c>
      <c r="DZ81" s="82">
        <f t="shared" si="159"/>
        <v>4.2399999999999998E-3</v>
      </c>
      <c r="EA81" s="82">
        <f t="shared" si="160"/>
        <v>11.66</v>
      </c>
      <c r="EB81" s="82">
        <f t="shared" si="161"/>
        <v>19.582400000000003</v>
      </c>
      <c r="EC81" s="82">
        <f t="shared" si="176"/>
        <v>19.582400000000003</v>
      </c>
      <c r="EF81" s="83">
        <f t="shared" si="107"/>
        <v>-12.881509433962592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2"/>
        <v>IBC3602-7.5x3-H9B14</v>
      </c>
      <c r="H82" s="46" t="str">
        <f t="shared" si="133"/>
        <v>C3602IB7.50DH9</v>
      </c>
      <c r="I82" s="46" t="str">
        <f t="shared" si="134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5"/>
        <v>34</v>
      </c>
      <c r="T82" s="51">
        <f>'06.02'!BG82</f>
        <v>50.989999999999995</v>
      </c>
      <c r="U82" s="92"/>
      <c r="V82" s="174">
        <v>1.23</v>
      </c>
      <c r="W82" s="93">
        <f t="shared" si="114"/>
        <v>0</v>
      </c>
      <c r="X82" s="93">
        <f t="shared" si="115"/>
        <v>0</v>
      </c>
      <c r="Y82" s="93">
        <f t="shared" si="116"/>
        <v>6116</v>
      </c>
      <c r="Z82" s="93">
        <f t="shared" si="117"/>
        <v>0</v>
      </c>
      <c r="AA82" s="93">
        <f t="shared" si="118"/>
        <v>0</v>
      </c>
      <c r="AB82" s="93">
        <f t="shared" si="119"/>
        <v>0</v>
      </c>
      <c r="AC82" s="93">
        <f t="shared" si="120"/>
        <v>0</v>
      </c>
      <c r="AD82" s="93">
        <f t="shared" si="121"/>
        <v>0</v>
      </c>
      <c r="AE82" s="93">
        <f t="shared" si="136"/>
        <v>6116</v>
      </c>
      <c r="AF82" s="54">
        <f>AE82+'06.02'!AF82</f>
        <v>41587</v>
      </c>
      <c r="AG82" s="94">
        <f t="shared" si="162"/>
        <v>50.989999999999995</v>
      </c>
      <c r="AH82" s="56">
        <f t="shared" si="137"/>
        <v>0.99</v>
      </c>
      <c r="AI82" s="93">
        <v>18</v>
      </c>
      <c r="AJ82" s="93">
        <f t="shared" si="163"/>
        <v>0</v>
      </c>
      <c r="AK82" s="95">
        <f t="shared" si="138"/>
        <v>1</v>
      </c>
      <c r="AL82" s="58">
        <f t="shared" si="174"/>
        <v>18.989999999999998</v>
      </c>
      <c r="AM82" s="55">
        <f t="shared" si="164"/>
        <v>31.999999999999996</v>
      </c>
      <c r="AN82" s="93"/>
      <c r="AO82" s="96"/>
      <c r="AP82" s="96"/>
      <c r="AQ82" s="96">
        <f>$CJ82</f>
        <v>3736</v>
      </c>
      <c r="AR82" s="96"/>
      <c r="AS82" s="96"/>
      <c r="AT82" s="96"/>
      <c r="AU82" s="96">
        <f t="shared" si="139"/>
        <v>0</v>
      </c>
      <c r="AV82" s="96">
        <f t="shared" si="139"/>
        <v>0</v>
      </c>
      <c r="AW82" s="96">
        <f t="shared" si="140"/>
        <v>3736</v>
      </c>
      <c r="AX82" s="96">
        <f t="shared" si="141"/>
        <v>3037</v>
      </c>
      <c r="AY82" s="94">
        <f t="shared" si="165"/>
        <v>-24.589699999999993</v>
      </c>
      <c r="AZ82" s="94">
        <f t="shared" si="142"/>
        <v>-19.991626016260156</v>
      </c>
      <c r="BA82" s="94">
        <f t="shared" si="171"/>
        <v>31.999999999999996</v>
      </c>
      <c r="BB82" s="97">
        <f t="shared" si="172"/>
        <v>0</v>
      </c>
      <c r="BC82" s="93">
        <v>19</v>
      </c>
      <c r="BD82" s="93">
        <f t="shared" si="143"/>
        <v>0</v>
      </c>
      <c r="BE82" s="95">
        <f t="shared" si="144"/>
        <v>1</v>
      </c>
      <c r="BF82" s="58">
        <f t="shared" si="175"/>
        <v>19</v>
      </c>
      <c r="BG82" s="94">
        <f t="shared" si="145"/>
        <v>12.999999999999996</v>
      </c>
      <c r="BH82" s="89"/>
      <c r="BI82" s="89"/>
      <c r="BJ82" s="89"/>
      <c r="BK82" s="92">
        <f>$CN82</f>
        <v>3787</v>
      </c>
      <c r="BL82" s="89"/>
      <c r="BM82" s="89"/>
      <c r="BN82" s="89"/>
      <c r="BO82" s="92">
        <f t="shared" si="166"/>
        <v>0</v>
      </c>
      <c r="BP82" s="92">
        <f t="shared" si="166"/>
        <v>0</v>
      </c>
      <c r="BQ82" s="96">
        <f t="shared" si="146"/>
        <v>3787</v>
      </c>
      <c r="BR82" s="96">
        <f t="shared" si="147"/>
        <v>3078</v>
      </c>
      <c r="BS82" s="96">
        <f t="shared" si="167"/>
        <v>24.429999999999836</v>
      </c>
      <c r="BT82" s="96">
        <f t="shared" si="148"/>
        <v>19.861788617886045</v>
      </c>
      <c r="BU82" s="92">
        <f t="shared" si="122"/>
        <v>6116</v>
      </c>
      <c r="BV82" s="98">
        <f t="shared" si="168"/>
        <v>37.989999999999995</v>
      </c>
      <c r="BW82" s="92">
        <f t="shared" si="123"/>
        <v>-0.12983739837411079</v>
      </c>
      <c r="BX82" s="98">
        <f t="shared" si="149"/>
        <v>42.586789999999993</v>
      </c>
      <c r="BY82" s="61">
        <f t="shared" si="173"/>
        <v>37.989999999999995</v>
      </c>
      <c r="BZ82" s="62">
        <f t="shared" si="150"/>
        <v>37.989999999999995</v>
      </c>
      <c r="CA82" s="98">
        <f t="shared" si="151"/>
        <v>7.5229999999999997</v>
      </c>
      <c r="CB82" s="92">
        <f t="shared" si="124"/>
        <v>6115</v>
      </c>
      <c r="CC82" s="92">
        <f t="shared" si="124"/>
        <v>-0.15970000000015716</v>
      </c>
      <c r="CD82" s="92">
        <f t="shared" si="124"/>
        <v>-0.12983739837411079</v>
      </c>
      <c r="CE82" s="99"/>
      <c r="CF82" s="99"/>
      <c r="CG82" s="51">
        <f t="shared" si="152"/>
        <v>35.063789999999997</v>
      </c>
      <c r="CH82" s="62">
        <f t="shared" si="153"/>
        <v>35.063789999999997</v>
      </c>
      <c r="CI82" s="89"/>
      <c r="CJ82" s="89">
        <v>3736</v>
      </c>
      <c r="CK82" s="89"/>
      <c r="CL82" s="96"/>
      <c r="CM82" s="89"/>
      <c r="CN82" s="89">
        <v>3787</v>
      </c>
      <c r="CO82" s="92"/>
      <c r="CP82" s="101"/>
      <c r="CQ82" s="102">
        <f t="shared" si="101"/>
        <v>3037</v>
      </c>
      <c r="CR82" s="102">
        <f t="shared" si="101"/>
        <v>0</v>
      </c>
      <c r="CS82" s="102">
        <f t="shared" si="101"/>
        <v>0</v>
      </c>
      <c r="CT82" s="92">
        <f t="shared" si="154"/>
        <v>3079</v>
      </c>
      <c r="CU82" s="92">
        <f t="shared" si="102"/>
        <v>0</v>
      </c>
      <c r="CV82" s="103">
        <f t="shared" si="102"/>
        <v>0</v>
      </c>
      <c r="CW82" s="104" t="s">
        <v>147</v>
      </c>
      <c r="CX82" s="105">
        <v>15</v>
      </c>
      <c r="CY82" s="106">
        <f t="shared" si="155"/>
        <v>2664</v>
      </c>
      <c r="CZ82" s="106">
        <f t="shared" si="156"/>
        <v>60.750000000000007</v>
      </c>
      <c r="DA82" s="106"/>
      <c r="DB82" s="106"/>
      <c r="DC82" s="105"/>
      <c r="DD82" s="107"/>
      <c r="DE82" s="92">
        <f t="shared" si="125"/>
        <v>3037</v>
      </c>
      <c r="DF82" s="108">
        <f t="shared" si="126"/>
        <v>18.989999999999998</v>
      </c>
      <c r="DG82" s="115">
        <f t="shared" si="127"/>
        <v>-19.991626016260156</v>
      </c>
      <c r="DH82" s="110">
        <f t="shared" si="128"/>
        <v>3079</v>
      </c>
      <c r="DI82" s="108">
        <f t="shared" si="129"/>
        <v>19</v>
      </c>
      <c r="DJ82" s="112">
        <f t="shared" si="130"/>
        <v>19.861788617886045</v>
      </c>
      <c r="DK82" s="110">
        <f t="shared" si="86"/>
        <v>6116</v>
      </c>
      <c r="DL82" s="108">
        <f t="shared" si="86"/>
        <v>37.989999999999995</v>
      </c>
      <c r="DM82" s="111">
        <f t="shared" si="86"/>
        <v>-0.12983739837411079</v>
      </c>
      <c r="DN82" s="76">
        <v>14</v>
      </c>
      <c r="DO82" s="76"/>
      <c r="DP82" s="112"/>
      <c r="DQ82" s="112"/>
      <c r="DR82" s="113" t="s">
        <v>469</v>
      </c>
      <c r="DS82" s="112"/>
      <c r="DT82" s="112"/>
      <c r="DU82" s="111"/>
      <c r="DV82" s="114"/>
      <c r="DW82" s="80">
        <f t="shared" si="177"/>
        <v>37.989999999999995</v>
      </c>
      <c r="DX82" s="81">
        <f t="shared" si="131"/>
        <v>6153.8601626016252</v>
      </c>
      <c r="DY82" s="80">
        <f t="shared" si="158"/>
        <v>6116</v>
      </c>
      <c r="DZ82" s="82">
        <f t="shared" si="159"/>
        <v>0</v>
      </c>
      <c r="EA82" s="82">
        <f t="shared" si="160"/>
        <v>7.5226800000000003</v>
      </c>
      <c r="EB82" s="82">
        <f t="shared" si="161"/>
        <v>35.064109999999992</v>
      </c>
      <c r="EC82" s="82">
        <f t="shared" si="176"/>
        <v>35.063789999999997</v>
      </c>
      <c r="EF82" s="83">
        <f t="shared" si="107"/>
        <v>-0.12983739837411079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2"/>
        <v>GWA6063-T5-7.5x3-H9B14</v>
      </c>
      <c r="H83" s="46" t="str">
        <f t="shared" si="133"/>
        <v>A6063-T5GW7.50DH9</v>
      </c>
      <c r="I83" s="46" t="str">
        <f t="shared" si="134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5"/>
        <v>18</v>
      </c>
      <c r="T83" s="51">
        <f>'06.02'!BG83</f>
        <v>46</v>
      </c>
      <c r="U83" s="92"/>
      <c r="V83" s="100">
        <v>0.70299999999999996</v>
      </c>
      <c r="W83" s="93">
        <f t="shared" si="114"/>
        <v>0</v>
      </c>
      <c r="X83" s="93">
        <f t="shared" si="115"/>
        <v>0</v>
      </c>
      <c r="Y83" s="93">
        <f t="shared" si="116"/>
        <v>0</v>
      </c>
      <c r="Z83" s="93">
        <f t="shared" si="117"/>
        <v>0</v>
      </c>
      <c r="AA83" s="93">
        <f t="shared" si="118"/>
        <v>0</v>
      </c>
      <c r="AB83" s="93">
        <f t="shared" si="119"/>
        <v>0</v>
      </c>
      <c r="AC83" s="93">
        <f t="shared" si="120"/>
        <v>0</v>
      </c>
      <c r="AD83" s="93">
        <f t="shared" si="121"/>
        <v>0</v>
      </c>
      <c r="AE83" s="93">
        <f t="shared" si="136"/>
        <v>0</v>
      </c>
      <c r="AF83" s="54">
        <f>AE83+'06.02'!AF83</f>
        <v>0</v>
      </c>
      <c r="AG83" s="94">
        <f t="shared" si="162"/>
        <v>46</v>
      </c>
      <c r="AH83" s="56">
        <f t="shared" si="137"/>
        <v>0</v>
      </c>
      <c r="AI83" s="93"/>
      <c r="AJ83" s="93">
        <f t="shared" si="163"/>
        <v>0</v>
      </c>
      <c r="AK83" s="95">
        <f t="shared" si="138"/>
        <v>1</v>
      </c>
      <c r="AL83" s="58">
        <f t="shared" si="174"/>
        <v>0</v>
      </c>
      <c r="AM83" s="55">
        <f t="shared" si="164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39"/>
        <v>0</v>
      </c>
      <c r="AV83" s="96">
        <f t="shared" si="139"/>
        <v>0</v>
      </c>
      <c r="AW83" s="96">
        <f t="shared" si="140"/>
        <v>0</v>
      </c>
      <c r="AX83" s="96">
        <f t="shared" si="141"/>
        <v>0</v>
      </c>
      <c r="AY83" s="94">
        <f t="shared" si="165"/>
        <v>0</v>
      </c>
      <c r="AZ83" s="94">
        <f t="shared" si="142"/>
        <v>0</v>
      </c>
      <c r="BA83" s="94">
        <f t="shared" si="171"/>
        <v>46</v>
      </c>
      <c r="BB83" s="97">
        <f t="shared" si="172"/>
        <v>0</v>
      </c>
      <c r="BC83" s="93"/>
      <c r="BD83" s="93">
        <f t="shared" si="143"/>
        <v>0</v>
      </c>
      <c r="BE83" s="95">
        <f t="shared" si="144"/>
        <v>1</v>
      </c>
      <c r="BF83" s="58">
        <f t="shared" si="175"/>
        <v>0</v>
      </c>
      <c r="BG83" s="94">
        <f t="shared" si="145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6"/>
        <v>0</v>
      </c>
      <c r="BP83" s="92">
        <f t="shared" si="166"/>
        <v>0</v>
      </c>
      <c r="BQ83" s="96">
        <f t="shared" si="146"/>
        <v>0</v>
      </c>
      <c r="BR83" s="96">
        <f t="shared" si="147"/>
        <v>0</v>
      </c>
      <c r="BS83" s="96">
        <f t="shared" si="167"/>
        <v>0</v>
      </c>
      <c r="BT83" s="96">
        <f t="shared" si="148"/>
        <v>0</v>
      </c>
      <c r="BU83" s="92">
        <f t="shared" si="122"/>
        <v>0</v>
      </c>
      <c r="BV83" s="98">
        <f t="shared" si="168"/>
        <v>0</v>
      </c>
      <c r="BW83" s="92">
        <f t="shared" si="123"/>
        <v>0</v>
      </c>
      <c r="BX83" s="98">
        <f t="shared" si="149"/>
        <v>0</v>
      </c>
      <c r="BY83" s="61">
        <f t="shared" si="173"/>
        <v>0</v>
      </c>
      <c r="BZ83" s="62">
        <f t="shared" si="150"/>
        <v>0</v>
      </c>
      <c r="CA83" s="98">
        <f t="shared" si="151"/>
        <v>0</v>
      </c>
      <c r="CB83" s="92">
        <f t="shared" si="124"/>
        <v>0</v>
      </c>
      <c r="CC83" s="92">
        <f t="shared" si="124"/>
        <v>0</v>
      </c>
      <c r="CD83" s="92">
        <f t="shared" si="124"/>
        <v>0</v>
      </c>
      <c r="CE83" s="99"/>
      <c r="CF83" s="99"/>
      <c r="CG83" s="51">
        <f t="shared" si="152"/>
        <v>0</v>
      </c>
      <c r="CH83" s="62">
        <f t="shared" si="153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101"/>
        <v>0</v>
      </c>
      <c r="CR83" s="102">
        <f t="shared" si="101"/>
        <v>0</v>
      </c>
      <c r="CS83" s="102">
        <f t="shared" si="101"/>
        <v>0</v>
      </c>
      <c r="CT83" s="92">
        <f t="shared" si="154"/>
        <v>0</v>
      </c>
      <c r="CU83" s="92">
        <f t="shared" si="102"/>
        <v>0</v>
      </c>
      <c r="CV83" s="103">
        <f t="shared" si="102"/>
        <v>0</v>
      </c>
      <c r="CW83" s="104" t="s">
        <v>147</v>
      </c>
      <c r="CX83" s="105">
        <v>18.5</v>
      </c>
      <c r="CY83" s="106">
        <f t="shared" si="155"/>
        <v>2237</v>
      </c>
      <c r="CZ83" s="106">
        <f t="shared" si="156"/>
        <v>74.925000000000011</v>
      </c>
      <c r="DA83" s="106"/>
      <c r="DB83" s="106"/>
      <c r="DC83" s="105"/>
      <c r="DD83" s="107"/>
      <c r="DE83" s="92">
        <f t="shared" si="125"/>
        <v>0</v>
      </c>
      <c r="DF83" s="108">
        <f t="shared" si="126"/>
        <v>0</v>
      </c>
      <c r="DG83" s="115">
        <f t="shared" si="127"/>
        <v>0</v>
      </c>
      <c r="DH83" s="110">
        <f t="shared" si="128"/>
        <v>0</v>
      </c>
      <c r="DI83" s="108">
        <f t="shared" si="129"/>
        <v>0</v>
      </c>
      <c r="DJ83" s="112">
        <f t="shared" si="130"/>
        <v>0</v>
      </c>
      <c r="DK83" s="110">
        <f t="shared" si="86"/>
        <v>0</v>
      </c>
      <c r="DL83" s="108">
        <f t="shared" si="86"/>
        <v>0</v>
      </c>
      <c r="DM83" s="111">
        <f t="shared" si="86"/>
        <v>0</v>
      </c>
      <c r="DN83" s="76">
        <v>46</v>
      </c>
      <c r="DO83" s="76"/>
      <c r="DP83" s="112"/>
      <c r="DQ83" s="112"/>
      <c r="DR83" s="113" t="s">
        <v>470</v>
      </c>
      <c r="DS83" s="112"/>
      <c r="DT83" s="112"/>
      <c r="DU83" s="111"/>
      <c r="DV83" s="114"/>
      <c r="DW83" s="80">
        <f t="shared" si="157"/>
        <v>0</v>
      </c>
      <c r="DX83" s="81">
        <f t="shared" si="131"/>
        <v>0</v>
      </c>
      <c r="DY83" s="80">
        <f t="shared" si="158"/>
        <v>0</v>
      </c>
      <c r="DZ83" s="82">
        <f t="shared" si="159"/>
        <v>0</v>
      </c>
      <c r="EA83" s="82">
        <f t="shared" si="160"/>
        <v>0</v>
      </c>
      <c r="EB83" s="82">
        <f t="shared" si="161"/>
        <v>0</v>
      </c>
      <c r="EC83" s="82">
        <f t="shared" ref="EC83:EC106" si="178">EB83+DZ83</f>
        <v>0</v>
      </c>
      <c r="EF83" s="83">
        <f t="shared" si="107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2"/>
        <v>GAA5052-5.7x3-H9A14</v>
      </c>
      <c r="H84" s="46" t="str">
        <f t="shared" si="133"/>
        <v>A5052GA5.70DH9</v>
      </c>
      <c r="I84" s="46" t="str">
        <f t="shared" si="134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5"/>
        <v>30</v>
      </c>
      <c r="T84" s="51">
        <f>'06.02'!BG84</f>
        <v>36</v>
      </c>
      <c r="U84" s="92"/>
      <c r="V84" s="100">
        <v>0.15</v>
      </c>
      <c r="W84" s="93">
        <f t="shared" si="114"/>
        <v>0</v>
      </c>
      <c r="X84" s="93">
        <f t="shared" si="115"/>
        <v>0</v>
      </c>
      <c r="Y84" s="93">
        <f t="shared" si="116"/>
        <v>0</v>
      </c>
      <c r="Z84" s="93">
        <f t="shared" si="117"/>
        <v>0</v>
      </c>
      <c r="AA84" s="93">
        <f t="shared" si="118"/>
        <v>0</v>
      </c>
      <c r="AB84" s="93">
        <f t="shared" si="119"/>
        <v>3413</v>
      </c>
      <c r="AC84" s="93">
        <f t="shared" si="120"/>
        <v>0</v>
      </c>
      <c r="AD84" s="93">
        <f t="shared" si="121"/>
        <v>0</v>
      </c>
      <c r="AE84" s="93">
        <f t="shared" si="136"/>
        <v>3413</v>
      </c>
      <c r="AF84" s="54">
        <f>AE84+'06.02'!AF84</f>
        <v>21638</v>
      </c>
      <c r="AG84" s="94">
        <f t="shared" si="162"/>
        <v>36</v>
      </c>
      <c r="AH84" s="56">
        <f t="shared" si="137"/>
        <v>0</v>
      </c>
      <c r="AI84" s="93">
        <v>7</v>
      </c>
      <c r="AJ84" s="93">
        <f t="shared" si="163"/>
        <v>0</v>
      </c>
      <c r="AK84" s="95">
        <f t="shared" si="138"/>
        <v>1</v>
      </c>
      <c r="AL84" s="58">
        <f t="shared" si="174"/>
        <v>7</v>
      </c>
      <c r="AM84" s="55">
        <f t="shared" si="164"/>
        <v>29</v>
      </c>
      <c r="AN84" s="93"/>
      <c r="AO84" s="96"/>
      <c r="AP84" s="96"/>
      <c r="AQ84" s="96"/>
      <c r="AR84" s="96"/>
      <c r="AS84" s="96"/>
      <c r="AT84" s="96">
        <f>$CJ84</f>
        <v>254</v>
      </c>
      <c r="AU84" s="96">
        <f t="shared" si="139"/>
        <v>0</v>
      </c>
      <c r="AV84" s="96">
        <f t="shared" si="139"/>
        <v>0</v>
      </c>
      <c r="AW84" s="96">
        <f t="shared" ref="AW84" si="179">SUM(AO84:AV84)</f>
        <v>254</v>
      </c>
      <c r="AX84" s="96">
        <f t="shared" si="141"/>
        <v>1693</v>
      </c>
      <c r="AY84" s="94">
        <f t="shared" si="165"/>
        <v>2</v>
      </c>
      <c r="AZ84" s="94">
        <f t="shared" si="142"/>
        <v>13.333333333333334</v>
      </c>
      <c r="BA84" s="94">
        <f t="shared" si="171"/>
        <v>29</v>
      </c>
      <c r="BB84" s="97">
        <f t="shared" si="172"/>
        <v>0</v>
      </c>
      <c r="BC84" s="93">
        <v>7</v>
      </c>
      <c r="BD84" s="93">
        <f t="shared" si="143"/>
        <v>0</v>
      </c>
      <c r="BE84" s="95">
        <f t="shared" si="144"/>
        <v>1</v>
      </c>
      <c r="BF84" s="58">
        <f t="shared" si="175"/>
        <v>7</v>
      </c>
      <c r="BG84" s="94">
        <f t="shared" si="145"/>
        <v>22</v>
      </c>
      <c r="BH84" s="89"/>
      <c r="BI84" s="89"/>
      <c r="BJ84" s="92"/>
      <c r="BK84" s="89"/>
      <c r="BL84" s="89"/>
      <c r="BM84" s="89"/>
      <c r="BN84" s="92">
        <f>$CN84</f>
        <v>258</v>
      </c>
      <c r="BO84" s="92">
        <f t="shared" si="166"/>
        <v>0</v>
      </c>
      <c r="BP84" s="92">
        <f t="shared" si="166"/>
        <v>0</v>
      </c>
      <c r="BQ84" s="96">
        <f t="shared" si="146"/>
        <v>258</v>
      </c>
      <c r="BR84" s="96">
        <f t="shared" si="147"/>
        <v>1720</v>
      </c>
      <c r="BS84" s="96">
        <f t="shared" si="167"/>
        <v>6</v>
      </c>
      <c r="BT84" s="96">
        <f t="shared" si="148"/>
        <v>40</v>
      </c>
      <c r="BU84" s="92">
        <f t="shared" si="122"/>
        <v>3413</v>
      </c>
      <c r="BV84" s="98">
        <f t="shared" si="168"/>
        <v>14</v>
      </c>
      <c r="BW84" s="92">
        <f t="shared" si="123"/>
        <v>53.333333333333336</v>
      </c>
      <c r="BX84" s="98">
        <f t="shared" si="149"/>
        <v>2.8559999999999999</v>
      </c>
      <c r="BY84" s="61">
        <f t="shared" si="173"/>
        <v>14</v>
      </c>
      <c r="BZ84" s="62">
        <f t="shared" si="150"/>
        <v>14</v>
      </c>
      <c r="CA84" s="98">
        <f t="shared" si="151"/>
        <v>0.51200000000000001</v>
      </c>
      <c r="CB84" s="92">
        <f t="shared" si="124"/>
        <v>3413</v>
      </c>
      <c r="CC84" s="92">
        <f t="shared" si="124"/>
        <v>8</v>
      </c>
      <c r="CD84" s="92">
        <f t="shared" si="124"/>
        <v>53.333333333333336</v>
      </c>
      <c r="CE84" s="99"/>
      <c r="CF84" s="99"/>
      <c r="CG84" s="51">
        <f t="shared" si="152"/>
        <v>2.3439999999999999</v>
      </c>
      <c r="CH84" s="62">
        <f t="shared" si="153"/>
        <v>2.3439999999999999</v>
      </c>
      <c r="CI84" s="89"/>
      <c r="CJ84" s="89">
        <v>254</v>
      </c>
      <c r="CK84" s="89"/>
      <c r="CL84" s="96"/>
      <c r="CM84" s="89"/>
      <c r="CN84" s="89">
        <v>258</v>
      </c>
      <c r="CO84" s="92"/>
      <c r="CP84" s="101"/>
      <c r="CQ84" s="102">
        <f t="shared" si="101"/>
        <v>1693</v>
      </c>
      <c r="CR84" s="102">
        <f t="shared" si="101"/>
        <v>0</v>
      </c>
      <c r="CS84" s="102">
        <f t="shared" si="101"/>
        <v>0</v>
      </c>
      <c r="CT84" s="92">
        <f t="shared" si="154"/>
        <v>1720</v>
      </c>
      <c r="CU84" s="92">
        <f t="shared" si="102"/>
        <v>0</v>
      </c>
      <c r="CV84" s="103">
        <f t="shared" si="102"/>
        <v>0</v>
      </c>
      <c r="CW84" s="104" t="s">
        <v>147</v>
      </c>
      <c r="CX84" s="105">
        <v>11</v>
      </c>
      <c r="CY84" s="106">
        <f t="shared" si="155"/>
        <v>3649</v>
      </c>
      <c r="CZ84" s="106">
        <f t="shared" si="156"/>
        <v>44.550000000000004</v>
      </c>
      <c r="DA84" s="106"/>
      <c r="DB84" s="106"/>
      <c r="DC84" s="105"/>
      <c r="DD84" s="107"/>
      <c r="DE84" s="92">
        <f t="shared" si="125"/>
        <v>1693</v>
      </c>
      <c r="DF84" s="108">
        <f t="shared" si="126"/>
        <v>7</v>
      </c>
      <c r="DG84" s="115">
        <f t="shared" si="127"/>
        <v>13.333333333333334</v>
      </c>
      <c r="DH84" s="110">
        <f t="shared" si="128"/>
        <v>1720</v>
      </c>
      <c r="DI84" s="108">
        <f t="shared" si="129"/>
        <v>7</v>
      </c>
      <c r="DJ84" s="112">
        <f t="shared" si="130"/>
        <v>40</v>
      </c>
      <c r="DK84" s="110">
        <f t="shared" si="86"/>
        <v>3413</v>
      </c>
      <c r="DL84" s="108">
        <f t="shared" si="86"/>
        <v>14</v>
      </c>
      <c r="DM84" s="111">
        <f t="shared" si="86"/>
        <v>53.333333333333336</v>
      </c>
      <c r="DN84" s="76">
        <v>22</v>
      </c>
      <c r="DO84" s="76"/>
      <c r="DP84" s="112"/>
      <c r="DQ84" s="112"/>
      <c r="DR84" s="113" t="s">
        <v>471</v>
      </c>
      <c r="DS84" s="112"/>
      <c r="DT84" s="112"/>
      <c r="DU84" s="111"/>
      <c r="DV84" s="114"/>
      <c r="DW84" s="80">
        <f t="shared" si="157"/>
        <v>3427</v>
      </c>
      <c r="DX84" s="81">
        <f t="shared" si="131"/>
        <v>3480.3333333333335</v>
      </c>
      <c r="DY84" s="80">
        <f t="shared" si="158"/>
        <v>3413</v>
      </c>
      <c r="DZ84" s="82">
        <f t="shared" si="159"/>
        <v>0</v>
      </c>
      <c r="EA84" s="82">
        <f t="shared" si="160"/>
        <v>0.51195000000000002</v>
      </c>
      <c r="EB84" s="82">
        <f t="shared" si="161"/>
        <v>2.3440499999999997</v>
      </c>
      <c r="EC84" s="82">
        <f t="shared" si="178"/>
        <v>2.3440499999999997</v>
      </c>
      <c r="EF84" s="83">
        <f t="shared" si="107"/>
        <v>53.333333333333336</v>
      </c>
    </row>
    <row r="85" spans="1:136" ht="15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2"/>
        <v>TVSUS303Cu-H15.87x2.5-H11B14</v>
      </c>
      <c r="H85" s="46" t="str">
        <f t="shared" si="133"/>
        <v>SUS303CuTV15.870HH11</v>
      </c>
      <c r="I85" s="46" t="str">
        <f t="shared" si="134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f>'05.02'!BG85</f>
        <v>0</v>
      </c>
      <c r="U85" s="92"/>
      <c r="V85" s="100">
        <v>27.35</v>
      </c>
      <c r="W85" s="93">
        <f t="shared" si="114"/>
        <v>0</v>
      </c>
      <c r="X85" s="93">
        <f t="shared" si="115"/>
        <v>0</v>
      </c>
      <c r="Y85" s="93">
        <f t="shared" si="116"/>
        <v>0</v>
      </c>
      <c r="Z85" s="93">
        <f t="shared" si="117"/>
        <v>0</v>
      </c>
      <c r="AA85" s="93">
        <f t="shared" si="118"/>
        <v>0</v>
      </c>
      <c r="AB85" s="93">
        <f t="shared" si="119"/>
        <v>0</v>
      </c>
      <c r="AC85" s="93">
        <f t="shared" si="120"/>
        <v>0</v>
      </c>
      <c r="AD85" s="93">
        <f t="shared" si="121"/>
        <v>0</v>
      </c>
      <c r="AE85" s="93">
        <f t="shared" si="136"/>
        <v>0</v>
      </c>
      <c r="AF85" s="54">
        <f>AE85+'06.02'!AF85</f>
        <v>0</v>
      </c>
      <c r="AG85" s="94">
        <f t="shared" si="162"/>
        <v>0</v>
      </c>
      <c r="AH85" s="56">
        <f t="shared" si="137"/>
        <v>0</v>
      </c>
      <c r="AI85" s="93"/>
      <c r="AJ85" s="93">
        <f t="shared" si="163"/>
        <v>0</v>
      </c>
      <c r="AK85" s="95">
        <f t="shared" si="138"/>
        <v>1</v>
      </c>
      <c r="AL85" s="58">
        <f t="shared" si="174"/>
        <v>0</v>
      </c>
      <c r="AM85" s="55">
        <f t="shared" si="164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39"/>
        <v>0</v>
      </c>
      <c r="AV85" s="96">
        <f t="shared" si="139"/>
        <v>0</v>
      </c>
      <c r="AW85" s="96">
        <f t="shared" si="140"/>
        <v>0</v>
      </c>
      <c r="AX85" s="96">
        <f t="shared" si="141"/>
        <v>0</v>
      </c>
      <c r="AY85" s="94">
        <f t="shared" si="165"/>
        <v>0</v>
      </c>
      <c r="AZ85" s="94">
        <f t="shared" si="142"/>
        <v>0</v>
      </c>
      <c r="BA85" s="94">
        <f t="shared" si="171"/>
        <v>0</v>
      </c>
      <c r="BB85" s="97">
        <f t="shared" si="172"/>
        <v>0</v>
      </c>
      <c r="BC85" s="93"/>
      <c r="BD85" s="93">
        <f t="shared" si="143"/>
        <v>0</v>
      </c>
      <c r="BE85" s="95">
        <f t="shared" si="144"/>
        <v>1</v>
      </c>
      <c r="BF85" s="58">
        <f t="shared" si="175"/>
        <v>0</v>
      </c>
      <c r="BG85" s="94">
        <f t="shared" si="145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6"/>
        <v>0</v>
      </c>
      <c r="BP85" s="92">
        <f t="shared" si="166"/>
        <v>0</v>
      </c>
      <c r="BQ85" s="96">
        <f t="shared" si="146"/>
        <v>0</v>
      </c>
      <c r="BR85" s="96">
        <f t="shared" si="147"/>
        <v>0</v>
      </c>
      <c r="BS85" s="96">
        <f t="shared" si="167"/>
        <v>0</v>
      </c>
      <c r="BT85" s="96">
        <f t="shared" si="148"/>
        <v>0</v>
      </c>
      <c r="BU85" s="92">
        <f t="shared" si="122"/>
        <v>0</v>
      </c>
      <c r="BV85" s="98">
        <f t="shared" si="168"/>
        <v>0</v>
      </c>
      <c r="BW85" s="92">
        <f t="shared" si="123"/>
        <v>0</v>
      </c>
      <c r="BX85" s="98">
        <f t="shared" si="149"/>
        <v>0</v>
      </c>
      <c r="BY85" s="61">
        <f t="shared" si="173"/>
        <v>0</v>
      </c>
      <c r="BZ85" s="62">
        <f t="shared" si="150"/>
        <v>0</v>
      </c>
      <c r="CA85" s="98">
        <f t="shared" si="151"/>
        <v>0</v>
      </c>
      <c r="CB85" s="92">
        <f t="shared" si="124"/>
        <v>0</v>
      </c>
      <c r="CC85" s="92">
        <f t="shared" si="124"/>
        <v>0</v>
      </c>
      <c r="CD85" s="92">
        <f t="shared" si="124"/>
        <v>0</v>
      </c>
      <c r="CE85" s="99"/>
      <c r="CF85" s="99"/>
      <c r="CG85" s="51">
        <f t="shared" si="152"/>
        <v>0</v>
      </c>
      <c r="CH85" s="62">
        <f t="shared" si="153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101"/>
        <v>0</v>
      </c>
      <c r="CR85" s="102">
        <f t="shared" si="101"/>
        <v>0</v>
      </c>
      <c r="CS85" s="102">
        <f t="shared" si="101"/>
        <v>0</v>
      </c>
      <c r="CT85" s="92">
        <f t="shared" si="154"/>
        <v>0</v>
      </c>
      <c r="CU85" s="92">
        <f t="shared" si="102"/>
        <v>0</v>
      </c>
      <c r="CV85" s="103">
        <f t="shared" si="102"/>
        <v>0</v>
      </c>
      <c r="CW85" s="104"/>
      <c r="CX85" s="105">
        <v>100</v>
      </c>
      <c r="CY85" s="106">
        <f t="shared" si="155"/>
        <v>414</v>
      </c>
      <c r="CZ85" s="106">
        <f t="shared" si="156"/>
        <v>810</v>
      </c>
      <c r="DA85" s="106"/>
      <c r="DB85" s="106"/>
      <c r="DC85" s="105"/>
      <c r="DD85" s="107"/>
      <c r="DE85" s="92">
        <f t="shared" si="125"/>
        <v>0</v>
      </c>
      <c r="DF85" s="108">
        <f t="shared" si="126"/>
        <v>0</v>
      </c>
      <c r="DG85" s="115">
        <f t="shared" si="127"/>
        <v>0</v>
      </c>
      <c r="DH85" s="110">
        <f t="shared" si="128"/>
        <v>0</v>
      </c>
      <c r="DI85" s="108">
        <f t="shared" si="129"/>
        <v>0</v>
      </c>
      <c r="DJ85" s="112">
        <f t="shared" si="130"/>
        <v>0</v>
      </c>
      <c r="DK85" s="110">
        <f t="shared" si="86"/>
        <v>0</v>
      </c>
      <c r="DL85" s="108">
        <f t="shared" si="86"/>
        <v>0</v>
      </c>
      <c r="DM85" s="111">
        <f t="shared" si="86"/>
        <v>0</v>
      </c>
      <c r="DN85" s="76">
        <f t="shared" si="89"/>
        <v>0</v>
      </c>
      <c r="DO85" s="76">
        <f t="shared" si="89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7"/>
        <v>0</v>
      </c>
      <c r="DX85" s="81">
        <f t="shared" si="131"/>
        <v>0</v>
      </c>
      <c r="DY85" s="80">
        <f t="shared" si="158"/>
        <v>0</v>
      </c>
      <c r="DZ85" s="82">
        <f t="shared" si="159"/>
        <v>0</v>
      </c>
      <c r="EA85" s="82">
        <f t="shared" si="160"/>
        <v>0</v>
      </c>
      <c r="EB85" s="82">
        <f t="shared" si="161"/>
        <v>0</v>
      </c>
      <c r="EC85" s="82">
        <f t="shared" ref="EC85:EC86" si="180">(BX85-CA85)+((AV85+BP85)/1000)</f>
        <v>0</v>
      </c>
      <c r="EF85" s="83">
        <f t="shared" si="107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2"/>
        <v>TVSUS303Cu-24x2.5-H9A15</v>
      </c>
      <c r="H86" s="46" t="str">
        <f t="shared" si="133"/>
        <v>SUS303CuTV240DH9</v>
      </c>
      <c r="I86" s="46" t="str">
        <f t="shared" si="134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5"/>
        <v>16</v>
      </c>
      <c r="T86" s="51">
        <f>'06.02'!BG86</f>
        <v>8</v>
      </c>
      <c r="U86" s="92"/>
      <c r="V86" s="100">
        <v>59.75</v>
      </c>
      <c r="W86" s="93">
        <f t="shared" si="114"/>
        <v>174</v>
      </c>
      <c r="X86" s="93">
        <f t="shared" si="115"/>
        <v>0</v>
      </c>
      <c r="Y86" s="93">
        <f t="shared" si="116"/>
        <v>0</v>
      </c>
      <c r="Z86" s="93">
        <f t="shared" si="117"/>
        <v>0</v>
      </c>
      <c r="AA86" s="93">
        <f t="shared" si="118"/>
        <v>0</v>
      </c>
      <c r="AB86" s="93">
        <f t="shared" si="119"/>
        <v>0</v>
      </c>
      <c r="AC86" s="93">
        <f t="shared" si="120"/>
        <v>0</v>
      </c>
      <c r="AD86" s="93">
        <f t="shared" si="121"/>
        <v>0</v>
      </c>
      <c r="AE86" s="93">
        <f t="shared" si="136"/>
        <v>174</v>
      </c>
      <c r="AF86" s="54">
        <f>AE86+'06.02'!AF86</f>
        <v>1019</v>
      </c>
      <c r="AG86" s="94">
        <f t="shared" si="162"/>
        <v>8</v>
      </c>
      <c r="AH86" s="56">
        <f t="shared" si="137"/>
        <v>0</v>
      </c>
      <c r="AI86" s="93">
        <v>2</v>
      </c>
      <c r="AJ86" s="93">
        <f t="shared" si="163"/>
        <v>2390</v>
      </c>
      <c r="AK86" s="95">
        <f t="shared" si="138"/>
        <v>0.625</v>
      </c>
      <c r="AL86" s="58">
        <f t="shared" si="174"/>
        <v>1.6300000000000001</v>
      </c>
      <c r="AM86" s="55">
        <f t="shared" si="164"/>
        <v>6.37</v>
      </c>
      <c r="AN86" s="93"/>
      <c r="AO86" s="96">
        <f>$CJ86</f>
        <v>5437.25</v>
      </c>
      <c r="AP86" s="96"/>
      <c r="AQ86" s="96"/>
      <c r="AR86" s="96"/>
      <c r="AS86" s="96"/>
      <c r="AT86" s="96"/>
      <c r="AU86" s="96">
        <f t="shared" si="139"/>
        <v>0</v>
      </c>
      <c r="AV86" s="96">
        <f t="shared" si="139"/>
        <v>0</v>
      </c>
      <c r="AW86" s="96">
        <f t="shared" si="140"/>
        <v>5437.25</v>
      </c>
      <c r="AX86" s="96">
        <f t="shared" si="141"/>
        <v>91</v>
      </c>
      <c r="AY86" s="94">
        <f t="shared" si="165"/>
        <v>-795.8700000000008</v>
      </c>
      <c r="AZ86" s="94">
        <f t="shared" si="142"/>
        <v>-13.320000000000013</v>
      </c>
      <c r="BA86" s="94">
        <f t="shared" si="171"/>
        <v>6.37</v>
      </c>
      <c r="BB86" s="97">
        <f t="shared" si="172"/>
        <v>0.37</v>
      </c>
      <c r="BC86" s="93">
        <v>1</v>
      </c>
      <c r="BD86" s="93">
        <f t="shared" si="143"/>
        <v>0</v>
      </c>
      <c r="BE86" s="95">
        <f t="shared" si="144"/>
        <v>1</v>
      </c>
      <c r="BF86" s="58">
        <f t="shared" si="175"/>
        <v>1.37</v>
      </c>
      <c r="BG86" s="94">
        <f t="shared" si="145"/>
        <v>5</v>
      </c>
      <c r="BH86" s="89"/>
      <c r="BI86" s="92">
        <f>$CN86</f>
        <v>4959.25</v>
      </c>
      <c r="BJ86" s="92"/>
      <c r="BK86" s="89"/>
      <c r="BL86" s="89"/>
      <c r="BM86" s="89"/>
      <c r="BN86" s="89"/>
      <c r="BO86" s="92">
        <f t="shared" si="166"/>
        <v>0</v>
      </c>
      <c r="BP86" s="92">
        <f t="shared" si="166"/>
        <v>0</v>
      </c>
      <c r="BQ86" s="96">
        <f t="shared" si="146"/>
        <v>4959.25</v>
      </c>
      <c r="BR86" s="96">
        <f t="shared" si="147"/>
        <v>83</v>
      </c>
      <c r="BS86" s="96">
        <f t="shared" si="167"/>
        <v>-279.63000000000011</v>
      </c>
      <c r="BT86" s="96">
        <f t="shared" si="148"/>
        <v>-4.6800000000000015</v>
      </c>
      <c r="BU86" s="92">
        <f t="shared" si="122"/>
        <v>174</v>
      </c>
      <c r="BV86" s="98">
        <f t="shared" si="168"/>
        <v>3</v>
      </c>
      <c r="BW86" s="92">
        <f t="shared" si="123"/>
        <v>-18.000000000000014</v>
      </c>
      <c r="BX86" s="98">
        <f t="shared" si="149"/>
        <v>27.150000000000002</v>
      </c>
      <c r="BY86" s="61">
        <f t="shared" si="173"/>
        <v>3</v>
      </c>
      <c r="BZ86" s="62">
        <f t="shared" si="150"/>
        <v>3</v>
      </c>
      <c r="CA86" s="98">
        <f t="shared" si="151"/>
        <v>10.3965</v>
      </c>
      <c r="CB86" s="92">
        <f t="shared" si="124"/>
        <v>174</v>
      </c>
      <c r="CC86" s="92">
        <f t="shared" si="124"/>
        <v>-1075.5000000000009</v>
      </c>
      <c r="CD86" s="92">
        <f t="shared" si="124"/>
        <v>-18.000000000000014</v>
      </c>
      <c r="CE86" s="99"/>
      <c r="CF86" s="99"/>
      <c r="CG86" s="51">
        <f t="shared" si="152"/>
        <v>16.753500000000003</v>
      </c>
      <c r="CH86" s="62">
        <f t="shared" si="153"/>
        <v>16.753500000000003</v>
      </c>
      <c r="CI86" s="89">
        <f>40*59.75</f>
        <v>2390</v>
      </c>
      <c r="CJ86" s="89">
        <f>91*59.75</f>
        <v>5437.25</v>
      </c>
      <c r="CK86" s="89"/>
      <c r="CL86" s="96"/>
      <c r="CM86" s="89"/>
      <c r="CN86" s="89">
        <f>83*59.75</f>
        <v>4959.25</v>
      </c>
      <c r="CO86" s="92"/>
      <c r="CP86" s="101"/>
      <c r="CQ86" s="102">
        <f t="shared" si="101"/>
        <v>91</v>
      </c>
      <c r="CR86" s="102">
        <f t="shared" si="101"/>
        <v>0</v>
      </c>
      <c r="CS86" s="102">
        <f t="shared" si="101"/>
        <v>0</v>
      </c>
      <c r="CT86" s="92">
        <f t="shared" si="154"/>
        <v>83</v>
      </c>
      <c r="CU86" s="92">
        <f t="shared" si="102"/>
        <v>0</v>
      </c>
      <c r="CV86" s="103">
        <f t="shared" si="102"/>
        <v>0</v>
      </c>
      <c r="CW86" s="104"/>
      <c r="CX86" s="105">
        <v>80</v>
      </c>
      <c r="CY86" s="106">
        <f t="shared" si="155"/>
        <v>506</v>
      </c>
      <c r="CZ86" s="106">
        <f t="shared" si="156"/>
        <v>648</v>
      </c>
      <c r="DA86" s="106"/>
      <c r="DB86" s="106"/>
      <c r="DC86" s="105"/>
      <c r="DD86" s="107"/>
      <c r="DE86" s="92">
        <f t="shared" si="125"/>
        <v>91</v>
      </c>
      <c r="DF86" s="108">
        <f t="shared" si="126"/>
        <v>1.6300000000000001</v>
      </c>
      <c r="DG86" s="115">
        <f t="shared" si="127"/>
        <v>-13.320000000000013</v>
      </c>
      <c r="DH86" s="110">
        <f t="shared" si="128"/>
        <v>83</v>
      </c>
      <c r="DI86" s="108">
        <f t="shared" si="129"/>
        <v>1.37</v>
      </c>
      <c r="DJ86" s="112">
        <f t="shared" si="130"/>
        <v>-4.6800000000000015</v>
      </c>
      <c r="DK86" s="110">
        <f t="shared" si="86"/>
        <v>174</v>
      </c>
      <c r="DL86" s="108">
        <f t="shared" si="86"/>
        <v>3</v>
      </c>
      <c r="DM86" s="111">
        <f t="shared" si="86"/>
        <v>-18.000000000000014</v>
      </c>
      <c r="DN86" s="76">
        <v>5</v>
      </c>
      <c r="DO86" s="76"/>
      <c r="DP86" s="112"/>
      <c r="DQ86" s="112"/>
      <c r="DR86" s="113" t="s">
        <v>472</v>
      </c>
      <c r="DS86" s="112"/>
      <c r="DT86" s="112"/>
      <c r="DU86" s="111"/>
      <c r="DV86" s="114"/>
      <c r="DW86" s="80">
        <f>IFERROR(AL86+BF86,"")</f>
        <v>3</v>
      </c>
      <c r="DX86" s="81">
        <f t="shared" si="131"/>
        <v>159</v>
      </c>
      <c r="DY86" s="80">
        <f t="shared" si="158"/>
        <v>174</v>
      </c>
      <c r="DZ86" s="82">
        <f t="shared" si="159"/>
        <v>0</v>
      </c>
      <c r="EA86" s="82">
        <f t="shared" si="160"/>
        <v>10.3965</v>
      </c>
      <c r="EB86" s="82">
        <f t="shared" si="161"/>
        <v>16.753500000000003</v>
      </c>
      <c r="EC86" s="82">
        <f t="shared" si="180"/>
        <v>16.753500000000003</v>
      </c>
      <c r="EF86" s="83">
        <f t="shared" si="107"/>
        <v>-18.000000000000014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2"/>
        <v>TVSUS303-7.5x2.5-H9A14</v>
      </c>
      <c r="H87" s="46" t="str">
        <f t="shared" si="133"/>
        <v>SUS303TV7.50DH9</v>
      </c>
      <c r="I87" s="46" t="str">
        <f t="shared" si="134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5"/>
        <v>2</v>
      </c>
      <c r="T87" s="51">
        <f>'06.02'!BG87</f>
        <v>11.48</v>
      </c>
      <c r="U87" s="92"/>
      <c r="V87" s="100">
        <v>0.7</v>
      </c>
      <c r="W87" s="93">
        <f t="shared" si="114"/>
        <v>0</v>
      </c>
      <c r="X87" s="93">
        <f t="shared" si="115"/>
        <v>0</v>
      </c>
      <c r="Y87" s="93">
        <f t="shared" si="116"/>
        <v>0</v>
      </c>
      <c r="Z87" s="93">
        <f t="shared" si="117"/>
        <v>0</v>
      </c>
      <c r="AA87" s="93">
        <f t="shared" si="118"/>
        <v>0</v>
      </c>
      <c r="AB87" s="93">
        <f t="shared" si="119"/>
        <v>870</v>
      </c>
      <c r="AC87" s="93">
        <f t="shared" si="120"/>
        <v>0</v>
      </c>
      <c r="AD87" s="93">
        <f t="shared" si="121"/>
        <v>0</v>
      </c>
      <c r="AE87" s="93">
        <f t="shared" si="136"/>
        <v>870</v>
      </c>
      <c r="AF87" s="54">
        <f>AE87+'06.02'!AF87</f>
        <v>5658</v>
      </c>
      <c r="AG87" s="94">
        <f t="shared" si="162"/>
        <v>11.48</v>
      </c>
      <c r="AH87" s="56">
        <f t="shared" si="137"/>
        <v>0.48</v>
      </c>
      <c r="AI87" s="93">
        <v>2</v>
      </c>
      <c r="AJ87" s="93">
        <f t="shared" si="163"/>
        <v>0</v>
      </c>
      <c r="AK87" s="95">
        <f t="shared" si="138"/>
        <v>1</v>
      </c>
      <c r="AL87" s="58">
        <f t="shared" si="174"/>
        <v>2.48</v>
      </c>
      <c r="AM87" s="55">
        <f t="shared" si="164"/>
        <v>9</v>
      </c>
      <c r="AN87" s="93"/>
      <c r="AO87" s="96"/>
      <c r="AP87" s="96"/>
      <c r="AQ87" s="96"/>
      <c r="AR87" s="96"/>
      <c r="AS87" s="96"/>
      <c r="AT87" s="96">
        <f>$CJ87</f>
        <v>304</v>
      </c>
      <c r="AU87" s="96">
        <f t="shared" si="139"/>
        <v>0</v>
      </c>
      <c r="AV87" s="96">
        <f t="shared" si="139"/>
        <v>0</v>
      </c>
      <c r="AW87" s="96">
        <f t="shared" si="140"/>
        <v>304</v>
      </c>
      <c r="AX87" s="96">
        <f t="shared" si="141"/>
        <v>434</v>
      </c>
      <c r="AY87" s="94">
        <f t="shared" si="165"/>
        <v>-84.863999999999976</v>
      </c>
      <c r="AZ87" s="94">
        <f t="shared" si="142"/>
        <v>-121.23428571428569</v>
      </c>
      <c r="BA87" s="94">
        <f t="shared" si="171"/>
        <v>9</v>
      </c>
      <c r="BB87" s="97">
        <f t="shared" si="172"/>
        <v>0</v>
      </c>
      <c r="BC87" s="93">
        <v>2</v>
      </c>
      <c r="BD87" s="93">
        <f t="shared" si="143"/>
        <v>0</v>
      </c>
      <c r="BE87" s="95">
        <f t="shared" si="144"/>
        <v>1</v>
      </c>
      <c r="BF87" s="58">
        <f t="shared" si="175"/>
        <v>2</v>
      </c>
      <c r="BG87" s="94">
        <f t="shared" si="145"/>
        <v>7</v>
      </c>
      <c r="BH87" s="89"/>
      <c r="BI87" s="89"/>
      <c r="BJ87" s="92"/>
      <c r="BK87" s="89"/>
      <c r="BL87" s="89"/>
      <c r="BM87" s="89"/>
      <c r="BN87" s="92">
        <f>$CN87</f>
        <v>305</v>
      </c>
      <c r="BO87" s="92">
        <f t="shared" si="166"/>
        <v>0</v>
      </c>
      <c r="BP87" s="92">
        <f t="shared" si="166"/>
        <v>0</v>
      </c>
      <c r="BQ87" s="96">
        <f t="shared" si="146"/>
        <v>305</v>
      </c>
      <c r="BR87" s="96">
        <f t="shared" si="147"/>
        <v>435</v>
      </c>
      <c r="BS87" s="96">
        <f t="shared" si="167"/>
        <v>-8.5999999999999659</v>
      </c>
      <c r="BT87" s="96">
        <f t="shared" si="148"/>
        <v>-12.285714285714239</v>
      </c>
      <c r="BU87" s="92">
        <f t="shared" si="122"/>
        <v>870</v>
      </c>
      <c r="BV87" s="98">
        <f t="shared" si="168"/>
        <v>4.4800000000000004</v>
      </c>
      <c r="BW87" s="92">
        <f t="shared" si="123"/>
        <v>-133.51999999999992</v>
      </c>
      <c r="BX87" s="98">
        <f t="shared" si="149"/>
        <v>2.4819200000000006</v>
      </c>
      <c r="BY87" s="61">
        <f t="shared" si="173"/>
        <v>4.4800000000000004</v>
      </c>
      <c r="BZ87" s="62">
        <f t="shared" si="150"/>
        <v>4.4800000000000004</v>
      </c>
      <c r="CA87" s="98">
        <f t="shared" si="151"/>
        <v>0.60899999999999999</v>
      </c>
      <c r="CB87" s="92">
        <f t="shared" si="124"/>
        <v>869</v>
      </c>
      <c r="CC87" s="92">
        <f t="shared" si="124"/>
        <v>-93.463999999999942</v>
      </c>
      <c r="CD87" s="92">
        <f t="shared" si="124"/>
        <v>-133.51999999999992</v>
      </c>
      <c r="CE87" s="99"/>
      <c r="CF87" s="99"/>
      <c r="CG87" s="51">
        <f t="shared" si="152"/>
        <v>1.8729200000000006</v>
      </c>
      <c r="CH87" s="62">
        <f t="shared" si="153"/>
        <v>1.8729200000000006</v>
      </c>
      <c r="CI87" s="89"/>
      <c r="CJ87" s="89">
        <v>304</v>
      </c>
      <c r="CK87" s="89"/>
      <c r="CL87" s="96"/>
      <c r="CM87" s="89"/>
      <c r="CN87" s="89">
        <v>305</v>
      </c>
      <c r="CO87" s="92"/>
      <c r="CP87" s="101"/>
      <c r="CQ87" s="102">
        <f t="shared" si="101"/>
        <v>434</v>
      </c>
      <c r="CR87" s="102">
        <f t="shared" si="101"/>
        <v>0</v>
      </c>
      <c r="CS87" s="102">
        <f t="shared" si="101"/>
        <v>0</v>
      </c>
      <c r="CT87" s="92">
        <f t="shared" si="154"/>
        <v>436</v>
      </c>
      <c r="CU87" s="92">
        <f t="shared" si="102"/>
        <v>0</v>
      </c>
      <c r="CV87" s="103">
        <f t="shared" si="102"/>
        <v>0</v>
      </c>
      <c r="CW87" s="104"/>
      <c r="CX87" s="105">
        <v>134</v>
      </c>
      <c r="CY87" s="106">
        <f t="shared" si="155"/>
        <v>317</v>
      </c>
      <c r="CZ87" s="106">
        <f t="shared" si="156"/>
        <v>1085.4000000000001</v>
      </c>
      <c r="DA87" s="106"/>
      <c r="DB87" s="106"/>
      <c r="DC87" s="105"/>
      <c r="DD87" s="107"/>
      <c r="DE87" s="92">
        <f t="shared" si="125"/>
        <v>434</v>
      </c>
      <c r="DF87" s="108">
        <f t="shared" si="126"/>
        <v>2.48</v>
      </c>
      <c r="DG87" s="115">
        <f t="shared" si="127"/>
        <v>-121.23428571428569</v>
      </c>
      <c r="DH87" s="110">
        <f t="shared" si="128"/>
        <v>436</v>
      </c>
      <c r="DI87" s="108">
        <f t="shared" si="129"/>
        <v>2</v>
      </c>
      <c r="DJ87" s="112">
        <f t="shared" si="130"/>
        <v>-12.285714285714239</v>
      </c>
      <c r="DK87" s="110">
        <f t="shared" si="86"/>
        <v>870</v>
      </c>
      <c r="DL87" s="108">
        <f t="shared" si="86"/>
        <v>4.4800000000000004</v>
      </c>
      <c r="DM87" s="111">
        <f t="shared" si="86"/>
        <v>-133.51999999999992</v>
      </c>
      <c r="DN87" s="76">
        <v>7</v>
      </c>
      <c r="DO87" s="76"/>
      <c r="DP87" s="112"/>
      <c r="DQ87" s="112"/>
      <c r="DR87" s="113" t="s">
        <v>473</v>
      </c>
      <c r="DS87" s="112"/>
      <c r="DT87" s="112"/>
      <c r="DU87" s="111"/>
      <c r="DV87" s="114"/>
      <c r="DW87" s="80">
        <f t="shared" si="157"/>
        <v>874.48</v>
      </c>
      <c r="DX87" s="81">
        <f t="shared" si="131"/>
        <v>740.96</v>
      </c>
      <c r="DY87" s="80">
        <f t="shared" si="158"/>
        <v>870</v>
      </c>
      <c r="DZ87" s="82">
        <f t="shared" si="159"/>
        <v>0</v>
      </c>
      <c r="EA87" s="82">
        <f t="shared" si="160"/>
        <v>0.60899999999999999</v>
      </c>
      <c r="EB87" s="82">
        <f t="shared" si="161"/>
        <v>1.8729200000000006</v>
      </c>
      <c r="EC87" s="82">
        <f t="shared" si="178"/>
        <v>1.8729200000000006</v>
      </c>
      <c r="EF87" s="83">
        <f t="shared" si="107"/>
        <v>-133.51999999999992</v>
      </c>
    </row>
    <row r="88" spans="1:136" ht="15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2"/>
        <v>MESUS303-8x3-H7C14</v>
      </c>
      <c r="H88" s="46" t="str">
        <f t="shared" si="133"/>
        <v>SUS303ME80DH7</v>
      </c>
      <c r="I88" s="46" t="str">
        <f t="shared" si="134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5"/>
        <v>22</v>
      </c>
      <c r="T88" s="51">
        <f>'05.02'!BG88</f>
        <v>0</v>
      </c>
      <c r="U88" s="92"/>
      <c r="V88" s="100">
        <v>15.11</v>
      </c>
      <c r="W88" s="93">
        <f t="shared" si="114"/>
        <v>0</v>
      </c>
      <c r="X88" s="93">
        <f t="shared" si="115"/>
        <v>0</v>
      </c>
      <c r="Y88" s="93">
        <f t="shared" si="116"/>
        <v>0</v>
      </c>
      <c r="Z88" s="93">
        <f t="shared" si="117"/>
        <v>0</v>
      </c>
      <c r="AA88" s="93">
        <f t="shared" si="118"/>
        <v>0</v>
      </c>
      <c r="AB88" s="93">
        <f t="shared" si="119"/>
        <v>0</v>
      </c>
      <c r="AC88" s="93">
        <f t="shared" si="120"/>
        <v>0</v>
      </c>
      <c r="AD88" s="93">
        <f t="shared" si="121"/>
        <v>0</v>
      </c>
      <c r="AE88" s="93">
        <f t="shared" si="136"/>
        <v>0</v>
      </c>
      <c r="AF88" s="54">
        <f>AE88+'06.02'!AF88</f>
        <v>0</v>
      </c>
      <c r="AG88" s="94">
        <f t="shared" si="162"/>
        <v>0</v>
      </c>
      <c r="AH88" s="56">
        <f t="shared" si="137"/>
        <v>0</v>
      </c>
      <c r="AI88" s="93"/>
      <c r="AJ88" s="93">
        <f t="shared" si="163"/>
        <v>0</v>
      </c>
      <c r="AK88" s="95">
        <f t="shared" si="138"/>
        <v>1</v>
      </c>
      <c r="AL88" s="58">
        <f t="shared" si="174"/>
        <v>0</v>
      </c>
      <c r="AM88" s="55">
        <f t="shared" si="164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39"/>
        <v>0</v>
      </c>
      <c r="AV88" s="96">
        <f t="shared" si="139"/>
        <v>0</v>
      </c>
      <c r="AW88" s="96">
        <f t="shared" si="140"/>
        <v>0</v>
      </c>
      <c r="AX88" s="96">
        <f t="shared" si="141"/>
        <v>0</v>
      </c>
      <c r="AY88" s="94">
        <f t="shared" si="165"/>
        <v>0</v>
      </c>
      <c r="AZ88" s="94">
        <f t="shared" si="142"/>
        <v>0</v>
      </c>
      <c r="BA88" s="94">
        <f t="shared" si="171"/>
        <v>0</v>
      </c>
      <c r="BB88" s="97">
        <f t="shared" si="172"/>
        <v>0</v>
      </c>
      <c r="BC88" s="93"/>
      <c r="BD88" s="93">
        <f t="shared" si="143"/>
        <v>0</v>
      </c>
      <c r="BE88" s="95">
        <f t="shared" si="144"/>
        <v>1</v>
      </c>
      <c r="BF88" s="58">
        <f t="shared" si="175"/>
        <v>0</v>
      </c>
      <c r="BG88" s="94">
        <f t="shared" si="145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6"/>
        <v>0</v>
      </c>
      <c r="BP88" s="92">
        <f t="shared" si="166"/>
        <v>0</v>
      </c>
      <c r="BQ88" s="96">
        <f t="shared" si="146"/>
        <v>0</v>
      </c>
      <c r="BR88" s="96">
        <f t="shared" si="147"/>
        <v>0</v>
      </c>
      <c r="BS88" s="96">
        <f t="shared" si="167"/>
        <v>0</v>
      </c>
      <c r="BT88" s="96">
        <f t="shared" si="148"/>
        <v>0</v>
      </c>
      <c r="BU88" s="92">
        <f t="shared" si="122"/>
        <v>0</v>
      </c>
      <c r="BV88" s="98">
        <f t="shared" si="168"/>
        <v>0</v>
      </c>
      <c r="BW88" s="92">
        <f t="shared" si="123"/>
        <v>0</v>
      </c>
      <c r="BX88" s="98">
        <f t="shared" si="149"/>
        <v>0</v>
      </c>
      <c r="BY88" s="61">
        <f t="shared" si="173"/>
        <v>0</v>
      </c>
      <c r="BZ88" s="62">
        <f t="shared" si="150"/>
        <v>0</v>
      </c>
      <c r="CA88" s="98">
        <f t="shared" si="151"/>
        <v>0</v>
      </c>
      <c r="CB88" s="92">
        <f t="shared" si="124"/>
        <v>0</v>
      </c>
      <c r="CC88" s="92">
        <f t="shared" si="124"/>
        <v>0</v>
      </c>
      <c r="CD88" s="92">
        <f t="shared" si="124"/>
        <v>0</v>
      </c>
      <c r="CE88" s="99"/>
      <c r="CF88" s="99"/>
      <c r="CG88" s="51">
        <f t="shared" si="152"/>
        <v>0</v>
      </c>
      <c r="CH88" s="62">
        <f t="shared" si="153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101"/>
        <v>0</v>
      </c>
      <c r="CR88" s="102">
        <f t="shared" si="101"/>
        <v>0</v>
      </c>
      <c r="CS88" s="102">
        <f t="shared" si="101"/>
        <v>0</v>
      </c>
      <c r="CT88" s="92">
        <f t="shared" si="154"/>
        <v>0</v>
      </c>
      <c r="CU88" s="92">
        <f t="shared" si="102"/>
        <v>0</v>
      </c>
      <c r="CV88" s="103">
        <f t="shared" si="102"/>
        <v>0</v>
      </c>
      <c r="CW88" s="104"/>
      <c r="CX88" s="105">
        <v>61</v>
      </c>
      <c r="CY88" s="106">
        <f t="shared" si="155"/>
        <v>649</v>
      </c>
      <c r="CZ88" s="106">
        <f t="shared" si="156"/>
        <v>494.1</v>
      </c>
      <c r="DA88" s="106"/>
      <c r="DB88" s="106"/>
      <c r="DC88" s="105"/>
      <c r="DD88" s="107"/>
      <c r="DE88" s="92">
        <f t="shared" si="125"/>
        <v>0</v>
      </c>
      <c r="DF88" s="108">
        <f t="shared" si="126"/>
        <v>0</v>
      </c>
      <c r="DG88" s="115">
        <f t="shared" si="127"/>
        <v>0</v>
      </c>
      <c r="DH88" s="110">
        <f t="shared" si="128"/>
        <v>0</v>
      </c>
      <c r="DI88" s="108">
        <f t="shared" si="129"/>
        <v>0</v>
      </c>
      <c r="DJ88" s="112">
        <f t="shared" si="130"/>
        <v>0</v>
      </c>
      <c r="DK88" s="110">
        <f t="shared" ref="DK88:DM106" si="181">IFERROR(DE88+DH88,"")</f>
        <v>0</v>
      </c>
      <c r="DL88" s="108">
        <f t="shared" si="181"/>
        <v>0</v>
      </c>
      <c r="DM88" s="111">
        <f t="shared" si="181"/>
        <v>0</v>
      </c>
      <c r="DN88" s="76">
        <f t="shared" si="89"/>
        <v>0</v>
      </c>
      <c r="DO88" s="76">
        <f t="shared" si="89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7"/>
        <v>0</v>
      </c>
      <c r="DX88" s="81">
        <f t="shared" si="131"/>
        <v>0</v>
      </c>
      <c r="DY88" s="80">
        <f t="shared" si="158"/>
        <v>0</v>
      </c>
      <c r="DZ88" s="82">
        <f t="shared" si="159"/>
        <v>0</v>
      </c>
      <c r="EA88" s="82">
        <f t="shared" si="160"/>
        <v>0</v>
      </c>
      <c r="EB88" s="82">
        <f t="shared" si="161"/>
        <v>0</v>
      </c>
      <c r="EC88" s="82">
        <f t="shared" si="178"/>
        <v>0</v>
      </c>
      <c r="EF88" s="83">
        <f t="shared" si="107"/>
        <v>0</v>
      </c>
    </row>
    <row r="89" spans="1:136" ht="15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2"/>
        <v>-xx-</v>
      </c>
      <c r="H89" s="46" t="str">
        <f t="shared" si="133"/>
        <v/>
      </c>
      <c r="I89" s="46" t="str">
        <f t="shared" si="134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5"/>
        <v>#DIV/0!</v>
      </c>
      <c r="T89" s="51">
        <f>'05.02'!BG89</f>
        <v>0</v>
      </c>
      <c r="U89" s="92"/>
      <c r="V89" s="100">
        <v>1</v>
      </c>
      <c r="W89" s="93">
        <f t="shared" si="114"/>
        <v>0</v>
      </c>
      <c r="X89" s="93">
        <f t="shared" si="115"/>
        <v>0</v>
      </c>
      <c r="Y89" s="93">
        <f t="shared" si="116"/>
        <v>0</v>
      </c>
      <c r="Z89" s="93">
        <f t="shared" si="117"/>
        <v>0</v>
      </c>
      <c r="AA89" s="93">
        <f t="shared" si="118"/>
        <v>0</v>
      </c>
      <c r="AB89" s="93">
        <f t="shared" si="119"/>
        <v>0</v>
      </c>
      <c r="AC89" s="93">
        <f t="shared" si="120"/>
        <v>0</v>
      </c>
      <c r="AD89" s="93">
        <f t="shared" si="121"/>
        <v>0</v>
      </c>
      <c r="AE89" s="93">
        <f t="shared" si="136"/>
        <v>0</v>
      </c>
      <c r="AF89" s="54">
        <f>AE89+'06.02'!AF89</f>
        <v>0</v>
      </c>
      <c r="AG89" s="94">
        <f t="shared" si="162"/>
        <v>0</v>
      </c>
      <c r="AH89" s="56">
        <f t="shared" si="137"/>
        <v>0</v>
      </c>
      <c r="AI89" s="93"/>
      <c r="AJ89" s="93">
        <f t="shared" si="163"/>
        <v>0</v>
      </c>
      <c r="AK89" s="95">
        <f t="shared" si="138"/>
        <v>1</v>
      </c>
      <c r="AL89" s="58">
        <f t="shared" si="174"/>
        <v>0</v>
      </c>
      <c r="AM89" s="55">
        <f t="shared" si="164"/>
        <v>0</v>
      </c>
      <c r="AN89" s="93"/>
      <c r="AO89" s="96"/>
      <c r="AP89" s="96"/>
      <c r="AQ89" s="96"/>
      <c r="AR89" s="96"/>
      <c r="AS89" s="96"/>
      <c r="AT89" s="96"/>
      <c r="AU89" s="96">
        <f t="shared" si="139"/>
        <v>0</v>
      </c>
      <c r="AV89" s="96">
        <f t="shared" si="139"/>
        <v>0</v>
      </c>
      <c r="AW89" s="96">
        <f t="shared" si="140"/>
        <v>0</v>
      </c>
      <c r="AX89" s="96">
        <f t="shared" si="141"/>
        <v>0</v>
      </c>
      <c r="AY89" s="94">
        <f t="shared" si="165"/>
        <v>0</v>
      </c>
      <c r="AZ89" s="94">
        <f t="shared" si="142"/>
        <v>0</v>
      </c>
      <c r="BA89" s="94">
        <f t="shared" si="171"/>
        <v>0</v>
      </c>
      <c r="BB89" s="97">
        <f t="shared" si="172"/>
        <v>0</v>
      </c>
      <c r="BC89" s="93"/>
      <c r="BD89" s="93">
        <f t="shared" si="143"/>
        <v>0</v>
      </c>
      <c r="BE89" s="95">
        <f t="shared" si="144"/>
        <v>1</v>
      </c>
      <c r="BF89" s="58">
        <f t="shared" si="175"/>
        <v>0</v>
      </c>
      <c r="BG89" s="94">
        <f t="shared" si="145"/>
        <v>0</v>
      </c>
      <c r="BH89" s="89"/>
      <c r="BI89" s="89"/>
      <c r="BJ89" s="89"/>
      <c r="BK89" s="89"/>
      <c r="BL89" s="89"/>
      <c r="BM89" s="89"/>
      <c r="BN89" s="89"/>
      <c r="BO89" s="92">
        <f t="shared" si="166"/>
        <v>0</v>
      </c>
      <c r="BP89" s="92">
        <f t="shared" si="166"/>
        <v>0</v>
      </c>
      <c r="BQ89" s="96">
        <f t="shared" si="146"/>
        <v>0</v>
      </c>
      <c r="BR89" s="96">
        <f>IF(AA89="","",INT(BQ89/$V89))</f>
        <v>0</v>
      </c>
      <c r="BS89" s="96">
        <f t="shared" si="167"/>
        <v>0</v>
      </c>
      <c r="BT89" s="96">
        <f t="shared" si="148"/>
        <v>0</v>
      </c>
      <c r="BU89" s="92">
        <f t="shared" si="122"/>
        <v>0</v>
      </c>
      <c r="BV89" s="98">
        <f t="shared" si="168"/>
        <v>0</v>
      </c>
      <c r="BW89" s="92">
        <f t="shared" si="123"/>
        <v>0</v>
      </c>
      <c r="BX89" s="98" t="str">
        <f t="shared" si="149"/>
        <v/>
      </c>
      <c r="BY89" s="61">
        <f t="shared" si="173"/>
        <v>0</v>
      </c>
      <c r="BZ89" s="62">
        <f t="shared" si="150"/>
        <v>0</v>
      </c>
      <c r="CA89" s="98">
        <f t="shared" si="151"/>
        <v>0</v>
      </c>
      <c r="CB89" s="92">
        <f t="shared" si="124"/>
        <v>0</v>
      </c>
      <c r="CC89" s="92">
        <f t="shared" si="124"/>
        <v>0</v>
      </c>
      <c r="CD89" s="92">
        <f t="shared" si="124"/>
        <v>0</v>
      </c>
      <c r="CE89" s="99"/>
      <c r="CF89" s="99"/>
      <c r="CG89" s="51">
        <f t="shared" si="152"/>
        <v>0</v>
      </c>
      <c r="CH89" s="62">
        <f t="shared" si="153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101"/>
        <v>0</v>
      </c>
      <c r="CR89" s="102">
        <f t="shared" si="101"/>
        <v>0</v>
      </c>
      <c r="CS89" s="102">
        <f t="shared" si="101"/>
        <v>0</v>
      </c>
      <c r="CT89" s="92">
        <f t="shared" si="154"/>
        <v>0</v>
      </c>
      <c r="CU89" s="92">
        <f t="shared" si="102"/>
        <v>0</v>
      </c>
      <c r="CV89" s="103">
        <f t="shared" si="102"/>
        <v>0</v>
      </c>
      <c r="CW89" s="104"/>
      <c r="CX89" s="105"/>
      <c r="CY89" s="106" t="e">
        <f t="shared" si="155"/>
        <v>#DIV/0!</v>
      </c>
      <c r="CZ89" s="106">
        <f t="shared" si="156"/>
        <v>0</v>
      </c>
      <c r="DA89" s="106"/>
      <c r="DB89" s="106"/>
      <c r="DC89" s="105"/>
      <c r="DD89" s="107"/>
      <c r="DE89" s="92">
        <f t="shared" si="125"/>
        <v>0</v>
      </c>
      <c r="DF89" s="108">
        <f t="shared" si="126"/>
        <v>0</v>
      </c>
      <c r="DG89" s="115">
        <f t="shared" si="127"/>
        <v>0</v>
      </c>
      <c r="DH89" s="110">
        <f t="shared" si="128"/>
        <v>0</v>
      </c>
      <c r="DI89" s="108">
        <f t="shared" si="129"/>
        <v>0</v>
      </c>
      <c r="DJ89" s="112">
        <f t="shared" si="130"/>
        <v>0</v>
      </c>
      <c r="DK89" s="110">
        <f t="shared" si="181"/>
        <v>0</v>
      </c>
      <c r="DL89" s="108">
        <f t="shared" si="181"/>
        <v>0</v>
      </c>
      <c r="DM89" s="111">
        <f t="shared" si="181"/>
        <v>0</v>
      </c>
      <c r="DN89" s="76">
        <f t="shared" si="89"/>
        <v>0</v>
      </c>
      <c r="DO89" s="76">
        <f t="shared" si="89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7"/>
        <v>0</v>
      </c>
      <c r="DX89" s="81">
        <f t="shared" si="131"/>
        <v>0</v>
      </c>
      <c r="DY89" s="80">
        <f t="shared" si="158"/>
        <v>0</v>
      </c>
      <c r="DZ89" s="82">
        <f t="shared" si="159"/>
        <v>0</v>
      </c>
      <c r="EA89" s="82">
        <f t="shared" si="160"/>
        <v>0</v>
      </c>
      <c r="EB89" s="82" t="e">
        <f t="shared" si="161"/>
        <v>#VALUE!</v>
      </c>
      <c r="EC89" s="82" t="e">
        <f t="shared" si="178"/>
        <v>#VALUE!</v>
      </c>
    </row>
    <row r="90" spans="1:136" ht="15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2"/>
        <v>-xx-</v>
      </c>
      <c r="H90" s="46" t="str">
        <f t="shared" si="133"/>
        <v/>
      </c>
      <c r="I90" s="46" t="str">
        <f t="shared" si="134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5"/>
        <v>#DIV/0!</v>
      </c>
      <c r="T90" s="51">
        <f>'05.02'!BG90</f>
        <v>0</v>
      </c>
      <c r="U90" s="92"/>
      <c r="V90" s="100">
        <v>1</v>
      </c>
      <c r="W90" s="93">
        <f t="shared" si="114"/>
        <v>0</v>
      </c>
      <c r="X90" s="93">
        <f t="shared" si="115"/>
        <v>0</v>
      </c>
      <c r="Y90" s="93">
        <f t="shared" si="116"/>
        <v>0</v>
      </c>
      <c r="Z90" s="93">
        <f t="shared" si="117"/>
        <v>0</v>
      </c>
      <c r="AA90" s="93">
        <f t="shared" si="118"/>
        <v>0</v>
      </c>
      <c r="AB90" s="93">
        <f t="shared" si="119"/>
        <v>0</v>
      </c>
      <c r="AC90" s="93">
        <f t="shared" si="120"/>
        <v>0</v>
      </c>
      <c r="AD90" s="93">
        <f t="shared" si="121"/>
        <v>0</v>
      </c>
      <c r="AE90" s="93">
        <f t="shared" si="136"/>
        <v>0</v>
      </c>
      <c r="AF90" s="54">
        <f>AE90+'06.02'!AF90</f>
        <v>0</v>
      </c>
      <c r="AG90" s="94">
        <f t="shared" si="162"/>
        <v>0</v>
      </c>
      <c r="AH90" s="56">
        <f t="shared" si="137"/>
        <v>0</v>
      </c>
      <c r="AI90" s="93"/>
      <c r="AJ90" s="93">
        <f t="shared" si="163"/>
        <v>0</v>
      </c>
      <c r="AK90" s="95">
        <f t="shared" si="138"/>
        <v>1</v>
      </c>
      <c r="AL90" s="58">
        <f t="shared" si="174"/>
        <v>0</v>
      </c>
      <c r="AM90" s="55">
        <f t="shared" si="164"/>
        <v>0</v>
      </c>
      <c r="AN90" s="93"/>
      <c r="AO90" s="96"/>
      <c r="AP90" s="96"/>
      <c r="AQ90" s="96"/>
      <c r="AR90" s="96"/>
      <c r="AS90" s="96"/>
      <c r="AT90" s="96"/>
      <c r="AU90" s="96">
        <f t="shared" si="139"/>
        <v>0</v>
      </c>
      <c r="AV90" s="96">
        <f t="shared" si="139"/>
        <v>0</v>
      </c>
      <c r="AW90" s="96">
        <f t="shared" si="140"/>
        <v>0</v>
      </c>
      <c r="AX90" s="96">
        <f t="shared" si="141"/>
        <v>0</v>
      </c>
      <c r="AY90" s="94">
        <f t="shared" si="165"/>
        <v>0</v>
      </c>
      <c r="AZ90" s="94">
        <f t="shared" si="142"/>
        <v>0</v>
      </c>
      <c r="BA90" s="94">
        <f t="shared" si="171"/>
        <v>0</v>
      </c>
      <c r="BB90" s="97">
        <f t="shared" si="172"/>
        <v>0</v>
      </c>
      <c r="BC90" s="93"/>
      <c r="BD90" s="93">
        <f t="shared" si="143"/>
        <v>0</v>
      </c>
      <c r="BE90" s="95">
        <f t="shared" si="144"/>
        <v>1</v>
      </c>
      <c r="BF90" s="58">
        <f t="shared" si="175"/>
        <v>0</v>
      </c>
      <c r="BG90" s="94">
        <f t="shared" si="145"/>
        <v>0</v>
      </c>
      <c r="BH90" s="89"/>
      <c r="BI90" s="89"/>
      <c r="BJ90" s="89"/>
      <c r="BK90" s="89"/>
      <c r="BL90" s="89"/>
      <c r="BM90" s="89"/>
      <c r="BN90" s="89"/>
      <c r="BO90" s="92">
        <f t="shared" si="166"/>
        <v>0</v>
      </c>
      <c r="BP90" s="92">
        <f t="shared" si="166"/>
        <v>0</v>
      </c>
      <c r="BQ90" s="96">
        <f t="shared" si="146"/>
        <v>0</v>
      </c>
      <c r="BR90" s="96">
        <f t="shared" si="147"/>
        <v>0</v>
      </c>
      <c r="BS90" s="96">
        <f t="shared" si="167"/>
        <v>0</v>
      </c>
      <c r="BT90" s="96">
        <f t="shared" si="148"/>
        <v>0</v>
      </c>
      <c r="BU90" s="92">
        <f t="shared" si="122"/>
        <v>0</v>
      </c>
      <c r="BV90" s="98">
        <f t="shared" si="168"/>
        <v>0</v>
      </c>
      <c r="BW90" s="92">
        <f t="shared" si="123"/>
        <v>0</v>
      </c>
      <c r="BX90" s="98" t="str">
        <f t="shared" si="149"/>
        <v/>
      </c>
      <c r="BY90" s="61">
        <f t="shared" si="173"/>
        <v>0</v>
      </c>
      <c r="BZ90" s="62">
        <f t="shared" si="150"/>
        <v>0</v>
      </c>
      <c r="CA90" s="98">
        <f t="shared" si="151"/>
        <v>0</v>
      </c>
      <c r="CB90" s="92">
        <f t="shared" si="124"/>
        <v>0</v>
      </c>
      <c r="CC90" s="92">
        <f t="shared" si="124"/>
        <v>0</v>
      </c>
      <c r="CD90" s="92">
        <f t="shared" si="124"/>
        <v>0</v>
      </c>
      <c r="CE90" s="99"/>
      <c r="CF90" s="99"/>
      <c r="CG90" s="51">
        <f t="shared" si="152"/>
        <v>0</v>
      </c>
      <c r="CH90" s="62">
        <f t="shared" si="153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101"/>
        <v>0</v>
      </c>
      <c r="CR90" s="102">
        <f t="shared" si="101"/>
        <v>0</v>
      </c>
      <c r="CS90" s="102">
        <f t="shared" si="101"/>
        <v>0</v>
      </c>
      <c r="CT90" s="92">
        <f t="shared" si="154"/>
        <v>0</v>
      </c>
      <c r="CU90" s="92">
        <f t="shared" si="102"/>
        <v>0</v>
      </c>
      <c r="CV90" s="103">
        <f t="shared" si="102"/>
        <v>0</v>
      </c>
      <c r="CW90" s="104"/>
      <c r="CX90" s="105"/>
      <c r="CY90" s="106" t="e">
        <f t="shared" si="155"/>
        <v>#DIV/0!</v>
      </c>
      <c r="CZ90" s="106">
        <f t="shared" si="156"/>
        <v>0</v>
      </c>
      <c r="DA90" s="106"/>
      <c r="DB90" s="106"/>
      <c r="DC90" s="105"/>
      <c r="DD90" s="107"/>
      <c r="DE90" s="92">
        <f t="shared" si="125"/>
        <v>0</v>
      </c>
      <c r="DF90" s="108">
        <f t="shared" si="126"/>
        <v>0</v>
      </c>
      <c r="DG90" s="115">
        <f t="shared" si="127"/>
        <v>0</v>
      </c>
      <c r="DH90" s="110">
        <f t="shared" si="128"/>
        <v>0</v>
      </c>
      <c r="DI90" s="108">
        <f t="shared" si="129"/>
        <v>0</v>
      </c>
      <c r="DJ90" s="112">
        <f t="shared" si="130"/>
        <v>0</v>
      </c>
      <c r="DK90" s="110">
        <f t="shared" si="181"/>
        <v>0</v>
      </c>
      <c r="DL90" s="108">
        <f t="shared" si="181"/>
        <v>0</v>
      </c>
      <c r="DM90" s="111">
        <f t="shared" si="181"/>
        <v>0</v>
      </c>
      <c r="DN90" s="76">
        <f t="shared" ref="DN90:DO106" si="182">T90</f>
        <v>0</v>
      </c>
      <c r="DO90" s="76">
        <f t="shared" si="182"/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7"/>
        <v>0</v>
      </c>
      <c r="DX90" s="81">
        <f t="shared" si="131"/>
        <v>0</v>
      </c>
      <c r="DY90" s="80">
        <f t="shared" si="158"/>
        <v>0</v>
      </c>
      <c r="DZ90" s="82">
        <f t="shared" si="159"/>
        <v>0</v>
      </c>
      <c r="EA90" s="82">
        <f t="shared" si="160"/>
        <v>0</v>
      </c>
      <c r="EB90" s="82" t="e">
        <f t="shared" si="161"/>
        <v>#VALUE!</v>
      </c>
      <c r="EC90" s="82" t="e">
        <f t="shared" si="178"/>
        <v>#VALUE!</v>
      </c>
    </row>
    <row r="91" spans="1:136" ht="15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2"/>
        <v>GWA6063-T5-17x3-H9I14</v>
      </c>
      <c r="H91" s="46" t="str">
        <f t="shared" si="133"/>
        <v>A6063-T5GW170DH9</v>
      </c>
      <c r="I91" s="46" t="str">
        <f t="shared" si="134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5"/>
        <v>8</v>
      </c>
      <c r="T91" s="51">
        <f>'05.02'!BG91</f>
        <v>0</v>
      </c>
      <c r="U91" s="92"/>
      <c r="V91" s="100">
        <v>5.133</v>
      </c>
      <c r="W91" s="93">
        <f t="shared" si="114"/>
        <v>0</v>
      </c>
      <c r="X91" s="93">
        <f t="shared" si="115"/>
        <v>0</v>
      </c>
      <c r="Y91" s="93">
        <f t="shared" si="116"/>
        <v>0</v>
      </c>
      <c r="Z91" s="93">
        <f t="shared" si="117"/>
        <v>0</v>
      </c>
      <c r="AA91" s="93">
        <f t="shared" si="118"/>
        <v>0</v>
      </c>
      <c r="AB91" s="93">
        <f t="shared" si="119"/>
        <v>0</v>
      </c>
      <c r="AC91" s="93">
        <f t="shared" si="120"/>
        <v>0</v>
      </c>
      <c r="AD91" s="93">
        <f t="shared" si="121"/>
        <v>0</v>
      </c>
      <c r="AE91" s="93">
        <f t="shared" si="136"/>
        <v>0</v>
      </c>
      <c r="AF91" s="54">
        <f>AE91+'06.02'!AF91</f>
        <v>0</v>
      </c>
      <c r="AG91" s="94">
        <f t="shared" si="162"/>
        <v>0</v>
      </c>
      <c r="AH91" s="56">
        <f t="shared" si="137"/>
        <v>0</v>
      </c>
      <c r="AI91" s="93"/>
      <c r="AJ91" s="93">
        <f t="shared" si="163"/>
        <v>0</v>
      </c>
      <c r="AK91" s="95">
        <f t="shared" si="138"/>
        <v>1</v>
      </c>
      <c r="AL91" s="58">
        <f t="shared" si="174"/>
        <v>0</v>
      </c>
      <c r="AM91" s="55">
        <f t="shared" si="164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39"/>
        <v>0</v>
      </c>
      <c r="AV91" s="96">
        <f t="shared" si="139"/>
        <v>0</v>
      </c>
      <c r="AW91" s="96">
        <f t="shared" si="140"/>
        <v>0</v>
      </c>
      <c r="AX91" s="96">
        <f t="shared" si="141"/>
        <v>0</v>
      </c>
      <c r="AY91" s="94">
        <f t="shared" si="165"/>
        <v>0</v>
      </c>
      <c r="AZ91" s="94">
        <f t="shared" si="142"/>
        <v>0</v>
      </c>
      <c r="BA91" s="94">
        <f t="shared" si="171"/>
        <v>0</v>
      </c>
      <c r="BB91" s="97">
        <f t="shared" si="172"/>
        <v>0</v>
      </c>
      <c r="BC91" s="93"/>
      <c r="BD91" s="93">
        <f t="shared" si="143"/>
        <v>0</v>
      </c>
      <c r="BE91" s="95">
        <f t="shared" si="144"/>
        <v>1</v>
      </c>
      <c r="BF91" s="58">
        <f t="shared" si="175"/>
        <v>0</v>
      </c>
      <c r="BG91" s="94">
        <f t="shared" si="145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6"/>
        <v>0</v>
      </c>
      <c r="BP91" s="92">
        <f t="shared" si="166"/>
        <v>0</v>
      </c>
      <c r="BQ91" s="96">
        <f t="shared" si="146"/>
        <v>0</v>
      </c>
      <c r="BR91" s="96">
        <f t="shared" si="147"/>
        <v>0</v>
      </c>
      <c r="BS91" s="96">
        <f t="shared" si="167"/>
        <v>0</v>
      </c>
      <c r="BT91" s="96">
        <f t="shared" si="148"/>
        <v>0</v>
      </c>
      <c r="BU91" s="92">
        <f t="shared" si="122"/>
        <v>0</v>
      </c>
      <c r="BV91" s="98">
        <f t="shared" si="168"/>
        <v>0</v>
      </c>
      <c r="BW91" s="92">
        <f t="shared" si="123"/>
        <v>0</v>
      </c>
      <c r="BX91" s="98">
        <f t="shared" si="149"/>
        <v>0</v>
      </c>
      <c r="BY91" s="61">
        <f t="shared" si="173"/>
        <v>0</v>
      </c>
      <c r="BZ91" s="62">
        <f t="shared" si="150"/>
        <v>0</v>
      </c>
      <c r="CA91" s="98">
        <f t="shared" si="151"/>
        <v>0</v>
      </c>
      <c r="CB91" s="92">
        <f t="shared" si="124"/>
        <v>0</v>
      </c>
      <c r="CC91" s="92">
        <f t="shared" si="124"/>
        <v>0</v>
      </c>
      <c r="CD91" s="92">
        <f t="shared" si="124"/>
        <v>0</v>
      </c>
      <c r="CE91" s="99"/>
      <c r="CF91" s="99"/>
      <c r="CG91" s="51">
        <f t="shared" si="152"/>
        <v>0</v>
      </c>
      <c r="CH91" s="62">
        <f t="shared" si="153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101"/>
        <v>0</v>
      </c>
      <c r="CR91" s="102">
        <f t="shared" si="101"/>
        <v>0</v>
      </c>
      <c r="CS91" s="102">
        <f t="shared" si="101"/>
        <v>0</v>
      </c>
      <c r="CT91" s="92">
        <f t="shared" si="154"/>
        <v>0</v>
      </c>
      <c r="CU91" s="92">
        <f t="shared" si="102"/>
        <v>0</v>
      </c>
      <c r="CV91" s="103">
        <f t="shared" si="102"/>
        <v>0</v>
      </c>
      <c r="CW91" s="104"/>
      <c r="CX91" s="105">
        <v>56</v>
      </c>
      <c r="CY91" s="106">
        <f t="shared" si="155"/>
        <v>744</v>
      </c>
      <c r="CZ91" s="106">
        <f t="shared" si="156"/>
        <v>453.6</v>
      </c>
      <c r="DA91" s="106"/>
      <c r="DB91" s="106"/>
      <c r="DC91" s="105"/>
      <c r="DD91" s="107"/>
      <c r="DE91" s="92">
        <f t="shared" si="125"/>
        <v>0</v>
      </c>
      <c r="DF91" s="108">
        <f t="shared" si="126"/>
        <v>0</v>
      </c>
      <c r="DG91" s="115">
        <f t="shared" si="127"/>
        <v>0</v>
      </c>
      <c r="DH91" s="110">
        <f t="shared" si="128"/>
        <v>0</v>
      </c>
      <c r="DI91" s="108">
        <f t="shared" si="129"/>
        <v>0</v>
      </c>
      <c r="DJ91" s="112">
        <f t="shared" si="130"/>
        <v>0</v>
      </c>
      <c r="DK91" s="110">
        <f t="shared" si="181"/>
        <v>0</v>
      </c>
      <c r="DL91" s="108">
        <f t="shared" si="181"/>
        <v>0</v>
      </c>
      <c r="DM91" s="111">
        <f t="shared" si="181"/>
        <v>0</v>
      </c>
      <c r="DN91" s="76">
        <f t="shared" si="182"/>
        <v>0</v>
      </c>
      <c r="DO91" s="76">
        <f t="shared" si="182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7"/>
        <v>0</v>
      </c>
      <c r="DX91" s="81">
        <f t="shared" si="131"/>
        <v>0</v>
      </c>
      <c r="DY91" s="80">
        <f t="shared" si="158"/>
        <v>0</v>
      </c>
      <c r="DZ91" s="82">
        <f t="shared" si="159"/>
        <v>0</v>
      </c>
      <c r="EA91" s="82">
        <f t="shared" si="160"/>
        <v>0</v>
      </c>
      <c r="EB91" s="82">
        <f t="shared" si="161"/>
        <v>0</v>
      </c>
      <c r="EC91" s="82">
        <f t="shared" si="178"/>
        <v>0</v>
      </c>
      <c r="EF91" s="83">
        <f t="shared" ref="EF91:EF101" si="183">DG91+DJ91</f>
        <v>0</v>
      </c>
    </row>
    <row r="92" spans="1:136" ht="15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2"/>
        <v>TVSUS303Cu-H15.87x2.5-H11B14</v>
      </c>
      <c r="H92" s="46" t="str">
        <f t="shared" si="133"/>
        <v>SUS303CuTV15.870HH11</v>
      </c>
      <c r="I92" s="46" t="str">
        <f t="shared" si="134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5"/>
        <v>18</v>
      </c>
      <c r="T92" s="51">
        <f>'05.02'!BG92</f>
        <v>0</v>
      </c>
      <c r="U92" s="92"/>
      <c r="V92" s="100">
        <v>27.35</v>
      </c>
      <c r="W92" s="93">
        <f t="shared" si="114"/>
        <v>0</v>
      </c>
      <c r="X92" s="93">
        <f t="shared" si="115"/>
        <v>0</v>
      </c>
      <c r="Y92" s="93">
        <f t="shared" si="116"/>
        <v>0</v>
      </c>
      <c r="Z92" s="93">
        <f t="shared" si="117"/>
        <v>0</v>
      </c>
      <c r="AA92" s="93">
        <f t="shared" si="118"/>
        <v>0</v>
      </c>
      <c r="AB92" s="93">
        <f t="shared" si="119"/>
        <v>0</v>
      </c>
      <c r="AC92" s="93">
        <f t="shared" si="120"/>
        <v>0</v>
      </c>
      <c r="AD92" s="93">
        <f t="shared" si="121"/>
        <v>0</v>
      </c>
      <c r="AE92" s="93">
        <f t="shared" si="136"/>
        <v>0</v>
      </c>
      <c r="AF92" s="54">
        <f>AE92+'06.02'!AF92</f>
        <v>0</v>
      </c>
      <c r="AG92" s="94">
        <f t="shared" si="162"/>
        <v>0</v>
      </c>
      <c r="AH92" s="56">
        <f t="shared" si="137"/>
        <v>0</v>
      </c>
      <c r="AI92" s="93"/>
      <c r="AJ92" s="93">
        <f t="shared" si="163"/>
        <v>0</v>
      </c>
      <c r="AK92" s="95">
        <f t="shared" si="138"/>
        <v>1</v>
      </c>
      <c r="AL92" s="58">
        <f t="shared" si="174"/>
        <v>0</v>
      </c>
      <c r="AM92" s="55">
        <f t="shared" si="164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39"/>
        <v>0</v>
      </c>
      <c r="AV92" s="96">
        <f t="shared" si="139"/>
        <v>0</v>
      </c>
      <c r="AW92" s="96">
        <f t="shared" si="140"/>
        <v>0</v>
      </c>
      <c r="AX92" s="96">
        <f t="shared" si="141"/>
        <v>0</v>
      </c>
      <c r="AY92" s="94">
        <f t="shared" si="165"/>
        <v>0</v>
      </c>
      <c r="AZ92" s="94">
        <f t="shared" si="142"/>
        <v>0</v>
      </c>
      <c r="BA92" s="94">
        <f t="shared" si="171"/>
        <v>0</v>
      </c>
      <c r="BB92" s="97">
        <f t="shared" si="172"/>
        <v>0</v>
      </c>
      <c r="BC92" s="93"/>
      <c r="BD92" s="93">
        <f t="shared" si="143"/>
        <v>0</v>
      </c>
      <c r="BE92" s="95">
        <f t="shared" si="144"/>
        <v>1</v>
      </c>
      <c r="BF92" s="58">
        <f t="shared" si="175"/>
        <v>0</v>
      </c>
      <c r="BG92" s="94">
        <f t="shared" si="145"/>
        <v>0</v>
      </c>
      <c r="BH92" s="89"/>
      <c r="BI92" s="92">
        <f t="shared" ref="BI92:BJ97" si="184">$CN92</f>
        <v>0</v>
      </c>
      <c r="BJ92" s="92"/>
      <c r="BK92" s="89"/>
      <c r="BL92" s="89"/>
      <c r="BM92" s="89"/>
      <c r="BN92" s="92"/>
      <c r="BO92" s="92">
        <f t="shared" si="166"/>
        <v>0</v>
      </c>
      <c r="BP92" s="92">
        <f t="shared" si="166"/>
        <v>0</v>
      </c>
      <c r="BQ92" s="96">
        <f t="shared" si="146"/>
        <v>0</v>
      </c>
      <c r="BR92" s="96">
        <f t="shared" si="147"/>
        <v>0</v>
      </c>
      <c r="BS92" s="96">
        <f t="shared" si="167"/>
        <v>0</v>
      </c>
      <c r="BT92" s="96">
        <f t="shared" si="148"/>
        <v>0</v>
      </c>
      <c r="BU92" s="92">
        <f t="shared" si="122"/>
        <v>0</v>
      </c>
      <c r="BV92" s="98">
        <f t="shared" si="168"/>
        <v>0</v>
      </c>
      <c r="BW92" s="92">
        <f t="shared" si="123"/>
        <v>0</v>
      </c>
      <c r="BX92" s="98">
        <f t="shared" si="149"/>
        <v>0</v>
      </c>
      <c r="BY92" s="61">
        <f t="shared" si="173"/>
        <v>0</v>
      </c>
      <c r="BZ92" s="62">
        <f t="shared" si="150"/>
        <v>0</v>
      </c>
      <c r="CA92" s="98">
        <f t="shared" si="151"/>
        <v>0</v>
      </c>
      <c r="CB92" s="92">
        <f t="shared" si="124"/>
        <v>0</v>
      </c>
      <c r="CC92" s="92">
        <f t="shared" si="124"/>
        <v>0</v>
      </c>
      <c r="CD92" s="92">
        <f t="shared" si="124"/>
        <v>0</v>
      </c>
      <c r="CE92" s="99"/>
      <c r="CF92" s="99"/>
      <c r="CG92" s="51">
        <f t="shared" si="152"/>
        <v>0</v>
      </c>
      <c r="CH92" s="62">
        <f t="shared" si="153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101"/>
        <v>0</v>
      </c>
      <c r="CR92" s="102">
        <f t="shared" si="101"/>
        <v>0</v>
      </c>
      <c r="CS92" s="102">
        <f t="shared" si="101"/>
        <v>0</v>
      </c>
      <c r="CT92" s="92">
        <f t="shared" si="154"/>
        <v>0</v>
      </c>
      <c r="CU92" s="92">
        <f t="shared" si="102"/>
        <v>0</v>
      </c>
      <c r="CV92" s="103">
        <f t="shared" si="102"/>
        <v>0</v>
      </c>
      <c r="CW92" s="104"/>
      <c r="CX92" s="105">
        <v>60</v>
      </c>
      <c r="CY92" s="106">
        <f t="shared" si="155"/>
        <v>670</v>
      </c>
      <c r="CZ92" s="106">
        <f t="shared" si="156"/>
        <v>486.00000000000006</v>
      </c>
      <c r="DA92" s="106"/>
      <c r="DB92" s="106"/>
      <c r="DC92" s="105"/>
      <c r="DD92" s="107"/>
      <c r="DE92" s="92">
        <f t="shared" si="125"/>
        <v>0</v>
      </c>
      <c r="DF92" s="108">
        <f t="shared" si="126"/>
        <v>0</v>
      </c>
      <c r="DG92" s="115">
        <f t="shared" si="127"/>
        <v>0</v>
      </c>
      <c r="DH92" s="110">
        <f t="shared" si="128"/>
        <v>0</v>
      </c>
      <c r="DI92" s="108">
        <f t="shared" si="129"/>
        <v>0</v>
      </c>
      <c r="DJ92" s="112">
        <f t="shared" si="130"/>
        <v>0</v>
      </c>
      <c r="DK92" s="110">
        <f t="shared" si="181"/>
        <v>0</v>
      </c>
      <c r="DL92" s="108">
        <f t="shared" si="181"/>
        <v>0</v>
      </c>
      <c r="DM92" s="111">
        <f t="shared" si="181"/>
        <v>0</v>
      </c>
      <c r="DN92" s="76">
        <f t="shared" si="182"/>
        <v>0</v>
      </c>
      <c r="DO92" s="76">
        <f t="shared" si="182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7"/>
        <v>0</v>
      </c>
      <c r="DX92" s="81">
        <f t="shared" si="131"/>
        <v>0</v>
      </c>
      <c r="DY92" s="80">
        <f t="shared" si="158"/>
        <v>0</v>
      </c>
      <c r="DZ92" s="82">
        <f t="shared" si="159"/>
        <v>0</v>
      </c>
      <c r="EA92" s="82">
        <f t="shared" si="160"/>
        <v>0</v>
      </c>
      <c r="EB92" s="82">
        <f t="shared" si="161"/>
        <v>0</v>
      </c>
      <c r="EC92" s="82">
        <f t="shared" si="178"/>
        <v>0</v>
      </c>
      <c r="EF92" s="83">
        <f t="shared" si="183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2"/>
        <v>GWA6061-T6-16x3-H9A15</v>
      </c>
      <c r="H93" s="46" t="str">
        <f t="shared" si="133"/>
        <v>A6061-T6GW160DH9</v>
      </c>
      <c r="I93" s="46" t="str">
        <f t="shared" si="134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5"/>
        <v>22</v>
      </c>
      <c r="T93" s="51">
        <f>'06.02'!BG93</f>
        <v>35</v>
      </c>
      <c r="U93" s="92"/>
      <c r="V93" s="100">
        <v>14.1</v>
      </c>
      <c r="W93" s="93">
        <f t="shared" si="114"/>
        <v>582</v>
      </c>
      <c r="X93" s="93">
        <f t="shared" si="115"/>
        <v>0</v>
      </c>
      <c r="Y93" s="93">
        <f t="shared" si="116"/>
        <v>0</v>
      </c>
      <c r="Z93" s="93">
        <f t="shared" si="117"/>
        <v>0</v>
      </c>
      <c r="AA93" s="93">
        <f t="shared" si="118"/>
        <v>0</v>
      </c>
      <c r="AB93" s="93">
        <f t="shared" si="119"/>
        <v>0</v>
      </c>
      <c r="AC93" s="93">
        <f t="shared" si="120"/>
        <v>0</v>
      </c>
      <c r="AD93" s="93">
        <f t="shared" si="121"/>
        <v>0</v>
      </c>
      <c r="AE93" s="93">
        <f t="shared" si="136"/>
        <v>582</v>
      </c>
      <c r="AF93" s="54">
        <f>AE93+'06.02'!AF93</f>
        <v>2660</v>
      </c>
      <c r="AG93" s="94">
        <f t="shared" si="162"/>
        <v>35</v>
      </c>
      <c r="AH93" s="56">
        <f t="shared" si="137"/>
        <v>0</v>
      </c>
      <c r="AI93" s="93">
        <v>10</v>
      </c>
      <c r="AJ93" s="93">
        <f t="shared" si="163"/>
        <v>0</v>
      </c>
      <c r="AK93" s="95">
        <f t="shared" si="138"/>
        <v>1</v>
      </c>
      <c r="AL93" s="58">
        <f t="shared" si="174"/>
        <v>10</v>
      </c>
      <c r="AM93" s="55">
        <f t="shared" si="164"/>
        <v>25</v>
      </c>
      <c r="AN93" s="93"/>
      <c r="AO93" s="96">
        <f>$CJ93</f>
        <v>4215.8999999999996</v>
      </c>
      <c r="AP93" s="96"/>
      <c r="AQ93" s="96"/>
      <c r="AR93" s="96"/>
      <c r="AS93" s="96"/>
      <c r="AT93" s="96"/>
      <c r="AU93" s="96">
        <f t="shared" si="139"/>
        <v>0</v>
      </c>
      <c r="AV93" s="96">
        <f t="shared" si="139"/>
        <v>0</v>
      </c>
      <c r="AW93" s="96">
        <f t="shared" si="140"/>
        <v>4215.8999999999996</v>
      </c>
      <c r="AX93" s="96">
        <f t="shared" si="141"/>
        <v>299</v>
      </c>
      <c r="AY93" s="94">
        <f t="shared" si="165"/>
        <v>-437.10000000000036</v>
      </c>
      <c r="AZ93" s="94">
        <f t="shared" si="142"/>
        <v>-31.000000000000025</v>
      </c>
      <c r="BA93" s="94">
        <f t="shared" si="171"/>
        <v>25</v>
      </c>
      <c r="BB93" s="97">
        <f t="shared" si="172"/>
        <v>0</v>
      </c>
      <c r="BC93" s="93">
        <v>8</v>
      </c>
      <c r="BD93" s="93">
        <f t="shared" si="143"/>
        <v>0</v>
      </c>
      <c r="BE93" s="95">
        <f t="shared" si="144"/>
        <v>1</v>
      </c>
      <c r="BF93" s="58">
        <f t="shared" si="175"/>
        <v>8</v>
      </c>
      <c r="BG93" s="94">
        <f t="shared" si="145"/>
        <v>17</v>
      </c>
      <c r="BH93" s="89"/>
      <c r="BI93" s="92">
        <f t="shared" si="184"/>
        <v>3990.2999999999997</v>
      </c>
      <c r="BJ93" s="92"/>
      <c r="BK93" s="89"/>
      <c r="BL93" s="89"/>
      <c r="BM93" s="89"/>
      <c r="BN93" s="89"/>
      <c r="BO93" s="92">
        <f t="shared" si="166"/>
        <v>0</v>
      </c>
      <c r="BP93" s="92">
        <f t="shared" si="166"/>
        <v>0</v>
      </c>
      <c r="BQ93" s="96">
        <f t="shared" si="146"/>
        <v>3990.2999999999997</v>
      </c>
      <c r="BR93" s="96">
        <f t="shared" si="147"/>
        <v>283</v>
      </c>
      <c r="BS93" s="96">
        <f t="shared" si="167"/>
        <v>267.89999999999964</v>
      </c>
      <c r="BT93" s="96">
        <f t="shared" si="148"/>
        <v>18.999999999999975</v>
      </c>
      <c r="BU93" s="92">
        <f t="shared" si="122"/>
        <v>582</v>
      </c>
      <c r="BV93" s="98">
        <f t="shared" si="168"/>
        <v>18</v>
      </c>
      <c r="BW93" s="92">
        <f t="shared" si="123"/>
        <v>-12.00000000000005</v>
      </c>
      <c r="BX93" s="98">
        <f t="shared" si="149"/>
        <v>29.160000000000004</v>
      </c>
      <c r="BY93" s="61">
        <f>IFERROR(BF93+AL93,0)</f>
        <v>18</v>
      </c>
      <c r="BZ93" s="62">
        <f t="shared" si="150"/>
        <v>18</v>
      </c>
      <c r="CA93" s="98">
        <f t="shared" si="151"/>
        <v>8.2061999999999991</v>
      </c>
      <c r="CB93" s="92">
        <f t="shared" si="124"/>
        <v>582</v>
      </c>
      <c r="CC93" s="92">
        <f t="shared" si="124"/>
        <v>-169.20000000000073</v>
      </c>
      <c r="CD93" s="92">
        <f t="shared" si="124"/>
        <v>-12.00000000000005</v>
      </c>
      <c r="CE93" s="99"/>
      <c r="CF93" s="99"/>
      <c r="CG93" s="51">
        <f t="shared" si="152"/>
        <v>20.953800000000005</v>
      </c>
      <c r="CH93" s="62">
        <f t="shared" si="153"/>
        <v>20.953800000000005</v>
      </c>
      <c r="CI93" s="89"/>
      <c r="CJ93" s="89">
        <f>299*14.1</f>
        <v>4215.8999999999996</v>
      </c>
      <c r="CK93" s="89"/>
      <c r="CL93" s="96"/>
      <c r="CM93" s="89"/>
      <c r="CN93" s="89">
        <f>283*14.1</f>
        <v>3990.2999999999997</v>
      </c>
      <c r="CO93" s="92"/>
      <c r="CP93" s="101"/>
      <c r="CQ93" s="102">
        <f t="shared" si="101"/>
        <v>299</v>
      </c>
      <c r="CR93" s="102">
        <f t="shared" si="101"/>
        <v>0</v>
      </c>
      <c r="CS93" s="102">
        <f t="shared" si="101"/>
        <v>0</v>
      </c>
      <c r="CT93" s="92">
        <f t="shared" si="154"/>
        <v>283</v>
      </c>
      <c r="CU93" s="92">
        <f t="shared" si="102"/>
        <v>0</v>
      </c>
      <c r="CV93" s="103">
        <f t="shared" si="102"/>
        <v>0</v>
      </c>
      <c r="CW93" s="104"/>
      <c r="CX93" s="105">
        <v>110</v>
      </c>
      <c r="CY93" s="106">
        <f t="shared" si="155"/>
        <v>360</v>
      </c>
      <c r="CZ93" s="106">
        <f t="shared" si="156"/>
        <v>891.00000000000011</v>
      </c>
      <c r="DA93" s="106"/>
      <c r="DB93" s="106"/>
      <c r="DC93" s="105"/>
      <c r="DD93" s="107"/>
      <c r="DE93" s="92">
        <f t="shared" si="125"/>
        <v>299</v>
      </c>
      <c r="DF93" s="108">
        <f t="shared" si="126"/>
        <v>10</v>
      </c>
      <c r="DG93" s="115">
        <f t="shared" si="127"/>
        <v>-31.000000000000025</v>
      </c>
      <c r="DH93" s="110">
        <f t="shared" si="128"/>
        <v>283</v>
      </c>
      <c r="DI93" s="108">
        <f t="shared" si="129"/>
        <v>8</v>
      </c>
      <c r="DJ93" s="115">
        <f t="shared" si="130"/>
        <v>18.999999999999975</v>
      </c>
      <c r="DK93" s="110">
        <f t="shared" si="181"/>
        <v>582</v>
      </c>
      <c r="DL93" s="108">
        <f t="shared" si="181"/>
        <v>18</v>
      </c>
      <c r="DM93" s="111">
        <f t="shared" si="181"/>
        <v>-12.00000000000005</v>
      </c>
      <c r="DN93" s="76">
        <v>17</v>
      </c>
      <c r="DO93" s="76"/>
      <c r="DP93" s="112"/>
      <c r="DQ93" s="112"/>
      <c r="DR93" s="113" t="s">
        <v>481</v>
      </c>
      <c r="DS93" s="112"/>
      <c r="DT93" s="112"/>
      <c r="DU93" s="111"/>
      <c r="DV93" s="114"/>
      <c r="DW93" s="80">
        <f t="shared" ref="DW93:DW94" si="185">IFERROR(AL93+BF93,"")</f>
        <v>18</v>
      </c>
      <c r="DX93" s="81">
        <f t="shared" si="131"/>
        <v>588</v>
      </c>
      <c r="DY93" s="80">
        <f t="shared" si="158"/>
        <v>582</v>
      </c>
      <c r="DZ93" s="82">
        <f t="shared" si="159"/>
        <v>0</v>
      </c>
      <c r="EA93" s="82">
        <f t="shared" si="160"/>
        <v>8.2061999999999991</v>
      </c>
      <c r="EB93" s="82">
        <f t="shared" si="161"/>
        <v>20.953800000000005</v>
      </c>
      <c r="EC93" s="82">
        <f>(BX93-CA93)+((AV93+BP93)/1000)</f>
        <v>20.953800000000005</v>
      </c>
      <c r="EF93" s="83">
        <f t="shared" si="183"/>
        <v>-12.00000000000005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2"/>
        <v>GWA6061-T6-19.1x3-H9A14</v>
      </c>
      <c r="H94" s="46" t="str">
        <f t="shared" si="133"/>
        <v>A6061-T6GW19.10DH9</v>
      </c>
      <c r="I94" s="46" t="str">
        <f t="shared" si="134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5"/>
        <v>22</v>
      </c>
      <c r="T94" s="51">
        <f>'06.02'!BG94</f>
        <v>11</v>
      </c>
      <c r="U94" s="92"/>
      <c r="V94" s="100">
        <v>20.25</v>
      </c>
      <c r="W94" s="93">
        <f t="shared" si="114"/>
        <v>0</v>
      </c>
      <c r="X94" s="93">
        <f t="shared" si="115"/>
        <v>0</v>
      </c>
      <c r="Y94" s="93">
        <f t="shared" si="116"/>
        <v>0</v>
      </c>
      <c r="Z94" s="93">
        <f t="shared" si="117"/>
        <v>0</v>
      </c>
      <c r="AA94" s="93">
        <f t="shared" si="118"/>
        <v>0</v>
      </c>
      <c r="AB94" s="93">
        <f t="shared" si="119"/>
        <v>0</v>
      </c>
      <c r="AC94" s="93">
        <f t="shared" si="120"/>
        <v>0</v>
      </c>
      <c r="AD94" s="93">
        <f t="shared" si="121"/>
        <v>0</v>
      </c>
      <c r="AE94" s="93">
        <f t="shared" si="136"/>
        <v>0</v>
      </c>
      <c r="AF94" s="54">
        <f>AE94+'06.02'!AF94</f>
        <v>1735</v>
      </c>
      <c r="AG94" s="94">
        <f t="shared" si="162"/>
        <v>11</v>
      </c>
      <c r="AH94" s="56">
        <f t="shared" si="137"/>
        <v>0</v>
      </c>
      <c r="AI94" s="93"/>
      <c r="AJ94" s="93">
        <f t="shared" si="163"/>
        <v>0</v>
      </c>
      <c r="AK94" s="95">
        <f t="shared" si="138"/>
        <v>1</v>
      </c>
      <c r="AL94" s="58">
        <f t="shared" si="174"/>
        <v>0</v>
      </c>
      <c r="AM94" s="55">
        <f t="shared" si="164"/>
        <v>11</v>
      </c>
      <c r="AN94" s="93"/>
      <c r="AO94" s="96">
        <f>$CJ94</f>
        <v>0</v>
      </c>
      <c r="AP94" s="96"/>
      <c r="AQ94" s="96"/>
      <c r="AR94" s="96"/>
      <c r="AS94" s="96"/>
      <c r="AT94" s="96"/>
      <c r="AU94" s="96">
        <f t="shared" si="139"/>
        <v>0</v>
      </c>
      <c r="AV94" s="96">
        <f t="shared" si="139"/>
        <v>0</v>
      </c>
      <c r="AW94" s="96">
        <f t="shared" si="140"/>
        <v>0</v>
      </c>
      <c r="AX94" s="96">
        <f t="shared" si="141"/>
        <v>0</v>
      </c>
      <c r="AY94" s="94">
        <f t="shared" si="165"/>
        <v>0</v>
      </c>
      <c r="AZ94" s="94">
        <f t="shared" si="142"/>
        <v>0</v>
      </c>
      <c r="BA94" s="94">
        <f t="shared" si="171"/>
        <v>11</v>
      </c>
      <c r="BB94" s="97">
        <f t="shared" si="172"/>
        <v>0</v>
      </c>
      <c r="BC94" s="93"/>
      <c r="BD94" s="93">
        <f t="shared" si="143"/>
        <v>0</v>
      </c>
      <c r="BE94" s="95">
        <f t="shared" si="144"/>
        <v>1</v>
      </c>
      <c r="BF94" s="58">
        <f t="shared" si="175"/>
        <v>0</v>
      </c>
      <c r="BG94" s="94">
        <f t="shared" si="145"/>
        <v>11</v>
      </c>
      <c r="BH94" s="89"/>
      <c r="BI94" s="92">
        <f t="shared" si="184"/>
        <v>0</v>
      </c>
      <c r="BJ94" s="92"/>
      <c r="BK94" s="89"/>
      <c r="BL94" s="89"/>
      <c r="BM94" s="89"/>
      <c r="BN94" s="89"/>
      <c r="BO94" s="92">
        <f t="shared" si="166"/>
        <v>0</v>
      </c>
      <c r="BP94" s="92">
        <f t="shared" si="166"/>
        <v>0</v>
      </c>
      <c r="BQ94" s="96">
        <f t="shared" si="146"/>
        <v>0</v>
      </c>
      <c r="BR94" s="96">
        <f t="shared" si="147"/>
        <v>0</v>
      </c>
      <c r="BS94" s="96">
        <f t="shared" si="167"/>
        <v>0</v>
      </c>
      <c r="BT94" s="96">
        <f t="shared" si="148"/>
        <v>0</v>
      </c>
      <c r="BU94" s="92">
        <f t="shared" si="122"/>
        <v>0</v>
      </c>
      <c r="BV94" s="98">
        <f t="shared" si="168"/>
        <v>0</v>
      </c>
      <c r="BW94" s="92">
        <f t="shared" si="123"/>
        <v>0</v>
      </c>
      <c r="BX94" s="98">
        <f t="shared" si="149"/>
        <v>0</v>
      </c>
      <c r="BY94" s="61">
        <f t="shared" si="173"/>
        <v>0</v>
      </c>
      <c r="BZ94" s="62">
        <f t="shared" si="150"/>
        <v>0</v>
      </c>
      <c r="CA94" s="98">
        <f t="shared" si="151"/>
        <v>0</v>
      </c>
      <c r="CB94" s="92">
        <f t="shared" si="124"/>
        <v>0</v>
      </c>
      <c r="CC94" s="92">
        <f t="shared" si="124"/>
        <v>0</v>
      </c>
      <c r="CD94" s="92">
        <f t="shared" si="124"/>
        <v>0</v>
      </c>
      <c r="CE94" s="99"/>
      <c r="CF94" s="99"/>
      <c r="CG94" s="51">
        <f t="shared" si="152"/>
        <v>0</v>
      </c>
      <c r="CH94" s="62">
        <f t="shared" si="153"/>
        <v>0</v>
      </c>
      <c r="CI94" s="89"/>
      <c r="CJ94" s="89"/>
      <c r="CK94" s="89"/>
      <c r="CL94" s="96"/>
      <c r="CM94" s="89"/>
      <c r="CN94" s="89"/>
      <c r="CO94" s="92"/>
      <c r="CP94" s="101"/>
      <c r="CQ94" s="102">
        <f t="shared" si="101"/>
        <v>0</v>
      </c>
      <c r="CR94" s="102">
        <f t="shared" si="101"/>
        <v>0</v>
      </c>
      <c r="CS94" s="102">
        <f t="shared" si="101"/>
        <v>0</v>
      </c>
      <c r="CT94" s="92">
        <f t="shared" si="154"/>
        <v>0</v>
      </c>
      <c r="CU94" s="92">
        <f t="shared" si="102"/>
        <v>0</v>
      </c>
      <c r="CV94" s="103">
        <f t="shared" si="102"/>
        <v>0</v>
      </c>
      <c r="CW94" s="104"/>
      <c r="CX94" s="105">
        <v>150</v>
      </c>
      <c r="CY94" s="106">
        <f t="shared" si="155"/>
        <v>264</v>
      </c>
      <c r="CZ94" s="106">
        <f t="shared" si="156"/>
        <v>1215</v>
      </c>
      <c r="DA94" s="106"/>
      <c r="DB94" s="106"/>
      <c r="DC94" s="105"/>
      <c r="DD94" s="107"/>
      <c r="DE94" s="92">
        <f t="shared" si="125"/>
        <v>0</v>
      </c>
      <c r="DF94" s="108">
        <f t="shared" si="126"/>
        <v>0</v>
      </c>
      <c r="DG94" s="115">
        <f t="shared" si="127"/>
        <v>0</v>
      </c>
      <c r="DH94" s="110">
        <f t="shared" si="128"/>
        <v>0</v>
      </c>
      <c r="DI94" s="108">
        <f t="shared" si="129"/>
        <v>0</v>
      </c>
      <c r="DJ94" s="115">
        <f t="shared" si="130"/>
        <v>0</v>
      </c>
      <c r="DK94" s="110">
        <f t="shared" si="181"/>
        <v>0</v>
      </c>
      <c r="DL94" s="108">
        <f t="shared" si="181"/>
        <v>0</v>
      </c>
      <c r="DM94" s="111">
        <f t="shared" si="181"/>
        <v>0</v>
      </c>
      <c r="DN94" s="76">
        <v>11</v>
      </c>
      <c r="DO94" s="76"/>
      <c r="DP94" s="112"/>
      <c r="DQ94" s="112"/>
      <c r="DR94" s="113" t="s">
        <v>474</v>
      </c>
      <c r="DS94" s="112"/>
      <c r="DT94" s="112"/>
      <c r="DU94" s="111"/>
      <c r="DV94" s="114"/>
      <c r="DW94" s="80">
        <f t="shared" si="185"/>
        <v>0</v>
      </c>
      <c r="DX94" s="81">
        <f t="shared" si="131"/>
        <v>0</v>
      </c>
      <c r="DY94" s="80">
        <f t="shared" si="158"/>
        <v>0</v>
      </c>
      <c r="DZ94" s="82">
        <f t="shared" si="159"/>
        <v>0</v>
      </c>
      <c r="EA94" s="82">
        <f t="shared" si="160"/>
        <v>0</v>
      </c>
      <c r="EB94" s="82">
        <f t="shared" si="161"/>
        <v>0</v>
      </c>
      <c r="EC94" s="82">
        <f t="shared" si="178"/>
        <v>0</v>
      </c>
      <c r="EF94" s="83">
        <f t="shared" si="183"/>
        <v>0</v>
      </c>
    </row>
    <row r="95" spans="1:136" ht="15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2"/>
        <v>TVSUS303-10x2.5-H7A14</v>
      </c>
      <c r="H95" s="46" t="str">
        <f t="shared" si="133"/>
        <v>SUS303TV100DH7</v>
      </c>
      <c r="I95" s="46" t="str">
        <f t="shared" si="134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5"/>
        <v>42</v>
      </c>
      <c r="T95" s="51">
        <f>'05.02'!BG95</f>
        <v>0</v>
      </c>
      <c r="U95" s="92"/>
      <c r="V95" s="100">
        <v>67.7</v>
      </c>
      <c r="W95" s="93">
        <f t="shared" si="114"/>
        <v>0</v>
      </c>
      <c r="X95" s="93">
        <f t="shared" si="115"/>
        <v>0</v>
      </c>
      <c r="Y95" s="93">
        <f t="shared" si="116"/>
        <v>0</v>
      </c>
      <c r="Z95" s="93">
        <f t="shared" si="117"/>
        <v>0</v>
      </c>
      <c r="AA95" s="93">
        <f t="shared" si="118"/>
        <v>0</v>
      </c>
      <c r="AB95" s="93">
        <f t="shared" si="119"/>
        <v>0</v>
      </c>
      <c r="AC95" s="93">
        <f t="shared" si="120"/>
        <v>0</v>
      </c>
      <c r="AD95" s="93">
        <f t="shared" si="121"/>
        <v>0</v>
      </c>
      <c r="AE95" s="93">
        <f t="shared" si="136"/>
        <v>0</v>
      </c>
      <c r="AF95" s="54">
        <f>AE95+'06.02'!AF95</f>
        <v>0</v>
      </c>
      <c r="AG95" s="94">
        <f t="shared" si="162"/>
        <v>0</v>
      </c>
      <c r="AH95" s="56">
        <f t="shared" si="137"/>
        <v>0</v>
      </c>
      <c r="AI95" s="93"/>
      <c r="AJ95" s="93">
        <f t="shared" si="163"/>
        <v>0</v>
      </c>
      <c r="AK95" s="95">
        <f t="shared" si="138"/>
        <v>1</v>
      </c>
      <c r="AL95" s="58">
        <f t="shared" si="174"/>
        <v>0</v>
      </c>
      <c r="AM95" s="55">
        <f t="shared" si="164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39"/>
        <v>0</v>
      </c>
      <c r="AV95" s="96">
        <f t="shared" si="139"/>
        <v>0</v>
      </c>
      <c r="AW95" s="96">
        <f t="shared" si="140"/>
        <v>0</v>
      </c>
      <c r="AX95" s="96">
        <f t="shared" si="141"/>
        <v>0</v>
      </c>
      <c r="AY95" s="94">
        <f t="shared" si="165"/>
        <v>0</v>
      </c>
      <c r="AZ95" s="94">
        <f t="shared" si="142"/>
        <v>0</v>
      </c>
      <c r="BA95" s="94">
        <f t="shared" si="171"/>
        <v>0</v>
      </c>
      <c r="BB95" s="97">
        <f t="shared" si="172"/>
        <v>0</v>
      </c>
      <c r="BC95" s="93"/>
      <c r="BD95" s="93">
        <f t="shared" si="143"/>
        <v>0</v>
      </c>
      <c r="BE95" s="95">
        <f t="shared" si="144"/>
        <v>1</v>
      </c>
      <c r="BF95" s="58">
        <f t="shared" si="175"/>
        <v>0</v>
      </c>
      <c r="BG95" s="94">
        <f t="shared" si="145"/>
        <v>0</v>
      </c>
      <c r="BH95" s="89"/>
      <c r="BI95" s="92">
        <f t="shared" si="184"/>
        <v>0</v>
      </c>
      <c r="BJ95" s="89"/>
      <c r="BK95" s="89"/>
      <c r="BL95" s="89"/>
      <c r="BM95" s="89"/>
      <c r="BN95" s="89"/>
      <c r="BO95" s="92">
        <f t="shared" si="166"/>
        <v>0</v>
      </c>
      <c r="BP95" s="92">
        <f t="shared" si="166"/>
        <v>0</v>
      </c>
      <c r="BQ95" s="96">
        <f t="shared" si="146"/>
        <v>0</v>
      </c>
      <c r="BR95" s="96">
        <f t="shared" si="147"/>
        <v>0</v>
      </c>
      <c r="BS95" s="96">
        <f t="shared" si="167"/>
        <v>0</v>
      </c>
      <c r="BT95" s="96">
        <f t="shared" si="148"/>
        <v>0</v>
      </c>
      <c r="BU95" s="92">
        <f t="shared" si="122"/>
        <v>0</v>
      </c>
      <c r="BV95" s="98">
        <f t="shared" si="168"/>
        <v>0</v>
      </c>
      <c r="BW95" s="92">
        <f t="shared" si="123"/>
        <v>0</v>
      </c>
      <c r="BX95" s="98">
        <f t="shared" si="149"/>
        <v>0</v>
      </c>
      <c r="BY95" s="61">
        <f t="shared" si="173"/>
        <v>0</v>
      </c>
      <c r="BZ95" s="62">
        <f t="shared" si="150"/>
        <v>0</v>
      </c>
      <c r="CA95" s="98">
        <f t="shared" si="151"/>
        <v>0</v>
      </c>
      <c r="CB95" s="92">
        <f t="shared" si="124"/>
        <v>0</v>
      </c>
      <c r="CC95" s="92">
        <f t="shared" si="124"/>
        <v>0</v>
      </c>
      <c r="CD95" s="92">
        <f t="shared" si="124"/>
        <v>0</v>
      </c>
      <c r="CE95" s="99"/>
      <c r="CF95" s="99"/>
      <c r="CG95" s="51">
        <f t="shared" si="152"/>
        <v>0</v>
      </c>
      <c r="CH95" s="62">
        <f t="shared" si="153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101"/>
        <v>0</v>
      </c>
      <c r="CR95" s="102">
        <f t="shared" si="101"/>
        <v>0</v>
      </c>
      <c r="CS95" s="102">
        <f t="shared" si="101"/>
        <v>0</v>
      </c>
      <c r="CT95" s="92">
        <f t="shared" si="154"/>
        <v>0</v>
      </c>
      <c r="CU95" s="92">
        <f t="shared" si="102"/>
        <v>0</v>
      </c>
      <c r="CV95" s="103">
        <f t="shared" si="102"/>
        <v>0</v>
      </c>
      <c r="CW95" s="104"/>
      <c r="CX95" s="105">
        <v>90</v>
      </c>
      <c r="CY95" s="106">
        <f t="shared" si="155"/>
        <v>393</v>
      </c>
      <c r="CZ95" s="106">
        <f t="shared" si="156"/>
        <v>729</v>
      </c>
      <c r="DA95" s="106"/>
      <c r="DB95" s="106"/>
      <c r="DC95" s="105"/>
      <c r="DD95" s="107"/>
      <c r="DE95" s="92">
        <f t="shared" si="125"/>
        <v>0</v>
      </c>
      <c r="DF95" s="108">
        <f t="shared" si="126"/>
        <v>0</v>
      </c>
      <c r="DG95" s="115">
        <f t="shared" si="127"/>
        <v>0</v>
      </c>
      <c r="DH95" s="110">
        <f t="shared" si="128"/>
        <v>0</v>
      </c>
      <c r="DI95" s="108">
        <f t="shared" si="129"/>
        <v>0</v>
      </c>
      <c r="DJ95" s="112">
        <f t="shared" si="130"/>
        <v>0</v>
      </c>
      <c r="DK95" s="110">
        <f t="shared" si="181"/>
        <v>0</v>
      </c>
      <c r="DL95" s="108">
        <f t="shared" si="181"/>
        <v>0</v>
      </c>
      <c r="DM95" s="111">
        <f t="shared" si="181"/>
        <v>0</v>
      </c>
      <c r="DN95" s="76">
        <f t="shared" si="182"/>
        <v>0</v>
      </c>
      <c r="DO95" s="76">
        <f t="shared" si="182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7"/>
        <v>0</v>
      </c>
      <c r="DX95" s="81">
        <f t="shared" si="131"/>
        <v>0</v>
      </c>
      <c r="DY95" s="80">
        <f t="shared" si="158"/>
        <v>0</v>
      </c>
      <c r="DZ95" s="82">
        <f t="shared" si="159"/>
        <v>0</v>
      </c>
      <c r="EA95" s="82">
        <f t="shared" si="160"/>
        <v>0</v>
      </c>
      <c r="EB95" s="82">
        <f t="shared" si="161"/>
        <v>0</v>
      </c>
      <c r="EC95" s="82">
        <f t="shared" si="178"/>
        <v>0</v>
      </c>
      <c r="EF95" s="83">
        <f t="shared" si="183"/>
        <v>0</v>
      </c>
    </row>
    <row r="96" spans="1:136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2"/>
        <v>TVSUS303-6x2.5-H9A14</v>
      </c>
      <c r="H96" s="46" t="str">
        <f t="shared" si="133"/>
        <v>SUS303TV60DH9</v>
      </c>
      <c r="I96" s="46" t="str">
        <f t="shared" si="134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5"/>
        <v>8</v>
      </c>
      <c r="T96" s="51">
        <f>'05.02'!BG96</f>
        <v>0</v>
      </c>
      <c r="U96" s="92"/>
      <c r="V96" s="100">
        <v>1.875</v>
      </c>
      <c r="W96" s="93">
        <f t="shared" si="114"/>
        <v>0</v>
      </c>
      <c r="X96" s="93">
        <f t="shared" si="115"/>
        <v>0</v>
      </c>
      <c r="Y96" s="93">
        <f t="shared" si="116"/>
        <v>0</v>
      </c>
      <c r="Z96" s="93">
        <f t="shared" si="117"/>
        <v>0</v>
      </c>
      <c r="AA96" s="93">
        <f t="shared" si="118"/>
        <v>0</v>
      </c>
      <c r="AB96" s="93">
        <f t="shared" si="119"/>
        <v>0</v>
      </c>
      <c r="AC96" s="93">
        <f t="shared" si="120"/>
        <v>0</v>
      </c>
      <c r="AD96" s="93">
        <f t="shared" si="121"/>
        <v>0</v>
      </c>
      <c r="AE96" s="93">
        <f t="shared" si="136"/>
        <v>0</v>
      </c>
      <c r="AF96" s="54">
        <f>AE96+'06.02'!AF96</f>
        <v>0</v>
      </c>
      <c r="AG96" s="94">
        <f t="shared" si="162"/>
        <v>0</v>
      </c>
      <c r="AH96" s="56">
        <f t="shared" si="137"/>
        <v>0</v>
      </c>
      <c r="AI96" s="93"/>
      <c r="AJ96" s="93">
        <f t="shared" si="163"/>
        <v>0</v>
      </c>
      <c r="AK96" s="95">
        <f t="shared" si="138"/>
        <v>1</v>
      </c>
      <c r="AL96" s="58">
        <f t="shared" si="174"/>
        <v>0</v>
      </c>
      <c r="AM96" s="55">
        <f t="shared" si="164"/>
        <v>0</v>
      </c>
      <c r="AN96" s="93"/>
      <c r="AO96" s="96"/>
      <c r="AP96" s="96">
        <f t="shared" ref="AP96" si="186">$CJ96</f>
        <v>0</v>
      </c>
      <c r="AQ96" s="96"/>
      <c r="AR96" s="96"/>
      <c r="AS96" s="96"/>
      <c r="AT96" s="96"/>
      <c r="AU96" s="96">
        <f t="shared" si="139"/>
        <v>0</v>
      </c>
      <c r="AV96" s="96">
        <f t="shared" si="139"/>
        <v>0</v>
      </c>
      <c r="AW96" s="96">
        <f t="shared" si="140"/>
        <v>0</v>
      </c>
      <c r="AX96" s="96">
        <f t="shared" si="141"/>
        <v>0</v>
      </c>
      <c r="AY96" s="94">
        <f t="shared" si="165"/>
        <v>0</v>
      </c>
      <c r="AZ96" s="94">
        <f t="shared" si="142"/>
        <v>0</v>
      </c>
      <c r="BA96" s="94">
        <f t="shared" si="171"/>
        <v>0</v>
      </c>
      <c r="BB96" s="97">
        <f t="shared" si="172"/>
        <v>0</v>
      </c>
      <c r="BC96" s="93"/>
      <c r="BD96" s="93">
        <f t="shared" si="143"/>
        <v>0</v>
      </c>
      <c r="BE96" s="95">
        <f t="shared" si="144"/>
        <v>1</v>
      </c>
      <c r="BF96" s="58">
        <f t="shared" si="175"/>
        <v>0</v>
      </c>
      <c r="BG96" s="94">
        <f t="shared" si="145"/>
        <v>0</v>
      </c>
      <c r="BH96" s="89"/>
      <c r="BI96" s="92"/>
      <c r="BJ96" s="92">
        <f t="shared" si="184"/>
        <v>0</v>
      </c>
      <c r="BK96" s="89"/>
      <c r="BL96" s="89"/>
      <c r="BM96" s="89"/>
      <c r="BN96" s="92"/>
      <c r="BO96" s="92">
        <f t="shared" si="166"/>
        <v>0</v>
      </c>
      <c r="BP96" s="92">
        <f t="shared" si="166"/>
        <v>0</v>
      </c>
      <c r="BQ96" s="96">
        <f t="shared" si="146"/>
        <v>0</v>
      </c>
      <c r="BR96" s="96">
        <f t="shared" si="147"/>
        <v>0</v>
      </c>
      <c r="BS96" s="96">
        <f t="shared" si="167"/>
        <v>0</v>
      </c>
      <c r="BT96" s="96">
        <f t="shared" si="148"/>
        <v>0</v>
      </c>
      <c r="BU96" s="92">
        <f t="shared" si="122"/>
        <v>0</v>
      </c>
      <c r="BV96" s="98">
        <f t="shared" si="168"/>
        <v>0</v>
      </c>
      <c r="BW96" s="92">
        <f t="shared" si="123"/>
        <v>0</v>
      </c>
      <c r="BX96" s="98">
        <f t="shared" si="149"/>
        <v>0</v>
      </c>
      <c r="BY96" s="61">
        <f t="shared" si="173"/>
        <v>0</v>
      </c>
      <c r="BZ96" s="62">
        <f t="shared" si="150"/>
        <v>0</v>
      </c>
      <c r="CA96" s="98">
        <f t="shared" si="151"/>
        <v>0</v>
      </c>
      <c r="CB96" s="92">
        <f t="shared" si="124"/>
        <v>0</v>
      </c>
      <c r="CC96" s="92">
        <f t="shared" si="124"/>
        <v>0</v>
      </c>
      <c r="CD96" s="92">
        <f t="shared" si="124"/>
        <v>0</v>
      </c>
      <c r="CE96" s="99"/>
      <c r="CF96" s="99"/>
      <c r="CG96" s="51">
        <f t="shared" si="152"/>
        <v>0</v>
      </c>
      <c r="CH96" s="62">
        <f t="shared" si="153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101"/>
        <v>0</v>
      </c>
      <c r="CR96" s="102">
        <f t="shared" si="101"/>
        <v>0</v>
      </c>
      <c r="CS96" s="102">
        <f t="shared" si="101"/>
        <v>0</v>
      </c>
      <c r="CT96" s="92">
        <f t="shared" si="154"/>
        <v>0</v>
      </c>
      <c r="CU96" s="92">
        <f t="shared" si="102"/>
        <v>0</v>
      </c>
      <c r="CV96" s="103">
        <f t="shared" si="102"/>
        <v>0</v>
      </c>
      <c r="CW96" s="104"/>
      <c r="CX96" s="105">
        <v>56</v>
      </c>
      <c r="CY96" s="106">
        <f t="shared" si="155"/>
        <v>744</v>
      </c>
      <c r="CZ96" s="106">
        <f t="shared" si="156"/>
        <v>453.6</v>
      </c>
      <c r="DA96" s="106"/>
      <c r="DB96" s="106"/>
      <c r="DC96" s="105"/>
      <c r="DD96" s="107"/>
      <c r="DE96" s="92">
        <f t="shared" si="125"/>
        <v>0</v>
      </c>
      <c r="DF96" s="108">
        <f t="shared" si="126"/>
        <v>0</v>
      </c>
      <c r="DG96" s="115">
        <f t="shared" si="127"/>
        <v>0</v>
      </c>
      <c r="DH96" s="110">
        <f t="shared" si="128"/>
        <v>0</v>
      </c>
      <c r="DI96" s="108">
        <f t="shared" si="129"/>
        <v>0</v>
      </c>
      <c r="DJ96" s="112">
        <f t="shared" si="130"/>
        <v>0</v>
      </c>
      <c r="DK96" s="110">
        <f t="shared" si="181"/>
        <v>0</v>
      </c>
      <c r="DL96" s="108">
        <f t="shared" si="181"/>
        <v>0</v>
      </c>
      <c r="DM96" s="111">
        <f t="shared" si="181"/>
        <v>0</v>
      </c>
      <c r="DN96" s="76">
        <f t="shared" si="182"/>
        <v>0</v>
      </c>
      <c r="DO96" s="76">
        <f t="shared" si="182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7"/>
        <v>0</v>
      </c>
      <c r="DX96" s="81">
        <f t="shared" si="131"/>
        <v>0</v>
      </c>
      <c r="DY96" s="80">
        <f t="shared" si="158"/>
        <v>0</v>
      </c>
      <c r="DZ96" s="82">
        <f t="shared" si="159"/>
        <v>0</v>
      </c>
      <c r="EA96" s="82">
        <f t="shared" si="160"/>
        <v>0</v>
      </c>
      <c r="EB96" s="82">
        <f t="shared" si="161"/>
        <v>0</v>
      </c>
      <c r="EC96" s="82">
        <f>(BX96-CA96)+((AV96+BP96)/1000)</f>
        <v>0</v>
      </c>
      <c r="EF96" s="83">
        <f t="shared" si="183"/>
        <v>0</v>
      </c>
    </row>
    <row r="97" spans="1:136" ht="15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2"/>
        <v>MESUS304-10x3-H7C14</v>
      </c>
      <c r="H97" s="46" t="str">
        <f t="shared" si="133"/>
        <v>SUS304ME100DH7</v>
      </c>
      <c r="I97" s="46" t="str">
        <f t="shared" si="134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5"/>
        <v>24</v>
      </c>
      <c r="T97" s="51">
        <f>'05.02'!BG97</f>
        <v>0</v>
      </c>
      <c r="U97" s="92"/>
      <c r="V97" s="100">
        <v>54.7</v>
      </c>
      <c r="W97" s="93">
        <f t="shared" si="114"/>
        <v>0</v>
      </c>
      <c r="X97" s="93">
        <f t="shared" si="115"/>
        <v>0</v>
      </c>
      <c r="Y97" s="93">
        <f t="shared" si="116"/>
        <v>0</v>
      </c>
      <c r="Z97" s="93">
        <f t="shared" si="117"/>
        <v>0</v>
      </c>
      <c r="AA97" s="93">
        <f t="shared" si="118"/>
        <v>0</v>
      </c>
      <c r="AB97" s="93">
        <f t="shared" si="119"/>
        <v>0</v>
      </c>
      <c r="AC97" s="93">
        <f t="shared" si="120"/>
        <v>0</v>
      </c>
      <c r="AD97" s="93">
        <f t="shared" si="121"/>
        <v>0</v>
      </c>
      <c r="AE97" s="93">
        <f t="shared" si="136"/>
        <v>0</v>
      </c>
      <c r="AF97" s="54">
        <f>AE97+'06.02'!AF97</f>
        <v>0</v>
      </c>
      <c r="AG97" s="94">
        <f t="shared" si="162"/>
        <v>0</v>
      </c>
      <c r="AH97" s="56">
        <f t="shared" si="137"/>
        <v>0</v>
      </c>
      <c r="AI97" s="93"/>
      <c r="AJ97" s="93">
        <f t="shared" si="163"/>
        <v>0</v>
      </c>
      <c r="AK97" s="95">
        <f t="shared" si="138"/>
        <v>1</v>
      </c>
      <c r="AL97" s="58">
        <f t="shared" si="174"/>
        <v>0</v>
      </c>
      <c r="AM97" s="55">
        <f t="shared" si="164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39"/>
        <v>0</v>
      </c>
      <c r="AV97" s="96">
        <f t="shared" si="139"/>
        <v>0</v>
      </c>
      <c r="AW97" s="96">
        <f t="shared" si="140"/>
        <v>0</v>
      </c>
      <c r="AX97" s="96">
        <f t="shared" si="141"/>
        <v>0</v>
      </c>
      <c r="AY97" s="94">
        <f t="shared" si="165"/>
        <v>0</v>
      </c>
      <c r="AZ97" s="94">
        <f t="shared" si="142"/>
        <v>0</v>
      </c>
      <c r="BA97" s="94">
        <f t="shared" si="171"/>
        <v>0</v>
      </c>
      <c r="BB97" s="97">
        <f t="shared" si="172"/>
        <v>0</v>
      </c>
      <c r="BC97" s="93"/>
      <c r="BD97" s="93">
        <f t="shared" si="143"/>
        <v>0</v>
      </c>
      <c r="BE97" s="95">
        <f t="shared" si="144"/>
        <v>1</v>
      </c>
      <c r="BF97" s="58">
        <f t="shared" si="175"/>
        <v>0</v>
      </c>
      <c r="BG97" s="94">
        <f t="shared" si="145"/>
        <v>0</v>
      </c>
      <c r="BH97" s="89"/>
      <c r="BI97" s="92">
        <f t="shared" si="184"/>
        <v>0</v>
      </c>
      <c r="BJ97" s="89"/>
      <c r="BK97" s="89"/>
      <c r="BL97" s="89"/>
      <c r="BM97" s="89"/>
      <c r="BN97" s="89"/>
      <c r="BO97" s="92">
        <f t="shared" si="166"/>
        <v>0</v>
      </c>
      <c r="BP97" s="92">
        <f t="shared" si="166"/>
        <v>0</v>
      </c>
      <c r="BQ97" s="96">
        <f t="shared" si="146"/>
        <v>0</v>
      </c>
      <c r="BR97" s="96">
        <f t="shared" si="147"/>
        <v>0</v>
      </c>
      <c r="BS97" s="96">
        <f t="shared" si="167"/>
        <v>0</v>
      </c>
      <c r="BT97" s="96">
        <f t="shared" si="148"/>
        <v>0</v>
      </c>
      <c r="BU97" s="92">
        <f t="shared" si="122"/>
        <v>0</v>
      </c>
      <c r="BV97" s="98">
        <f t="shared" si="168"/>
        <v>0</v>
      </c>
      <c r="BW97" s="92">
        <f t="shared" si="123"/>
        <v>0</v>
      </c>
      <c r="BX97" s="98">
        <f t="shared" si="149"/>
        <v>0</v>
      </c>
      <c r="BY97" s="61">
        <f t="shared" si="173"/>
        <v>0</v>
      </c>
      <c r="BZ97" s="62">
        <f t="shared" si="150"/>
        <v>0</v>
      </c>
      <c r="CA97" s="98">
        <f t="shared" si="151"/>
        <v>0</v>
      </c>
      <c r="CB97" s="92">
        <f t="shared" si="124"/>
        <v>0</v>
      </c>
      <c r="CC97" s="92">
        <f t="shared" si="124"/>
        <v>0</v>
      </c>
      <c r="CD97" s="92">
        <f t="shared" si="124"/>
        <v>0</v>
      </c>
      <c r="CE97" s="99"/>
      <c r="CF97" s="99"/>
      <c r="CG97" s="51">
        <f t="shared" si="152"/>
        <v>0</v>
      </c>
      <c r="CH97" s="62">
        <f t="shared" si="153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101"/>
        <v>0</v>
      </c>
      <c r="CR97" s="102">
        <f t="shared" si="101"/>
        <v>0</v>
      </c>
      <c r="CS97" s="102">
        <f t="shared" si="101"/>
        <v>0</v>
      </c>
      <c r="CT97" s="92">
        <f t="shared" si="154"/>
        <v>0</v>
      </c>
      <c r="CU97" s="92">
        <f t="shared" si="102"/>
        <v>0</v>
      </c>
      <c r="CV97" s="103">
        <f t="shared" si="102"/>
        <v>0</v>
      </c>
      <c r="CW97" s="104"/>
      <c r="CX97" s="105">
        <v>120</v>
      </c>
      <c r="CY97" s="106">
        <f t="shared" si="155"/>
        <v>325</v>
      </c>
      <c r="CZ97" s="106">
        <f t="shared" si="156"/>
        <v>972.00000000000011</v>
      </c>
      <c r="DA97" s="106"/>
      <c r="DB97" s="106"/>
      <c r="DC97" s="105"/>
      <c r="DD97" s="107"/>
      <c r="DE97" s="92">
        <f t="shared" si="125"/>
        <v>0</v>
      </c>
      <c r="DF97" s="108">
        <f t="shared" si="126"/>
        <v>0</v>
      </c>
      <c r="DG97" s="115">
        <f t="shared" si="127"/>
        <v>0</v>
      </c>
      <c r="DH97" s="110">
        <f t="shared" si="128"/>
        <v>0</v>
      </c>
      <c r="DI97" s="108">
        <f t="shared" si="129"/>
        <v>0</v>
      </c>
      <c r="DJ97" s="112">
        <f t="shared" si="130"/>
        <v>0</v>
      </c>
      <c r="DK97" s="110">
        <f t="shared" si="181"/>
        <v>0</v>
      </c>
      <c r="DL97" s="108">
        <f t="shared" si="181"/>
        <v>0</v>
      </c>
      <c r="DM97" s="111">
        <f t="shared" si="181"/>
        <v>0</v>
      </c>
      <c r="DN97" s="76">
        <f t="shared" si="182"/>
        <v>0</v>
      </c>
      <c r="DO97" s="76">
        <f t="shared" si="182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7"/>
        <v>0</v>
      </c>
      <c r="DX97" s="81">
        <f t="shared" si="131"/>
        <v>0</v>
      </c>
      <c r="DY97" s="80">
        <f t="shared" si="158"/>
        <v>0</v>
      </c>
      <c r="DZ97" s="82">
        <f t="shared" si="159"/>
        <v>0</v>
      </c>
      <c r="EA97" s="82">
        <f t="shared" si="160"/>
        <v>0</v>
      </c>
      <c r="EB97" s="82">
        <f t="shared" si="161"/>
        <v>0</v>
      </c>
      <c r="EC97" s="82">
        <f t="shared" si="178"/>
        <v>0</v>
      </c>
      <c r="EF97" s="83">
        <f t="shared" si="183"/>
        <v>0</v>
      </c>
    </row>
    <row r="98" spans="1:136" ht="15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2"/>
        <v>ORC17300-3.5x3-H9A14</v>
      </c>
      <c r="H98" s="46" t="str">
        <f t="shared" si="133"/>
        <v>C17300OR3.50DH9</v>
      </c>
      <c r="I98" s="46" t="str">
        <f t="shared" si="134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5"/>
        <v>4</v>
      </c>
      <c r="T98" s="51">
        <f>'05.02'!BG98</f>
        <v>0</v>
      </c>
      <c r="U98" s="92"/>
      <c r="V98" s="100">
        <v>0.06</v>
      </c>
      <c r="W98" s="93">
        <f t="shared" si="114"/>
        <v>0</v>
      </c>
      <c r="X98" s="93">
        <f t="shared" si="115"/>
        <v>0</v>
      </c>
      <c r="Y98" s="93">
        <f t="shared" si="116"/>
        <v>0</v>
      </c>
      <c r="Z98" s="93">
        <f t="shared" si="117"/>
        <v>0</v>
      </c>
      <c r="AA98" s="93">
        <f t="shared" si="118"/>
        <v>0</v>
      </c>
      <c r="AB98" s="93">
        <f t="shared" si="119"/>
        <v>0</v>
      </c>
      <c r="AC98" s="93">
        <f t="shared" si="120"/>
        <v>0</v>
      </c>
      <c r="AD98" s="93">
        <f t="shared" si="121"/>
        <v>0</v>
      </c>
      <c r="AE98" s="93">
        <f t="shared" si="136"/>
        <v>0</v>
      </c>
      <c r="AF98" s="54">
        <f>AE98+'06.02'!AF98</f>
        <v>0</v>
      </c>
      <c r="AG98" s="94">
        <f t="shared" si="162"/>
        <v>0</v>
      </c>
      <c r="AH98" s="56">
        <f t="shared" si="137"/>
        <v>0</v>
      </c>
      <c r="AI98" s="93"/>
      <c r="AJ98" s="93">
        <f t="shared" si="163"/>
        <v>0</v>
      </c>
      <c r="AK98" s="95">
        <f t="shared" si="138"/>
        <v>1</v>
      </c>
      <c r="AL98" s="58">
        <f t="shared" si="174"/>
        <v>0</v>
      </c>
      <c r="AM98" s="55">
        <f t="shared" si="164"/>
        <v>0</v>
      </c>
      <c r="AN98" s="93"/>
      <c r="AO98" s="96"/>
      <c r="AP98" s="96"/>
      <c r="AQ98" s="96"/>
      <c r="AR98" s="96"/>
      <c r="AS98" s="96"/>
      <c r="AT98" s="96">
        <f t="shared" ref="AT98:AT100" si="187">$CJ98</f>
        <v>0</v>
      </c>
      <c r="AU98" s="96">
        <f t="shared" si="139"/>
        <v>0</v>
      </c>
      <c r="AV98" s="96">
        <f t="shared" si="139"/>
        <v>0</v>
      </c>
      <c r="AW98" s="96">
        <f t="shared" si="140"/>
        <v>0</v>
      </c>
      <c r="AX98" s="96">
        <f t="shared" si="141"/>
        <v>0</v>
      </c>
      <c r="AY98" s="94">
        <f t="shared" si="165"/>
        <v>0</v>
      </c>
      <c r="AZ98" s="94">
        <f t="shared" si="142"/>
        <v>0</v>
      </c>
      <c r="BA98" s="94">
        <f t="shared" si="171"/>
        <v>0</v>
      </c>
      <c r="BB98" s="97">
        <f t="shared" si="172"/>
        <v>0</v>
      </c>
      <c r="BC98" s="93"/>
      <c r="BD98" s="93">
        <f t="shared" si="143"/>
        <v>0</v>
      </c>
      <c r="BE98" s="95">
        <f t="shared" si="144"/>
        <v>1</v>
      </c>
      <c r="BF98" s="58">
        <f t="shared" si="175"/>
        <v>0</v>
      </c>
      <c r="BG98" s="94">
        <f t="shared" si="145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6"/>
        <v>0</v>
      </c>
      <c r="BP98" s="92">
        <f t="shared" si="166"/>
        <v>0</v>
      </c>
      <c r="BQ98" s="96">
        <f t="shared" si="146"/>
        <v>0</v>
      </c>
      <c r="BR98" s="96">
        <f t="shared" si="147"/>
        <v>0</v>
      </c>
      <c r="BS98" s="96">
        <f t="shared" si="167"/>
        <v>0</v>
      </c>
      <c r="BT98" s="96">
        <f t="shared" si="148"/>
        <v>0</v>
      </c>
      <c r="BU98" s="92">
        <f t="shared" si="122"/>
        <v>0</v>
      </c>
      <c r="BV98" s="98">
        <f t="shared" si="168"/>
        <v>0</v>
      </c>
      <c r="BW98" s="92">
        <f t="shared" si="123"/>
        <v>0</v>
      </c>
      <c r="BX98" s="98">
        <f t="shared" si="149"/>
        <v>0</v>
      </c>
      <c r="BY98" s="61">
        <f>IFERROR(BF98+AL98,0)</f>
        <v>0</v>
      </c>
      <c r="BZ98" s="62">
        <f t="shared" si="150"/>
        <v>0</v>
      </c>
      <c r="CA98" s="98">
        <f t="shared" si="151"/>
        <v>0</v>
      </c>
      <c r="CB98" s="92">
        <f t="shared" si="124"/>
        <v>0</v>
      </c>
      <c r="CC98" s="92">
        <f t="shared" si="124"/>
        <v>0</v>
      </c>
      <c r="CD98" s="92">
        <f t="shared" si="124"/>
        <v>0</v>
      </c>
      <c r="CE98" s="99"/>
      <c r="CF98" s="99"/>
      <c r="CG98" s="51">
        <f t="shared" si="152"/>
        <v>0</v>
      </c>
      <c r="CH98" s="62">
        <f t="shared" si="153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101"/>
        <v>0</v>
      </c>
      <c r="CR98" s="102">
        <f t="shared" si="101"/>
        <v>0</v>
      </c>
      <c r="CS98" s="102">
        <f t="shared" si="101"/>
        <v>0</v>
      </c>
      <c r="CT98" s="92">
        <f t="shared" si="154"/>
        <v>0</v>
      </c>
      <c r="CU98" s="92">
        <f t="shared" si="102"/>
        <v>0</v>
      </c>
      <c r="CV98" s="103">
        <f t="shared" si="102"/>
        <v>0</v>
      </c>
      <c r="CW98" s="104"/>
      <c r="CX98" s="105">
        <v>60</v>
      </c>
      <c r="CY98" s="106">
        <f t="shared" si="155"/>
        <v>710</v>
      </c>
      <c r="CZ98" s="106">
        <f t="shared" si="156"/>
        <v>486.00000000000006</v>
      </c>
      <c r="DA98" s="106"/>
      <c r="DB98" s="106"/>
      <c r="DC98" s="105"/>
      <c r="DD98" s="107"/>
      <c r="DE98" s="92">
        <f t="shared" si="125"/>
        <v>0</v>
      </c>
      <c r="DF98" s="108">
        <f t="shared" si="126"/>
        <v>0</v>
      </c>
      <c r="DG98" s="115">
        <f t="shared" si="127"/>
        <v>0</v>
      </c>
      <c r="DH98" s="110">
        <f t="shared" si="128"/>
        <v>0</v>
      </c>
      <c r="DI98" s="108">
        <f t="shared" si="129"/>
        <v>0</v>
      </c>
      <c r="DJ98" s="112">
        <f t="shared" si="130"/>
        <v>0</v>
      </c>
      <c r="DK98" s="110">
        <f t="shared" si="181"/>
        <v>0</v>
      </c>
      <c r="DL98" s="108">
        <f t="shared" si="181"/>
        <v>0</v>
      </c>
      <c r="DM98" s="111">
        <f t="shared" si="181"/>
        <v>0</v>
      </c>
      <c r="DN98" s="76">
        <f t="shared" si="182"/>
        <v>0</v>
      </c>
      <c r="DO98" s="76">
        <f t="shared" si="182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31"/>
        <v>0</v>
      </c>
      <c r="DY98" s="80">
        <f t="shared" si="158"/>
        <v>0</v>
      </c>
      <c r="DZ98" s="82">
        <f t="shared" si="159"/>
        <v>0</v>
      </c>
      <c r="EA98" s="82">
        <f t="shared" si="160"/>
        <v>0</v>
      </c>
      <c r="EB98" s="82">
        <f t="shared" si="161"/>
        <v>0</v>
      </c>
      <c r="EC98" s="82">
        <f t="shared" si="178"/>
        <v>0</v>
      </c>
      <c r="EF98" s="83">
        <f t="shared" si="183"/>
        <v>0</v>
      </c>
    </row>
    <row r="99" spans="1:136" ht="14.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2"/>
        <v>TVSUS303-6x2.5-H9A14</v>
      </c>
      <c r="H99" s="46" t="str">
        <f t="shared" si="133"/>
        <v>SUS303TV60DH9</v>
      </c>
      <c r="I99" s="46" t="str">
        <f t="shared" si="134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5"/>
        <v>12</v>
      </c>
      <c r="T99" s="51">
        <f>'05.02'!BG99</f>
        <v>0</v>
      </c>
      <c r="U99" s="92"/>
      <c r="V99" s="100">
        <v>3.0150000000000001</v>
      </c>
      <c r="W99" s="93">
        <f t="shared" si="114"/>
        <v>0</v>
      </c>
      <c r="X99" s="93">
        <f t="shared" si="115"/>
        <v>0</v>
      </c>
      <c r="Y99" s="93">
        <f t="shared" si="116"/>
        <v>0</v>
      </c>
      <c r="Z99" s="93">
        <f t="shared" si="117"/>
        <v>0</v>
      </c>
      <c r="AA99" s="93">
        <f t="shared" si="118"/>
        <v>0</v>
      </c>
      <c r="AB99" s="93">
        <f t="shared" si="119"/>
        <v>0</v>
      </c>
      <c r="AC99" s="93">
        <f t="shared" si="120"/>
        <v>0</v>
      </c>
      <c r="AD99" s="93">
        <f t="shared" si="121"/>
        <v>0</v>
      </c>
      <c r="AE99" s="93">
        <f t="shared" si="136"/>
        <v>0</v>
      </c>
      <c r="AF99" s="54">
        <f>AE99+'06.02'!AF99</f>
        <v>0</v>
      </c>
      <c r="AG99" s="94">
        <f t="shared" si="162"/>
        <v>0</v>
      </c>
      <c r="AH99" s="56">
        <f t="shared" si="137"/>
        <v>0</v>
      </c>
      <c r="AI99" s="93"/>
      <c r="AJ99" s="93">
        <f t="shared" si="163"/>
        <v>0</v>
      </c>
      <c r="AK99" s="95">
        <f t="shared" si="138"/>
        <v>1</v>
      </c>
      <c r="AL99" s="58">
        <f t="shared" si="174"/>
        <v>0</v>
      </c>
      <c r="AM99" s="55">
        <f t="shared" si="164"/>
        <v>0</v>
      </c>
      <c r="AN99" s="93"/>
      <c r="AO99" s="96"/>
      <c r="AP99" s="96"/>
      <c r="AQ99" s="96"/>
      <c r="AR99" s="96"/>
      <c r="AS99" s="96"/>
      <c r="AT99" s="96">
        <f t="shared" si="187"/>
        <v>0</v>
      </c>
      <c r="AU99" s="96">
        <f t="shared" si="139"/>
        <v>0</v>
      </c>
      <c r="AV99" s="96">
        <f t="shared" si="139"/>
        <v>0</v>
      </c>
      <c r="AW99" s="96">
        <f t="shared" si="140"/>
        <v>0</v>
      </c>
      <c r="AX99" s="96">
        <f t="shared" si="141"/>
        <v>0</v>
      </c>
      <c r="AY99" s="94">
        <f t="shared" si="165"/>
        <v>0</v>
      </c>
      <c r="AZ99" s="94">
        <f t="shared" si="142"/>
        <v>0</v>
      </c>
      <c r="BA99" s="94">
        <f t="shared" si="171"/>
        <v>0</v>
      </c>
      <c r="BB99" s="97">
        <f t="shared" si="172"/>
        <v>0</v>
      </c>
      <c r="BC99" s="93"/>
      <c r="BD99" s="93">
        <f t="shared" si="143"/>
        <v>0</v>
      </c>
      <c r="BE99" s="95">
        <f t="shared" si="144"/>
        <v>1</v>
      </c>
      <c r="BF99" s="58">
        <f t="shared" si="175"/>
        <v>0</v>
      </c>
      <c r="BG99" s="94">
        <f t="shared" si="145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6"/>
        <v>0</v>
      </c>
      <c r="BP99" s="92">
        <f t="shared" si="166"/>
        <v>0</v>
      </c>
      <c r="BQ99" s="96">
        <f t="shared" si="146"/>
        <v>0</v>
      </c>
      <c r="BR99" s="96">
        <f t="shared" si="147"/>
        <v>0</v>
      </c>
      <c r="BS99" s="96">
        <f t="shared" si="167"/>
        <v>0</v>
      </c>
      <c r="BT99" s="96">
        <f t="shared" si="148"/>
        <v>0</v>
      </c>
      <c r="BU99" s="92">
        <f t="shared" si="122"/>
        <v>0</v>
      </c>
      <c r="BV99" s="98">
        <f t="shared" si="168"/>
        <v>0</v>
      </c>
      <c r="BW99" s="92">
        <f t="shared" si="123"/>
        <v>0</v>
      </c>
      <c r="BX99" s="98">
        <f t="shared" si="149"/>
        <v>0</v>
      </c>
      <c r="BY99" s="61">
        <f t="shared" si="173"/>
        <v>0</v>
      </c>
      <c r="BZ99" s="62">
        <f t="shared" si="150"/>
        <v>0</v>
      </c>
      <c r="CA99" s="98">
        <f t="shared" si="151"/>
        <v>0</v>
      </c>
      <c r="CB99" s="92">
        <f t="shared" si="124"/>
        <v>0</v>
      </c>
      <c r="CC99" s="92">
        <f t="shared" si="124"/>
        <v>0</v>
      </c>
      <c r="CD99" s="92">
        <f t="shared" si="124"/>
        <v>0</v>
      </c>
      <c r="CE99" s="99"/>
      <c r="CF99" s="99"/>
      <c r="CG99" s="51">
        <f t="shared" si="152"/>
        <v>0</v>
      </c>
      <c r="CH99" s="62">
        <f t="shared" si="153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88">INT(IFERROR( CJ99/$V99,0))</f>
        <v>0</v>
      </c>
      <c r="CR99" s="102">
        <f t="shared" si="188"/>
        <v>0</v>
      </c>
      <c r="CS99" s="102">
        <f t="shared" si="188"/>
        <v>0</v>
      </c>
      <c r="CT99" s="92">
        <f t="shared" si="154"/>
        <v>0</v>
      </c>
      <c r="CU99" s="92">
        <f t="shared" si="102"/>
        <v>0</v>
      </c>
      <c r="CV99" s="103">
        <f t="shared" si="102"/>
        <v>0</v>
      </c>
      <c r="CW99" s="104"/>
      <c r="CX99" s="105">
        <v>123</v>
      </c>
      <c r="CY99" s="106">
        <f t="shared" si="155"/>
        <v>336</v>
      </c>
      <c r="CZ99" s="106">
        <f t="shared" si="156"/>
        <v>996.30000000000007</v>
      </c>
      <c r="DA99" s="106"/>
      <c r="DB99" s="106"/>
      <c r="DC99" s="105"/>
      <c r="DD99" s="107"/>
      <c r="DE99" s="92">
        <f t="shared" si="125"/>
        <v>0</v>
      </c>
      <c r="DF99" s="108">
        <f t="shared" si="126"/>
        <v>0</v>
      </c>
      <c r="DG99" s="115">
        <f t="shared" si="127"/>
        <v>0</v>
      </c>
      <c r="DH99" s="110">
        <f t="shared" si="128"/>
        <v>0</v>
      </c>
      <c r="DI99" s="108">
        <f t="shared" si="129"/>
        <v>0</v>
      </c>
      <c r="DJ99" s="112">
        <f t="shared" si="130"/>
        <v>0</v>
      </c>
      <c r="DK99" s="110">
        <f t="shared" si="181"/>
        <v>0</v>
      </c>
      <c r="DL99" s="108">
        <f t="shared" si="181"/>
        <v>0</v>
      </c>
      <c r="DM99" s="111">
        <f t="shared" si="181"/>
        <v>0</v>
      </c>
      <c r="DN99" s="76">
        <f t="shared" si="182"/>
        <v>0</v>
      </c>
      <c r="DO99" s="76">
        <f t="shared" si="182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7"/>
        <v>0</v>
      </c>
      <c r="DX99" s="81">
        <f t="shared" si="131"/>
        <v>0</v>
      </c>
      <c r="DY99" s="80">
        <f t="shared" si="158"/>
        <v>0</v>
      </c>
      <c r="DZ99" s="82">
        <f t="shared" si="159"/>
        <v>0</v>
      </c>
      <c r="EA99" s="82">
        <f t="shared" si="160"/>
        <v>0</v>
      </c>
      <c r="EB99" s="82">
        <f t="shared" si="161"/>
        <v>0</v>
      </c>
      <c r="EC99" s="82">
        <f t="shared" si="178"/>
        <v>0</v>
      </c>
      <c r="EF99" s="83">
        <f t="shared" si="183"/>
        <v>0</v>
      </c>
    </row>
    <row r="100" spans="1:136" ht="14.1" customHeight="1">
      <c r="A100" s="84">
        <v>93</v>
      </c>
      <c r="B100" s="85" t="s">
        <v>391</v>
      </c>
      <c r="C100" s="86"/>
      <c r="D100" s="236" t="s">
        <v>509</v>
      </c>
      <c r="E100" s="88">
        <v>550</v>
      </c>
      <c r="F100" s="89" t="s">
        <v>128</v>
      </c>
      <c r="G100" s="45" t="str">
        <f t="shared" si="132"/>
        <v>GWA6061-T6-25x3-H9B14</v>
      </c>
      <c r="H100" s="46" t="str">
        <f t="shared" si="133"/>
        <v>A6061-T6GW250DH9</v>
      </c>
      <c r="I100" s="46" t="str">
        <f t="shared" si="134"/>
        <v>A6061-T6GW250DH93B14</v>
      </c>
      <c r="J100" s="90" t="s">
        <v>374</v>
      </c>
      <c r="K100" s="90" t="s">
        <v>130</v>
      </c>
      <c r="L100" s="90">
        <v>25</v>
      </c>
      <c r="M100" s="90">
        <v>0</v>
      </c>
      <c r="N100" s="90" t="s">
        <v>128</v>
      </c>
      <c r="O100" s="90" t="s">
        <v>131</v>
      </c>
      <c r="P100" s="90">
        <v>3</v>
      </c>
      <c r="Q100" s="91">
        <v>1.522</v>
      </c>
      <c r="R100" s="49" t="s">
        <v>171</v>
      </c>
      <c r="S100" s="89">
        <f t="shared" si="135"/>
        <v>2</v>
      </c>
      <c r="T100" s="51">
        <f>'05.02'!BG100</f>
        <v>0</v>
      </c>
      <c r="U100" s="92"/>
      <c r="V100" s="100">
        <v>0.75</v>
      </c>
      <c r="W100" s="93">
        <f t="shared" si="114"/>
        <v>0</v>
      </c>
      <c r="X100" s="93">
        <f t="shared" si="115"/>
        <v>0</v>
      </c>
      <c r="Y100" s="93">
        <f t="shared" si="116"/>
        <v>0</v>
      </c>
      <c r="Z100" s="93">
        <f t="shared" si="117"/>
        <v>0</v>
      </c>
      <c r="AA100" s="93">
        <f t="shared" si="118"/>
        <v>0</v>
      </c>
      <c r="AB100" s="93">
        <f t="shared" si="119"/>
        <v>253</v>
      </c>
      <c r="AC100" s="93">
        <f t="shared" si="120"/>
        <v>0</v>
      </c>
      <c r="AD100" s="93">
        <f t="shared" si="121"/>
        <v>133</v>
      </c>
      <c r="AE100" s="93">
        <f t="shared" si="136"/>
        <v>253</v>
      </c>
      <c r="AF100" s="54">
        <f>AE100+'06.02'!AF100</f>
        <v>539</v>
      </c>
      <c r="AG100" s="94">
        <f t="shared" si="162"/>
        <v>0</v>
      </c>
      <c r="AH100" s="56">
        <f t="shared" si="137"/>
        <v>0</v>
      </c>
      <c r="AI100" s="93"/>
      <c r="AJ100" s="93">
        <f t="shared" si="163"/>
        <v>0</v>
      </c>
      <c r="AK100" s="95">
        <f t="shared" si="138"/>
        <v>1</v>
      </c>
      <c r="AL100" s="58">
        <f t="shared" si="174"/>
        <v>0</v>
      </c>
      <c r="AM100" s="55">
        <f t="shared" si="164"/>
        <v>0</v>
      </c>
      <c r="AN100" s="93"/>
      <c r="AO100" s="96"/>
      <c r="AP100" s="96"/>
      <c r="AQ100" s="96"/>
      <c r="AR100" s="96"/>
      <c r="AS100" s="96"/>
      <c r="AT100" s="96">
        <f t="shared" si="187"/>
        <v>0</v>
      </c>
      <c r="AU100" s="96">
        <f t="shared" si="139"/>
        <v>0</v>
      </c>
      <c r="AV100" s="96">
        <f t="shared" si="139"/>
        <v>0</v>
      </c>
      <c r="AW100" s="96">
        <f t="shared" si="140"/>
        <v>0</v>
      </c>
      <c r="AX100" s="96">
        <f t="shared" si="141"/>
        <v>0</v>
      </c>
      <c r="AY100" s="94">
        <f t="shared" si="165"/>
        <v>0</v>
      </c>
      <c r="AZ100" s="94">
        <f t="shared" si="142"/>
        <v>0</v>
      </c>
      <c r="BA100" s="94">
        <f t="shared" si="171"/>
        <v>0</v>
      </c>
      <c r="BB100" s="97">
        <f t="shared" si="172"/>
        <v>0</v>
      </c>
      <c r="BC100" s="93">
        <v>1</v>
      </c>
      <c r="BD100" s="93">
        <f t="shared" si="143"/>
        <v>0</v>
      </c>
      <c r="BE100" s="95">
        <f t="shared" si="144"/>
        <v>1</v>
      </c>
      <c r="BF100" s="58">
        <f t="shared" si="175"/>
        <v>1</v>
      </c>
      <c r="BG100" s="94">
        <f t="shared" si="145"/>
        <v>-1</v>
      </c>
      <c r="BH100" s="89"/>
      <c r="BI100" s="89"/>
      <c r="BJ100" s="89"/>
      <c r="BK100" s="89"/>
      <c r="BL100" s="89"/>
      <c r="BM100" s="89"/>
      <c r="BN100" s="92">
        <f>$CN100</f>
        <v>190</v>
      </c>
      <c r="BO100" s="92">
        <f t="shared" si="166"/>
        <v>0</v>
      </c>
      <c r="BP100" s="92">
        <f t="shared" si="166"/>
        <v>100</v>
      </c>
      <c r="BQ100" s="96">
        <f t="shared" si="146"/>
        <v>290</v>
      </c>
      <c r="BR100" s="96">
        <f t="shared" si="147"/>
        <v>386</v>
      </c>
      <c r="BS100" s="96">
        <f t="shared" si="167"/>
        <v>-122.5</v>
      </c>
      <c r="BT100" s="96">
        <f t="shared" si="148"/>
        <v>-163.33333333333334</v>
      </c>
      <c r="BU100" s="92">
        <f t="shared" si="122"/>
        <v>253</v>
      </c>
      <c r="BV100" s="98">
        <f t="shared" si="168"/>
        <v>1</v>
      </c>
      <c r="BW100" s="92">
        <f t="shared" si="123"/>
        <v>-163.33333333333334</v>
      </c>
      <c r="BX100" s="98">
        <f t="shared" si="149"/>
        <v>1.522</v>
      </c>
      <c r="BY100" s="61">
        <f>IFERROR(BF100+AL100,0)</f>
        <v>1</v>
      </c>
      <c r="BZ100" s="62">
        <f t="shared" si="150"/>
        <v>1</v>
      </c>
      <c r="CA100" s="98">
        <f t="shared" si="151"/>
        <v>0.28999999999999998</v>
      </c>
      <c r="CB100" s="92">
        <f t="shared" si="124"/>
        <v>386</v>
      </c>
      <c r="CC100" s="92">
        <f t="shared" si="124"/>
        <v>-122.5</v>
      </c>
      <c r="CD100" s="92">
        <f t="shared" si="124"/>
        <v>-163.33333333333334</v>
      </c>
      <c r="CE100" s="99"/>
      <c r="CF100" s="99"/>
      <c r="CG100" s="51">
        <f t="shared" si="152"/>
        <v>1.3320000000000001</v>
      </c>
      <c r="CH100" s="62">
        <f t="shared" si="153"/>
        <v>1.3320000000000001</v>
      </c>
      <c r="CI100" s="89"/>
      <c r="CJ100" s="89"/>
      <c r="CK100" s="89"/>
      <c r="CL100" s="96"/>
      <c r="CM100" s="89"/>
      <c r="CN100" s="89">
        <v>190</v>
      </c>
      <c r="CO100" s="92"/>
      <c r="CP100" s="101">
        <v>100</v>
      </c>
      <c r="CQ100" s="102">
        <f t="shared" si="188"/>
        <v>0</v>
      </c>
      <c r="CR100" s="102">
        <f t="shared" si="188"/>
        <v>0</v>
      </c>
      <c r="CS100" s="102">
        <f t="shared" si="188"/>
        <v>0</v>
      </c>
      <c r="CT100" s="92">
        <f t="shared" si="154"/>
        <v>253</v>
      </c>
      <c r="CU100" s="92">
        <f t="shared" si="102"/>
        <v>0</v>
      </c>
      <c r="CV100" s="103">
        <f t="shared" si="102"/>
        <v>133</v>
      </c>
      <c r="CW100" s="104"/>
      <c r="CX100" s="105">
        <v>60</v>
      </c>
      <c r="CY100" s="106">
        <f t="shared" si="155"/>
        <v>710</v>
      </c>
      <c r="CZ100" s="106">
        <f t="shared" si="156"/>
        <v>486.00000000000006</v>
      </c>
      <c r="DA100" s="106"/>
      <c r="DB100" s="106"/>
      <c r="DC100" s="105"/>
      <c r="DD100" s="107"/>
      <c r="DE100" s="92">
        <f t="shared" si="125"/>
        <v>0</v>
      </c>
      <c r="DF100" s="108">
        <f t="shared" si="126"/>
        <v>0</v>
      </c>
      <c r="DG100" s="115">
        <f t="shared" si="127"/>
        <v>0</v>
      </c>
      <c r="DH100" s="110">
        <f t="shared" si="128"/>
        <v>253</v>
      </c>
      <c r="DI100" s="108">
        <f t="shared" si="129"/>
        <v>1</v>
      </c>
      <c r="DJ100" s="112">
        <f t="shared" si="130"/>
        <v>-163.33333333333334</v>
      </c>
      <c r="DK100" s="110">
        <f t="shared" si="181"/>
        <v>253</v>
      </c>
      <c r="DL100" s="108">
        <f t="shared" si="181"/>
        <v>1</v>
      </c>
      <c r="DM100" s="111">
        <f t="shared" si="181"/>
        <v>-163.33333333333334</v>
      </c>
      <c r="DN100" s="76">
        <f t="shared" si="182"/>
        <v>0</v>
      </c>
      <c r="DO100" s="76">
        <f t="shared" si="182"/>
        <v>0</v>
      </c>
      <c r="DP100" s="112"/>
      <c r="DQ100" s="112"/>
      <c r="DR100" s="113"/>
      <c r="DS100" s="112"/>
      <c r="DT100" s="112"/>
      <c r="DU100" s="111"/>
      <c r="DV100" s="114"/>
      <c r="DW100" s="80">
        <f t="shared" si="157"/>
        <v>254</v>
      </c>
      <c r="DX100" s="81">
        <f t="shared" si="131"/>
        <v>90.666666666666657</v>
      </c>
      <c r="DY100" s="80">
        <f t="shared" si="158"/>
        <v>386</v>
      </c>
      <c r="DZ100" s="82">
        <f t="shared" si="159"/>
        <v>9.9750000000000005E-2</v>
      </c>
      <c r="EA100" s="82">
        <f t="shared" si="160"/>
        <v>0.18975</v>
      </c>
      <c r="EB100" s="82">
        <f t="shared" si="161"/>
        <v>1.3322499999999999</v>
      </c>
      <c r="EC100" s="82">
        <f t="shared" si="178"/>
        <v>1.4319999999999999</v>
      </c>
      <c r="EF100" s="83">
        <f t="shared" si="183"/>
        <v>-163.33333333333334</v>
      </c>
    </row>
    <row r="101" spans="1:136" ht="15" customHeight="1">
      <c r="A101" s="84">
        <v>94</v>
      </c>
      <c r="B101" s="85" t="s">
        <v>395</v>
      </c>
      <c r="C101" s="86"/>
      <c r="D101" s="119" t="s">
        <v>488</v>
      </c>
      <c r="E101" s="88">
        <v>101</v>
      </c>
      <c r="F101" s="89" t="s">
        <v>136</v>
      </c>
      <c r="G101" s="45" t="str">
        <f t="shared" si="132"/>
        <v>IBC3604-H7x3-H11C14</v>
      </c>
      <c r="H101" s="46" t="str">
        <f t="shared" si="133"/>
        <v>C3604IB70HH11</v>
      </c>
      <c r="I101" s="46" t="str">
        <f t="shared" si="134"/>
        <v>C3604IB70HH113C14</v>
      </c>
      <c r="J101" s="90" t="s">
        <v>148</v>
      </c>
      <c r="K101" s="90" t="s">
        <v>156</v>
      </c>
      <c r="L101" s="90">
        <v>7</v>
      </c>
      <c r="M101" s="90">
        <v>0</v>
      </c>
      <c r="N101" s="90" t="s">
        <v>160</v>
      </c>
      <c r="O101" s="90" t="s">
        <v>161</v>
      </c>
      <c r="P101" s="90">
        <v>3</v>
      </c>
      <c r="Q101" s="91">
        <v>1.08</v>
      </c>
      <c r="R101" s="90" t="s">
        <v>144</v>
      </c>
      <c r="S101" s="89">
        <f t="shared" si="135"/>
        <v>6</v>
      </c>
      <c r="T101" s="51">
        <f>'05.02'!BG101</f>
        <v>0</v>
      </c>
      <c r="U101" s="92"/>
      <c r="V101" s="100">
        <v>5.33</v>
      </c>
      <c r="W101" s="93">
        <f t="shared" si="114"/>
        <v>0</v>
      </c>
      <c r="X101" s="93">
        <f t="shared" si="115"/>
        <v>0</v>
      </c>
      <c r="Y101" s="93">
        <f t="shared" si="116"/>
        <v>0</v>
      </c>
      <c r="Z101" s="93">
        <f t="shared" si="117"/>
        <v>0</v>
      </c>
      <c r="AA101" s="93">
        <f t="shared" si="118"/>
        <v>0</v>
      </c>
      <c r="AB101" s="93">
        <f t="shared" si="119"/>
        <v>0</v>
      </c>
      <c r="AC101" s="93">
        <f t="shared" si="120"/>
        <v>0</v>
      </c>
      <c r="AD101" s="93">
        <f t="shared" si="121"/>
        <v>0</v>
      </c>
      <c r="AE101" s="93">
        <f t="shared" si="136"/>
        <v>0</v>
      </c>
      <c r="AF101" s="54">
        <f>AE101+'06.02'!AF101</f>
        <v>163</v>
      </c>
      <c r="AG101" s="94">
        <f t="shared" si="162"/>
        <v>0</v>
      </c>
      <c r="AH101" s="56">
        <f t="shared" si="137"/>
        <v>0</v>
      </c>
      <c r="AI101" s="93"/>
      <c r="AJ101" s="93">
        <f t="shared" si="163"/>
        <v>0</v>
      </c>
      <c r="AK101" s="95">
        <f t="shared" si="138"/>
        <v>1</v>
      </c>
      <c r="AL101" s="58">
        <f t="shared" si="174"/>
        <v>0</v>
      </c>
      <c r="AM101" s="55">
        <f t="shared" si="164"/>
        <v>0</v>
      </c>
      <c r="AN101" s="93"/>
      <c r="AO101" s="96"/>
      <c r="AP101" s="96"/>
      <c r="AQ101" s="96"/>
      <c r="AR101" s="96"/>
      <c r="AS101" s="96"/>
      <c r="AT101" s="96">
        <f>$CJ101</f>
        <v>0</v>
      </c>
      <c r="AU101" s="96">
        <f t="shared" si="139"/>
        <v>0</v>
      </c>
      <c r="AV101" s="96">
        <f t="shared" si="139"/>
        <v>0</v>
      </c>
      <c r="AW101" s="96">
        <f t="shared" si="140"/>
        <v>0</v>
      </c>
      <c r="AX101" s="96">
        <f t="shared" si="141"/>
        <v>0</v>
      </c>
      <c r="AY101" s="94">
        <f t="shared" si="165"/>
        <v>0</v>
      </c>
      <c r="AZ101" s="94">
        <f t="shared" si="142"/>
        <v>0</v>
      </c>
      <c r="BA101" s="94">
        <f t="shared" si="171"/>
        <v>0</v>
      </c>
      <c r="BB101" s="97">
        <f t="shared" si="172"/>
        <v>0</v>
      </c>
      <c r="BC101" s="93"/>
      <c r="BD101" s="93">
        <f t="shared" si="143"/>
        <v>0</v>
      </c>
      <c r="BE101" s="95">
        <f t="shared" si="144"/>
        <v>1</v>
      </c>
      <c r="BF101" s="58">
        <f t="shared" si="175"/>
        <v>0</v>
      </c>
      <c r="BG101" s="94">
        <f t="shared" si="145"/>
        <v>0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6"/>
        <v>0</v>
      </c>
      <c r="BP101" s="92">
        <f t="shared" si="166"/>
        <v>0</v>
      </c>
      <c r="BQ101" s="96">
        <f t="shared" si="146"/>
        <v>0</v>
      </c>
      <c r="BR101" s="96">
        <f t="shared" si="147"/>
        <v>0</v>
      </c>
      <c r="BS101" s="96">
        <f t="shared" si="167"/>
        <v>0</v>
      </c>
      <c r="BT101" s="96">
        <f t="shared" si="148"/>
        <v>0</v>
      </c>
      <c r="BU101" s="92">
        <f t="shared" si="122"/>
        <v>0</v>
      </c>
      <c r="BV101" s="98">
        <f t="shared" si="168"/>
        <v>0</v>
      </c>
      <c r="BW101" s="92">
        <f t="shared" si="123"/>
        <v>0</v>
      </c>
      <c r="BX101" s="98">
        <f t="shared" si="149"/>
        <v>0</v>
      </c>
      <c r="BY101" s="61">
        <f t="shared" si="173"/>
        <v>0</v>
      </c>
      <c r="BZ101" s="62">
        <f t="shared" si="150"/>
        <v>0</v>
      </c>
      <c r="CA101" s="98">
        <f t="shared" si="151"/>
        <v>0</v>
      </c>
      <c r="CB101" s="92">
        <f t="shared" si="124"/>
        <v>0</v>
      </c>
      <c r="CC101" s="92">
        <f t="shared" si="124"/>
        <v>0</v>
      </c>
      <c r="CD101" s="92">
        <f t="shared" si="124"/>
        <v>0</v>
      </c>
      <c r="CE101" s="99"/>
      <c r="CF101" s="99"/>
      <c r="CG101" s="51">
        <f t="shared" si="152"/>
        <v>0</v>
      </c>
      <c r="CH101" s="62">
        <f t="shared" si="153"/>
        <v>0</v>
      </c>
      <c r="CI101" s="89"/>
      <c r="CJ101" s="89"/>
      <c r="CK101" s="89"/>
      <c r="CL101" s="96"/>
      <c r="CM101" s="89"/>
      <c r="CN101" s="89"/>
      <c r="CO101" s="92"/>
      <c r="CP101" s="101"/>
      <c r="CQ101" s="102">
        <f t="shared" si="188"/>
        <v>0</v>
      </c>
      <c r="CR101" s="102">
        <f t="shared" si="188"/>
        <v>0</v>
      </c>
      <c r="CS101" s="102">
        <f t="shared" si="188"/>
        <v>0</v>
      </c>
      <c r="CT101" s="92">
        <f t="shared" si="154"/>
        <v>0</v>
      </c>
      <c r="CU101" s="92">
        <f t="shared" si="102"/>
        <v>0</v>
      </c>
      <c r="CV101" s="103">
        <f t="shared" si="102"/>
        <v>0</v>
      </c>
      <c r="CW101" s="104"/>
      <c r="CX101" s="105">
        <v>128</v>
      </c>
      <c r="CY101" s="106">
        <f t="shared" si="155"/>
        <v>328</v>
      </c>
      <c r="CZ101" s="106">
        <f t="shared" si="156"/>
        <v>1036.8000000000002</v>
      </c>
      <c r="DA101" s="106"/>
      <c r="DB101" s="106"/>
      <c r="DC101" s="105"/>
      <c r="DD101" s="107"/>
      <c r="DE101" s="92">
        <f t="shared" si="125"/>
        <v>0</v>
      </c>
      <c r="DF101" s="108">
        <f t="shared" si="126"/>
        <v>0</v>
      </c>
      <c r="DG101" s="115">
        <f t="shared" si="127"/>
        <v>0</v>
      </c>
      <c r="DH101" s="110">
        <f t="shared" si="128"/>
        <v>0</v>
      </c>
      <c r="DI101" s="108">
        <f t="shared" si="129"/>
        <v>0</v>
      </c>
      <c r="DJ101" s="112">
        <f t="shared" si="130"/>
        <v>0</v>
      </c>
      <c r="DK101" s="110">
        <f t="shared" si="181"/>
        <v>0</v>
      </c>
      <c r="DL101" s="108">
        <f t="shared" si="181"/>
        <v>0</v>
      </c>
      <c r="DM101" s="111">
        <f t="shared" si="181"/>
        <v>0</v>
      </c>
      <c r="DN101" s="76">
        <f t="shared" si="182"/>
        <v>0</v>
      </c>
      <c r="DO101" s="76">
        <f t="shared" si="182"/>
        <v>0</v>
      </c>
      <c r="DP101" s="112"/>
      <c r="DQ101" s="112"/>
      <c r="DR101" s="113"/>
      <c r="DS101" s="112"/>
      <c r="DT101" s="112"/>
      <c r="DU101" s="111"/>
      <c r="DV101" s="114"/>
      <c r="DW101" s="80">
        <f t="shared" si="157"/>
        <v>0</v>
      </c>
      <c r="DX101" s="81">
        <f t="shared" si="131"/>
        <v>0</v>
      </c>
      <c r="DY101" s="80">
        <f t="shared" si="158"/>
        <v>0</v>
      </c>
      <c r="DZ101" s="82">
        <f t="shared" si="159"/>
        <v>0</v>
      </c>
      <c r="EA101" s="82">
        <f t="shared" si="160"/>
        <v>0</v>
      </c>
      <c r="EB101" s="82">
        <f t="shared" si="161"/>
        <v>0</v>
      </c>
      <c r="EC101" s="82">
        <f t="shared" si="178"/>
        <v>0</v>
      </c>
      <c r="EF101" s="83">
        <f t="shared" si="183"/>
        <v>0</v>
      </c>
    </row>
    <row r="102" spans="1:136" ht="15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2"/>
        <v>-xx-</v>
      </c>
      <c r="H102" s="46" t="str">
        <f t="shared" si="133"/>
        <v/>
      </c>
      <c r="I102" s="46" t="str">
        <f t="shared" si="134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5"/>
        <v>#DIV/0!</v>
      </c>
      <c r="T102" s="51">
        <f>'05.02'!BG102</f>
        <v>0</v>
      </c>
      <c r="U102" s="92"/>
      <c r="V102" s="100">
        <v>1</v>
      </c>
      <c r="W102" s="93">
        <f t="shared" si="114"/>
        <v>0</v>
      </c>
      <c r="X102" s="93">
        <f t="shared" si="115"/>
        <v>0</v>
      </c>
      <c r="Y102" s="93">
        <f t="shared" si="116"/>
        <v>0</v>
      </c>
      <c r="Z102" s="93">
        <f t="shared" si="117"/>
        <v>0</v>
      </c>
      <c r="AA102" s="93">
        <f t="shared" si="118"/>
        <v>0</v>
      </c>
      <c r="AB102" s="93">
        <f t="shared" si="119"/>
        <v>0</v>
      </c>
      <c r="AC102" s="93">
        <f t="shared" si="120"/>
        <v>0</v>
      </c>
      <c r="AD102" s="93">
        <f t="shared" si="121"/>
        <v>0</v>
      </c>
      <c r="AE102" s="93">
        <f t="shared" si="136"/>
        <v>0</v>
      </c>
      <c r="AF102" s="54">
        <f>AE102+'06.02'!AF102</f>
        <v>0</v>
      </c>
      <c r="AG102" s="94">
        <f t="shared" si="162"/>
        <v>0</v>
      </c>
      <c r="AH102" s="56">
        <f t="shared" si="137"/>
        <v>0</v>
      </c>
      <c r="AI102" s="93"/>
      <c r="AJ102" s="93">
        <f t="shared" si="163"/>
        <v>0</v>
      </c>
      <c r="AK102" s="95">
        <f>IF(V102="","",IF(AJ102=0,1,AJ102/$V102/$E102))</f>
        <v>1</v>
      </c>
      <c r="AL102" s="58">
        <f t="shared" si="174"/>
        <v>0</v>
      </c>
      <c r="AM102" s="55">
        <f t="shared" si="164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39"/>
        <v>0</v>
      </c>
      <c r="AV102" s="96">
        <f t="shared" si="139"/>
        <v>0</v>
      </c>
      <c r="AW102" s="96">
        <f t="shared" si="140"/>
        <v>0</v>
      </c>
      <c r="AX102" s="96">
        <f t="shared" si="141"/>
        <v>0</v>
      </c>
      <c r="AY102" s="94">
        <f t="shared" si="165"/>
        <v>0</v>
      </c>
      <c r="AZ102" s="94">
        <f t="shared" si="142"/>
        <v>0</v>
      </c>
      <c r="BA102" s="94">
        <f t="shared" si="171"/>
        <v>0</v>
      </c>
      <c r="BB102" s="97">
        <f t="shared" si="172"/>
        <v>0</v>
      </c>
      <c r="BC102" s="93"/>
      <c r="BD102" s="93">
        <f t="shared" si="143"/>
        <v>0</v>
      </c>
      <c r="BE102" s="95">
        <f t="shared" si="144"/>
        <v>1</v>
      </c>
      <c r="BF102" s="58">
        <f t="shared" si="175"/>
        <v>0</v>
      </c>
      <c r="BG102" s="94">
        <f t="shared" si="145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6"/>
        <v>0</v>
      </c>
      <c r="BP102" s="92">
        <f t="shared" si="166"/>
        <v>0</v>
      </c>
      <c r="BQ102" s="96">
        <f t="shared" si="146"/>
        <v>0</v>
      </c>
      <c r="BR102" s="96">
        <f t="shared" si="147"/>
        <v>0</v>
      </c>
      <c r="BS102" s="96">
        <f t="shared" si="167"/>
        <v>0</v>
      </c>
      <c r="BT102" s="96">
        <f t="shared" si="148"/>
        <v>0</v>
      </c>
      <c r="BU102" s="92">
        <f t="shared" si="122"/>
        <v>0</v>
      </c>
      <c r="BV102" s="98">
        <f t="shared" si="168"/>
        <v>0</v>
      </c>
      <c r="BW102" s="92">
        <f t="shared" si="123"/>
        <v>0</v>
      </c>
      <c r="BX102" s="98" t="str">
        <f t="shared" si="149"/>
        <v/>
      </c>
      <c r="BY102" s="61">
        <f t="shared" si="173"/>
        <v>0</v>
      </c>
      <c r="BZ102" s="62">
        <f t="shared" si="150"/>
        <v>0</v>
      </c>
      <c r="CA102" s="98">
        <f t="shared" si="151"/>
        <v>0</v>
      </c>
      <c r="CB102" s="92">
        <f t="shared" si="124"/>
        <v>0</v>
      </c>
      <c r="CC102" s="92">
        <f t="shared" si="124"/>
        <v>0</v>
      </c>
      <c r="CD102" s="92">
        <f t="shared" si="124"/>
        <v>0</v>
      </c>
      <c r="CE102" s="99"/>
      <c r="CF102" s="99"/>
      <c r="CG102" s="51">
        <f t="shared" si="152"/>
        <v>0</v>
      </c>
      <c r="CH102" s="62">
        <f t="shared" si="153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88"/>
        <v>0</v>
      </c>
      <c r="CR102" s="102">
        <f t="shared" si="188"/>
        <v>0</v>
      </c>
      <c r="CS102" s="102">
        <f t="shared" si="188"/>
        <v>0</v>
      </c>
      <c r="CT102" s="92">
        <f t="shared" si="154"/>
        <v>0</v>
      </c>
      <c r="CU102" s="92">
        <f t="shared" si="102"/>
        <v>0</v>
      </c>
      <c r="CV102" s="103">
        <f t="shared" si="102"/>
        <v>0</v>
      </c>
      <c r="CW102" s="104"/>
      <c r="CX102" s="105"/>
      <c r="CY102" s="106" t="e">
        <f t="shared" si="155"/>
        <v>#DIV/0!</v>
      </c>
      <c r="CZ102" s="106">
        <f t="shared" si="156"/>
        <v>0</v>
      </c>
      <c r="DA102" s="106"/>
      <c r="DB102" s="106"/>
      <c r="DC102" s="105"/>
      <c r="DD102" s="107"/>
      <c r="DE102" s="92">
        <f t="shared" si="125"/>
        <v>0</v>
      </c>
      <c r="DF102" s="108">
        <f t="shared" si="126"/>
        <v>0</v>
      </c>
      <c r="DG102" s="115">
        <f t="shared" si="127"/>
        <v>0</v>
      </c>
      <c r="DH102" s="110">
        <f t="shared" si="128"/>
        <v>0</v>
      </c>
      <c r="DI102" s="108">
        <f t="shared" si="129"/>
        <v>0</v>
      </c>
      <c r="DJ102" s="112">
        <f t="shared" si="130"/>
        <v>0</v>
      </c>
      <c r="DK102" s="110">
        <f t="shared" si="181"/>
        <v>0</v>
      </c>
      <c r="DL102" s="108">
        <f t="shared" si="181"/>
        <v>0</v>
      </c>
      <c r="DM102" s="111">
        <f t="shared" si="181"/>
        <v>0</v>
      </c>
      <c r="DN102" s="76">
        <f t="shared" si="182"/>
        <v>0</v>
      </c>
      <c r="DO102" s="76">
        <f t="shared" si="182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7"/>
        <v>0</v>
      </c>
      <c r="DX102" s="81">
        <f t="shared" si="131"/>
        <v>0</v>
      </c>
      <c r="DY102" s="80">
        <f t="shared" si="158"/>
        <v>0</v>
      </c>
      <c r="DZ102" s="82">
        <f t="shared" si="159"/>
        <v>0</v>
      </c>
      <c r="EA102" s="82">
        <f t="shared" si="160"/>
        <v>0</v>
      </c>
      <c r="EB102" s="82" t="e">
        <f t="shared" si="161"/>
        <v>#VALUE!</v>
      </c>
      <c r="EC102" s="82" t="e">
        <f t="shared" si="178"/>
        <v>#VALUE!</v>
      </c>
    </row>
    <row r="103" spans="1:136" ht="15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2"/>
        <v>TVSUS303-5x3-H7B13</v>
      </c>
      <c r="H103" s="46" t="str">
        <f t="shared" si="133"/>
        <v>SUS303TV50DH7</v>
      </c>
      <c r="I103" s="46" t="str">
        <f t="shared" si="134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5"/>
        <v>2</v>
      </c>
      <c r="T103" s="51">
        <f>'05.02'!BG103</f>
        <v>0</v>
      </c>
      <c r="U103" s="92"/>
      <c r="V103" s="100">
        <v>0.1</v>
      </c>
      <c r="W103" s="93">
        <f t="shared" si="114"/>
        <v>0</v>
      </c>
      <c r="X103" s="93">
        <f t="shared" si="115"/>
        <v>0</v>
      </c>
      <c r="Y103" s="93">
        <f t="shared" si="116"/>
        <v>0</v>
      </c>
      <c r="Z103" s="93">
        <f t="shared" si="117"/>
        <v>0</v>
      </c>
      <c r="AA103" s="93">
        <f t="shared" si="118"/>
        <v>0</v>
      </c>
      <c r="AB103" s="93">
        <f t="shared" si="119"/>
        <v>0</v>
      </c>
      <c r="AC103" s="93">
        <f t="shared" si="120"/>
        <v>0</v>
      </c>
      <c r="AD103" s="93">
        <f t="shared" si="121"/>
        <v>0</v>
      </c>
      <c r="AE103" s="93">
        <f t="shared" si="136"/>
        <v>0</v>
      </c>
      <c r="AF103" s="54">
        <f>AE103+'06.02'!AF103</f>
        <v>0</v>
      </c>
      <c r="AG103" s="94">
        <f t="shared" si="162"/>
        <v>0</v>
      </c>
      <c r="AH103" s="56">
        <f t="shared" si="137"/>
        <v>0</v>
      </c>
      <c r="AI103" s="93"/>
      <c r="AJ103" s="93">
        <f t="shared" si="163"/>
        <v>0</v>
      </c>
      <c r="AK103" s="95">
        <f t="shared" ref="AK103:AK106" si="189">IF(V103="","",IF(AJ103=0,1,AJ103/$V103/$E103))</f>
        <v>1</v>
      </c>
      <c r="AL103" s="58">
        <f t="shared" si="174"/>
        <v>0</v>
      </c>
      <c r="AM103" s="55">
        <f t="shared" si="164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39"/>
        <v>0</v>
      </c>
      <c r="AV103" s="96">
        <f t="shared" si="139"/>
        <v>0</v>
      </c>
      <c r="AW103" s="96">
        <f t="shared" si="140"/>
        <v>0</v>
      </c>
      <c r="AX103" s="96">
        <f t="shared" si="141"/>
        <v>0</v>
      </c>
      <c r="AY103" s="94">
        <f t="shared" si="165"/>
        <v>0</v>
      </c>
      <c r="AZ103" s="94">
        <f t="shared" si="142"/>
        <v>0</v>
      </c>
      <c r="BA103" s="94">
        <f t="shared" si="171"/>
        <v>0</v>
      </c>
      <c r="BB103" s="97">
        <f t="shared" si="172"/>
        <v>0</v>
      </c>
      <c r="BC103" s="93"/>
      <c r="BD103" s="93">
        <f t="shared" si="143"/>
        <v>0</v>
      </c>
      <c r="BE103" s="95">
        <f t="shared" si="144"/>
        <v>1</v>
      </c>
      <c r="BF103" s="58">
        <f t="shared" si="175"/>
        <v>0</v>
      </c>
      <c r="BG103" s="94">
        <f t="shared" si="145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6"/>
        <v>0</v>
      </c>
      <c r="BP103" s="92">
        <f t="shared" si="166"/>
        <v>0</v>
      </c>
      <c r="BQ103" s="96">
        <f t="shared" si="146"/>
        <v>0</v>
      </c>
      <c r="BR103" s="96">
        <f t="shared" si="147"/>
        <v>0</v>
      </c>
      <c r="BS103" s="96">
        <f t="shared" si="167"/>
        <v>0</v>
      </c>
      <c r="BT103" s="96">
        <f t="shared" si="148"/>
        <v>0</v>
      </c>
      <c r="BU103" s="92">
        <f t="shared" si="122"/>
        <v>0</v>
      </c>
      <c r="BV103" s="98">
        <f t="shared" si="168"/>
        <v>0</v>
      </c>
      <c r="BW103" s="92">
        <f t="shared" si="123"/>
        <v>0</v>
      </c>
      <c r="BX103" s="98">
        <f t="shared" si="149"/>
        <v>0</v>
      </c>
      <c r="BY103" s="61">
        <f t="shared" si="173"/>
        <v>0</v>
      </c>
      <c r="BZ103" s="62">
        <f t="shared" si="150"/>
        <v>0</v>
      </c>
      <c r="CA103" s="98">
        <f t="shared" si="151"/>
        <v>0</v>
      </c>
      <c r="CB103" s="92">
        <f t="shared" si="124"/>
        <v>0</v>
      </c>
      <c r="CC103" s="92">
        <f t="shared" si="124"/>
        <v>0</v>
      </c>
      <c r="CD103" s="92">
        <f t="shared" si="124"/>
        <v>0</v>
      </c>
      <c r="CE103" s="99"/>
      <c r="CF103" s="99"/>
      <c r="CG103" s="51">
        <f t="shared" si="152"/>
        <v>0</v>
      </c>
      <c r="CH103" s="62">
        <f t="shared" si="153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88"/>
        <v>0</v>
      </c>
      <c r="CR103" s="102">
        <f t="shared" si="188"/>
        <v>0</v>
      </c>
      <c r="CS103" s="102">
        <f t="shared" si="188"/>
        <v>0</v>
      </c>
      <c r="CT103" s="92">
        <f t="shared" si="154"/>
        <v>0</v>
      </c>
      <c r="CU103" s="92">
        <f t="shared" si="102"/>
        <v>0</v>
      </c>
      <c r="CV103" s="103">
        <f t="shared" si="102"/>
        <v>0</v>
      </c>
      <c r="CW103" s="104"/>
      <c r="CX103" s="105">
        <v>90</v>
      </c>
      <c r="CY103" s="106">
        <f t="shared" si="155"/>
        <v>476</v>
      </c>
      <c r="CZ103" s="106">
        <f t="shared" si="156"/>
        <v>729</v>
      </c>
      <c r="DA103" s="106"/>
      <c r="DB103" s="106"/>
      <c r="DC103" s="105"/>
      <c r="DD103" s="107"/>
      <c r="DE103" s="92">
        <f t="shared" si="125"/>
        <v>0</v>
      </c>
      <c r="DF103" s="108">
        <f t="shared" si="126"/>
        <v>0</v>
      </c>
      <c r="DG103" s="115">
        <f t="shared" si="127"/>
        <v>0</v>
      </c>
      <c r="DH103" s="110">
        <f t="shared" si="128"/>
        <v>0</v>
      </c>
      <c r="DI103" s="108">
        <f t="shared" si="129"/>
        <v>0</v>
      </c>
      <c r="DJ103" s="112">
        <f t="shared" si="130"/>
        <v>0</v>
      </c>
      <c r="DK103" s="110">
        <f t="shared" si="181"/>
        <v>0</v>
      </c>
      <c r="DL103" s="108">
        <f t="shared" si="181"/>
        <v>0</v>
      </c>
      <c r="DM103" s="111">
        <f t="shared" si="181"/>
        <v>0</v>
      </c>
      <c r="DN103" s="76">
        <f t="shared" si="182"/>
        <v>0</v>
      </c>
      <c r="DO103" s="76">
        <f t="shared" si="182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7"/>
        <v>0</v>
      </c>
      <c r="DX103" s="81">
        <f t="shared" si="131"/>
        <v>0</v>
      </c>
      <c r="DY103" s="80">
        <f t="shared" si="158"/>
        <v>0</v>
      </c>
      <c r="DZ103" s="82">
        <f t="shared" si="159"/>
        <v>0</v>
      </c>
      <c r="EA103" s="82">
        <f t="shared" si="160"/>
        <v>0</v>
      </c>
      <c r="EB103" s="82">
        <f t="shared" si="161"/>
        <v>0</v>
      </c>
      <c r="EC103" s="82">
        <f t="shared" si="178"/>
        <v>0</v>
      </c>
      <c r="EF103" s="83">
        <f t="shared" ref="EF103:EF106" si="190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2"/>
        <v>TVSUS303-6x2.5-H9A14</v>
      </c>
      <c r="H104" s="46" t="str">
        <f t="shared" si="133"/>
        <v>SUS303TV60DH9</v>
      </c>
      <c r="I104" s="46" t="str">
        <f t="shared" si="134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5"/>
        <v>20</v>
      </c>
      <c r="T104" s="51">
        <f>'06.02'!BG104</f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5"/>
        <v>0</v>
      </c>
      <c r="Y104" s="93">
        <f t="shared" si="116"/>
        <v>0</v>
      </c>
      <c r="Z104" s="93">
        <f t="shared" si="117"/>
        <v>0</v>
      </c>
      <c r="AA104" s="93">
        <f t="shared" si="118"/>
        <v>0</v>
      </c>
      <c r="AB104" s="93">
        <f t="shared" si="119"/>
        <v>0</v>
      </c>
      <c r="AC104" s="93">
        <f t="shared" si="120"/>
        <v>0</v>
      </c>
      <c r="AD104" s="93">
        <f t="shared" si="121"/>
        <v>0</v>
      </c>
      <c r="AE104" s="93">
        <f t="shared" si="136"/>
        <v>0</v>
      </c>
      <c r="AF104" s="54">
        <f>AE104+'06.02'!AF104</f>
        <v>0</v>
      </c>
      <c r="AG104" s="94">
        <f t="shared" si="162"/>
        <v>18</v>
      </c>
      <c r="AH104" s="56">
        <f t="shared" si="137"/>
        <v>0</v>
      </c>
      <c r="AI104" s="93"/>
      <c r="AJ104" s="93">
        <f t="shared" si="163"/>
        <v>0</v>
      </c>
      <c r="AK104" s="95">
        <f t="shared" si="189"/>
        <v>1</v>
      </c>
      <c r="AL104" s="58">
        <f t="shared" si="174"/>
        <v>0</v>
      </c>
      <c r="AM104" s="55">
        <f t="shared" si="164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39"/>
        <v>0</v>
      </c>
      <c r="AV104" s="96">
        <f t="shared" si="139"/>
        <v>0</v>
      </c>
      <c r="AW104" s="96">
        <f t="shared" si="140"/>
        <v>0</v>
      </c>
      <c r="AX104" s="96">
        <f t="shared" si="141"/>
        <v>0</v>
      </c>
      <c r="AY104" s="94">
        <f t="shared" si="165"/>
        <v>0</v>
      </c>
      <c r="AZ104" s="94">
        <f t="shared" si="142"/>
        <v>0</v>
      </c>
      <c r="BA104" s="94">
        <f t="shared" si="171"/>
        <v>18</v>
      </c>
      <c r="BB104" s="97">
        <f t="shared" si="172"/>
        <v>0</v>
      </c>
      <c r="BC104" s="93"/>
      <c r="BD104" s="93">
        <f t="shared" si="143"/>
        <v>0</v>
      </c>
      <c r="BE104" s="95">
        <f t="shared" si="144"/>
        <v>1</v>
      </c>
      <c r="BF104" s="58">
        <f t="shared" si="175"/>
        <v>0</v>
      </c>
      <c r="BG104" s="94">
        <f t="shared" si="145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91">CO104</f>
        <v>0</v>
      </c>
      <c r="BP104" s="92">
        <f t="shared" si="191"/>
        <v>0</v>
      </c>
      <c r="BQ104" s="96">
        <f t="shared" si="146"/>
        <v>0</v>
      </c>
      <c r="BR104" s="96">
        <f t="shared" si="147"/>
        <v>0</v>
      </c>
      <c r="BS104" s="96">
        <f t="shared" si="167"/>
        <v>0</v>
      </c>
      <c r="BT104" s="96">
        <f t="shared" si="148"/>
        <v>0</v>
      </c>
      <c r="BU104" s="92">
        <f t="shared" si="122"/>
        <v>0</v>
      </c>
      <c r="BV104" s="98">
        <f t="shared" si="168"/>
        <v>0</v>
      </c>
      <c r="BW104" s="92">
        <f t="shared" si="123"/>
        <v>0</v>
      </c>
      <c r="BX104" s="98">
        <f t="shared" si="149"/>
        <v>0</v>
      </c>
      <c r="BY104" s="61">
        <f t="shared" si="173"/>
        <v>0</v>
      </c>
      <c r="BZ104" s="62">
        <f t="shared" si="150"/>
        <v>0</v>
      </c>
      <c r="CA104" s="98">
        <f t="shared" si="151"/>
        <v>0</v>
      </c>
      <c r="CB104" s="92">
        <f t="shared" si="124"/>
        <v>0</v>
      </c>
      <c r="CC104" s="92">
        <f t="shared" si="124"/>
        <v>0</v>
      </c>
      <c r="CD104" s="92">
        <f t="shared" si="124"/>
        <v>0</v>
      </c>
      <c r="CE104" s="99"/>
      <c r="CF104" s="99"/>
      <c r="CG104" s="51">
        <f t="shared" si="152"/>
        <v>0</v>
      </c>
      <c r="CH104" s="62">
        <f t="shared" si="153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88"/>
        <v>0</v>
      </c>
      <c r="CR104" s="102">
        <f t="shared" si="188"/>
        <v>0</v>
      </c>
      <c r="CS104" s="102">
        <f t="shared" si="188"/>
        <v>0</v>
      </c>
      <c r="CT104" s="92">
        <f t="shared" si="154"/>
        <v>0</v>
      </c>
      <c r="CU104" s="92">
        <f t="shared" ref="CU104:CV106" si="192">INT(IFERROR( AC104-CR104,0))</f>
        <v>0</v>
      </c>
      <c r="CV104" s="103">
        <f t="shared" si="192"/>
        <v>0</v>
      </c>
      <c r="CW104" s="178"/>
      <c r="CX104" s="179">
        <v>70</v>
      </c>
      <c r="CY104" s="180">
        <f t="shared" si="155"/>
        <v>570</v>
      </c>
      <c r="CZ104" s="180">
        <f t="shared" si="156"/>
        <v>567</v>
      </c>
      <c r="DA104" s="181"/>
      <c r="DB104" s="181"/>
      <c r="DC104" s="179"/>
      <c r="DD104" s="182"/>
      <c r="DE104" s="92">
        <f t="shared" si="125"/>
        <v>0</v>
      </c>
      <c r="DF104" s="108">
        <f t="shared" si="126"/>
        <v>0</v>
      </c>
      <c r="DG104" s="115">
        <f t="shared" si="127"/>
        <v>0</v>
      </c>
      <c r="DH104" s="110">
        <f t="shared" si="128"/>
        <v>0</v>
      </c>
      <c r="DI104" s="108">
        <f t="shared" si="129"/>
        <v>0</v>
      </c>
      <c r="DJ104" s="112">
        <f t="shared" si="130"/>
        <v>0</v>
      </c>
      <c r="DK104" s="110">
        <f t="shared" si="181"/>
        <v>0</v>
      </c>
      <c r="DL104" s="108">
        <f t="shared" si="181"/>
        <v>0</v>
      </c>
      <c r="DM104" s="111">
        <f t="shared" si="181"/>
        <v>0</v>
      </c>
      <c r="DN104" s="76">
        <v>18</v>
      </c>
      <c r="DO104" s="76"/>
      <c r="DP104" s="183"/>
      <c r="DQ104" s="183"/>
      <c r="DR104" s="184" t="s">
        <v>477</v>
      </c>
      <c r="DS104" s="183"/>
      <c r="DT104" s="183"/>
      <c r="DU104" s="185"/>
      <c r="DV104" s="186"/>
      <c r="DW104" s="80">
        <f t="shared" si="157"/>
        <v>0</v>
      </c>
      <c r="DX104" s="81">
        <f t="shared" si="131"/>
        <v>0</v>
      </c>
      <c r="DY104" s="80">
        <f t="shared" si="158"/>
        <v>0</v>
      </c>
      <c r="DZ104" s="82">
        <f t="shared" si="159"/>
        <v>0</v>
      </c>
      <c r="EA104" s="82">
        <f t="shared" si="160"/>
        <v>0</v>
      </c>
      <c r="EB104" s="82">
        <f t="shared" si="161"/>
        <v>0</v>
      </c>
      <c r="EC104" s="82">
        <f t="shared" si="178"/>
        <v>0</v>
      </c>
      <c r="EF104" s="83">
        <f t="shared" si="190"/>
        <v>0</v>
      </c>
    </row>
    <row r="105" spans="1:136" ht="14.1" customHeight="1">
      <c r="A105" s="84">
        <v>98</v>
      </c>
      <c r="B105" s="187" t="s">
        <v>402</v>
      </c>
      <c r="C105" s="86"/>
      <c r="D105" s="244" t="s">
        <v>403</v>
      </c>
      <c r="E105" s="189">
        <v>66</v>
      </c>
      <c r="F105" s="190" t="s">
        <v>147</v>
      </c>
      <c r="G105" s="191" t="str">
        <f t="shared" si="132"/>
        <v>TV12L14-H17x3-H11A14</v>
      </c>
      <c r="H105" s="191" t="str">
        <f t="shared" si="133"/>
        <v>12L14TV170HH11</v>
      </c>
      <c r="I105" s="191" t="str">
        <f t="shared" si="134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5"/>
        <v>16</v>
      </c>
      <c r="T105" s="51">
        <f>'06.02'!BG105</f>
        <v>0</v>
      </c>
      <c r="U105" s="194"/>
      <c r="V105" s="195">
        <v>60.8</v>
      </c>
      <c r="W105" s="196">
        <f>IF(V105="","",INT((AO105+BI105)/$V105))</f>
        <v>0</v>
      </c>
      <c r="X105" s="196">
        <f t="shared" si="115"/>
        <v>0</v>
      </c>
      <c r="Y105" s="196">
        <f t="shared" si="116"/>
        <v>0</v>
      </c>
      <c r="Z105" s="196">
        <f t="shared" si="117"/>
        <v>0</v>
      </c>
      <c r="AA105" s="196">
        <f t="shared" si="118"/>
        <v>0</v>
      </c>
      <c r="AB105" s="196">
        <f t="shared" si="119"/>
        <v>0</v>
      </c>
      <c r="AC105" s="196">
        <f t="shared" si="120"/>
        <v>0</v>
      </c>
      <c r="AD105" s="196">
        <f t="shared" si="121"/>
        <v>0</v>
      </c>
      <c r="AE105" s="196">
        <f t="shared" si="136"/>
        <v>0</v>
      </c>
      <c r="AF105" s="54">
        <f>AE105+'06.02'!AF105</f>
        <v>1356</v>
      </c>
      <c r="AG105" s="94">
        <f t="shared" si="162"/>
        <v>0</v>
      </c>
      <c r="AH105" s="56">
        <f t="shared" si="137"/>
        <v>0</v>
      </c>
      <c r="AI105" s="196"/>
      <c r="AJ105" s="93">
        <f t="shared" si="163"/>
        <v>0</v>
      </c>
      <c r="AK105" s="197">
        <f t="shared" si="189"/>
        <v>1</v>
      </c>
      <c r="AL105" s="58">
        <f t="shared" si="174"/>
        <v>0</v>
      </c>
      <c r="AM105" s="55">
        <f t="shared" si="164"/>
        <v>0</v>
      </c>
      <c r="AN105" s="196"/>
      <c r="AO105" s="198"/>
      <c r="AP105" s="198"/>
      <c r="AQ105" s="198"/>
      <c r="AR105" s="198"/>
      <c r="AS105" s="198"/>
      <c r="AT105" s="198">
        <f>$CJ105</f>
        <v>0</v>
      </c>
      <c r="AU105" s="198">
        <f t="shared" si="139"/>
        <v>0</v>
      </c>
      <c r="AV105" s="198">
        <f t="shared" si="139"/>
        <v>0</v>
      </c>
      <c r="AW105" s="198">
        <f t="shared" si="140"/>
        <v>0</v>
      </c>
      <c r="AX105" s="198">
        <f t="shared" si="141"/>
        <v>0</v>
      </c>
      <c r="AY105" s="199">
        <f t="shared" si="165"/>
        <v>0</v>
      </c>
      <c r="AZ105" s="199">
        <f t="shared" si="142"/>
        <v>0</v>
      </c>
      <c r="BA105" s="94">
        <f t="shared" si="171"/>
        <v>0</v>
      </c>
      <c r="BB105" s="200">
        <f t="shared" si="172"/>
        <v>0</v>
      </c>
      <c r="BC105" s="196"/>
      <c r="BD105" s="93">
        <f t="shared" si="143"/>
        <v>0</v>
      </c>
      <c r="BE105" s="197">
        <f t="shared" si="144"/>
        <v>1</v>
      </c>
      <c r="BF105" s="58">
        <f t="shared" si="175"/>
        <v>0</v>
      </c>
      <c r="BG105" s="94">
        <f t="shared" si="145"/>
        <v>0</v>
      </c>
      <c r="BH105" s="190"/>
      <c r="BI105" s="194"/>
      <c r="BJ105" s="194"/>
      <c r="BK105" s="190"/>
      <c r="BL105" s="190"/>
      <c r="BM105" s="190"/>
      <c r="BN105" s="194">
        <f>$CN105</f>
        <v>0</v>
      </c>
      <c r="BO105" s="194">
        <f t="shared" si="191"/>
        <v>0</v>
      </c>
      <c r="BP105" s="194">
        <f t="shared" si="191"/>
        <v>0</v>
      </c>
      <c r="BQ105" s="198">
        <f t="shared" si="146"/>
        <v>0</v>
      </c>
      <c r="BR105" s="198">
        <f t="shared" si="147"/>
        <v>0</v>
      </c>
      <c r="BS105" s="198">
        <f t="shared" si="167"/>
        <v>0</v>
      </c>
      <c r="BT105" s="198">
        <f t="shared" si="148"/>
        <v>0</v>
      </c>
      <c r="BU105" s="194">
        <f t="shared" si="122"/>
        <v>0</v>
      </c>
      <c r="BV105" s="201">
        <f t="shared" si="168"/>
        <v>0</v>
      </c>
      <c r="BW105" s="194">
        <f t="shared" si="123"/>
        <v>0</v>
      </c>
      <c r="BX105" s="201">
        <f t="shared" si="149"/>
        <v>0</v>
      </c>
      <c r="BY105" s="51">
        <f t="shared" si="173"/>
        <v>0</v>
      </c>
      <c r="BZ105" s="62">
        <f t="shared" si="150"/>
        <v>0</v>
      </c>
      <c r="CA105" s="201">
        <f t="shared" si="151"/>
        <v>0</v>
      </c>
      <c r="CB105" s="194">
        <f t="shared" si="124"/>
        <v>0</v>
      </c>
      <c r="CC105" s="194">
        <f t="shared" si="124"/>
        <v>0</v>
      </c>
      <c r="CD105" s="194">
        <f t="shared" si="124"/>
        <v>0</v>
      </c>
      <c r="CE105" s="202"/>
      <c r="CF105" s="202"/>
      <c r="CG105" s="51">
        <f t="shared" si="152"/>
        <v>0</v>
      </c>
      <c r="CH105" s="62">
        <f t="shared" si="153"/>
        <v>0</v>
      </c>
      <c r="CI105" s="190"/>
      <c r="CJ105" s="190"/>
      <c r="CK105" s="190"/>
      <c r="CL105" s="198"/>
      <c r="CM105" s="190"/>
      <c r="CN105" s="190"/>
      <c r="CO105" s="190"/>
      <c r="CP105" s="190"/>
      <c r="CQ105" s="203">
        <f t="shared" si="188"/>
        <v>0</v>
      </c>
      <c r="CR105" s="203">
        <f t="shared" si="188"/>
        <v>0</v>
      </c>
      <c r="CS105" s="203">
        <f t="shared" si="188"/>
        <v>0</v>
      </c>
      <c r="CT105" s="194">
        <f t="shared" si="154"/>
        <v>0</v>
      </c>
      <c r="CU105" s="194">
        <f t="shared" si="192"/>
        <v>0</v>
      </c>
      <c r="CV105" s="204">
        <f t="shared" si="192"/>
        <v>0</v>
      </c>
      <c r="CW105" s="205"/>
      <c r="CX105" s="206">
        <v>81</v>
      </c>
      <c r="CY105" s="207">
        <f t="shared" si="155"/>
        <v>500</v>
      </c>
      <c r="CZ105" s="207">
        <f t="shared" si="156"/>
        <v>656.1</v>
      </c>
      <c r="DA105" s="207"/>
      <c r="DB105" s="207"/>
      <c r="DC105" s="206"/>
      <c r="DD105" s="208"/>
      <c r="DE105" s="194">
        <f t="shared" si="125"/>
        <v>0</v>
      </c>
      <c r="DF105" s="209">
        <f t="shared" si="126"/>
        <v>0</v>
      </c>
      <c r="DG105" s="115">
        <f t="shared" si="127"/>
        <v>0</v>
      </c>
      <c r="DH105" s="210">
        <f t="shared" si="128"/>
        <v>0</v>
      </c>
      <c r="DI105" s="209">
        <f t="shared" si="129"/>
        <v>0</v>
      </c>
      <c r="DJ105" s="76">
        <f t="shared" si="130"/>
        <v>0</v>
      </c>
      <c r="DK105" s="210">
        <f t="shared" si="181"/>
        <v>0</v>
      </c>
      <c r="DL105" s="209">
        <f t="shared" si="181"/>
        <v>0</v>
      </c>
      <c r="DM105" s="211">
        <f t="shared" si="181"/>
        <v>0</v>
      </c>
      <c r="DN105" s="76"/>
      <c r="DO105" s="212"/>
      <c r="DP105" s="212"/>
      <c r="DQ105" s="212"/>
      <c r="DR105" s="213" t="s">
        <v>480</v>
      </c>
      <c r="DS105" s="212"/>
      <c r="DT105" s="212"/>
      <c r="DU105" s="214"/>
      <c r="DV105" s="215"/>
      <c r="DW105" s="80">
        <f t="shared" si="157"/>
        <v>0</v>
      </c>
      <c r="DX105" s="81">
        <f t="shared" si="131"/>
        <v>0</v>
      </c>
      <c r="DY105" s="80">
        <f t="shared" si="158"/>
        <v>0</v>
      </c>
      <c r="DZ105" s="82">
        <f t="shared" si="159"/>
        <v>0</v>
      </c>
      <c r="EA105" s="82">
        <f t="shared" si="160"/>
        <v>0</v>
      </c>
      <c r="EB105" s="82">
        <f t="shared" si="161"/>
        <v>0</v>
      </c>
      <c r="EC105" s="82">
        <f t="shared" si="178"/>
        <v>0</v>
      </c>
      <c r="EF105" s="83">
        <f t="shared" si="190"/>
        <v>0</v>
      </c>
    </row>
    <row r="106" spans="1:136" ht="14.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2"/>
        <v>SSSUS316L-T2.2x0.78x2.5-H9A08</v>
      </c>
      <c r="H106" s="219" t="str">
        <f t="shared" si="133"/>
        <v>SUS316LSS2.20.78TH9</v>
      </c>
      <c r="I106" s="219" t="str">
        <f t="shared" si="134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5"/>
        <v>10</v>
      </c>
      <c r="T106" s="51">
        <v>0</v>
      </c>
      <c r="U106" s="222"/>
      <c r="V106" s="223">
        <v>7.2999999999999995E-2</v>
      </c>
      <c r="W106" s="224">
        <f>IF(V106="","",INT((AO106+BI106)/$V106))</f>
        <v>0</v>
      </c>
      <c r="X106" s="224">
        <f t="shared" si="115"/>
        <v>0</v>
      </c>
      <c r="Y106" s="224">
        <f t="shared" si="116"/>
        <v>0</v>
      </c>
      <c r="Z106" s="224">
        <f t="shared" si="117"/>
        <v>0</v>
      </c>
      <c r="AA106" s="224">
        <f t="shared" si="118"/>
        <v>0</v>
      </c>
      <c r="AB106" s="224">
        <f t="shared" si="119"/>
        <v>0</v>
      </c>
      <c r="AC106" s="224">
        <f t="shared" si="120"/>
        <v>0</v>
      </c>
      <c r="AD106" s="224">
        <f t="shared" si="121"/>
        <v>0</v>
      </c>
      <c r="AE106" s="224">
        <f t="shared" si="136"/>
        <v>0</v>
      </c>
      <c r="AF106" s="54">
        <f>AE106+'06.02'!AF106</f>
        <v>0</v>
      </c>
      <c r="AG106" s="94">
        <f t="shared" si="162"/>
        <v>0</v>
      </c>
      <c r="AH106" s="56">
        <f t="shared" si="137"/>
        <v>0</v>
      </c>
      <c r="AI106" s="224"/>
      <c r="AJ106" s="93">
        <f t="shared" si="163"/>
        <v>0</v>
      </c>
      <c r="AK106" s="225">
        <f t="shared" si="189"/>
        <v>1</v>
      </c>
      <c r="AL106" s="58">
        <f t="shared" si="174"/>
        <v>0</v>
      </c>
      <c r="AM106" s="55">
        <f t="shared" si="164"/>
        <v>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39"/>
        <v>0</v>
      </c>
      <c r="AV106" s="226">
        <f t="shared" si="139"/>
        <v>0</v>
      </c>
      <c r="AW106" s="226">
        <f t="shared" si="140"/>
        <v>0</v>
      </c>
      <c r="AX106" s="226">
        <f t="shared" si="141"/>
        <v>0</v>
      </c>
      <c r="AY106" s="227">
        <f t="shared" si="165"/>
        <v>0</v>
      </c>
      <c r="AZ106" s="227">
        <f t="shared" si="142"/>
        <v>0</v>
      </c>
      <c r="BA106" s="94">
        <f t="shared" si="171"/>
        <v>0</v>
      </c>
      <c r="BB106" s="228">
        <f t="shared" si="172"/>
        <v>0</v>
      </c>
      <c r="BC106" s="224"/>
      <c r="BD106" s="93">
        <f t="shared" si="143"/>
        <v>0</v>
      </c>
      <c r="BE106" s="225">
        <f t="shared" si="144"/>
        <v>1</v>
      </c>
      <c r="BF106" s="58">
        <f t="shared" si="175"/>
        <v>0</v>
      </c>
      <c r="BG106" s="94">
        <f t="shared" si="145"/>
        <v>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91"/>
        <v>0</v>
      </c>
      <c r="BP106" s="222">
        <f t="shared" si="191"/>
        <v>0</v>
      </c>
      <c r="BQ106" s="226">
        <f t="shared" si="146"/>
        <v>0</v>
      </c>
      <c r="BR106" s="226">
        <f t="shared" si="147"/>
        <v>0</v>
      </c>
      <c r="BS106" s="226">
        <f t="shared" si="167"/>
        <v>0</v>
      </c>
      <c r="BT106" s="226">
        <f t="shared" si="148"/>
        <v>0</v>
      </c>
      <c r="BU106" s="222">
        <f t="shared" si="122"/>
        <v>0</v>
      </c>
      <c r="BV106" s="229">
        <f t="shared" si="168"/>
        <v>0</v>
      </c>
      <c r="BW106" s="222">
        <f t="shared" si="123"/>
        <v>0</v>
      </c>
      <c r="BX106" s="229" t="str">
        <f t="shared" si="149"/>
        <v/>
      </c>
      <c r="BY106" s="229">
        <f t="shared" si="173"/>
        <v>0</v>
      </c>
      <c r="BZ106" s="62">
        <f t="shared" si="150"/>
        <v>0</v>
      </c>
      <c r="CA106" s="229">
        <f t="shared" si="151"/>
        <v>0</v>
      </c>
      <c r="CB106" s="222">
        <f t="shared" si="124"/>
        <v>0</v>
      </c>
      <c r="CC106" s="222">
        <f t="shared" si="124"/>
        <v>0</v>
      </c>
      <c r="CD106" s="222">
        <f t="shared" si="124"/>
        <v>0</v>
      </c>
      <c r="CE106" s="230"/>
      <c r="CF106" s="230"/>
      <c r="CG106" s="229">
        <f t="shared" si="152"/>
        <v>0</v>
      </c>
      <c r="CH106" s="62">
        <f t="shared" si="153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88"/>
        <v>0</v>
      </c>
      <c r="CR106" s="222">
        <f t="shared" si="188"/>
        <v>0</v>
      </c>
      <c r="CS106" s="222">
        <f t="shared" si="188"/>
        <v>0</v>
      </c>
      <c r="CT106" s="222">
        <f t="shared" si="154"/>
        <v>0</v>
      </c>
      <c r="CU106" s="222">
        <f t="shared" si="192"/>
        <v>0</v>
      </c>
      <c r="CV106" s="222">
        <f t="shared" si="192"/>
        <v>0</v>
      </c>
      <c r="CW106" s="218"/>
      <c r="CX106" s="218">
        <v>43</v>
      </c>
      <c r="CY106" s="222">
        <f t="shared" si="155"/>
        <v>962</v>
      </c>
      <c r="CZ106" s="222">
        <f t="shared" si="156"/>
        <v>348.3</v>
      </c>
      <c r="DA106" s="222"/>
      <c r="DB106" s="222"/>
      <c r="DC106" s="218"/>
      <c r="DD106" s="218"/>
      <c r="DE106" s="222">
        <f t="shared" si="125"/>
        <v>0</v>
      </c>
      <c r="DF106" s="231">
        <f t="shared" si="126"/>
        <v>0</v>
      </c>
      <c r="DG106" s="115">
        <f t="shared" si="127"/>
        <v>0</v>
      </c>
      <c r="DH106" s="232">
        <f t="shared" si="128"/>
        <v>0</v>
      </c>
      <c r="DI106" s="231">
        <f t="shared" si="129"/>
        <v>0</v>
      </c>
      <c r="DJ106" s="183">
        <f t="shared" si="130"/>
        <v>0</v>
      </c>
      <c r="DK106" s="232">
        <f t="shared" si="181"/>
        <v>0</v>
      </c>
      <c r="DL106" s="231">
        <f t="shared" si="181"/>
        <v>0</v>
      </c>
      <c r="DM106" s="183">
        <f t="shared" si="181"/>
        <v>0</v>
      </c>
      <c r="DN106" s="76">
        <f t="shared" si="182"/>
        <v>0</v>
      </c>
      <c r="DO106" s="76">
        <f t="shared" si="182"/>
        <v>0</v>
      </c>
      <c r="DP106" s="183"/>
      <c r="DQ106" s="183"/>
      <c r="DR106" s="184"/>
      <c r="DS106" s="183"/>
      <c r="DT106" s="183"/>
      <c r="DU106" s="183"/>
      <c r="DV106" s="186"/>
      <c r="DW106" s="80">
        <f t="shared" si="157"/>
        <v>0</v>
      </c>
      <c r="DX106" s="81">
        <f t="shared" si="131"/>
        <v>0</v>
      </c>
      <c r="DY106" s="80">
        <f t="shared" si="158"/>
        <v>0</v>
      </c>
      <c r="DZ106" s="82">
        <f t="shared" si="159"/>
        <v>0</v>
      </c>
      <c r="EA106" s="82">
        <f t="shared" si="160"/>
        <v>0</v>
      </c>
      <c r="EB106" s="82" t="e">
        <f t="shared" si="161"/>
        <v>#VALUE!</v>
      </c>
      <c r="EC106" s="82" t="e">
        <f t="shared" si="178"/>
        <v>#VALUE!</v>
      </c>
      <c r="EF106" s="83">
        <f t="shared" si="190"/>
        <v>0</v>
      </c>
    </row>
    <row r="107" spans="1:136" ht="15" customHeight="1">
      <c r="A107" s="301" t="s">
        <v>407</v>
      </c>
      <c r="B107" s="301"/>
      <c r="C107" s="301"/>
      <c r="D107" s="302"/>
      <c r="AF107" s="54">
        <f>AE107+'06.02'!AF107</f>
        <v>0</v>
      </c>
      <c r="AK107" s="233" t="str">
        <f t="shared" si="138"/>
        <v/>
      </c>
      <c r="AL107" s="58" t="str">
        <f t="shared" si="174"/>
        <v/>
      </c>
      <c r="BZ107" s="62">
        <f t="shared" si="150"/>
        <v>0</v>
      </c>
      <c r="CH107" s="62">
        <f t="shared" si="153"/>
        <v>0</v>
      </c>
    </row>
    <row r="108" spans="1:136" ht="0.75" customHeight="1">
      <c r="X108" s="234"/>
      <c r="AF108" s="54">
        <f>AE108+'06.02'!AF108</f>
        <v>0</v>
      </c>
      <c r="AL108" s="58" t="str">
        <f t="shared" si="174"/>
        <v/>
      </c>
      <c r="BZ108" s="62">
        <f t="shared" si="150"/>
        <v>0</v>
      </c>
      <c r="CH108" s="62">
        <f t="shared" si="153"/>
        <v>0</v>
      </c>
    </row>
    <row r="109" spans="1:136">
      <c r="AF109" s="235"/>
      <c r="BZ109" s="62"/>
      <c r="CH109" s="62"/>
    </row>
    <row r="110" spans="1:136">
      <c r="A110">
        <v>37</v>
      </c>
      <c r="B110" t="s">
        <v>244</v>
      </c>
      <c r="D110" s="143" t="s">
        <v>245</v>
      </c>
      <c r="E110">
        <v>172</v>
      </c>
      <c r="F110" t="s">
        <v>136</v>
      </c>
      <c r="G110" t="s">
        <v>482</v>
      </c>
      <c r="H110" t="s">
        <v>483</v>
      </c>
      <c r="I110" t="s">
        <v>484</v>
      </c>
      <c r="J110" t="s">
        <v>226</v>
      </c>
      <c r="K110" t="s">
        <v>227</v>
      </c>
      <c r="L110">
        <v>4</v>
      </c>
      <c r="M110">
        <v>0</v>
      </c>
      <c r="N110" t="s">
        <v>128</v>
      </c>
      <c r="O110" t="s">
        <v>131</v>
      </c>
      <c r="P110">
        <v>3</v>
      </c>
      <c r="Q110">
        <v>0.29599999999999999</v>
      </c>
      <c r="R110" t="s">
        <v>246</v>
      </c>
      <c r="S110">
        <v>38</v>
      </c>
      <c r="T110">
        <v>24</v>
      </c>
      <c r="V110">
        <v>0.82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s="54">
        <v>4849</v>
      </c>
      <c r="AG110">
        <v>24</v>
      </c>
      <c r="AH110">
        <v>0</v>
      </c>
      <c r="AJ110">
        <v>0</v>
      </c>
      <c r="AK110">
        <v>1</v>
      </c>
      <c r="AL110">
        <v>0</v>
      </c>
      <c r="AM110">
        <v>24</v>
      </c>
      <c r="AP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24</v>
      </c>
      <c r="BB110">
        <v>0</v>
      </c>
      <c r="BD110">
        <v>0</v>
      </c>
      <c r="BE110">
        <v>1</v>
      </c>
      <c r="BF110">
        <v>0</v>
      </c>
      <c r="BG110">
        <v>24</v>
      </c>
      <c r="BJ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H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147</v>
      </c>
      <c r="CX110">
        <v>12</v>
      </c>
      <c r="CY110">
        <v>3285</v>
      </c>
      <c r="CZ110">
        <v>48.6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24</v>
      </c>
      <c r="DO110">
        <v>0</v>
      </c>
      <c r="DR110" t="s">
        <v>441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F110">
        <v>0</v>
      </c>
    </row>
    <row r="111" spans="1:136">
      <c r="A111">
        <v>37</v>
      </c>
      <c r="B111" t="s">
        <v>244</v>
      </c>
      <c r="D111" s="143" t="s">
        <v>213</v>
      </c>
      <c r="E111">
        <v>189</v>
      </c>
      <c r="F111" t="s">
        <v>136</v>
      </c>
      <c r="G111" t="s">
        <v>492</v>
      </c>
      <c r="H111" t="s">
        <v>493</v>
      </c>
      <c r="I111" t="s">
        <v>494</v>
      </c>
      <c r="J111" t="s">
        <v>214</v>
      </c>
      <c r="K111" t="s">
        <v>215</v>
      </c>
      <c r="L111">
        <v>4</v>
      </c>
      <c r="M111">
        <v>0</v>
      </c>
      <c r="N111" t="s">
        <v>128</v>
      </c>
      <c r="O111" t="s">
        <v>131</v>
      </c>
      <c r="P111">
        <v>3</v>
      </c>
      <c r="Q111">
        <v>0.29599999999999999</v>
      </c>
      <c r="R111" t="s">
        <v>246</v>
      </c>
      <c r="S111">
        <v>34</v>
      </c>
      <c r="T111">
        <v>0</v>
      </c>
      <c r="U111">
        <v>15</v>
      </c>
      <c r="V111">
        <v>0.45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s="54">
        <v>235</v>
      </c>
      <c r="AG111">
        <v>0</v>
      </c>
      <c r="AH111">
        <v>0</v>
      </c>
      <c r="AJ111">
        <v>0</v>
      </c>
      <c r="AK111">
        <v>1</v>
      </c>
      <c r="AL111">
        <v>0</v>
      </c>
      <c r="AM111">
        <v>15</v>
      </c>
      <c r="AP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</v>
      </c>
      <c r="BB111">
        <v>0</v>
      </c>
      <c r="BD111">
        <v>0</v>
      </c>
      <c r="BE111">
        <v>1</v>
      </c>
      <c r="BF111">
        <v>0</v>
      </c>
      <c r="BG111">
        <v>15</v>
      </c>
      <c r="BJ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G111">
        <v>0</v>
      </c>
      <c r="CH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B111">
        <v>0</v>
      </c>
    </row>
    <row r="112" spans="1:136">
      <c r="A112">
        <v>93</v>
      </c>
      <c r="B112" t="s">
        <v>391</v>
      </c>
      <c r="D112" s="143" t="s">
        <v>478</v>
      </c>
      <c r="E112">
        <v>388</v>
      </c>
      <c r="F112" s="218" t="s">
        <v>128</v>
      </c>
      <c r="G112" s="219" t="s">
        <v>506</v>
      </c>
      <c r="H112" s="219" t="s">
        <v>507</v>
      </c>
      <c r="I112" s="219" t="s">
        <v>508</v>
      </c>
      <c r="J112" s="220" t="s">
        <v>374</v>
      </c>
      <c r="K112" s="220" t="s">
        <v>393</v>
      </c>
      <c r="L112" s="220">
        <v>17</v>
      </c>
      <c r="M112" s="220">
        <v>7</v>
      </c>
      <c r="N112" s="220" t="s">
        <v>157</v>
      </c>
      <c r="O112" s="220" t="s">
        <v>131</v>
      </c>
      <c r="P112" s="220">
        <v>3</v>
      </c>
      <c r="Q112" s="221">
        <v>1.522</v>
      </c>
      <c r="R112" s="220" t="s">
        <v>228</v>
      </c>
      <c r="S112">
        <v>4</v>
      </c>
      <c r="T112">
        <v>0</v>
      </c>
      <c r="V112">
        <v>0.71699999999999997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286</v>
      </c>
      <c r="AG112">
        <v>0</v>
      </c>
      <c r="AH112">
        <v>0</v>
      </c>
      <c r="AJ112">
        <v>0</v>
      </c>
      <c r="AK112">
        <v>1</v>
      </c>
      <c r="AL112">
        <v>0</v>
      </c>
      <c r="AM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0</v>
      </c>
      <c r="BE112">
        <v>1</v>
      </c>
      <c r="BF112">
        <v>0</v>
      </c>
      <c r="BG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G112">
        <v>0</v>
      </c>
      <c r="CH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X112">
        <v>60</v>
      </c>
      <c r="CY112">
        <v>710</v>
      </c>
      <c r="CZ112">
        <v>486.00000000000006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F112">
        <v>0</v>
      </c>
    </row>
    <row r="113" spans="6:18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2426</v>
      </c>
      <c r="DO160" s="83">
        <f>SUM(DO8:DO106)</f>
        <v>0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8"/>
    <filterColumn colId="123"/>
    <filterColumn colId="132"/>
  </autoFilter>
  <mergeCells count="162">
    <mergeCell ref="A1:D1"/>
    <mergeCell ref="J1:DT1"/>
    <mergeCell ref="DU1:DV1"/>
    <mergeCell ref="A2:D2"/>
    <mergeCell ref="E2:U2"/>
    <mergeCell ref="CW2:DD2"/>
    <mergeCell ref="DE2:DG2"/>
    <mergeCell ref="DH2:DJ2"/>
    <mergeCell ref="DK2:DM2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</mergeCells>
  <conditionalFormatting sqref="AL8:AL985">
    <cfRule type="cellIs" dxfId="13" priority="3" operator="greaterThan">
      <formula>0</formula>
    </cfRule>
  </conditionalFormatting>
  <conditionalFormatting sqref="BF8:BF985">
    <cfRule type="cellIs" dxfId="12" priority="2" operator="greaterThan">
      <formula>0</formula>
    </cfRule>
  </conditionalFormatting>
  <conditionalFormatting sqref="CI8:CP985">
    <cfRule type="cellIs" dxfId="11" priority="1" operator="greaterThan">
      <formula>0</formula>
    </cfRule>
  </conditionalFormatting>
  <pageMargins left="0.31496062992125984" right="0.23622047244094491" top="0.39370078740157483" bottom="0.39370078740157483" header="0.31496062992125984" footer="0.31496062992125984"/>
  <pageSetup paperSize="9" orientation="portrait" verticalDpi="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1"/>
  <dimension ref="A1:EF163"/>
  <sheetViews>
    <sheetView workbookViewId="0">
      <pane xSplit="4" ySplit="7" topLeftCell="P8" activePane="bottomRight" state="frozen"/>
      <selection pane="topRight" activeCell="E1" sqref="E1"/>
      <selection pane="bottomLeft" activeCell="A8" sqref="A8"/>
      <selection pane="bottomRight" activeCell="AE7" sqref="AE7"/>
    </sheetView>
  </sheetViews>
  <sheetFormatPr defaultRowHeight="15"/>
  <cols>
    <col min="1" max="1" width="4.140625" customWidth="1"/>
    <col min="2" max="2" width="6.5703125" customWidth="1"/>
    <col min="3" max="3" width="9.140625" hidden="1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94" width="9.140625" customWidth="1"/>
    <col min="95" max="108" width="9.140625" hidden="1" customWidth="1"/>
    <col min="109" max="110" width="9" hidden="1" customWidth="1"/>
    <col min="111" max="111" width="9" customWidth="1"/>
    <col min="112" max="113" width="9" hidden="1" customWidth="1"/>
    <col min="114" max="114" width="9" customWidth="1"/>
    <col min="115" max="117" width="9" hidden="1" customWidth="1"/>
    <col min="118" max="118" width="7" hidden="1" customWidth="1"/>
    <col min="119" max="120" width="6.7109375" hidden="1" customWidth="1"/>
    <col min="121" max="121" width="7.42578125" hidden="1" customWidth="1"/>
    <col min="122" max="122" width="12.28515625" hidden="1" customWidth="1"/>
    <col min="123" max="123" width="6.7109375" hidden="1" customWidth="1"/>
    <col min="124" max="124" width="9.140625" hidden="1" customWidth="1"/>
    <col min="125" max="125" width="13.7109375" hidden="1" customWidth="1"/>
    <col min="126" max="126" width="10.7109375" hidden="1" customWidth="1"/>
    <col min="127" max="152" width="9.140625" customWidth="1"/>
  </cols>
  <sheetData>
    <row r="1" spans="1:136" s="3" customFormat="1" ht="27" customHeight="1" thickBot="1">
      <c r="A1" s="402" t="s">
        <v>503</v>
      </c>
      <c r="B1" s="402"/>
      <c r="C1" s="402"/>
      <c r="D1" s="402"/>
      <c r="E1" s="258"/>
      <c r="F1" s="258"/>
      <c r="G1" s="258"/>
      <c r="H1" s="258"/>
      <c r="I1" s="258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57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56" t="s">
        <v>124</v>
      </c>
      <c r="AK6" s="256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56" t="s">
        <v>124</v>
      </c>
      <c r="BE6" s="256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0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customHeight="1" thickBot="1">
      <c r="A7" s="30"/>
      <c r="D7" s="32"/>
      <c r="Q7" s="33"/>
      <c r="S7" s="31">
        <f>SUMIF(S8:S106,"&gt;0")</f>
        <v>2788</v>
      </c>
      <c r="T7" s="31">
        <f>SUM(T8:T106)</f>
        <v>2389.3599999999997</v>
      </c>
      <c r="U7" s="31">
        <f>SUM(U8:U106)</f>
        <v>440</v>
      </c>
      <c r="W7" s="31">
        <f t="shared" ref="W7:AD7" si="0">SUM(W8:W777)</f>
        <v>0</v>
      </c>
      <c r="X7" s="31">
        <f t="shared" si="0"/>
        <v>0</v>
      </c>
      <c r="Y7" s="31">
        <f t="shared" si="0"/>
        <v>0</v>
      </c>
      <c r="Z7" s="31">
        <f t="shared" si="0"/>
        <v>0</v>
      </c>
      <c r="AA7" s="31">
        <f t="shared" si="0"/>
        <v>0</v>
      </c>
      <c r="AB7" s="31">
        <f t="shared" si="0"/>
        <v>0</v>
      </c>
      <c r="AC7" s="31">
        <f t="shared" si="0"/>
        <v>0</v>
      </c>
      <c r="AD7" s="31">
        <f t="shared" si="0"/>
        <v>0</v>
      </c>
      <c r="AE7" s="31">
        <f>SUM(AE8:AE777)</f>
        <v>0</v>
      </c>
      <c r="AF7" s="31">
        <f>SUM(AF8:AF249)</f>
        <v>934681</v>
      </c>
      <c r="AG7" s="31">
        <f t="shared" ref="AG7:CP7" si="1">SUM(AG8:AG285)</f>
        <v>2413.3599999999997</v>
      </c>
      <c r="AH7" s="31">
        <f t="shared" si="1"/>
        <v>0.36</v>
      </c>
      <c r="AI7" s="31">
        <f t="shared" si="1"/>
        <v>429</v>
      </c>
      <c r="AJ7" s="31">
        <f t="shared" si="1"/>
        <v>0</v>
      </c>
      <c r="AK7" s="31">
        <f t="shared" si="1"/>
        <v>102</v>
      </c>
      <c r="AL7" s="34">
        <f>SUM(AL8:AL285)</f>
        <v>429.36</v>
      </c>
      <c r="AM7" s="31">
        <f t="shared" si="1"/>
        <v>2439</v>
      </c>
      <c r="AN7" s="31">
        <f t="shared" si="1"/>
        <v>0</v>
      </c>
      <c r="AO7" s="31">
        <f t="shared" si="1"/>
        <v>0</v>
      </c>
      <c r="AP7" s="31">
        <f t="shared" si="1"/>
        <v>0</v>
      </c>
      <c r="AQ7" s="31">
        <f t="shared" si="1"/>
        <v>0</v>
      </c>
      <c r="AR7" s="31">
        <f t="shared" si="1"/>
        <v>0</v>
      </c>
      <c r="AS7" s="31">
        <f t="shared" si="1"/>
        <v>0</v>
      </c>
      <c r="AT7" s="31">
        <f t="shared" si="1"/>
        <v>0</v>
      </c>
      <c r="AU7" s="31">
        <f t="shared" si="1"/>
        <v>0</v>
      </c>
      <c r="AV7" s="31">
        <f t="shared" si="1"/>
        <v>0</v>
      </c>
      <c r="AW7" s="31">
        <f t="shared" si="1"/>
        <v>0</v>
      </c>
      <c r="AX7" s="31">
        <f t="shared" si="1"/>
        <v>0</v>
      </c>
      <c r="AY7" s="31">
        <f t="shared" si="1"/>
        <v>-144638.65299999999</v>
      </c>
      <c r="AZ7" s="31">
        <f t="shared" si="1"/>
        <v>-70778.399999999994</v>
      </c>
      <c r="BA7" s="31">
        <f t="shared" si="1"/>
        <v>2439</v>
      </c>
      <c r="BB7" s="31">
        <f t="shared" si="1"/>
        <v>0</v>
      </c>
      <c r="BC7" s="31">
        <f t="shared" si="1"/>
        <v>501</v>
      </c>
      <c r="BD7" s="31">
        <f t="shared" si="1"/>
        <v>0</v>
      </c>
      <c r="BE7" s="31">
        <f t="shared" si="1"/>
        <v>102</v>
      </c>
      <c r="BF7" s="34">
        <f t="shared" si="1"/>
        <v>501</v>
      </c>
      <c r="BG7" s="31">
        <f t="shared" si="1"/>
        <v>1938</v>
      </c>
      <c r="BH7" s="31">
        <f t="shared" si="1"/>
        <v>0</v>
      </c>
      <c r="BI7" s="31">
        <f t="shared" si="1"/>
        <v>0</v>
      </c>
      <c r="BJ7" s="31">
        <f t="shared" si="1"/>
        <v>0</v>
      </c>
      <c r="BK7" s="31">
        <f t="shared" si="1"/>
        <v>0</v>
      </c>
      <c r="BL7" s="31">
        <f t="shared" si="1"/>
        <v>0</v>
      </c>
      <c r="BM7" s="31">
        <f t="shared" si="1"/>
        <v>0</v>
      </c>
      <c r="BN7" s="31">
        <f t="shared" si="1"/>
        <v>0</v>
      </c>
      <c r="BO7" s="31">
        <f t="shared" si="1"/>
        <v>0</v>
      </c>
      <c r="BP7" s="31">
        <f t="shared" si="1"/>
        <v>0</v>
      </c>
      <c r="BQ7" s="31">
        <f t="shared" si="1"/>
        <v>0</v>
      </c>
      <c r="BR7" s="31">
        <f t="shared" si="1"/>
        <v>0</v>
      </c>
      <c r="BS7" s="31">
        <f t="shared" si="1"/>
        <v>-148118.38199999998</v>
      </c>
      <c r="BT7" s="31">
        <f t="shared" si="1"/>
        <v>-69048</v>
      </c>
      <c r="BU7" s="31">
        <f t="shared" si="1"/>
        <v>0</v>
      </c>
      <c r="BV7" s="34">
        <f t="shared" si="1"/>
        <v>930.36</v>
      </c>
      <c r="BW7" s="31">
        <f t="shared" si="1"/>
        <v>-139826.4</v>
      </c>
      <c r="BX7" s="31">
        <f t="shared" si="1"/>
        <v>666.07144000000017</v>
      </c>
      <c r="BY7" s="34">
        <f t="shared" si="1"/>
        <v>930.36</v>
      </c>
      <c r="BZ7" s="35">
        <f t="shared" si="1"/>
        <v>930.36</v>
      </c>
      <c r="CA7" s="31">
        <f t="shared" si="1"/>
        <v>0</v>
      </c>
      <c r="CB7" s="31">
        <f t="shared" si="1"/>
        <v>0</v>
      </c>
      <c r="CC7" s="31">
        <f t="shared" si="1"/>
        <v>-292757.03499999997</v>
      </c>
      <c r="CD7" s="31">
        <f t="shared" si="1"/>
        <v>-139826.4</v>
      </c>
      <c r="CE7" s="36">
        <f t="shared" si="1"/>
        <v>0</v>
      </c>
      <c r="CF7" s="36">
        <f t="shared" si="1"/>
        <v>0</v>
      </c>
      <c r="CG7" s="34">
        <f t="shared" si="1"/>
        <v>666.07144000000017</v>
      </c>
      <c r="CH7" s="35">
        <f t="shared" si="1"/>
        <v>666.07144000000017</v>
      </c>
      <c r="CI7" s="31">
        <f t="shared" si="1"/>
        <v>0</v>
      </c>
      <c r="CJ7" s="31">
        <f t="shared" si="1"/>
        <v>0</v>
      </c>
      <c r="CK7" s="31">
        <f t="shared" si="1"/>
        <v>0</v>
      </c>
      <c r="CL7" s="31">
        <f t="shared" si="1"/>
        <v>0</v>
      </c>
      <c r="CM7" s="31">
        <f t="shared" si="1"/>
        <v>0</v>
      </c>
      <c r="CN7" s="31">
        <f t="shared" si="1"/>
        <v>0</v>
      </c>
      <c r="CO7" s="31">
        <f t="shared" si="1"/>
        <v>0</v>
      </c>
      <c r="CP7" s="31">
        <f t="shared" si="1"/>
        <v>0</v>
      </c>
      <c r="CQ7" s="31">
        <f t="shared" ref="CQ7:CV7" si="2">SUM(CQ8:CQ777)</f>
        <v>0</v>
      </c>
      <c r="CR7" s="31">
        <f t="shared" si="2"/>
        <v>0</v>
      </c>
      <c r="CS7" s="31">
        <f t="shared" si="2"/>
        <v>0</v>
      </c>
      <c r="CT7" s="31">
        <f t="shared" si="2"/>
        <v>0</v>
      </c>
      <c r="CU7" s="31">
        <f t="shared" si="2"/>
        <v>0</v>
      </c>
      <c r="CV7" s="31">
        <f t="shared" si="2"/>
        <v>0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0</v>
      </c>
      <c r="DF7" s="38">
        <f t="shared" si="4"/>
        <v>429.36</v>
      </c>
      <c r="DG7" s="37">
        <f t="shared" si="4"/>
        <v>-70778.399999999994</v>
      </c>
      <c r="DH7" s="37">
        <f t="shared" si="4"/>
        <v>0</v>
      </c>
      <c r="DI7" s="38">
        <f t="shared" si="4"/>
        <v>501</v>
      </c>
      <c r="DJ7" s="37">
        <f t="shared" si="4"/>
        <v>-69048</v>
      </c>
      <c r="DK7" s="37">
        <f t="shared" si="4"/>
        <v>0</v>
      </c>
      <c r="DL7" s="38">
        <f t="shared" si="4"/>
        <v>930.36</v>
      </c>
      <c r="DM7" s="37">
        <f t="shared" si="4"/>
        <v>-139826.4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f>'07.02'!BG8</f>
        <v>10</v>
      </c>
      <c r="U8" s="52">
        <v>10</v>
      </c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0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0</v>
      </c>
      <c r="AE8" s="53">
        <f>IF(V8="","",SUM(W8:AC8))</f>
        <v>0</v>
      </c>
      <c r="AF8" s="54">
        <f>AE8+'07.02'!AF8</f>
        <v>1148</v>
      </c>
      <c r="AG8" s="55">
        <f>T8</f>
        <v>10</v>
      </c>
      <c r="AH8" s="56">
        <f t="shared" ref="AH8:AH72" si="13">IFERROR(VALUE("0"&amp;RIGHT(AG8,(LEN(AG8)-LEN(TRUNC(AG8))))),"")</f>
        <v>0</v>
      </c>
      <c r="AI8" s="53">
        <v>7</v>
      </c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7</v>
      </c>
      <c r="AM8" s="55">
        <f>IF(V8="","",AG8+U8-AL8)</f>
        <v>13</v>
      </c>
      <c r="AN8" s="53"/>
      <c r="AO8" s="59"/>
      <c r="AP8" s="59">
        <f t="shared" ref="AP8:AP13" si="14">$CJ8</f>
        <v>0</v>
      </c>
      <c r="AQ8" s="59"/>
      <c r="AR8" s="59"/>
      <c r="AS8" s="59"/>
      <c r="AT8" s="59"/>
      <c r="AU8" s="59">
        <f>CK8</f>
        <v>0</v>
      </c>
      <c r="AV8" s="59">
        <f>CL8</f>
        <v>0</v>
      </c>
      <c r="AW8" s="59">
        <f>SUM(AO8:AV8)</f>
        <v>0</v>
      </c>
      <c r="AX8" s="59">
        <f>IF(V8="","",INT(AW8/$V8))</f>
        <v>0</v>
      </c>
      <c r="AY8" s="55">
        <f>IF(V8="","",AW8-AL8*$E8*$V8)</f>
        <v>-4949</v>
      </c>
      <c r="AZ8" s="59">
        <f>IF($V8="","",AY8/$V8)</f>
        <v>-490</v>
      </c>
      <c r="BA8" s="55">
        <f>AM8</f>
        <v>13</v>
      </c>
      <c r="BB8" s="60">
        <f>VALUE("0"&amp;RIGHT(BA8,(LEN(BA8)-LEN(TRUNC(BA8)))))</f>
        <v>0</v>
      </c>
      <c r="BC8" s="53">
        <v>8</v>
      </c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8</v>
      </c>
      <c r="BG8" s="55">
        <f>IF(AA8="","",BA8-BF8)</f>
        <v>5</v>
      </c>
      <c r="BH8" s="44"/>
      <c r="BI8" s="44"/>
      <c r="BJ8" s="52">
        <f t="shared" ref="BJ8:BJ13" si="15">$CN8</f>
        <v>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0</v>
      </c>
      <c r="BR8" s="59">
        <f>IF(AA8="","",INT(BQ8/$V8))</f>
        <v>0</v>
      </c>
      <c r="BS8" s="59">
        <f>IF(AA8="","",-BF8*$E8*$V8+BQ8)</f>
        <v>-5656</v>
      </c>
      <c r="BT8" s="59">
        <f>IF($V8="","",BS8/$V8)</f>
        <v>-560</v>
      </c>
      <c r="BU8" s="52">
        <f t="shared" ref="BU8:BU71" si="16">IFERROR(AE8,"")</f>
        <v>0</v>
      </c>
      <c r="BV8" s="61">
        <f t="shared" ref="BV8:BV73" si="17">IFERROR(BF8+AL8,"")</f>
        <v>15</v>
      </c>
      <c r="BW8" s="52">
        <f t="shared" ref="BW8:BW71" si="18">IFERROR(BT8+AZ8,"")</f>
        <v>-1050</v>
      </c>
      <c r="BX8" s="61">
        <f>IF($Q8="","",(BF8+AL8)*$Q8)</f>
        <v>27.48</v>
      </c>
      <c r="BY8" s="61">
        <f>IFERROR(BF8+AL8,0)</f>
        <v>15</v>
      </c>
      <c r="BZ8" s="62">
        <f>BY8</f>
        <v>15</v>
      </c>
      <c r="CA8" s="51">
        <f>IFERROR((BQ8+AW8)/1000,"")</f>
        <v>0</v>
      </c>
      <c r="CB8" s="63">
        <f t="shared" ref="CB8:CD39" si="19">IFERROR(BR8+AX8,"")</f>
        <v>0</v>
      </c>
      <c r="CC8" s="63">
        <f t="shared" si="19"/>
        <v>-10605</v>
      </c>
      <c r="CD8" s="63">
        <f t="shared" si="19"/>
        <v>-1050</v>
      </c>
      <c r="CE8" s="64"/>
      <c r="CF8" s="64"/>
      <c r="CG8" s="51">
        <f>IF(BX8="",0,(BX8-CA8)+((AV8+BP8)/1000))</f>
        <v>27.48</v>
      </c>
      <c r="CH8" s="62">
        <f>CG8</f>
        <v>27.48</v>
      </c>
      <c r="CI8" s="44"/>
      <c r="CJ8" s="44"/>
      <c r="CK8" s="44"/>
      <c r="CL8" s="59"/>
      <c r="CM8" s="44"/>
      <c r="CN8" s="44"/>
      <c r="CO8" s="52"/>
      <c r="CP8" s="65"/>
      <c r="CQ8" s="66">
        <f>INT(IFERROR( CJ8/$V8,0))</f>
        <v>0</v>
      </c>
      <c r="CR8" s="66">
        <f t="shared" ref="CR8:CS23" si="20">INT(IFERROR( CK8/$V8,0))</f>
        <v>0</v>
      </c>
      <c r="CS8" s="66">
        <f t="shared" si="20"/>
        <v>0</v>
      </c>
      <c r="CT8" s="63">
        <f>INT(IFERROR( AE8-CQ8-CU8-CR8,0))</f>
        <v>0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0</v>
      </c>
      <c r="DF8" s="72">
        <f t="shared" ref="DF8:DF71" si="22">IFERROR(AL8,"")</f>
        <v>7</v>
      </c>
      <c r="DG8" s="73">
        <f t="shared" ref="DG8:DG71" si="23">IFERROR(AZ8,"")</f>
        <v>-490</v>
      </c>
      <c r="DH8" s="74">
        <f t="shared" ref="DH8:DH71" si="24">IFERROR(CT8+CU8,"")</f>
        <v>0</v>
      </c>
      <c r="DI8" s="72">
        <f t="shared" ref="DI8:DI71" si="25">IFERROR(BF8,"")</f>
        <v>8</v>
      </c>
      <c r="DJ8" s="73">
        <f t="shared" ref="DJ8:DJ71" si="26">IFERROR(BT8,"")</f>
        <v>-560</v>
      </c>
      <c r="DK8" s="74">
        <f t="shared" ref="DK8:DM23" si="27">IFERROR(DE8+DH8,"")</f>
        <v>0</v>
      </c>
      <c r="DL8" s="72">
        <f t="shared" si="27"/>
        <v>15</v>
      </c>
      <c r="DM8" s="75">
        <f t="shared" si="27"/>
        <v>-1050</v>
      </c>
      <c r="DN8" s="76">
        <f>T8</f>
        <v>10</v>
      </c>
      <c r="DO8" s="73">
        <f>U8</f>
        <v>10</v>
      </c>
      <c r="DP8" s="77"/>
      <c r="DQ8" s="77"/>
      <c r="DR8" s="78" t="s">
        <v>511</v>
      </c>
      <c r="DS8" s="77"/>
      <c r="DT8" s="77"/>
      <c r="DU8" s="75"/>
      <c r="DV8" s="79"/>
      <c r="DW8" s="80">
        <f>IFERROR(AL8+BC8,"")</f>
        <v>15</v>
      </c>
      <c r="DX8" s="81">
        <f t="shared" ref="DX8:DX71" si="28">IFERROR(DK8+DL8+DM8,"")</f>
        <v>-1035</v>
      </c>
      <c r="DY8" s="80">
        <f>CQ8+CR8+CS8+CT8+CU8+CV8</f>
        <v>0</v>
      </c>
      <c r="DZ8">
        <f>IFERROR((AD8*V8/1000),0)</f>
        <v>0</v>
      </c>
      <c r="EA8" s="82">
        <f>IFERROR((AE8*V8/1000),0)</f>
        <v>0</v>
      </c>
      <c r="EB8" s="82">
        <f>BX8-EA8</f>
        <v>27.48</v>
      </c>
      <c r="EC8" s="82">
        <f t="shared" ref="EC8:EC13" si="29">(BX8-CA8)+((AV8+BP8)/1000)</f>
        <v>27.48</v>
      </c>
      <c r="EF8" s="83">
        <f>DG8+DJ8</f>
        <v>-1050</v>
      </c>
    </row>
    <row r="9" spans="1:136" ht="15" hidden="1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0">CONCATENATE(K9,J9,"-",IF(N9="D",L9,IF(N9="H",CONCATENATE(N9,L9),CONCATENATE(N9,L9,"x",M9))),"x",P9,"-",O9,R9)</f>
        <v>TV12L14-10x2.5-H9A14</v>
      </c>
      <c r="H9" s="46" t="str">
        <f t="shared" ref="H9:H72" si="31">CONCATENATE(J9,,K9,L9,M9,N9,O9)</f>
        <v>12L14TV100DH9</v>
      </c>
      <c r="I9" s="46" t="str">
        <f t="shared" ref="I9:I72" si="32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3">ROUND(CY9/E9,0)*2</f>
        <v>70</v>
      </c>
      <c r="T9" s="51">
        <f>'07.02'!BG9</f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4">IF(V9="","",SUM(W9:AC9))</f>
        <v>0</v>
      </c>
      <c r="AF9" s="54">
        <f>AE9+'07.02'!AF9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5">IF(V9="","",IF(AJ9=0,1,AJ9/$V9/$E9))</f>
        <v>1</v>
      </c>
      <c r="AL9" s="58">
        <f t="shared" ref="AL9:AL75" si="36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7">CL9</f>
        <v>0</v>
      </c>
      <c r="AW9" s="96">
        <f t="shared" ref="AW9:AW72" si="38">SUM(AO9:AV9)</f>
        <v>0</v>
      </c>
      <c r="AX9" s="96">
        <f t="shared" ref="AX9:AX72" si="39">IF(V9="","",INT(AW9/$V9))</f>
        <v>0</v>
      </c>
      <c r="AY9" s="94">
        <f>IF(V9="","",AW9-AL9*$E9*$V9)</f>
        <v>0</v>
      </c>
      <c r="AZ9" s="94">
        <f t="shared" ref="AZ9:AZ72" si="40">IF($V9="","",AY9/$V9)</f>
        <v>0</v>
      </c>
      <c r="BA9" s="94">
        <f t="shared" ref="BA9:BA74" si="41">AM9</f>
        <v>0</v>
      </c>
      <c r="BB9" s="97">
        <f t="shared" ref="BB9:BB74" si="42">VALUE("0"&amp;RIGHT(BA9,(LEN(BA9)-LEN(TRUNC(BA9)))))</f>
        <v>0</v>
      </c>
      <c r="BC9" s="93"/>
      <c r="BD9" s="93">
        <f t="shared" ref="BD9:BD72" si="43">$CM9</f>
        <v>0</v>
      </c>
      <c r="BE9" s="95">
        <f t="shared" ref="BE9:BE72" si="44">IF(AA9="","",IF(BD9=0,1,BD9/$V9/$E9))</f>
        <v>1</v>
      </c>
      <c r="BF9" s="58">
        <f t="shared" ref="BF9:BF76" si="45">IF(V9="","",MAX(ROUNDUP((IF(BC9+BD9=0,0,BB9)+BC9+BE9-1),2),0))</f>
        <v>0</v>
      </c>
      <c r="BG9" s="94">
        <f t="shared" ref="BG9:BG72" si="46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7">SUM(BI9:BP9)</f>
        <v>0</v>
      </c>
      <c r="BR9" s="96">
        <f t="shared" ref="BR9:BR72" si="48">IF(AA9="","",INT(BQ9/$V9))</f>
        <v>0</v>
      </c>
      <c r="BS9" s="96">
        <f>IF(AA9="","",-BF9*$E9*$V9+BQ9)</f>
        <v>0</v>
      </c>
      <c r="BT9" s="96">
        <f t="shared" ref="BT9:BT72" si="49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0">IF($Q9="","",(BF9+AL9)*$Q9)</f>
        <v>0</v>
      </c>
      <c r="BY9" s="61">
        <f>IFERROR(BF9+AL9,0)</f>
        <v>0</v>
      </c>
      <c r="BZ9" s="62">
        <f t="shared" ref="BZ9:BZ72" si="51">BY9</f>
        <v>0</v>
      </c>
      <c r="CA9" s="98">
        <f t="shared" ref="CA9:CA72" si="52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3">IF(BX9="",0,(BX9-CA9)+((AV9+BP9)/1000))</f>
        <v>0</v>
      </c>
      <c r="CH9" s="62">
        <f t="shared" ref="CH9:CH72" si="54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5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6">INT(IFERROR( AE9-CQ9-CU9-CR9,0))</f>
        <v>0</v>
      </c>
      <c r="CU9" s="92">
        <f t="shared" ref="CU9:CV24" si="57">INT(IFERROR( AC9-CR9,0))</f>
        <v>0</v>
      </c>
      <c r="CV9" s="103">
        <f t="shared" si="57"/>
        <v>0</v>
      </c>
      <c r="CW9" s="104"/>
      <c r="CX9" s="105">
        <v>67</v>
      </c>
      <c r="CY9" s="106">
        <f t="shared" ref="CY9:CY72" si="58">INT(60/CX9*60*(12-(CEILING((60/CX9*60*12)/E9,1)*IF(CW9="T",0.45,IF(CW9="",5,3))/60)))</f>
        <v>282</v>
      </c>
      <c r="CZ9" s="106">
        <f t="shared" ref="CZ9:CZ72" si="59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ref="DN9:DN72" si="60">T9</f>
        <v>0</v>
      </c>
      <c r="DO9" s="76">
        <f>U9</f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1">IFERROR(BU9+BV9,"")</f>
        <v>0</v>
      </c>
      <c r="DX9" s="81">
        <f t="shared" si="28"/>
        <v>0</v>
      </c>
      <c r="DY9" s="80">
        <f t="shared" ref="DY9:DY72" si="62">CQ9+CR9+CS9+CT9+CU9+CV9</f>
        <v>0</v>
      </c>
      <c r="DZ9">
        <f t="shared" ref="DZ9:DZ72" si="63">IFERROR((AD9*V9/1000),0)</f>
        <v>0</v>
      </c>
      <c r="EA9" s="82">
        <f t="shared" ref="EA9:EA72" si="64">IFERROR((AE9*V9/1000),0)</f>
        <v>0</v>
      </c>
      <c r="EB9" s="82">
        <f t="shared" ref="EB9:EB72" si="65">BX9-EA9</f>
        <v>0</v>
      </c>
      <c r="EC9" s="82">
        <f t="shared" si="29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0"/>
        <v>GWA6063-T5-17x3-H9B15</v>
      </c>
      <c r="H10" s="46" t="str">
        <f t="shared" si="31"/>
        <v>A6063-T5GW170DH9</v>
      </c>
      <c r="I10" s="46" t="str">
        <f t="shared" si="32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3"/>
        <v>22</v>
      </c>
      <c r="T10" s="51">
        <f>'07.02'!BG10</f>
        <v>15</v>
      </c>
      <c r="U10" s="92">
        <v>10</v>
      </c>
      <c r="V10" s="89">
        <v>10.1</v>
      </c>
      <c r="W10" s="93">
        <f t="shared" si="5"/>
        <v>0</v>
      </c>
      <c r="X10" s="93">
        <f t="shared" si="6"/>
        <v>0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0</v>
      </c>
      <c r="AE10" s="93">
        <f t="shared" si="34"/>
        <v>0</v>
      </c>
      <c r="AF10" s="54">
        <f>AE10+'07.02'!AF10</f>
        <v>8155</v>
      </c>
      <c r="AG10" s="94">
        <f t="shared" ref="AG10:AG73" si="66">T10</f>
        <v>15</v>
      </c>
      <c r="AH10" s="56">
        <f t="shared" si="13"/>
        <v>0</v>
      </c>
      <c r="AI10" s="89">
        <v>7</v>
      </c>
      <c r="AJ10" s="93">
        <f t="shared" ref="AJ10:AJ73" si="67">$CI10</f>
        <v>0</v>
      </c>
      <c r="AK10" s="95">
        <f t="shared" si="35"/>
        <v>1</v>
      </c>
      <c r="AL10" s="58">
        <f t="shared" si="36"/>
        <v>7</v>
      </c>
      <c r="AM10" s="55">
        <f t="shared" ref="AM10:AM73" si="68">IF(V10="","",AG10+U10-AL10)</f>
        <v>18</v>
      </c>
      <c r="AN10" s="93"/>
      <c r="AO10" s="96"/>
      <c r="AP10" s="96">
        <f t="shared" si="14"/>
        <v>0</v>
      </c>
      <c r="AQ10" s="96"/>
      <c r="AR10" s="96"/>
      <c r="AS10" s="96"/>
      <c r="AT10" s="96"/>
      <c r="AU10" s="96">
        <f t="shared" si="37"/>
        <v>0</v>
      </c>
      <c r="AV10" s="96">
        <f t="shared" si="37"/>
        <v>0</v>
      </c>
      <c r="AW10" s="96">
        <f t="shared" si="38"/>
        <v>0</v>
      </c>
      <c r="AX10" s="96">
        <f t="shared" si="39"/>
        <v>0</v>
      </c>
      <c r="AY10" s="94">
        <f t="shared" ref="AY10:AY73" si="69">IF(V10="","",AW10-AL10*$E10*$V10)</f>
        <v>-4949</v>
      </c>
      <c r="AZ10" s="94">
        <f t="shared" si="40"/>
        <v>-490</v>
      </c>
      <c r="BA10" s="94">
        <f t="shared" si="41"/>
        <v>18</v>
      </c>
      <c r="BB10" s="97">
        <f t="shared" si="42"/>
        <v>0</v>
      </c>
      <c r="BC10" s="93">
        <v>8</v>
      </c>
      <c r="BD10" s="93">
        <f t="shared" si="43"/>
        <v>0</v>
      </c>
      <c r="BE10" s="95">
        <f t="shared" si="44"/>
        <v>1</v>
      </c>
      <c r="BF10" s="58">
        <f t="shared" si="45"/>
        <v>8</v>
      </c>
      <c r="BG10" s="94">
        <f t="shared" si="46"/>
        <v>10</v>
      </c>
      <c r="BH10" s="89"/>
      <c r="BI10" s="89"/>
      <c r="BJ10" s="92">
        <f t="shared" si="15"/>
        <v>0</v>
      </c>
      <c r="BK10" s="89"/>
      <c r="BL10" s="89"/>
      <c r="BM10" s="89"/>
      <c r="BN10" s="89"/>
      <c r="BO10" s="92">
        <f t="shared" ref="BO10:BP73" si="70">CO10</f>
        <v>0</v>
      </c>
      <c r="BP10" s="92">
        <f t="shared" si="70"/>
        <v>0</v>
      </c>
      <c r="BQ10" s="96">
        <f t="shared" si="47"/>
        <v>0</v>
      </c>
      <c r="BR10" s="96">
        <f t="shared" si="48"/>
        <v>0</v>
      </c>
      <c r="BS10" s="96">
        <f t="shared" ref="BS10:BS73" si="71">IF(AA10="","",-BF10*$E10*$V10+BQ10)</f>
        <v>-5656</v>
      </c>
      <c r="BT10" s="96">
        <f t="shared" si="49"/>
        <v>-560</v>
      </c>
      <c r="BU10" s="92">
        <f t="shared" si="16"/>
        <v>0</v>
      </c>
      <c r="BV10" s="98">
        <f t="shared" si="17"/>
        <v>15</v>
      </c>
      <c r="BW10" s="92">
        <f t="shared" si="18"/>
        <v>-1050</v>
      </c>
      <c r="BX10" s="61">
        <f t="shared" si="50"/>
        <v>27.48</v>
      </c>
      <c r="BY10" s="61">
        <f>IFERROR(BF10+AL10,0)</f>
        <v>15</v>
      </c>
      <c r="BZ10" s="62">
        <f t="shared" si="51"/>
        <v>15</v>
      </c>
      <c r="CA10" s="98">
        <f t="shared" si="52"/>
        <v>0</v>
      </c>
      <c r="CB10" s="92">
        <f t="shared" si="19"/>
        <v>0</v>
      </c>
      <c r="CC10" s="92">
        <f t="shared" si="19"/>
        <v>-10605</v>
      </c>
      <c r="CD10" s="92">
        <f t="shared" si="19"/>
        <v>-1050</v>
      </c>
      <c r="CE10" s="99"/>
      <c r="CF10" s="99"/>
      <c r="CG10" s="51">
        <f t="shared" si="53"/>
        <v>27.48</v>
      </c>
      <c r="CH10" s="62">
        <f t="shared" si="54"/>
        <v>27.48</v>
      </c>
      <c r="CI10" s="89"/>
      <c r="CJ10" s="89"/>
      <c r="CK10" s="89"/>
      <c r="CL10" s="96"/>
      <c r="CM10" s="89"/>
      <c r="CN10" s="89"/>
      <c r="CO10" s="92"/>
      <c r="CP10" s="101"/>
      <c r="CQ10" s="102">
        <f t="shared" si="55"/>
        <v>0</v>
      </c>
      <c r="CR10" s="102">
        <f t="shared" si="20"/>
        <v>0</v>
      </c>
      <c r="CS10" s="102">
        <f t="shared" si="20"/>
        <v>0</v>
      </c>
      <c r="CT10" s="92">
        <f t="shared" si="56"/>
        <v>0</v>
      </c>
      <c r="CU10" s="92">
        <f t="shared" si="57"/>
        <v>0</v>
      </c>
      <c r="CV10" s="103">
        <f t="shared" si="57"/>
        <v>0</v>
      </c>
      <c r="CW10" s="104"/>
      <c r="CX10" s="105">
        <v>51</v>
      </c>
      <c r="CY10" s="106">
        <f t="shared" si="58"/>
        <v>770</v>
      </c>
      <c r="CZ10" s="106">
        <f t="shared" si="59"/>
        <v>413.1</v>
      </c>
      <c r="DA10" s="106"/>
      <c r="DB10" s="106"/>
      <c r="DC10" s="105"/>
      <c r="DD10" s="107"/>
      <c r="DE10" s="92">
        <f t="shared" si="21"/>
        <v>0</v>
      </c>
      <c r="DF10" s="108">
        <f t="shared" si="22"/>
        <v>7</v>
      </c>
      <c r="DG10" s="112">
        <f t="shared" si="23"/>
        <v>-490</v>
      </c>
      <c r="DH10" s="110">
        <f t="shared" si="24"/>
        <v>0</v>
      </c>
      <c r="DI10" s="108">
        <f t="shared" si="25"/>
        <v>8</v>
      </c>
      <c r="DJ10" s="115">
        <f t="shared" si="26"/>
        <v>-560</v>
      </c>
      <c r="DK10" s="110">
        <f t="shared" si="27"/>
        <v>0</v>
      </c>
      <c r="DL10" s="108">
        <f t="shared" si="27"/>
        <v>15</v>
      </c>
      <c r="DM10" s="111">
        <f t="shared" si="27"/>
        <v>-1050</v>
      </c>
      <c r="DN10" s="76">
        <f t="shared" si="60"/>
        <v>15</v>
      </c>
      <c r="DO10" s="76">
        <f t="shared" ref="DO10:DO73" si="72">U10</f>
        <v>10</v>
      </c>
      <c r="DP10" s="112"/>
      <c r="DQ10" s="112"/>
      <c r="DR10" s="113" t="s">
        <v>512</v>
      </c>
      <c r="DS10" s="112"/>
      <c r="DT10" s="112"/>
      <c r="DU10" s="111"/>
      <c r="DV10" s="114"/>
      <c r="DW10" s="80">
        <f>IFERROR(AL10+BF10,"")</f>
        <v>15</v>
      </c>
      <c r="DX10" s="81">
        <f t="shared" si="28"/>
        <v>-1035</v>
      </c>
      <c r="DY10" s="80">
        <f t="shared" si="62"/>
        <v>0</v>
      </c>
      <c r="DZ10">
        <f t="shared" si="63"/>
        <v>0</v>
      </c>
      <c r="EA10" s="82">
        <f t="shared" si="64"/>
        <v>0</v>
      </c>
      <c r="EB10" s="82">
        <f t="shared" si="65"/>
        <v>27.48</v>
      </c>
      <c r="EC10" s="82">
        <f t="shared" si="29"/>
        <v>27.48</v>
      </c>
      <c r="EF10" s="83">
        <f t="shared" ref="EF10:EF11" si="73">DG10+DJ10</f>
        <v>-1050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0"/>
        <v>TV12L14-11x2.5-H9C14</v>
      </c>
      <c r="H11" s="46" t="str">
        <f t="shared" si="31"/>
        <v>12L14TV110DH9</v>
      </c>
      <c r="I11" s="46" t="str">
        <f t="shared" si="32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3"/>
        <v>12</v>
      </c>
      <c r="T11" s="51">
        <f>'07.02'!BG11</f>
        <v>7</v>
      </c>
      <c r="U11" s="92">
        <v>13</v>
      </c>
      <c r="V11" s="89">
        <v>2</v>
      </c>
      <c r="W11" s="93">
        <f t="shared" si="5"/>
        <v>0</v>
      </c>
      <c r="X11" s="93">
        <f t="shared" si="6"/>
        <v>0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0</v>
      </c>
      <c r="AE11" s="93">
        <f t="shared" si="34"/>
        <v>0</v>
      </c>
      <c r="AF11" s="54">
        <f>AE11+'07.02'!AF11</f>
        <v>24050</v>
      </c>
      <c r="AG11" s="94">
        <f t="shared" si="66"/>
        <v>7</v>
      </c>
      <c r="AH11" s="56">
        <f t="shared" si="13"/>
        <v>0</v>
      </c>
      <c r="AI11" s="89">
        <v>7</v>
      </c>
      <c r="AJ11" s="93">
        <f t="shared" si="67"/>
        <v>0</v>
      </c>
      <c r="AK11" s="95">
        <f t="shared" si="35"/>
        <v>1</v>
      </c>
      <c r="AL11" s="58">
        <f t="shared" si="36"/>
        <v>7</v>
      </c>
      <c r="AM11" s="55">
        <f t="shared" si="68"/>
        <v>13</v>
      </c>
      <c r="AN11" s="93"/>
      <c r="AO11" s="96"/>
      <c r="AP11" s="96">
        <f t="shared" si="14"/>
        <v>0</v>
      </c>
      <c r="AQ11" s="96"/>
      <c r="AR11" s="96"/>
      <c r="AS11" s="96"/>
      <c r="AT11" s="96"/>
      <c r="AU11" s="96">
        <f t="shared" si="37"/>
        <v>0</v>
      </c>
      <c r="AV11" s="96">
        <f t="shared" si="37"/>
        <v>0</v>
      </c>
      <c r="AW11" s="96">
        <f t="shared" si="38"/>
        <v>0</v>
      </c>
      <c r="AX11" s="96">
        <f t="shared" si="39"/>
        <v>0</v>
      </c>
      <c r="AY11" s="94">
        <f t="shared" si="69"/>
        <v>-3962</v>
      </c>
      <c r="AZ11" s="94">
        <f t="shared" si="40"/>
        <v>-1981</v>
      </c>
      <c r="BA11" s="94">
        <f t="shared" si="41"/>
        <v>13</v>
      </c>
      <c r="BB11" s="97">
        <f t="shared" si="42"/>
        <v>0</v>
      </c>
      <c r="BC11" s="93">
        <v>7</v>
      </c>
      <c r="BD11" s="93">
        <f t="shared" si="43"/>
        <v>0</v>
      </c>
      <c r="BE11" s="95">
        <f t="shared" si="44"/>
        <v>1</v>
      </c>
      <c r="BF11" s="58">
        <f t="shared" si="45"/>
        <v>7</v>
      </c>
      <c r="BG11" s="94">
        <f t="shared" si="46"/>
        <v>6</v>
      </c>
      <c r="BH11" s="89"/>
      <c r="BI11" s="89"/>
      <c r="BJ11" s="92">
        <f t="shared" si="15"/>
        <v>0</v>
      </c>
      <c r="BK11" s="89"/>
      <c r="BL11" s="89"/>
      <c r="BM11" s="89"/>
      <c r="BN11" s="89"/>
      <c r="BO11" s="92">
        <f t="shared" si="70"/>
        <v>0</v>
      </c>
      <c r="BP11" s="92">
        <f t="shared" si="70"/>
        <v>0</v>
      </c>
      <c r="BQ11" s="96">
        <f t="shared" si="47"/>
        <v>0</v>
      </c>
      <c r="BR11" s="96">
        <f t="shared" si="48"/>
        <v>0</v>
      </c>
      <c r="BS11" s="96">
        <f t="shared" si="71"/>
        <v>-3962</v>
      </c>
      <c r="BT11" s="96">
        <f t="shared" si="49"/>
        <v>-1981</v>
      </c>
      <c r="BU11" s="92">
        <f t="shared" si="16"/>
        <v>0</v>
      </c>
      <c r="BV11" s="98">
        <f t="shared" si="17"/>
        <v>14</v>
      </c>
      <c r="BW11" s="92">
        <f t="shared" si="18"/>
        <v>-3962</v>
      </c>
      <c r="BX11" s="98" t="str">
        <f t="shared" si="50"/>
        <v/>
      </c>
      <c r="BY11" s="61">
        <f t="shared" ref="BY11:BY73" si="74">IFERROR(BF11+AL11,0)</f>
        <v>14</v>
      </c>
      <c r="BZ11" s="62">
        <f t="shared" si="51"/>
        <v>14</v>
      </c>
      <c r="CA11" s="98">
        <f t="shared" si="52"/>
        <v>0</v>
      </c>
      <c r="CB11" s="92">
        <f t="shared" si="19"/>
        <v>0</v>
      </c>
      <c r="CC11" s="92">
        <f t="shared" si="19"/>
        <v>-7924</v>
      </c>
      <c r="CD11" s="92">
        <f t="shared" si="19"/>
        <v>-3962</v>
      </c>
      <c r="CE11" s="99"/>
      <c r="CF11" s="99"/>
      <c r="CG11" s="51">
        <f t="shared" si="53"/>
        <v>0</v>
      </c>
      <c r="CH11" s="62">
        <f t="shared" si="54"/>
        <v>0</v>
      </c>
      <c r="CI11" s="89"/>
      <c r="CJ11" s="89"/>
      <c r="CK11" s="89"/>
      <c r="CL11" s="96"/>
      <c r="CM11" s="89"/>
      <c r="CN11" s="89"/>
      <c r="CO11" s="92"/>
      <c r="CP11" s="101"/>
      <c r="CQ11" s="102">
        <f t="shared" si="55"/>
        <v>0</v>
      </c>
      <c r="CR11" s="102">
        <f t="shared" si="20"/>
        <v>0</v>
      </c>
      <c r="CS11" s="102">
        <f t="shared" si="20"/>
        <v>0</v>
      </c>
      <c r="CT11" s="92">
        <f t="shared" si="56"/>
        <v>0</v>
      </c>
      <c r="CU11" s="92">
        <f t="shared" si="57"/>
        <v>0</v>
      </c>
      <c r="CV11" s="103">
        <f t="shared" si="57"/>
        <v>0</v>
      </c>
      <c r="CW11" s="104"/>
      <c r="CX11" s="105">
        <v>25</v>
      </c>
      <c r="CY11" s="106">
        <f t="shared" si="58"/>
        <v>1644</v>
      </c>
      <c r="CZ11" s="106">
        <f t="shared" si="59"/>
        <v>202.5</v>
      </c>
      <c r="DA11" s="106"/>
      <c r="DB11" s="106"/>
      <c r="DC11" s="105"/>
      <c r="DD11" s="107"/>
      <c r="DE11" s="92">
        <f t="shared" si="21"/>
        <v>0</v>
      </c>
      <c r="DF11" s="108">
        <f t="shared" si="22"/>
        <v>7</v>
      </c>
      <c r="DG11" s="112">
        <f t="shared" si="23"/>
        <v>-1981</v>
      </c>
      <c r="DH11" s="110">
        <f t="shared" si="24"/>
        <v>0</v>
      </c>
      <c r="DI11" s="108">
        <f t="shared" si="25"/>
        <v>7</v>
      </c>
      <c r="DJ11" s="112">
        <f t="shared" si="26"/>
        <v>-1981</v>
      </c>
      <c r="DK11" s="110">
        <f t="shared" si="27"/>
        <v>0</v>
      </c>
      <c r="DL11" s="108">
        <f t="shared" si="27"/>
        <v>14</v>
      </c>
      <c r="DM11" s="111">
        <f t="shared" si="27"/>
        <v>-3962</v>
      </c>
      <c r="DN11" s="76">
        <f t="shared" si="60"/>
        <v>7</v>
      </c>
      <c r="DO11" s="76">
        <f t="shared" si="72"/>
        <v>13</v>
      </c>
      <c r="DP11" s="112"/>
      <c r="DQ11" s="112"/>
      <c r="DR11" s="113" t="s">
        <v>513</v>
      </c>
      <c r="DS11" s="112"/>
      <c r="DT11" s="112"/>
      <c r="DU11" s="111"/>
      <c r="DV11" s="114"/>
      <c r="DW11" s="80">
        <f t="shared" si="61"/>
        <v>14</v>
      </c>
      <c r="DX11" s="81">
        <f t="shared" si="28"/>
        <v>-3948</v>
      </c>
      <c r="DY11" s="80">
        <f t="shared" si="62"/>
        <v>0</v>
      </c>
      <c r="DZ11" s="82">
        <f t="shared" si="63"/>
        <v>0</v>
      </c>
      <c r="EA11" s="82">
        <f t="shared" si="64"/>
        <v>0</v>
      </c>
      <c r="EB11" s="82" t="e">
        <f t="shared" si="65"/>
        <v>#VALUE!</v>
      </c>
      <c r="EC11" s="82" t="e">
        <f t="shared" si="29"/>
        <v>#VALUE!</v>
      </c>
      <c r="EF11" s="83">
        <f t="shared" si="73"/>
        <v>-3962</v>
      </c>
    </row>
    <row r="12" spans="1:136" hidden="1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0"/>
        <v>DCC3604-10x3-H9B12</v>
      </c>
      <c r="H12" s="46" t="str">
        <f t="shared" si="31"/>
        <v>C3604DC100DH9</v>
      </c>
      <c r="I12" s="46" t="str">
        <f t="shared" si="32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3"/>
        <v>26</v>
      </c>
      <c r="T12" s="51">
        <f>'07.02'!BG12</f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4"/>
        <v>0</v>
      </c>
      <c r="AF12" s="54">
        <f>AE12+'07.02'!AF12</f>
        <v>0</v>
      </c>
      <c r="AG12" s="94">
        <f t="shared" si="66"/>
        <v>0</v>
      </c>
      <c r="AH12" s="56">
        <f t="shared" si="13"/>
        <v>0</v>
      </c>
      <c r="AI12" s="89"/>
      <c r="AJ12" s="93">
        <f t="shared" si="67"/>
        <v>0</v>
      </c>
      <c r="AK12" s="95">
        <f t="shared" si="35"/>
        <v>1</v>
      </c>
      <c r="AL12" s="58">
        <f t="shared" si="36"/>
        <v>0</v>
      </c>
      <c r="AM12" s="55">
        <f t="shared" si="68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7"/>
        <v>0</v>
      </c>
      <c r="AV12" s="96">
        <f t="shared" si="37"/>
        <v>0</v>
      </c>
      <c r="AW12" s="96">
        <f t="shared" si="38"/>
        <v>0</v>
      </c>
      <c r="AX12" s="96">
        <f t="shared" si="39"/>
        <v>0</v>
      </c>
      <c r="AY12" s="94">
        <f t="shared" si="69"/>
        <v>0</v>
      </c>
      <c r="AZ12" s="94">
        <f t="shared" si="40"/>
        <v>0</v>
      </c>
      <c r="BA12" s="94">
        <f t="shared" si="41"/>
        <v>0</v>
      </c>
      <c r="BB12" s="97">
        <f t="shared" si="42"/>
        <v>0</v>
      </c>
      <c r="BC12" s="93"/>
      <c r="BD12" s="93">
        <f t="shared" si="43"/>
        <v>0</v>
      </c>
      <c r="BE12" s="95">
        <f t="shared" si="44"/>
        <v>1</v>
      </c>
      <c r="BF12" s="58">
        <f t="shared" si="45"/>
        <v>0</v>
      </c>
      <c r="BG12" s="94">
        <f t="shared" si="46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0"/>
        <v>0</v>
      </c>
      <c r="BP12" s="92">
        <f t="shared" si="70"/>
        <v>0</v>
      </c>
      <c r="BQ12" s="96">
        <f t="shared" si="47"/>
        <v>0</v>
      </c>
      <c r="BR12" s="96">
        <f t="shared" si="48"/>
        <v>0</v>
      </c>
      <c r="BS12" s="96">
        <f t="shared" si="71"/>
        <v>0</v>
      </c>
      <c r="BT12" s="96">
        <f t="shared" si="49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0"/>
        <v>0</v>
      </c>
      <c r="BY12" s="61">
        <f>IFERROR(BF12+AL12,0)</f>
        <v>0</v>
      </c>
      <c r="BZ12" s="62">
        <f t="shared" si="51"/>
        <v>0</v>
      </c>
      <c r="CA12" s="98">
        <f t="shared" si="52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3"/>
        <v>0</v>
      </c>
      <c r="CH12" s="62">
        <f t="shared" si="54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5"/>
        <v>0</v>
      </c>
      <c r="CR12" s="102">
        <f t="shared" si="20"/>
        <v>0</v>
      </c>
      <c r="CS12" s="102">
        <f t="shared" si="20"/>
        <v>0</v>
      </c>
      <c r="CT12" s="92">
        <f t="shared" si="56"/>
        <v>0</v>
      </c>
      <c r="CU12" s="92">
        <f t="shared" si="57"/>
        <v>0</v>
      </c>
      <c r="CV12" s="103">
        <f t="shared" si="57"/>
        <v>0</v>
      </c>
      <c r="CW12" s="104"/>
      <c r="CX12" s="105">
        <v>24</v>
      </c>
      <c r="CY12" s="106">
        <f t="shared" si="58"/>
        <v>1612</v>
      </c>
      <c r="CZ12" s="106">
        <f t="shared" si="59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60"/>
        <v>0</v>
      </c>
      <c r="DO12" s="76">
        <f t="shared" si="72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1"/>
        <v>0</v>
      </c>
      <c r="DX12" s="81">
        <f t="shared" si="28"/>
        <v>0</v>
      </c>
      <c r="DY12" s="80">
        <f t="shared" si="62"/>
        <v>0</v>
      </c>
      <c r="DZ12" s="82">
        <f t="shared" si="63"/>
        <v>0</v>
      </c>
      <c r="EA12" s="82">
        <f t="shared" si="64"/>
        <v>0</v>
      </c>
      <c r="EB12" s="82">
        <f t="shared" si="65"/>
        <v>0</v>
      </c>
      <c r="EC12" s="82">
        <f t="shared" si="29"/>
        <v>0</v>
      </c>
    </row>
    <row r="13" spans="1:136" ht="15" customHeight="1">
      <c r="A13" s="84">
        <v>6</v>
      </c>
      <c r="B13" s="85" t="s">
        <v>151</v>
      </c>
      <c r="C13" s="86"/>
      <c r="D13" s="117">
        <v>10620</v>
      </c>
      <c r="E13" s="88">
        <v>127</v>
      </c>
      <c r="F13" s="89" t="s">
        <v>128</v>
      </c>
      <c r="G13" s="45" t="str">
        <f t="shared" si="30"/>
        <v>DCC3604-10x3-H9B12</v>
      </c>
      <c r="H13" s="46" t="str">
        <f t="shared" si="31"/>
        <v>C3604DC100DH9</v>
      </c>
      <c r="I13" s="46" t="str">
        <f t="shared" si="32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3"/>
        <v>40</v>
      </c>
      <c r="T13" s="51">
        <f>'07.02'!BG13</f>
        <v>22</v>
      </c>
      <c r="U13" s="92">
        <v>13</v>
      </c>
      <c r="V13" s="89">
        <v>7.64</v>
      </c>
      <c r="W13" s="93">
        <f t="shared" si="5"/>
        <v>0</v>
      </c>
      <c r="X13" s="93">
        <f t="shared" si="6"/>
        <v>0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0</v>
      </c>
      <c r="AE13" s="93">
        <f t="shared" si="34"/>
        <v>0</v>
      </c>
      <c r="AF13" s="54">
        <f>AE13+'07.02'!AF13</f>
        <v>13785</v>
      </c>
      <c r="AG13" s="94">
        <f t="shared" si="66"/>
        <v>22</v>
      </c>
      <c r="AH13" s="56">
        <f t="shared" si="13"/>
        <v>0</v>
      </c>
      <c r="AI13" s="89">
        <v>15</v>
      </c>
      <c r="AJ13" s="93">
        <f t="shared" si="67"/>
        <v>0</v>
      </c>
      <c r="AK13" s="95">
        <f t="shared" si="35"/>
        <v>1</v>
      </c>
      <c r="AL13" s="58">
        <f t="shared" si="36"/>
        <v>15</v>
      </c>
      <c r="AM13" s="55">
        <f t="shared" si="68"/>
        <v>20</v>
      </c>
      <c r="AN13" s="93"/>
      <c r="AO13" s="96"/>
      <c r="AP13" s="96">
        <f t="shared" si="14"/>
        <v>0</v>
      </c>
      <c r="AQ13" s="96"/>
      <c r="AR13" s="96"/>
      <c r="AS13" s="96"/>
      <c r="AT13" s="96"/>
      <c r="AU13" s="96">
        <f t="shared" si="37"/>
        <v>0</v>
      </c>
      <c r="AV13" s="96">
        <f t="shared" si="37"/>
        <v>0</v>
      </c>
      <c r="AW13" s="96">
        <f t="shared" si="38"/>
        <v>0</v>
      </c>
      <c r="AX13" s="96">
        <f t="shared" si="39"/>
        <v>0</v>
      </c>
      <c r="AY13" s="94">
        <f t="shared" si="69"/>
        <v>-14554.199999999999</v>
      </c>
      <c r="AZ13" s="94">
        <f t="shared" si="40"/>
        <v>-1905</v>
      </c>
      <c r="BA13" s="94">
        <f t="shared" si="41"/>
        <v>20</v>
      </c>
      <c r="BB13" s="97">
        <f t="shared" si="42"/>
        <v>0</v>
      </c>
      <c r="BC13" s="93">
        <v>9</v>
      </c>
      <c r="BD13" s="93">
        <f t="shared" si="43"/>
        <v>0</v>
      </c>
      <c r="BE13" s="95">
        <f t="shared" si="44"/>
        <v>1</v>
      </c>
      <c r="BF13" s="58">
        <f t="shared" si="45"/>
        <v>9</v>
      </c>
      <c r="BG13" s="94">
        <f t="shared" si="46"/>
        <v>11</v>
      </c>
      <c r="BH13" s="89"/>
      <c r="BI13" s="89"/>
      <c r="BJ13" s="92">
        <f t="shared" si="15"/>
        <v>0</v>
      </c>
      <c r="BK13" s="89"/>
      <c r="BL13" s="89"/>
      <c r="BM13" s="89"/>
      <c r="BN13" s="89"/>
      <c r="BO13" s="92">
        <f t="shared" si="70"/>
        <v>0</v>
      </c>
      <c r="BP13" s="92">
        <f t="shared" si="70"/>
        <v>0</v>
      </c>
      <c r="BQ13" s="96">
        <f t="shared" si="47"/>
        <v>0</v>
      </c>
      <c r="BR13" s="96">
        <f t="shared" si="48"/>
        <v>0</v>
      </c>
      <c r="BS13" s="96">
        <f t="shared" si="71"/>
        <v>-8732.52</v>
      </c>
      <c r="BT13" s="96">
        <f t="shared" si="49"/>
        <v>-1143</v>
      </c>
      <c r="BU13" s="92">
        <f t="shared" si="16"/>
        <v>0</v>
      </c>
      <c r="BV13" s="98">
        <f t="shared" si="17"/>
        <v>24</v>
      </c>
      <c r="BW13" s="92">
        <f t="shared" si="18"/>
        <v>-3048</v>
      </c>
      <c r="BX13" s="98">
        <f t="shared" si="50"/>
        <v>48</v>
      </c>
      <c r="BY13" s="61">
        <f t="shared" si="74"/>
        <v>24</v>
      </c>
      <c r="BZ13" s="62">
        <f t="shared" si="51"/>
        <v>24</v>
      </c>
      <c r="CA13" s="98">
        <f t="shared" si="52"/>
        <v>0</v>
      </c>
      <c r="CB13" s="92">
        <f t="shared" si="19"/>
        <v>0</v>
      </c>
      <c r="CC13" s="92">
        <f t="shared" si="19"/>
        <v>-23286.720000000001</v>
      </c>
      <c r="CD13" s="92">
        <f t="shared" si="19"/>
        <v>-3048</v>
      </c>
      <c r="CE13" s="99"/>
      <c r="CF13" s="99"/>
      <c r="CG13" s="51">
        <f t="shared" si="53"/>
        <v>48</v>
      </c>
      <c r="CH13" s="62">
        <f t="shared" si="54"/>
        <v>48</v>
      </c>
      <c r="CI13" s="89"/>
      <c r="CJ13" s="89"/>
      <c r="CK13" s="89"/>
      <c r="CL13" s="96"/>
      <c r="CM13" s="89"/>
      <c r="CN13" s="89"/>
      <c r="CO13" s="92"/>
      <c r="CP13" s="101"/>
      <c r="CQ13" s="102">
        <f t="shared" si="55"/>
        <v>0</v>
      </c>
      <c r="CR13" s="102">
        <f t="shared" si="20"/>
        <v>0</v>
      </c>
      <c r="CS13" s="102">
        <f t="shared" si="20"/>
        <v>0</v>
      </c>
      <c r="CT13" s="92">
        <f t="shared" si="56"/>
        <v>0</v>
      </c>
      <c r="CU13" s="92">
        <f t="shared" si="57"/>
        <v>0</v>
      </c>
      <c r="CV13" s="103">
        <f t="shared" si="57"/>
        <v>0</v>
      </c>
      <c r="CW13" s="104"/>
      <c r="CX13" s="105">
        <v>14</v>
      </c>
      <c r="CY13" s="106">
        <f t="shared" si="58"/>
        <v>2550</v>
      </c>
      <c r="CZ13" s="106">
        <f t="shared" si="59"/>
        <v>113.4</v>
      </c>
      <c r="DA13" s="106"/>
      <c r="DB13" s="106"/>
      <c r="DC13" s="105"/>
      <c r="DD13" s="107"/>
      <c r="DE13" s="92">
        <f t="shared" si="21"/>
        <v>0</v>
      </c>
      <c r="DF13" s="108">
        <f t="shared" si="22"/>
        <v>15</v>
      </c>
      <c r="DG13" s="112">
        <f t="shared" si="23"/>
        <v>-1905</v>
      </c>
      <c r="DH13" s="110">
        <f t="shared" si="24"/>
        <v>0</v>
      </c>
      <c r="DI13" s="108">
        <f t="shared" si="25"/>
        <v>9</v>
      </c>
      <c r="DJ13" s="112">
        <f t="shared" si="26"/>
        <v>-1143</v>
      </c>
      <c r="DK13" s="110">
        <f t="shared" si="27"/>
        <v>0</v>
      </c>
      <c r="DL13" s="108">
        <f t="shared" si="27"/>
        <v>24</v>
      </c>
      <c r="DM13" s="111">
        <f t="shared" si="27"/>
        <v>-3048</v>
      </c>
      <c r="DN13" s="76">
        <f t="shared" si="60"/>
        <v>22</v>
      </c>
      <c r="DO13" s="76">
        <f t="shared" si="72"/>
        <v>13</v>
      </c>
      <c r="DP13" s="112"/>
      <c r="DQ13" s="112"/>
      <c r="DR13" s="113" t="s">
        <v>514</v>
      </c>
      <c r="DS13" s="112"/>
      <c r="DT13" s="112"/>
      <c r="DU13" s="111"/>
      <c r="DV13" s="114"/>
      <c r="DW13" s="80">
        <f t="shared" si="61"/>
        <v>24</v>
      </c>
      <c r="DX13" s="81">
        <f t="shared" si="28"/>
        <v>-3024</v>
      </c>
      <c r="DY13" s="80">
        <f t="shared" si="62"/>
        <v>0</v>
      </c>
      <c r="DZ13" s="82">
        <f t="shared" si="63"/>
        <v>0</v>
      </c>
      <c r="EA13" s="82">
        <f t="shared" si="64"/>
        <v>0</v>
      </c>
      <c r="EB13" s="82">
        <f t="shared" si="65"/>
        <v>48</v>
      </c>
      <c r="EC13" s="82">
        <f t="shared" si="29"/>
        <v>48</v>
      </c>
    </row>
    <row r="14" spans="1:136" ht="15" hidden="1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0"/>
        <v>IBC3602-7.5x3-H9A14</v>
      </c>
      <c r="H14" s="46" t="str">
        <f t="shared" si="31"/>
        <v>C3602IB7.50DH9</v>
      </c>
      <c r="I14" s="46" t="str">
        <f t="shared" si="32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3"/>
        <v>100</v>
      </c>
      <c r="T14" s="51">
        <f>'07.02'!BG14</f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4"/>
        <v>0</v>
      </c>
      <c r="AF14" s="54">
        <f>AE14+'07.02'!AF14</f>
        <v>0</v>
      </c>
      <c r="AG14" s="94">
        <f t="shared" si="66"/>
        <v>0</v>
      </c>
      <c r="AH14" s="56">
        <f t="shared" si="13"/>
        <v>0</v>
      </c>
      <c r="AI14" s="89"/>
      <c r="AJ14" s="93">
        <f t="shared" si="67"/>
        <v>0</v>
      </c>
      <c r="AK14" s="95">
        <f t="shared" si="35"/>
        <v>1</v>
      </c>
      <c r="AL14" s="58">
        <f t="shared" si="36"/>
        <v>0</v>
      </c>
      <c r="AM14" s="55">
        <f t="shared" si="68"/>
        <v>0</v>
      </c>
      <c r="AN14" s="93"/>
      <c r="AO14" s="96"/>
      <c r="AP14" s="96"/>
      <c r="AQ14" s="96"/>
      <c r="AR14" s="96"/>
      <c r="AS14" s="96"/>
      <c r="AT14" s="96">
        <f t="shared" ref="AT14" si="75">$CJ14</f>
        <v>0</v>
      </c>
      <c r="AU14" s="96">
        <f t="shared" si="37"/>
        <v>0</v>
      </c>
      <c r="AV14" s="96">
        <f t="shared" si="37"/>
        <v>0</v>
      </c>
      <c r="AW14" s="96">
        <f t="shared" si="38"/>
        <v>0</v>
      </c>
      <c r="AX14" s="96">
        <f t="shared" si="39"/>
        <v>0</v>
      </c>
      <c r="AY14" s="94">
        <f t="shared" si="69"/>
        <v>0</v>
      </c>
      <c r="AZ14" s="94">
        <f t="shared" si="40"/>
        <v>0</v>
      </c>
      <c r="BA14" s="94">
        <f t="shared" si="41"/>
        <v>0</v>
      </c>
      <c r="BB14" s="97">
        <f t="shared" si="42"/>
        <v>0</v>
      </c>
      <c r="BC14" s="93"/>
      <c r="BD14" s="93">
        <f t="shared" si="43"/>
        <v>0</v>
      </c>
      <c r="BE14" s="95">
        <f t="shared" si="44"/>
        <v>1</v>
      </c>
      <c r="BF14" s="58">
        <f t="shared" si="45"/>
        <v>0</v>
      </c>
      <c r="BG14" s="94">
        <f t="shared" si="46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0"/>
        <v>0</v>
      </c>
      <c r="BP14" s="92">
        <f t="shared" si="70"/>
        <v>0</v>
      </c>
      <c r="BQ14" s="96">
        <f t="shared" si="47"/>
        <v>0</v>
      </c>
      <c r="BR14" s="96">
        <f t="shared" si="48"/>
        <v>0</v>
      </c>
      <c r="BS14" s="96">
        <f t="shared" si="71"/>
        <v>0</v>
      </c>
      <c r="BT14" s="96">
        <f t="shared" si="49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0"/>
        <v>0</v>
      </c>
      <c r="BY14" s="61">
        <f t="shared" si="74"/>
        <v>0</v>
      </c>
      <c r="BZ14" s="62">
        <f t="shared" si="51"/>
        <v>0</v>
      </c>
      <c r="CA14" s="98">
        <f t="shared" si="52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3"/>
        <v>0</v>
      </c>
      <c r="CH14" s="62">
        <f t="shared" si="54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5"/>
        <v>0</v>
      </c>
      <c r="CR14" s="102">
        <f t="shared" si="20"/>
        <v>0</v>
      </c>
      <c r="CS14" s="102">
        <f t="shared" si="20"/>
        <v>0</v>
      </c>
      <c r="CT14" s="92">
        <f t="shared" si="56"/>
        <v>0</v>
      </c>
      <c r="CU14" s="92">
        <f t="shared" si="57"/>
        <v>0</v>
      </c>
      <c r="CV14" s="103">
        <f t="shared" si="57"/>
        <v>0</v>
      </c>
      <c r="CW14" s="104" t="s">
        <v>157</v>
      </c>
      <c r="CX14" s="105">
        <v>14</v>
      </c>
      <c r="CY14" s="106">
        <f t="shared" si="58"/>
        <v>2985</v>
      </c>
      <c r="CZ14" s="106">
        <f t="shared" si="59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60"/>
        <v>0</v>
      </c>
      <c r="DO14" s="76">
        <f t="shared" si="72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1"/>
        <v>0</v>
      </c>
      <c r="DX14" s="81">
        <f t="shared" si="28"/>
        <v>0</v>
      </c>
      <c r="DY14" s="80">
        <f t="shared" si="62"/>
        <v>0</v>
      </c>
      <c r="DZ14" s="82">
        <f t="shared" si="63"/>
        <v>0</v>
      </c>
      <c r="EA14" s="82">
        <f t="shared" si="64"/>
        <v>0</v>
      </c>
      <c r="EB14" s="82">
        <f t="shared" si="65"/>
        <v>0</v>
      </c>
      <c r="EC14" s="82">
        <f>(BX14-CA14)+((AV14+BP14)/1000)</f>
        <v>0</v>
      </c>
    </row>
    <row r="15" spans="1:136">
      <c r="A15" s="84">
        <v>8</v>
      </c>
      <c r="B15" s="85" t="s">
        <v>158</v>
      </c>
      <c r="C15" s="86"/>
      <c r="D15" s="87" t="s">
        <v>159</v>
      </c>
      <c r="E15" s="88">
        <v>30</v>
      </c>
      <c r="F15" s="89" t="s">
        <v>136</v>
      </c>
      <c r="G15" s="45" t="str">
        <f t="shared" si="30"/>
        <v>TV12L14-H6x2.5-H11A14</v>
      </c>
      <c r="H15" s="46" t="str">
        <f t="shared" si="31"/>
        <v>12L14TV60HH11</v>
      </c>
      <c r="I15" s="46" t="str">
        <f t="shared" si="32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3"/>
        <v>50</v>
      </c>
      <c r="T15" s="51">
        <f>'07.02'!BG15</f>
        <v>48</v>
      </c>
      <c r="U15" s="92">
        <v>22</v>
      </c>
      <c r="V15" s="89">
        <v>16.149999999999999</v>
      </c>
      <c r="W15" s="93">
        <f t="shared" si="5"/>
        <v>0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0</v>
      </c>
      <c r="AE15" s="93">
        <f t="shared" si="34"/>
        <v>0</v>
      </c>
      <c r="AF15" s="54">
        <f>AE15+'07.02'!AF15</f>
        <v>4842</v>
      </c>
      <c r="AG15" s="94">
        <f t="shared" si="66"/>
        <v>48</v>
      </c>
      <c r="AH15" s="56">
        <f t="shared" si="13"/>
        <v>0</v>
      </c>
      <c r="AI15" s="89">
        <v>25</v>
      </c>
      <c r="AJ15" s="93">
        <f t="shared" si="67"/>
        <v>0</v>
      </c>
      <c r="AK15" s="95">
        <f t="shared" si="35"/>
        <v>1</v>
      </c>
      <c r="AL15" s="58">
        <f t="shared" si="36"/>
        <v>25</v>
      </c>
      <c r="AM15" s="55">
        <f t="shared" si="68"/>
        <v>45</v>
      </c>
      <c r="AN15" s="93"/>
      <c r="AO15" s="96">
        <f>$CJ15</f>
        <v>0</v>
      </c>
      <c r="AP15" s="96"/>
      <c r="AQ15" s="96"/>
      <c r="AR15" s="96"/>
      <c r="AS15" s="96"/>
      <c r="AT15" s="96"/>
      <c r="AU15" s="96">
        <f t="shared" si="37"/>
        <v>0</v>
      </c>
      <c r="AV15" s="96">
        <f t="shared" si="37"/>
        <v>0</v>
      </c>
      <c r="AW15" s="96">
        <f t="shared" si="38"/>
        <v>0</v>
      </c>
      <c r="AX15" s="96">
        <f t="shared" si="39"/>
        <v>0</v>
      </c>
      <c r="AY15" s="94">
        <f t="shared" si="69"/>
        <v>-12112.499999999998</v>
      </c>
      <c r="AZ15" s="94">
        <f t="shared" si="40"/>
        <v>-750</v>
      </c>
      <c r="BA15" s="94">
        <f t="shared" si="41"/>
        <v>45</v>
      </c>
      <c r="BB15" s="97">
        <f t="shared" si="42"/>
        <v>0</v>
      </c>
      <c r="BC15" s="93">
        <v>28</v>
      </c>
      <c r="BD15" s="93">
        <f t="shared" si="43"/>
        <v>0</v>
      </c>
      <c r="BE15" s="95">
        <f t="shared" si="44"/>
        <v>1</v>
      </c>
      <c r="BF15" s="58">
        <f t="shared" si="45"/>
        <v>28</v>
      </c>
      <c r="BG15" s="94">
        <f t="shared" si="46"/>
        <v>17</v>
      </c>
      <c r="BH15" s="89"/>
      <c r="BI15" s="92">
        <f>$CN15</f>
        <v>0</v>
      </c>
      <c r="BJ15" s="89"/>
      <c r="BK15" s="89"/>
      <c r="BL15" s="89"/>
      <c r="BM15" s="89"/>
      <c r="BN15" s="89"/>
      <c r="BO15" s="92">
        <f t="shared" si="70"/>
        <v>0</v>
      </c>
      <c r="BP15" s="92">
        <f t="shared" si="70"/>
        <v>0</v>
      </c>
      <c r="BQ15" s="96">
        <f t="shared" si="47"/>
        <v>0</v>
      </c>
      <c r="BR15" s="96">
        <f t="shared" si="48"/>
        <v>0</v>
      </c>
      <c r="BS15" s="96">
        <f t="shared" si="71"/>
        <v>-13565.999999999998</v>
      </c>
      <c r="BT15" s="96">
        <f t="shared" si="49"/>
        <v>-840</v>
      </c>
      <c r="BU15" s="92">
        <f t="shared" si="16"/>
        <v>0</v>
      </c>
      <c r="BV15" s="98">
        <f t="shared" si="17"/>
        <v>53</v>
      </c>
      <c r="BW15" s="92">
        <f t="shared" si="18"/>
        <v>-1590</v>
      </c>
      <c r="BX15" s="98">
        <f t="shared" si="50"/>
        <v>32.118000000000002</v>
      </c>
      <c r="BY15" s="61">
        <f t="shared" si="74"/>
        <v>53</v>
      </c>
      <c r="BZ15" s="62">
        <f t="shared" si="51"/>
        <v>53</v>
      </c>
      <c r="CA15" s="98">
        <f t="shared" si="52"/>
        <v>0</v>
      </c>
      <c r="CB15" s="92">
        <f t="shared" si="19"/>
        <v>0</v>
      </c>
      <c r="CC15" s="92">
        <f t="shared" si="19"/>
        <v>-25678.499999999996</v>
      </c>
      <c r="CD15" s="92">
        <f t="shared" si="19"/>
        <v>-1590</v>
      </c>
      <c r="CE15" s="99"/>
      <c r="CF15" s="99"/>
      <c r="CG15" s="51">
        <f t="shared" si="53"/>
        <v>32.118000000000002</v>
      </c>
      <c r="CH15" s="62">
        <f t="shared" si="54"/>
        <v>32.118000000000002</v>
      </c>
      <c r="CI15" s="89"/>
      <c r="CJ15" s="89"/>
      <c r="CK15" s="89"/>
      <c r="CL15" s="96"/>
      <c r="CM15" s="89"/>
      <c r="CN15" s="89"/>
      <c r="CO15" s="92"/>
      <c r="CP15" s="101"/>
      <c r="CQ15" s="102">
        <f t="shared" si="55"/>
        <v>0</v>
      </c>
      <c r="CR15" s="102">
        <f t="shared" si="20"/>
        <v>0</v>
      </c>
      <c r="CS15" s="102">
        <f t="shared" si="20"/>
        <v>0</v>
      </c>
      <c r="CT15" s="92">
        <f t="shared" si="56"/>
        <v>0</v>
      </c>
      <c r="CU15" s="92">
        <f t="shared" si="57"/>
        <v>0</v>
      </c>
      <c r="CV15" s="103">
        <f t="shared" si="57"/>
        <v>0</v>
      </c>
      <c r="CW15" s="104"/>
      <c r="CX15" s="105">
        <v>45</v>
      </c>
      <c r="CY15" s="106">
        <f t="shared" si="58"/>
        <v>746</v>
      </c>
      <c r="CZ15" s="106">
        <f t="shared" si="59"/>
        <v>364.5</v>
      </c>
      <c r="DA15" s="106"/>
      <c r="DB15" s="106"/>
      <c r="DC15" s="105"/>
      <c r="DD15" s="107"/>
      <c r="DE15" s="92">
        <f t="shared" si="21"/>
        <v>0</v>
      </c>
      <c r="DF15" s="108">
        <f t="shared" si="22"/>
        <v>25</v>
      </c>
      <c r="DG15" s="112">
        <f t="shared" si="23"/>
        <v>-750</v>
      </c>
      <c r="DH15" s="110">
        <f t="shared" si="24"/>
        <v>0</v>
      </c>
      <c r="DI15" s="108">
        <f t="shared" si="25"/>
        <v>28</v>
      </c>
      <c r="DJ15" s="115">
        <f t="shared" si="26"/>
        <v>-840</v>
      </c>
      <c r="DK15" s="110">
        <f t="shared" si="27"/>
        <v>0</v>
      </c>
      <c r="DL15" s="108">
        <f t="shared" si="27"/>
        <v>53</v>
      </c>
      <c r="DM15" s="111">
        <f t="shared" si="27"/>
        <v>-1590</v>
      </c>
      <c r="DN15" s="76">
        <f t="shared" si="60"/>
        <v>48</v>
      </c>
      <c r="DO15" s="76">
        <f t="shared" si="72"/>
        <v>22</v>
      </c>
      <c r="DP15" s="112"/>
      <c r="DQ15" s="112"/>
      <c r="DR15" s="113" t="s">
        <v>515</v>
      </c>
      <c r="DS15" s="112"/>
      <c r="DT15" s="112"/>
      <c r="DU15" s="111"/>
      <c r="DV15" s="114"/>
      <c r="DW15" s="80">
        <f t="shared" si="61"/>
        <v>53</v>
      </c>
      <c r="DX15" s="81">
        <f t="shared" si="28"/>
        <v>-1537</v>
      </c>
      <c r="DY15" s="80">
        <f t="shared" si="62"/>
        <v>0</v>
      </c>
      <c r="DZ15" s="82">
        <f t="shared" si="63"/>
        <v>0</v>
      </c>
      <c r="EA15" s="82">
        <f t="shared" si="64"/>
        <v>0</v>
      </c>
      <c r="EB15" s="82">
        <f t="shared" si="65"/>
        <v>32.118000000000002</v>
      </c>
      <c r="EC15" s="82">
        <f t="shared" ref="EC15:EC78" si="76">EB15+DZ15</f>
        <v>32.118000000000002</v>
      </c>
      <c r="EF15" s="83">
        <f t="shared" ref="EF15:EF18" si="77">DG15+DJ15</f>
        <v>-1590</v>
      </c>
    </row>
    <row r="16" spans="1:136" hidden="1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0"/>
        <v>GWA6063-T5-T18.15x8.6x3-H9A15</v>
      </c>
      <c r="H16" s="46" t="str">
        <f t="shared" si="31"/>
        <v>A6063-T5GW18.158.6TH9</v>
      </c>
      <c r="I16" s="46" t="str">
        <f t="shared" si="32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3"/>
        <v>14</v>
      </c>
      <c r="T16" s="51">
        <f>'07.02'!BG16</f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4"/>
        <v>0</v>
      </c>
      <c r="AF16" s="54">
        <f>AE16+'07.02'!AF16</f>
        <v>0</v>
      </c>
      <c r="AG16" s="94">
        <f t="shared" si="66"/>
        <v>0</v>
      </c>
      <c r="AH16" s="56">
        <f t="shared" si="13"/>
        <v>0</v>
      </c>
      <c r="AI16" s="89"/>
      <c r="AJ16" s="93">
        <f t="shared" si="67"/>
        <v>0</v>
      </c>
      <c r="AK16" s="95">
        <f t="shared" si="35"/>
        <v>1</v>
      </c>
      <c r="AL16" s="58">
        <f t="shared" si="36"/>
        <v>0</v>
      </c>
      <c r="AM16" s="55">
        <f t="shared" si="68"/>
        <v>0</v>
      </c>
      <c r="AN16" s="93"/>
      <c r="AO16" s="96"/>
      <c r="AP16" s="96">
        <f t="shared" ref="AP16:AP19" si="78">$CJ16</f>
        <v>0</v>
      </c>
      <c r="AQ16" s="96"/>
      <c r="AR16" s="96"/>
      <c r="AS16" s="96"/>
      <c r="AT16" s="96"/>
      <c r="AU16" s="96">
        <f t="shared" si="37"/>
        <v>0</v>
      </c>
      <c r="AV16" s="96">
        <f t="shared" si="37"/>
        <v>0</v>
      </c>
      <c r="AW16" s="96">
        <f t="shared" si="38"/>
        <v>0</v>
      </c>
      <c r="AX16" s="96">
        <f t="shared" si="39"/>
        <v>0</v>
      </c>
      <c r="AY16" s="94">
        <f t="shared" si="69"/>
        <v>0</v>
      </c>
      <c r="AZ16" s="94">
        <f t="shared" si="40"/>
        <v>0</v>
      </c>
      <c r="BA16" s="94">
        <f t="shared" si="41"/>
        <v>0</v>
      </c>
      <c r="BB16" s="97">
        <f t="shared" si="42"/>
        <v>0</v>
      </c>
      <c r="BC16" s="93"/>
      <c r="BD16" s="93">
        <f t="shared" si="43"/>
        <v>0</v>
      </c>
      <c r="BE16" s="95">
        <f t="shared" si="44"/>
        <v>1</v>
      </c>
      <c r="BF16" s="58">
        <f t="shared" si="45"/>
        <v>0</v>
      </c>
      <c r="BG16" s="94">
        <f t="shared" si="46"/>
        <v>0</v>
      </c>
      <c r="BH16" s="89"/>
      <c r="BI16" s="89"/>
      <c r="BJ16" s="92">
        <f t="shared" ref="BJ16:BJ19" si="79">$CN16</f>
        <v>0</v>
      </c>
      <c r="BK16" s="89"/>
      <c r="BL16" s="89"/>
      <c r="BM16" s="89"/>
      <c r="BN16" s="89"/>
      <c r="BO16" s="92">
        <f t="shared" si="70"/>
        <v>0</v>
      </c>
      <c r="BP16" s="92">
        <f t="shared" si="70"/>
        <v>0</v>
      </c>
      <c r="BQ16" s="96">
        <f t="shared" si="47"/>
        <v>0</v>
      </c>
      <c r="BR16" s="96">
        <f t="shared" si="48"/>
        <v>0</v>
      </c>
      <c r="BS16" s="96">
        <f t="shared" si="71"/>
        <v>0</v>
      </c>
      <c r="BT16" s="96">
        <f t="shared" si="49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0"/>
        <v>0</v>
      </c>
      <c r="BY16" s="61">
        <f t="shared" si="74"/>
        <v>0</v>
      </c>
      <c r="BZ16" s="62">
        <f t="shared" si="51"/>
        <v>0</v>
      </c>
      <c r="CA16" s="98">
        <f t="shared" si="52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3"/>
        <v>0</v>
      </c>
      <c r="CH16" s="62">
        <f t="shared" si="54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5"/>
        <v>0</v>
      </c>
      <c r="CR16" s="102">
        <f t="shared" si="20"/>
        <v>0</v>
      </c>
      <c r="CS16" s="102">
        <f t="shared" si="20"/>
        <v>0</v>
      </c>
      <c r="CT16" s="92">
        <f t="shared" si="56"/>
        <v>0</v>
      </c>
      <c r="CU16" s="92">
        <f t="shared" si="57"/>
        <v>0</v>
      </c>
      <c r="CV16" s="103">
        <f t="shared" si="57"/>
        <v>0</v>
      </c>
      <c r="CW16" s="104"/>
      <c r="CX16" s="105">
        <v>83.56</v>
      </c>
      <c r="CY16" s="106">
        <f t="shared" si="58"/>
        <v>488</v>
      </c>
      <c r="CZ16" s="106">
        <f t="shared" si="59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60"/>
        <v>0</v>
      </c>
      <c r="DO16" s="76">
        <f t="shared" si="72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80">IFERROR(AL16+BF16,"")</f>
        <v>0</v>
      </c>
      <c r="DX16" s="81">
        <f t="shared" si="28"/>
        <v>0</v>
      </c>
      <c r="DY16" s="80">
        <f t="shared" si="62"/>
        <v>0</v>
      </c>
      <c r="DZ16" s="82">
        <f t="shared" si="63"/>
        <v>0</v>
      </c>
      <c r="EA16" s="82">
        <f t="shared" si="64"/>
        <v>0</v>
      </c>
      <c r="EB16" s="82">
        <f t="shared" si="65"/>
        <v>0</v>
      </c>
      <c r="EC16" s="82">
        <f t="shared" si="76"/>
        <v>0</v>
      </c>
      <c r="EF16" s="83">
        <f t="shared" si="77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0"/>
        <v>GWA6063-T5-T18.15x8.6x3-H9A15</v>
      </c>
      <c r="H17" s="46" t="str">
        <f t="shared" si="31"/>
        <v>A6063-T5GW18.158.6TH9</v>
      </c>
      <c r="I17" s="46" t="str">
        <f t="shared" si="32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3"/>
        <v>14</v>
      </c>
      <c r="T17" s="51">
        <f>'07.02'!BG17</f>
        <v>16</v>
      </c>
      <c r="U17" s="92">
        <v>7</v>
      </c>
      <c r="V17" s="89">
        <v>7.7</v>
      </c>
      <c r="W17" s="93">
        <f t="shared" si="5"/>
        <v>0</v>
      </c>
      <c r="X17" s="93">
        <f t="shared" si="6"/>
        <v>0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0</v>
      </c>
      <c r="AE17" s="93">
        <f t="shared" si="34"/>
        <v>0</v>
      </c>
      <c r="AF17" s="54">
        <f>AE17+'07.02'!AF17</f>
        <v>6313</v>
      </c>
      <c r="AG17" s="94">
        <f t="shared" si="66"/>
        <v>16</v>
      </c>
      <c r="AH17" s="56">
        <f t="shared" si="13"/>
        <v>0</v>
      </c>
      <c r="AI17" s="89">
        <v>5</v>
      </c>
      <c r="AJ17" s="93">
        <f t="shared" si="67"/>
        <v>0</v>
      </c>
      <c r="AK17" s="95">
        <f t="shared" si="35"/>
        <v>1</v>
      </c>
      <c r="AL17" s="58">
        <f t="shared" si="36"/>
        <v>5</v>
      </c>
      <c r="AM17" s="55">
        <f t="shared" si="68"/>
        <v>18</v>
      </c>
      <c r="AN17" s="93"/>
      <c r="AO17" s="96"/>
      <c r="AP17" s="96">
        <f t="shared" si="78"/>
        <v>0</v>
      </c>
      <c r="AQ17" s="96"/>
      <c r="AR17" s="96"/>
      <c r="AS17" s="96"/>
      <c r="AT17" s="96"/>
      <c r="AU17" s="96">
        <f t="shared" si="37"/>
        <v>0</v>
      </c>
      <c r="AV17" s="96">
        <f t="shared" si="37"/>
        <v>0</v>
      </c>
      <c r="AW17" s="96">
        <f t="shared" si="38"/>
        <v>0</v>
      </c>
      <c r="AX17" s="96">
        <f t="shared" si="39"/>
        <v>0</v>
      </c>
      <c r="AY17" s="94">
        <f t="shared" si="69"/>
        <v>-3503.5</v>
      </c>
      <c r="AZ17" s="94">
        <f t="shared" si="40"/>
        <v>-455</v>
      </c>
      <c r="BA17" s="94">
        <f t="shared" si="41"/>
        <v>18</v>
      </c>
      <c r="BB17" s="97">
        <f t="shared" si="42"/>
        <v>0</v>
      </c>
      <c r="BC17" s="93">
        <v>5</v>
      </c>
      <c r="BD17" s="93">
        <f t="shared" si="43"/>
        <v>0</v>
      </c>
      <c r="BE17" s="95">
        <f t="shared" si="44"/>
        <v>1</v>
      </c>
      <c r="BF17" s="58">
        <f t="shared" si="45"/>
        <v>5</v>
      </c>
      <c r="BG17" s="94">
        <f t="shared" si="46"/>
        <v>13</v>
      </c>
      <c r="BH17" s="89"/>
      <c r="BI17" s="89"/>
      <c r="BJ17" s="92">
        <f t="shared" si="79"/>
        <v>0</v>
      </c>
      <c r="BK17" s="89"/>
      <c r="BL17" s="89"/>
      <c r="BM17" s="89"/>
      <c r="BN17" s="89"/>
      <c r="BO17" s="92">
        <f t="shared" si="70"/>
        <v>0</v>
      </c>
      <c r="BP17" s="92">
        <f t="shared" si="70"/>
        <v>0</v>
      </c>
      <c r="BQ17" s="96">
        <f t="shared" si="47"/>
        <v>0</v>
      </c>
      <c r="BR17" s="96">
        <f t="shared" si="48"/>
        <v>0</v>
      </c>
      <c r="BS17" s="96">
        <f t="shared" si="71"/>
        <v>-3503.5</v>
      </c>
      <c r="BT17" s="96">
        <f t="shared" si="49"/>
        <v>-455</v>
      </c>
      <c r="BU17" s="92">
        <f t="shared" si="16"/>
        <v>0</v>
      </c>
      <c r="BV17" s="98">
        <f t="shared" si="17"/>
        <v>10</v>
      </c>
      <c r="BW17" s="92">
        <f t="shared" si="18"/>
        <v>-910</v>
      </c>
      <c r="BX17" s="98">
        <f t="shared" si="50"/>
        <v>16.41</v>
      </c>
      <c r="BY17" s="61">
        <f t="shared" si="74"/>
        <v>10</v>
      </c>
      <c r="BZ17" s="62">
        <f t="shared" si="51"/>
        <v>10</v>
      </c>
      <c r="CA17" s="98">
        <f t="shared" si="52"/>
        <v>0</v>
      </c>
      <c r="CB17" s="92">
        <f t="shared" si="19"/>
        <v>0</v>
      </c>
      <c r="CC17" s="92">
        <f t="shared" si="19"/>
        <v>-7007</v>
      </c>
      <c r="CD17" s="92">
        <f t="shared" si="19"/>
        <v>-910</v>
      </c>
      <c r="CE17" s="99"/>
      <c r="CF17" s="99"/>
      <c r="CG17" s="51">
        <f t="shared" si="53"/>
        <v>16.41</v>
      </c>
      <c r="CH17" s="62">
        <f t="shared" si="54"/>
        <v>16.41</v>
      </c>
      <c r="CI17" s="89"/>
      <c r="CJ17" s="89"/>
      <c r="CK17" s="89"/>
      <c r="CL17" s="96"/>
      <c r="CM17" s="89"/>
      <c r="CN17" s="89"/>
      <c r="CO17" s="92"/>
      <c r="CP17" s="101"/>
      <c r="CQ17" s="102">
        <f t="shared" si="55"/>
        <v>0</v>
      </c>
      <c r="CR17" s="102">
        <f t="shared" si="20"/>
        <v>0</v>
      </c>
      <c r="CS17" s="102">
        <f t="shared" si="20"/>
        <v>0</v>
      </c>
      <c r="CT17" s="92">
        <f t="shared" si="56"/>
        <v>0</v>
      </c>
      <c r="CU17" s="92">
        <f t="shared" si="57"/>
        <v>0</v>
      </c>
      <c r="CV17" s="103">
        <f t="shared" si="57"/>
        <v>0</v>
      </c>
      <c r="CW17" s="104"/>
      <c r="CX17" s="105">
        <v>60</v>
      </c>
      <c r="CY17" s="106">
        <f t="shared" si="58"/>
        <v>680</v>
      </c>
      <c r="CZ17" s="106">
        <f t="shared" si="59"/>
        <v>486.00000000000006</v>
      </c>
      <c r="DA17" s="106"/>
      <c r="DB17" s="106"/>
      <c r="DC17" s="105"/>
      <c r="DD17" s="107"/>
      <c r="DE17" s="92">
        <f t="shared" si="21"/>
        <v>0</v>
      </c>
      <c r="DF17" s="108">
        <f t="shared" si="22"/>
        <v>5</v>
      </c>
      <c r="DG17" s="112">
        <f t="shared" si="23"/>
        <v>-455</v>
      </c>
      <c r="DH17" s="110">
        <f t="shared" si="24"/>
        <v>0</v>
      </c>
      <c r="DI17" s="108">
        <f t="shared" si="25"/>
        <v>5</v>
      </c>
      <c r="DJ17" s="112">
        <f t="shared" si="26"/>
        <v>-455</v>
      </c>
      <c r="DK17" s="110">
        <f t="shared" si="27"/>
        <v>0</v>
      </c>
      <c r="DL17" s="108">
        <f t="shared" si="27"/>
        <v>10</v>
      </c>
      <c r="DM17" s="111">
        <f t="shared" si="27"/>
        <v>-910</v>
      </c>
      <c r="DN17" s="76">
        <f t="shared" si="60"/>
        <v>16</v>
      </c>
      <c r="DO17" s="76">
        <f t="shared" si="72"/>
        <v>7</v>
      </c>
      <c r="DP17" s="112"/>
      <c r="DQ17" s="112"/>
      <c r="DR17" s="113" t="s">
        <v>516</v>
      </c>
      <c r="DS17" s="112"/>
      <c r="DT17" s="112"/>
      <c r="DU17" s="111"/>
      <c r="DV17" s="114"/>
      <c r="DW17" s="80">
        <f t="shared" si="80"/>
        <v>10</v>
      </c>
      <c r="DX17" s="81">
        <f t="shared" si="28"/>
        <v>-900</v>
      </c>
      <c r="DY17" s="80">
        <f t="shared" si="62"/>
        <v>0</v>
      </c>
      <c r="DZ17" s="82">
        <f t="shared" si="63"/>
        <v>0</v>
      </c>
      <c r="EA17" s="82">
        <f t="shared" si="64"/>
        <v>0</v>
      </c>
      <c r="EB17" s="82">
        <f t="shared" si="65"/>
        <v>16.41</v>
      </c>
      <c r="EC17" s="82">
        <f t="shared" si="76"/>
        <v>16.41</v>
      </c>
      <c r="EF17" s="83">
        <f t="shared" si="77"/>
        <v>-910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0"/>
        <v>GWA6063-T5-T18.15x8.6x3-H9A15</v>
      </c>
      <c r="H18" s="46" t="str">
        <f t="shared" si="31"/>
        <v>A6063-T5GW18.158.6TH9</v>
      </c>
      <c r="I18" s="46" t="str">
        <f t="shared" si="32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3"/>
        <v>16</v>
      </c>
      <c r="T18" s="51">
        <f>'07.02'!BG18</f>
        <v>8</v>
      </c>
      <c r="U18" s="92">
        <v>10</v>
      </c>
      <c r="V18" s="89">
        <v>9.9</v>
      </c>
      <c r="W18" s="93">
        <f t="shared" si="5"/>
        <v>0</v>
      </c>
      <c r="X18" s="93">
        <f t="shared" si="6"/>
        <v>0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0</v>
      </c>
      <c r="AE18" s="93">
        <f t="shared" si="34"/>
        <v>0</v>
      </c>
      <c r="AF18" s="54">
        <f>AE18+'07.02'!AF18</f>
        <v>5843</v>
      </c>
      <c r="AG18" s="94">
        <f t="shared" si="66"/>
        <v>8</v>
      </c>
      <c r="AH18" s="56">
        <f t="shared" si="13"/>
        <v>0</v>
      </c>
      <c r="AI18" s="89">
        <v>6</v>
      </c>
      <c r="AJ18" s="93">
        <f t="shared" si="67"/>
        <v>0</v>
      </c>
      <c r="AK18" s="95">
        <f t="shared" si="35"/>
        <v>1</v>
      </c>
      <c r="AL18" s="58">
        <f t="shared" si="36"/>
        <v>6</v>
      </c>
      <c r="AM18" s="55">
        <f t="shared" si="68"/>
        <v>12</v>
      </c>
      <c r="AN18" s="93"/>
      <c r="AO18" s="96"/>
      <c r="AP18" s="96">
        <f t="shared" si="78"/>
        <v>0</v>
      </c>
      <c r="AQ18" s="96"/>
      <c r="AR18" s="96"/>
      <c r="AS18" s="96"/>
      <c r="AT18" s="96"/>
      <c r="AU18" s="96">
        <f t="shared" si="37"/>
        <v>0</v>
      </c>
      <c r="AV18" s="96">
        <f t="shared" si="37"/>
        <v>0</v>
      </c>
      <c r="AW18" s="96">
        <f t="shared" si="38"/>
        <v>0</v>
      </c>
      <c r="AX18" s="96">
        <f t="shared" si="39"/>
        <v>0</v>
      </c>
      <c r="AY18" s="94">
        <f t="shared" si="69"/>
        <v>-4039.2000000000003</v>
      </c>
      <c r="AZ18" s="94">
        <f t="shared" si="40"/>
        <v>-408</v>
      </c>
      <c r="BA18" s="94">
        <f t="shared" si="41"/>
        <v>12</v>
      </c>
      <c r="BB18" s="97">
        <f t="shared" si="42"/>
        <v>0</v>
      </c>
      <c r="BC18" s="93">
        <v>5</v>
      </c>
      <c r="BD18" s="93">
        <f t="shared" si="43"/>
        <v>0</v>
      </c>
      <c r="BE18" s="95">
        <f t="shared" si="44"/>
        <v>1</v>
      </c>
      <c r="BF18" s="58">
        <f t="shared" si="45"/>
        <v>5</v>
      </c>
      <c r="BG18" s="94">
        <f t="shared" si="46"/>
        <v>7</v>
      </c>
      <c r="BH18" s="89"/>
      <c r="BI18" s="89"/>
      <c r="BJ18" s="92">
        <f t="shared" si="79"/>
        <v>0</v>
      </c>
      <c r="BK18" s="89"/>
      <c r="BL18" s="89"/>
      <c r="BM18" s="89"/>
      <c r="BN18" s="89"/>
      <c r="BO18" s="92">
        <f t="shared" si="70"/>
        <v>0</v>
      </c>
      <c r="BP18" s="92">
        <f t="shared" si="70"/>
        <v>0</v>
      </c>
      <c r="BQ18" s="96">
        <f t="shared" si="47"/>
        <v>0</v>
      </c>
      <c r="BR18" s="96">
        <f t="shared" si="48"/>
        <v>0</v>
      </c>
      <c r="BS18" s="96">
        <f t="shared" si="71"/>
        <v>-3366</v>
      </c>
      <c r="BT18" s="96">
        <f t="shared" si="49"/>
        <v>-340</v>
      </c>
      <c r="BU18" s="92">
        <f t="shared" si="16"/>
        <v>0</v>
      </c>
      <c r="BV18" s="98">
        <f t="shared" si="17"/>
        <v>11</v>
      </c>
      <c r="BW18" s="92">
        <f t="shared" si="18"/>
        <v>-748</v>
      </c>
      <c r="BX18" s="98">
        <f t="shared" si="50"/>
        <v>18.051000000000002</v>
      </c>
      <c r="BY18" s="61">
        <f t="shared" si="74"/>
        <v>11</v>
      </c>
      <c r="BZ18" s="62">
        <f t="shared" si="51"/>
        <v>11</v>
      </c>
      <c r="CA18" s="98">
        <f t="shared" si="52"/>
        <v>0</v>
      </c>
      <c r="CB18" s="92">
        <f t="shared" si="19"/>
        <v>0</v>
      </c>
      <c r="CC18" s="92">
        <f t="shared" si="19"/>
        <v>-7405.2000000000007</v>
      </c>
      <c r="CD18" s="92">
        <f t="shared" si="19"/>
        <v>-748</v>
      </c>
      <c r="CE18" s="99"/>
      <c r="CF18" s="99"/>
      <c r="CG18" s="51">
        <f t="shared" si="53"/>
        <v>18.051000000000002</v>
      </c>
      <c r="CH18" s="62">
        <f t="shared" si="54"/>
        <v>18.051000000000002</v>
      </c>
      <c r="CI18" s="89"/>
      <c r="CJ18" s="89"/>
      <c r="CK18" s="89"/>
      <c r="CL18" s="96"/>
      <c r="CM18" s="89"/>
      <c r="CN18" s="89"/>
      <c r="CO18" s="92"/>
      <c r="CP18" s="101"/>
      <c r="CQ18" s="102">
        <f t="shared" si="55"/>
        <v>0</v>
      </c>
      <c r="CR18" s="102">
        <f t="shared" si="20"/>
        <v>0</v>
      </c>
      <c r="CS18" s="102">
        <f t="shared" si="20"/>
        <v>0</v>
      </c>
      <c r="CT18" s="92">
        <f t="shared" si="56"/>
        <v>0</v>
      </c>
      <c r="CU18" s="92">
        <f t="shared" si="57"/>
        <v>0</v>
      </c>
      <c r="CV18" s="103">
        <f t="shared" si="57"/>
        <v>0</v>
      </c>
      <c r="CW18" s="104"/>
      <c r="CX18" s="105">
        <v>79.33</v>
      </c>
      <c r="CY18" s="106">
        <f t="shared" si="58"/>
        <v>510</v>
      </c>
      <c r="CZ18" s="106">
        <f t="shared" si="59"/>
        <v>642.57299999999998</v>
      </c>
      <c r="DA18" s="106"/>
      <c r="DB18" s="106"/>
      <c r="DC18" s="105"/>
      <c r="DD18" s="107"/>
      <c r="DE18" s="92">
        <f t="shared" si="21"/>
        <v>0</v>
      </c>
      <c r="DF18" s="108">
        <f t="shared" si="22"/>
        <v>6</v>
      </c>
      <c r="DG18" s="112">
        <f t="shared" si="23"/>
        <v>-408</v>
      </c>
      <c r="DH18" s="110">
        <f t="shared" si="24"/>
        <v>0</v>
      </c>
      <c r="DI18" s="108">
        <f t="shared" si="25"/>
        <v>5</v>
      </c>
      <c r="DJ18" s="112">
        <f t="shared" si="26"/>
        <v>-340</v>
      </c>
      <c r="DK18" s="110">
        <f t="shared" si="27"/>
        <v>0</v>
      </c>
      <c r="DL18" s="108">
        <f t="shared" si="27"/>
        <v>11</v>
      </c>
      <c r="DM18" s="111">
        <f t="shared" si="27"/>
        <v>-748</v>
      </c>
      <c r="DN18" s="76">
        <f t="shared" si="60"/>
        <v>8</v>
      </c>
      <c r="DO18" s="76">
        <f t="shared" si="72"/>
        <v>10</v>
      </c>
      <c r="DP18" s="112"/>
      <c r="DQ18" s="112"/>
      <c r="DR18" s="113" t="s">
        <v>517</v>
      </c>
      <c r="DS18" s="112"/>
      <c r="DT18" s="112"/>
      <c r="DU18" s="111"/>
      <c r="DV18" s="114"/>
      <c r="DW18" s="80">
        <f t="shared" si="80"/>
        <v>11</v>
      </c>
      <c r="DX18" s="81">
        <f t="shared" si="28"/>
        <v>-737</v>
      </c>
      <c r="DY18" s="80">
        <f t="shared" si="62"/>
        <v>0</v>
      </c>
      <c r="DZ18" s="82">
        <f t="shared" si="63"/>
        <v>0</v>
      </c>
      <c r="EA18" s="82">
        <f t="shared" si="64"/>
        <v>0</v>
      </c>
      <c r="EB18" s="82">
        <f t="shared" si="65"/>
        <v>18.051000000000002</v>
      </c>
      <c r="EC18" s="82">
        <f t="shared" si="76"/>
        <v>18.051000000000002</v>
      </c>
      <c r="EF18" s="83">
        <f t="shared" si="77"/>
        <v>-748</v>
      </c>
    </row>
    <row r="19" spans="1:136" hidden="1">
      <c r="A19" s="84">
        <v>12</v>
      </c>
      <c r="B19" s="85" t="s">
        <v>169</v>
      </c>
      <c r="C19" s="86"/>
      <c r="D19" s="116" t="s">
        <v>170</v>
      </c>
      <c r="E19" s="88">
        <v>104</v>
      </c>
      <c r="F19" s="89" t="s">
        <v>136</v>
      </c>
      <c r="G19" s="45" t="str">
        <f t="shared" si="30"/>
        <v>TV12L14-12x3-H9B14</v>
      </c>
      <c r="H19" s="46" t="str">
        <f t="shared" si="31"/>
        <v>12L14TV120DH9</v>
      </c>
      <c r="I19" s="46" t="str">
        <f t="shared" si="32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3"/>
        <v>20</v>
      </c>
      <c r="T19" s="51">
        <v>0</v>
      </c>
      <c r="U19" s="92"/>
      <c r="V19" s="89">
        <v>10.6</v>
      </c>
      <c r="W19" s="93">
        <f t="shared" si="5"/>
        <v>0</v>
      </c>
      <c r="X19" s="93">
        <f t="shared" si="6"/>
        <v>0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0</v>
      </c>
      <c r="AE19" s="93">
        <f t="shared" si="34"/>
        <v>0</v>
      </c>
      <c r="AF19" s="54">
        <f>AE19+'07.02'!AF19</f>
        <v>6165</v>
      </c>
      <c r="AG19" s="94">
        <f t="shared" si="66"/>
        <v>0</v>
      </c>
      <c r="AH19" s="56">
        <f t="shared" si="13"/>
        <v>0</v>
      </c>
      <c r="AI19" s="89"/>
      <c r="AJ19" s="93">
        <f t="shared" si="67"/>
        <v>0</v>
      </c>
      <c r="AK19" s="95">
        <f t="shared" si="35"/>
        <v>1</v>
      </c>
      <c r="AL19" s="58">
        <f t="shared" si="36"/>
        <v>0</v>
      </c>
      <c r="AM19" s="55">
        <f t="shared" si="68"/>
        <v>0</v>
      </c>
      <c r="AN19" s="93"/>
      <c r="AO19" s="96"/>
      <c r="AP19" s="96">
        <f t="shared" si="78"/>
        <v>0</v>
      </c>
      <c r="AQ19" s="96"/>
      <c r="AR19" s="96"/>
      <c r="AS19" s="96"/>
      <c r="AT19" s="96"/>
      <c r="AU19" s="96">
        <f t="shared" si="37"/>
        <v>0</v>
      </c>
      <c r="AV19" s="96">
        <f t="shared" si="37"/>
        <v>0</v>
      </c>
      <c r="AW19" s="96">
        <f>SUM(AO19:AV19)</f>
        <v>0</v>
      </c>
      <c r="AX19" s="96">
        <f t="shared" si="39"/>
        <v>0</v>
      </c>
      <c r="AY19" s="94">
        <f t="shared" si="69"/>
        <v>0</v>
      </c>
      <c r="AZ19" s="94">
        <f t="shared" si="40"/>
        <v>0</v>
      </c>
      <c r="BA19" s="94">
        <f t="shared" si="41"/>
        <v>0</v>
      </c>
      <c r="BB19" s="97">
        <f t="shared" si="42"/>
        <v>0</v>
      </c>
      <c r="BC19" s="93"/>
      <c r="BD19" s="93">
        <f t="shared" si="43"/>
        <v>0</v>
      </c>
      <c r="BE19" s="95">
        <f t="shared" si="44"/>
        <v>1</v>
      </c>
      <c r="BF19" s="58">
        <f t="shared" si="45"/>
        <v>0</v>
      </c>
      <c r="BG19" s="94">
        <f t="shared" si="46"/>
        <v>0</v>
      </c>
      <c r="BH19" s="89"/>
      <c r="BI19" s="89"/>
      <c r="BJ19" s="92">
        <f t="shared" si="79"/>
        <v>0</v>
      </c>
      <c r="BK19" s="89"/>
      <c r="BL19" s="89"/>
      <c r="BM19" s="89"/>
      <c r="BN19" s="89"/>
      <c r="BO19" s="92">
        <f t="shared" si="70"/>
        <v>0</v>
      </c>
      <c r="BP19" s="92">
        <f t="shared" si="70"/>
        <v>0</v>
      </c>
      <c r="BQ19" s="96">
        <f t="shared" si="47"/>
        <v>0</v>
      </c>
      <c r="BR19" s="96">
        <f t="shared" si="48"/>
        <v>0</v>
      </c>
      <c r="BS19" s="96">
        <f t="shared" si="71"/>
        <v>0</v>
      </c>
      <c r="BT19" s="96">
        <f t="shared" si="49"/>
        <v>0</v>
      </c>
      <c r="BU19" s="92">
        <f t="shared" si="16"/>
        <v>0</v>
      </c>
      <c r="BV19" s="98">
        <f t="shared" si="17"/>
        <v>0</v>
      </c>
      <c r="BW19" s="92">
        <f t="shared" si="18"/>
        <v>0</v>
      </c>
      <c r="BX19" s="98">
        <f t="shared" si="50"/>
        <v>0</v>
      </c>
      <c r="BY19" s="61">
        <f t="shared" si="74"/>
        <v>0</v>
      </c>
      <c r="BZ19" s="62">
        <f t="shared" si="51"/>
        <v>0</v>
      </c>
      <c r="CA19" s="98">
        <f t="shared" si="52"/>
        <v>0</v>
      </c>
      <c r="CB19" s="92">
        <f t="shared" si="19"/>
        <v>0</v>
      </c>
      <c r="CC19" s="92">
        <f t="shared" si="19"/>
        <v>0</v>
      </c>
      <c r="CD19" s="92">
        <f t="shared" si="19"/>
        <v>0</v>
      </c>
      <c r="CE19" s="99"/>
      <c r="CF19" s="99"/>
      <c r="CG19" s="51">
        <f t="shared" si="53"/>
        <v>0</v>
      </c>
      <c r="CH19" s="62">
        <f t="shared" si="54"/>
        <v>0</v>
      </c>
      <c r="CI19" s="89"/>
      <c r="CJ19" s="89"/>
      <c r="CK19" s="89"/>
      <c r="CL19" s="96"/>
      <c r="CM19" s="89"/>
      <c r="CN19" s="89"/>
      <c r="CO19" s="92"/>
      <c r="CP19" s="101"/>
      <c r="CQ19" s="102">
        <f t="shared" si="55"/>
        <v>0</v>
      </c>
      <c r="CR19" s="102">
        <f t="shared" si="20"/>
        <v>0</v>
      </c>
      <c r="CS19" s="102">
        <f t="shared" si="20"/>
        <v>0</v>
      </c>
      <c r="CT19" s="92">
        <f t="shared" si="56"/>
        <v>0</v>
      </c>
      <c r="CU19" s="92">
        <f t="shared" si="57"/>
        <v>0</v>
      </c>
      <c r="CV19" s="103">
        <f t="shared" si="57"/>
        <v>0</v>
      </c>
      <c r="CW19" s="104"/>
      <c r="CX19" s="105">
        <v>37.89</v>
      </c>
      <c r="CY19" s="106">
        <f t="shared" si="58"/>
        <v>1053</v>
      </c>
      <c r="CZ19" s="106">
        <f t="shared" si="59"/>
        <v>306.90900000000005</v>
      </c>
      <c r="DA19" s="106"/>
      <c r="DB19" s="106"/>
      <c r="DC19" s="105"/>
      <c r="DD19" s="107"/>
      <c r="DE19" s="92">
        <f t="shared" si="21"/>
        <v>0</v>
      </c>
      <c r="DF19" s="108">
        <f t="shared" si="22"/>
        <v>0</v>
      </c>
      <c r="DG19" s="112">
        <f t="shared" si="23"/>
        <v>0</v>
      </c>
      <c r="DH19" s="110">
        <f t="shared" si="24"/>
        <v>0</v>
      </c>
      <c r="DI19" s="108">
        <f t="shared" si="25"/>
        <v>0</v>
      </c>
      <c r="DJ19" s="112">
        <f t="shared" si="26"/>
        <v>0</v>
      </c>
      <c r="DK19" s="110">
        <f t="shared" si="27"/>
        <v>0</v>
      </c>
      <c r="DL19" s="108">
        <f t="shared" si="27"/>
        <v>0</v>
      </c>
      <c r="DM19" s="111">
        <f t="shared" si="27"/>
        <v>0</v>
      </c>
      <c r="DN19" s="76">
        <f t="shared" si="60"/>
        <v>0</v>
      </c>
      <c r="DO19" s="76">
        <f t="shared" si="72"/>
        <v>0</v>
      </c>
      <c r="DP19" s="112"/>
      <c r="DQ19" s="112"/>
      <c r="DR19" s="113"/>
      <c r="DS19" s="112"/>
      <c r="DT19" s="112"/>
      <c r="DU19" s="111"/>
      <c r="DV19" s="114"/>
      <c r="DW19" s="80">
        <f t="shared" si="80"/>
        <v>0</v>
      </c>
      <c r="DX19" s="81">
        <f t="shared" si="28"/>
        <v>0</v>
      </c>
      <c r="DY19" s="80">
        <f t="shared" si="62"/>
        <v>0</v>
      </c>
      <c r="DZ19" s="82">
        <f t="shared" si="63"/>
        <v>0</v>
      </c>
      <c r="EA19" s="82">
        <f t="shared" si="64"/>
        <v>0</v>
      </c>
      <c r="EB19" s="82">
        <f t="shared" si="65"/>
        <v>0</v>
      </c>
      <c r="EC19" s="82">
        <f t="shared" si="76"/>
        <v>0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0"/>
        <v>GWA6063-T5-8.3x3-H9B14</v>
      </c>
      <c r="H20" s="46" t="str">
        <f t="shared" si="31"/>
        <v>A6063-T5GW8.30DH9</v>
      </c>
      <c r="I20" s="46" t="str">
        <f t="shared" si="32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3"/>
        <v>18</v>
      </c>
      <c r="T20" s="51">
        <f>'07.02'!BG20</f>
        <v>41</v>
      </c>
      <c r="U20" s="92"/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34"/>
        <v>0</v>
      </c>
      <c r="AF20" s="54">
        <f>AE20+'07.02'!AF20</f>
        <v>848</v>
      </c>
      <c r="AG20" s="94">
        <f t="shared" si="66"/>
        <v>41</v>
      </c>
      <c r="AH20" s="56">
        <f t="shared" si="13"/>
        <v>0</v>
      </c>
      <c r="AI20" s="100"/>
      <c r="AJ20" s="93">
        <f t="shared" si="67"/>
        <v>0</v>
      </c>
      <c r="AK20" s="95">
        <f t="shared" si="35"/>
        <v>1</v>
      </c>
      <c r="AL20" s="58">
        <f t="shared" si="36"/>
        <v>0</v>
      </c>
      <c r="AM20" s="55">
        <f t="shared" si="68"/>
        <v>41</v>
      </c>
      <c r="AN20" s="93"/>
      <c r="AO20" s="96"/>
      <c r="AP20" s="96"/>
      <c r="AQ20" s="96"/>
      <c r="AR20" s="96"/>
      <c r="AS20" s="96"/>
      <c r="AT20" s="96">
        <f t="shared" ref="AT20" si="81">$CJ20</f>
        <v>0</v>
      </c>
      <c r="AU20" s="96">
        <f t="shared" si="37"/>
        <v>0</v>
      </c>
      <c r="AV20" s="96">
        <f t="shared" si="37"/>
        <v>0</v>
      </c>
      <c r="AW20" s="96">
        <f t="shared" si="38"/>
        <v>0</v>
      </c>
      <c r="AX20" s="96">
        <f t="shared" si="39"/>
        <v>0</v>
      </c>
      <c r="AY20" s="94">
        <f t="shared" si="69"/>
        <v>0</v>
      </c>
      <c r="AZ20" s="94">
        <f t="shared" si="40"/>
        <v>0</v>
      </c>
      <c r="BA20" s="94">
        <f t="shared" si="41"/>
        <v>41</v>
      </c>
      <c r="BB20" s="97">
        <f t="shared" si="42"/>
        <v>0</v>
      </c>
      <c r="BC20" s="93"/>
      <c r="BD20" s="93">
        <f t="shared" si="43"/>
        <v>0</v>
      </c>
      <c r="BE20" s="95">
        <f t="shared" si="44"/>
        <v>1</v>
      </c>
      <c r="BF20" s="58">
        <f t="shared" si="45"/>
        <v>0</v>
      </c>
      <c r="BG20" s="94">
        <f t="shared" si="46"/>
        <v>41</v>
      </c>
      <c r="BH20" s="89"/>
      <c r="BI20" s="89"/>
      <c r="BJ20" s="92"/>
      <c r="BK20" s="89"/>
      <c r="BL20" s="89"/>
      <c r="BM20" s="89"/>
      <c r="BN20" s="92">
        <f t="shared" ref="BN20" si="82">$CN20</f>
        <v>0</v>
      </c>
      <c r="BO20" s="92">
        <f t="shared" si="70"/>
        <v>0</v>
      </c>
      <c r="BP20" s="92">
        <f t="shared" si="70"/>
        <v>0</v>
      </c>
      <c r="BQ20" s="96">
        <f t="shared" si="47"/>
        <v>0</v>
      </c>
      <c r="BR20" s="96">
        <f t="shared" si="48"/>
        <v>0</v>
      </c>
      <c r="BS20" s="96">
        <f t="shared" si="71"/>
        <v>0</v>
      </c>
      <c r="BT20" s="96">
        <f t="shared" si="49"/>
        <v>0</v>
      </c>
      <c r="BU20" s="92">
        <f t="shared" si="16"/>
        <v>0</v>
      </c>
      <c r="BV20" s="98">
        <f t="shared" si="17"/>
        <v>0</v>
      </c>
      <c r="BW20" s="92">
        <f t="shared" si="18"/>
        <v>0</v>
      </c>
      <c r="BX20" s="98">
        <f t="shared" si="50"/>
        <v>0</v>
      </c>
      <c r="BY20" s="61">
        <f t="shared" si="74"/>
        <v>0</v>
      </c>
      <c r="BZ20" s="62">
        <f t="shared" si="51"/>
        <v>0</v>
      </c>
      <c r="CA20" s="98">
        <f t="shared" si="52"/>
        <v>0</v>
      </c>
      <c r="CB20" s="92">
        <f t="shared" si="19"/>
        <v>0</v>
      </c>
      <c r="CC20" s="92">
        <f t="shared" si="19"/>
        <v>0</v>
      </c>
      <c r="CD20" s="92">
        <f t="shared" si="19"/>
        <v>0</v>
      </c>
      <c r="CE20" s="99"/>
      <c r="CF20" s="99"/>
      <c r="CG20" s="51">
        <f t="shared" si="53"/>
        <v>0</v>
      </c>
      <c r="CH20" s="62">
        <f t="shared" si="54"/>
        <v>0</v>
      </c>
      <c r="CI20" s="89"/>
      <c r="CJ20" s="89"/>
      <c r="CK20" s="89"/>
      <c r="CL20" s="96"/>
      <c r="CM20" s="89"/>
      <c r="CN20" s="89"/>
      <c r="CO20" s="92"/>
      <c r="CP20" s="101"/>
      <c r="CQ20" s="102">
        <f t="shared" si="55"/>
        <v>0</v>
      </c>
      <c r="CR20" s="102">
        <f t="shared" si="20"/>
        <v>0</v>
      </c>
      <c r="CS20" s="102">
        <f t="shared" si="20"/>
        <v>0</v>
      </c>
      <c r="CT20" s="92">
        <f t="shared" si="56"/>
        <v>0</v>
      </c>
      <c r="CU20" s="92">
        <f t="shared" si="57"/>
        <v>0</v>
      </c>
      <c r="CV20" s="103">
        <f t="shared" si="57"/>
        <v>0</v>
      </c>
      <c r="CW20" s="104"/>
      <c r="CX20" s="105">
        <v>15</v>
      </c>
      <c r="CY20" s="106">
        <f t="shared" si="58"/>
        <v>2680</v>
      </c>
      <c r="CZ20" s="106">
        <f t="shared" si="59"/>
        <v>121.50000000000001</v>
      </c>
      <c r="DA20" s="106"/>
      <c r="DB20" s="106"/>
      <c r="DC20" s="105"/>
      <c r="DD20" s="107"/>
      <c r="DE20" s="92">
        <f t="shared" si="21"/>
        <v>0</v>
      </c>
      <c r="DF20" s="108">
        <f t="shared" si="22"/>
        <v>0</v>
      </c>
      <c r="DG20" s="112">
        <f t="shared" si="23"/>
        <v>0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0</v>
      </c>
      <c r="DL20" s="108">
        <f t="shared" si="27"/>
        <v>0</v>
      </c>
      <c r="DM20" s="111">
        <f t="shared" si="27"/>
        <v>0</v>
      </c>
      <c r="DN20" s="76">
        <f t="shared" si="60"/>
        <v>41</v>
      </c>
      <c r="DO20" s="76">
        <f t="shared" si="72"/>
        <v>0</v>
      </c>
      <c r="DP20" s="112"/>
      <c r="DQ20" s="112"/>
      <c r="DR20" s="113" t="s">
        <v>518</v>
      </c>
      <c r="DS20" s="112"/>
      <c r="DT20" s="112"/>
      <c r="DU20" s="111"/>
      <c r="DV20" s="114"/>
      <c r="DW20" s="80">
        <f t="shared" si="61"/>
        <v>0</v>
      </c>
      <c r="DX20" s="81">
        <f t="shared" si="28"/>
        <v>0</v>
      </c>
      <c r="DY20" s="80">
        <f t="shared" si="62"/>
        <v>0</v>
      </c>
      <c r="DZ20" s="82">
        <f t="shared" si="63"/>
        <v>0</v>
      </c>
      <c r="EA20" s="82">
        <f t="shared" si="64"/>
        <v>0</v>
      </c>
      <c r="EB20" s="82">
        <f t="shared" si="65"/>
        <v>0</v>
      </c>
      <c r="EC20" s="82">
        <f t="shared" si="76"/>
        <v>0</v>
      </c>
      <c r="EF20" s="83">
        <f t="shared" ref="EF20:EF25" si="83">DG20+DJ20</f>
        <v>0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0"/>
        <v>TV12L14-11x2.5-H9C14</v>
      </c>
      <c r="H21" s="123" t="str">
        <f t="shared" si="31"/>
        <v>12L14TV110DH9</v>
      </c>
      <c r="I21" s="123" t="str">
        <f t="shared" si="32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3"/>
        <v>10</v>
      </c>
      <c r="T21" s="51">
        <f>'07.02'!BG21</f>
        <v>9</v>
      </c>
      <c r="U21" s="124">
        <v>11</v>
      </c>
      <c r="V21" s="100">
        <v>2</v>
      </c>
      <c r="W21" s="125">
        <f t="shared" si="5"/>
        <v>0</v>
      </c>
      <c r="X21" s="125">
        <f t="shared" si="6"/>
        <v>0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0</v>
      </c>
      <c r="AE21" s="125">
        <f t="shared" si="34"/>
        <v>0</v>
      </c>
      <c r="AF21" s="54">
        <f>AE21+'07.02'!AF21</f>
        <v>23552</v>
      </c>
      <c r="AG21" s="94">
        <f t="shared" si="66"/>
        <v>9</v>
      </c>
      <c r="AH21" s="56">
        <f t="shared" si="13"/>
        <v>0</v>
      </c>
      <c r="AI21" s="89">
        <v>7</v>
      </c>
      <c r="AJ21" s="93">
        <f t="shared" si="67"/>
        <v>0</v>
      </c>
      <c r="AK21" s="95">
        <f t="shared" si="35"/>
        <v>1</v>
      </c>
      <c r="AL21" s="58">
        <f t="shared" si="36"/>
        <v>7</v>
      </c>
      <c r="AM21" s="55">
        <f t="shared" si="68"/>
        <v>13</v>
      </c>
      <c r="AN21" s="125"/>
      <c r="AO21" s="126"/>
      <c r="AP21" s="126">
        <f t="shared" ref="AP21" si="84">$CJ21</f>
        <v>0</v>
      </c>
      <c r="AQ21" s="126"/>
      <c r="AR21" s="126"/>
      <c r="AS21" s="126"/>
      <c r="AT21" s="126"/>
      <c r="AU21" s="126">
        <f t="shared" si="37"/>
        <v>0</v>
      </c>
      <c r="AV21" s="126">
        <f t="shared" si="37"/>
        <v>0</v>
      </c>
      <c r="AW21" s="126">
        <f t="shared" si="38"/>
        <v>0</v>
      </c>
      <c r="AX21" s="126">
        <f t="shared" si="39"/>
        <v>0</v>
      </c>
      <c r="AY21" s="94">
        <f t="shared" si="69"/>
        <v>-3962</v>
      </c>
      <c r="AZ21" s="94">
        <f t="shared" si="40"/>
        <v>-1981</v>
      </c>
      <c r="BA21" s="94">
        <f t="shared" si="41"/>
        <v>13</v>
      </c>
      <c r="BB21" s="97">
        <f t="shared" si="42"/>
        <v>0</v>
      </c>
      <c r="BC21" s="125">
        <v>6</v>
      </c>
      <c r="BD21" s="93">
        <f t="shared" si="43"/>
        <v>0</v>
      </c>
      <c r="BE21" s="127">
        <f t="shared" si="44"/>
        <v>1</v>
      </c>
      <c r="BF21" s="58">
        <f t="shared" si="45"/>
        <v>6</v>
      </c>
      <c r="BG21" s="94">
        <f t="shared" si="46"/>
        <v>7</v>
      </c>
      <c r="BH21" s="100"/>
      <c r="BI21" s="100"/>
      <c r="BJ21" s="92">
        <f t="shared" ref="BJ21" si="85">$CN21</f>
        <v>0</v>
      </c>
      <c r="BK21" s="100"/>
      <c r="BL21" s="100"/>
      <c r="BM21" s="100"/>
      <c r="BN21" s="92"/>
      <c r="BO21" s="124">
        <f t="shared" si="70"/>
        <v>0</v>
      </c>
      <c r="BP21" s="124">
        <f t="shared" si="70"/>
        <v>0</v>
      </c>
      <c r="BQ21" s="126">
        <f t="shared" si="47"/>
        <v>0</v>
      </c>
      <c r="BR21" s="126">
        <f t="shared" si="48"/>
        <v>0</v>
      </c>
      <c r="BS21" s="126">
        <f t="shared" si="71"/>
        <v>-3396</v>
      </c>
      <c r="BT21" s="126">
        <f t="shared" si="49"/>
        <v>-1698</v>
      </c>
      <c r="BU21" s="124">
        <f t="shared" si="16"/>
        <v>0</v>
      </c>
      <c r="BV21" s="128">
        <f t="shared" si="17"/>
        <v>13</v>
      </c>
      <c r="BW21" s="124">
        <f t="shared" si="18"/>
        <v>-3679</v>
      </c>
      <c r="BX21" s="128" t="str">
        <f t="shared" si="50"/>
        <v/>
      </c>
      <c r="BY21" s="129">
        <f t="shared" si="74"/>
        <v>13</v>
      </c>
      <c r="BZ21" s="62">
        <f t="shared" si="51"/>
        <v>13</v>
      </c>
      <c r="CA21" s="128">
        <f t="shared" si="52"/>
        <v>0</v>
      </c>
      <c r="CB21" s="124">
        <f t="shared" si="19"/>
        <v>0</v>
      </c>
      <c r="CC21" s="124">
        <f t="shared" si="19"/>
        <v>-7358</v>
      </c>
      <c r="CD21" s="124">
        <f t="shared" si="19"/>
        <v>-3679</v>
      </c>
      <c r="CE21" s="100"/>
      <c r="CF21" s="100"/>
      <c r="CG21" s="51">
        <f t="shared" si="53"/>
        <v>0</v>
      </c>
      <c r="CH21" s="62">
        <f t="shared" si="54"/>
        <v>0</v>
      </c>
      <c r="CI21" s="100"/>
      <c r="CJ21" s="100"/>
      <c r="CK21" s="100"/>
      <c r="CL21" s="126"/>
      <c r="CM21" s="100"/>
      <c r="CN21" s="100"/>
      <c r="CO21" s="124"/>
      <c r="CP21" s="130"/>
      <c r="CQ21" s="102">
        <f t="shared" si="55"/>
        <v>0</v>
      </c>
      <c r="CR21" s="102">
        <f t="shared" si="20"/>
        <v>0</v>
      </c>
      <c r="CS21" s="102">
        <f t="shared" si="20"/>
        <v>0</v>
      </c>
      <c r="CT21" s="92">
        <f t="shared" si="56"/>
        <v>0</v>
      </c>
      <c r="CU21" s="92">
        <f t="shared" si="57"/>
        <v>0</v>
      </c>
      <c r="CV21" s="103">
        <f t="shared" si="57"/>
        <v>0</v>
      </c>
      <c r="CW21" s="131"/>
      <c r="CX21" s="132">
        <v>30</v>
      </c>
      <c r="CY21" s="133">
        <f t="shared" si="58"/>
        <v>1380</v>
      </c>
      <c r="CZ21" s="133">
        <f t="shared" si="59"/>
        <v>243.00000000000003</v>
      </c>
      <c r="DA21" s="133"/>
      <c r="DB21" s="133"/>
      <c r="DC21" s="132"/>
      <c r="DD21" s="134"/>
      <c r="DE21" s="124">
        <f t="shared" si="21"/>
        <v>0</v>
      </c>
      <c r="DF21" s="135">
        <f t="shared" si="22"/>
        <v>7</v>
      </c>
      <c r="DG21" s="112">
        <f t="shared" si="23"/>
        <v>-1981</v>
      </c>
      <c r="DH21" s="136">
        <f t="shared" si="24"/>
        <v>0</v>
      </c>
      <c r="DI21" s="135">
        <f t="shared" si="25"/>
        <v>6</v>
      </c>
      <c r="DJ21" s="115">
        <f t="shared" si="26"/>
        <v>-1698</v>
      </c>
      <c r="DK21" s="136">
        <f t="shared" si="27"/>
        <v>0</v>
      </c>
      <c r="DL21" s="135">
        <f t="shared" si="27"/>
        <v>13</v>
      </c>
      <c r="DM21" s="137">
        <f t="shared" si="27"/>
        <v>-3679</v>
      </c>
      <c r="DN21" s="76">
        <f t="shared" si="60"/>
        <v>9</v>
      </c>
      <c r="DO21" s="76">
        <f t="shared" si="72"/>
        <v>11</v>
      </c>
      <c r="DP21" s="115"/>
      <c r="DQ21" s="115"/>
      <c r="DR21" s="138" t="s">
        <v>519</v>
      </c>
      <c r="DS21" s="115"/>
      <c r="DT21" s="115"/>
      <c r="DU21" s="137"/>
      <c r="DV21" s="139"/>
      <c r="DW21" s="140">
        <f t="shared" si="61"/>
        <v>13</v>
      </c>
      <c r="DX21" s="141">
        <f t="shared" si="28"/>
        <v>-3666</v>
      </c>
      <c r="DY21" s="140">
        <f t="shared" si="62"/>
        <v>0</v>
      </c>
      <c r="DZ21" s="142">
        <f t="shared" si="63"/>
        <v>0</v>
      </c>
      <c r="EA21" s="142">
        <f t="shared" si="64"/>
        <v>0</v>
      </c>
      <c r="EB21" s="142" t="e">
        <f t="shared" si="65"/>
        <v>#VALUE!</v>
      </c>
      <c r="EC21" s="142" t="e">
        <f t="shared" si="76"/>
        <v>#VALUE!</v>
      </c>
      <c r="EF21" s="83">
        <f t="shared" si="83"/>
        <v>-3679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0"/>
        <v>TV12L14-5.97x2.5-H9B14</v>
      </c>
      <c r="H22" s="46" t="str">
        <f t="shared" si="31"/>
        <v>12L14TV5.970DH9</v>
      </c>
      <c r="I22" s="46" t="str">
        <f t="shared" si="32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3"/>
        <v>48</v>
      </c>
      <c r="T22" s="51">
        <f>'07.02'!BG22</f>
        <v>182</v>
      </c>
      <c r="U22" s="92"/>
      <c r="V22" s="89">
        <v>4.45</v>
      </c>
      <c r="W22" s="93">
        <f t="shared" si="5"/>
        <v>0</v>
      </c>
      <c r="X22" s="93">
        <f t="shared" si="6"/>
        <v>0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0</v>
      </c>
      <c r="AE22" s="93">
        <f t="shared" si="34"/>
        <v>0</v>
      </c>
      <c r="AF22" s="54">
        <f>AE22+'07.02'!AF22</f>
        <v>5730</v>
      </c>
      <c r="AG22" s="94">
        <f t="shared" si="66"/>
        <v>182</v>
      </c>
      <c r="AH22" s="56">
        <f t="shared" si="13"/>
        <v>0</v>
      </c>
      <c r="AI22" s="93">
        <v>30</v>
      </c>
      <c r="AJ22" s="93">
        <f t="shared" si="67"/>
        <v>0</v>
      </c>
      <c r="AK22" s="95">
        <f t="shared" si="35"/>
        <v>1</v>
      </c>
      <c r="AL22" s="58">
        <f t="shared" si="36"/>
        <v>30</v>
      </c>
      <c r="AM22" s="55">
        <f t="shared" si="68"/>
        <v>152</v>
      </c>
      <c r="AN22" s="93"/>
      <c r="AO22" s="96"/>
      <c r="AP22" s="96">
        <f>$CJ22</f>
        <v>0</v>
      </c>
      <c r="AQ22" s="96"/>
      <c r="AR22" s="96"/>
      <c r="AS22" s="96"/>
      <c r="AT22" s="96"/>
      <c r="AU22" s="96">
        <f t="shared" si="37"/>
        <v>0</v>
      </c>
      <c r="AV22" s="96">
        <f t="shared" si="37"/>
        <v>0</v>
      </c>
      <c r="AW22" s="96">
        <f t="shared" si="38"/>
        <v>0</v>
      </c>
      <c r="AX22" s="96">
        <f t="shared" si="39"/>
        <v>0</v>
      </c>
      <c r="AY22" s="94">
        <f t="shared" si="69"/>
        <v>-5340</v>
      </c>
      <c r="AZ22" s="94">
        <f t="shared" si="40"/>
        <v>-1200</v>
      </c>
      <c r="BA22" s="94">
        <f t="shared" si="41"/>
        <v>152</v>
      </c>
      <c r="BB22" s="97">
        <f t="shared" si="42"/>
        <v>0</v>
      </c>
      <c r="BC22" s="93">
        <v>24</v>
      </c>
      <c r="BD22" s="93">
        <f t="shared" si="43"/>
        <v>0</v>
      </c>
      <c r="BE22" s="95">
        <f t="shared" si="44"/>
        <v>1</v>
      </c>
      <c r="BF22" s="58">
        <f t="shared" si="45"/>
        <v>24</v>
      </c>
      <c r="BG22" s="94">
        <f t="shared" si="46"/>
        <v>128</v>
      </c>
      <c r="BH22" s="89"/>
      <c r="BI22" s="89"/>
      <c r="BJ22" s="92">
        <f>$CN22</f>
        <v>0</v>
      </c>
      <c r="BK22" s="89"/>
      <c r="BL22" s="89"/>
      <c r="BM22" s="89"/>
      <c r="BN22" s="89"/>
      <c r="BO22" s="92">
        <f t="shared" si="70"/>
        <v>0</v>
      </c>
      <c r="BP22" s="92">
        <f t="shared" si="70"/>
        <v>0</v>
      </c>
      <c r="BQ22" s="96">
        <f t="shared" si="47"/>
        <v>0</v>
      </c>
      <c r="BR22" s="96">
        <f t="shared" si="48"/>
        <v>0</v>
      </c>
      <c r="BS22" s="96">
        <f t="shared" si="71"/>
        <v>-4272</v>
      </c>
      <c r="BT22" s="96">
        <f t="shared" si="49"/>
        <v>-960</v>
      </c>
      <c r="BU22" s="92">
        <f t="shared" si="16"/>
        <v>0</v>
      </c>
      <c r="BV22" s="98">
        <f t="shared" si="17"/>
        <v>54</v>
      </c>
      <c r="BW22" s="92">
        <f t="shared" si="18"/>
        <v>-2160</v>
      </c>
      <c r="BX22" s="98">
        <f t="shared" si="50"/>
        <v>29.538000000000004</v>
      </c>
      <c r="BY22" s="61">
        <f t="shared" si="74"/>
        <v>54</v>
      </c>
      <c r="BZ22" s="62">
        <f t="shared" si="51"/>
        <v>54</v>
      </c>
      <c r="CA22" s="98">
        <f t="shared" si="52"/>
        <v>0</v>
      </c>
      <c r="CB22" s="92">
        <f t="shared" si="19"/>
        <v>0</v>
      </c>
      <c r="CC22" s="92">
        <f t="shared" si="19"/>
        <v>-9612</v>
      </c>
      <c r="CD22" s="92">
        <f t="shared" si="19"/>
        <v>-2160</v>
      </c>
      <c r="CE22" s="99"/>
      <c r="CF22" s="99"/>
      <c r="CG22" s="51">
        <f t="shared" si="53"/>
        <v>29.538000000000004</v>
      </c>
      <c r="CH22" s="62">
        <f t="shared" si="54"/>
        <v>29.538000000000004</v>
      </c>
      <c r="CI22" s="89"/>
      <c r="CJ22" s="89"/>
      <c r="CK22" s="89"/>
      <c r="CL22" s="96"/>
      <c r="CM22" s="89"/>
      <c r="CN22" s="89"/>
      <c r="CO22" s="92"/>
      <c r="CP22" s="101"/>
      <c r="CQ22" s="102">
        <f t="shared" si="55"/>
        <v>0</v>
      </c>
      <c r="CR22" s="102">
        <f t="shared" si="20"/>
        <v>0</v>
      </c>
      <c r="CS22" s="102">
        <f t="shared" si="20"/>
        <v>0</v>
      </c>
      <c r="CT22" s="92">
        <f t="shared" si="56"/>
        <v>0</v>
      </c>
      <c r="CU22" s="92">
        <f t="shared" si="57"/>
        <v>0</v>
      </c>
      <c r="CV22" s="103">
        <f t="shared" si="57"/>
        <v>0</v>
      </c>
      <c r="CW22" s="104"/>
      <c r="CX22" s="105">
        <v>36.090000000000003</v>
      </c>
      <c r="CY22" s="106">
        <f t="shared" si="58"/>
        <v>947</v>
      </c>
      <c r="CZ22" s="106">
        <f t="shared" si="59"/>
        <v>292.32900000000006</v>
      </c>
      <c r="DA22" s="106"/>
      <c r="DB22" s="106"/>
      <c r="DC22" s="105"/>
      <c r="DD22" s="107"/>
      <c r="DE22" s="92">
        <f t="shared" si="21"/>
        <v>0</v>
      </c>
      <c r="DF22" s="108">
        <f t="shared" si="22"/>
        <v>30</v>
      </c>
      <c r="DG22" s="112">
        <f t="shared" si="23"/>
        <v>-1200</v>
      </c>
      <c r="DH22" s="110">
        <f t="shared" si="24"/>
        <v>0</v>
      </c>
      <c r="DI22" s="108">
        <f t="shared" si="25"/>
        <v>24</v>
      </c>
      <c r="DJ22" s="112">
        <f t="shared" si="26"/>
        <v>-960</v>
      </c>
      <c r="DK22" s="110">
        <f t="shared" si="27"/>
        <v>0</v>
      </c>
      <c r="DL22" s="108">
        <f t="shared" si="27"/>
        <v>54</v>
      </c>
      <c r="DM22" s="111">
        <f t="shared" si="27"/>
        <v>-2160</v>
      </c>
      <c r="DN22" s="76">
        <f t="shared" si="60"/>
        <v>182</v>
      </c>
      <c r="DO22" s="76">
        <f t="shared" si="72"/>
        <v>0</v>
      </c>
      <c r="DP22" s="112"/>
      <c r="DQ22" s="112"/>
      <c r="DR22" s="113" t="s">
        <v>520</v>
      </c>
      <c r="DS22" s="112"/>
      <c r="DT22" s="112"/>
      <c r="DU22" s="111"/>
      <c r="DV22" s="114"/>
      <c r="DW22" s="80">
        <f t="shared" si="61"/>
        <v>54</v>
      </c>
      <c r="DX22" s="81">
        <f t="shared" si="28"/>
        <v>-2106</v>
      </c>
      <c r="DY22" s="80">
        <f t="shared" si="62"/>
        <v>0</v>
      </c>
      <c r="DZ22" s="82">
        <f t="shared" si="63"/>
        <v>0</v>
      </c>
      <c r="EA22" s="82">
        <f t="shared" si="64"/>
        <v>0</v>
      </c>
      <c r="EB22" s="82">
        <f t="shared" si="65"/>
        <v>29.538000000000004</v>
      </c>
      <c r="EC22" s="82">
        <f t="shared" si="76"/>
        <v>29.538000000000004</v>
      </c>
      <c r="EF22" s="83">
        <f t="shared" si="83"/>
        <v>-2160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0"/>
        <v>YHC3604-10.03x3-H9B12</v>
      </c>
      <c r="H23" s="46" t="str">
        <f t="shared" si="31"/>
        <v>C3604YH10.030DH9</v>
      </c>
      <c r="I23" s="46" t="str">
        <f t="shared" si="32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3"/>
        <v>34</v>
      </c>
      <c r="T23" s="51">
        <f>'07.02'!BG23</f>
        <v>42</v>
      </c>
      <c r="U23" s="92"/>
      <c r="V23" s="89">
        <v>4.05</v>
      </c>
      <c r="W23" s="93">
        <f t="shared" si="5"/>
        <v>0</v>
      </c>
      <c r="X23" s="93">
        <f t="shared" si="6"/>
        <v>0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0</v>
      </c>
      <c r="AE23" s="93">
        <f t="shared" si="34"/>
        <v>0</v>
      </c>
      <c r="AF23" s="54">
        <f>AE23+'07.02'!AF23</f>
        <v>14247</v>
      </c>
      <c r="AG23" s="94">
        <f t="shared" si="66"/>
        <v>42</v>
      </c>
      <c r="AH23" s="56">
        <f t="shared" si="13"/>
        <v>0</v>
      </c>
      <c r="AI23" s="93">
        <v>15</v>
      </c>
      <c r="AJ23" s="93">
        <f t="shared" si="67"/>
        <v>0</v>
      </c>
      <c r="AK23" s="95">
        <f t="shared" si="35"/>
        <v>1</v>
      </c>
      <c r="AL23" s="58">
        <f t="shared" si="36"/>
        <v>15</v>
      </c>
      <c r="AM23" s="55">
        <f t="shared" si="68"/>
        <v>27</v>
      </c>
      <c r="AN23" s="93"/>
      <c r="AO23" s="96"/>
      <c r="AP23" s="96">
        <f>$CJ23</f>
        <v>0</v>
      </c>
      <c r="AQ23" s="96"/>
      <c r="AR23" s="96"/>
      <c r="AS23" s="96"/>
      <c r="AT23" s="96"/>
      <c r="AU23" s="96">
        <f t="shared" si="37"/>
        <v>0</v>
      </c>
      <c r="AV23" s="96">
        <f t="shared" si="37"/>
        <v>0</v>
      </c>
      <c r="AW23" s="96">
        <f t="shared" si="38"/>
        <v>0</v>
      </c>
      <c r="AX23" s="96">
        <f t="shared" si="39"/>
        <v>0</v>
      </c>
      <c r="AY23" s="94">
        <f t="shared" si="69"/>
        <v>-7836.75</v>
      </c>
      <c r="AZ23" s="94">
        <f t="shared" si="40"/>
        <v>-1935</v>
      </c>
      <c r="BA23" s="94">
        <f t="shared" si="41"/>
        <v>27</v>
      </c>
      <c r="BB23" s="97">
        <f t="shared" si="42"/>
        <v>0</v>
      </c>
      <c r="BC23" s="93">
        <v>10</v>
      </c>
      <c r="BD23" s="93">
        <f t="shared" si="43"/>
        <v>0</v>
      </c>
      <c r="BE23" s="95">
        <f>IF(AA23="","",IF(BD23=0,1,BD23/$V23/$E23))</f>
        <v>1</v>
      </c>
      <c r="BF23" s="58">
        <f t="shared" si="45"/>
        <v>10</v>
      </c>
      <c r="BG23" s="94">
        <f t="shared" si="46"/>
        <v>17</v>
      </c>
      <c r="BH23" s="89"/>
      <c r="BI23" s="89"/>
      <c r="BJ23" s="92">
        <f>$CN23</f>
        <v>0</v>
      </c>
      <c r="BK23" s="89"/>
      <c r="BL23" s="89"/>
      <c r="BM23" s="89"/>
      <c r="BN23" s="89"/>
      <c r="BO23" s="92">
        <f t="shared" si="70"/>
        <v>0</v>
      </c>
      <c r="BP23" s="92">
        <f t="shared" si="70"/>
        <v>0</v>
      </c>
      <c r="BQ23" s="96">
        <f t="shared" si="47"/>
        <v>0</v>
      </c>
      <c r="BR23" s="96">
        <f t="shared" si="48"/>
        <v>0</v>
      </c>
      <c r="BS23" s="96">
        <f t="shared" si="71"/>
        <v>-5224.5</v>
      </c>
      <c r="BT23" s="96">
        <f t="shared" si="49"/>
        <v>-1290</v>
      </c>
      <c r="BU23" s="92">
        <f t="shared" si="16"/>
        <v>0</v>
      </c>
      <c r="BV23" s="98">
        <f t="shared" si="17"/>
        <v>25</v>
      </c>
      <c r="BW23" s="92">
        <f t="shared" si="18"/>
        <v>-3225</v>
      </c>
      <c r="BX23" s="98">
        <f t="shared" si="50"/>
        <v>50</v>
      </c>
      <c r="BY23" s="61">
        <f t="shared" si="74"/>
        <v>25</v>
      </c>
      <c r="BZ23" s="62">
        <f t="shared" si="51"/>
        <v>25</v>
      </c>
      <c r="CA23" s="98">
        <f t="shared" si="52"/>
        <v>0</v>
      </c>
      <c r="CB23" s="92">
        <f t="shared" si="19"/>
        <v>0</v>
      </c>
      <c r="CC23" s="92">
        <f t="shared" si="19"/>
        <v>-13061.25</v>
      </c>
      <c r="CD23" s="92">
        <f t="shared" si="19"/>
        <v>-3225</v>
      </c>
      <c r="CE23" s="99"/>
      <c r="CF23" s="99"/>
      <c r="CG23" s="51">
        <f t="shared" si="53"/>
        <v>50</v>
      </c>
      <c r="CH23" s="62">
        <f t="shared" si="54"/>
        <v>50</v>
      </c>
      <c r="CI23" s="89"/>
      <c r="CJ23" s="89"/>
      <c r="CK23" s="89"/>
      <c r="CL23" s="96"/>
      <c r="CM23" s="89"/>
      <c r="CN23" s="89"/>
      <c r="CO23" s="92"/>
      <c r="CP23" s="101"/>
      <c r="CQ23" s="102">
        <f t="shared" si="55"/>
        <v>0</v>
      </c>
      <c r="CR23" s="102">
        <f t="shared" si="20"/>
        <v>0</v>
      </c>
      <c r="CS23" s="102">
        <f t="shared" si="20"/>
        <v>0</v>
      </c>
      <c r="CT23" s="92">
        <f t="shared" si="56"/>
        <v>0</v>
      </c>
      <c r="CU23" s="92">
        <f t="shared" si="57"/>
        <v>0</v>
      </c>
      <c r="CV23" s="103">
        <f t="shared" si="57"/>
        <v>0</v>
      </c>
      <c r="CW23" s="104"/>
      <c r="CX23" s="105">
        <v>17</v>
      </c>
      <c r="CY23" s="106">
        <f t="shared" si="58"/>
        <v>2188</v>
      </c>
      <c r="CZ23" s="106">
        <f t="shared" si="59"/>
        <v>137.70000000000002</v>
      </c>
      <c r="DA23" s="106"/>
      <c r="DB23" s="106"/>
      <c r="DC23" s="105"/>
      <c r="DD23" s="107"/>
      <c r="DE23" s="92">
        <f t="shared" si="21"/>
        <v>0</v>
      </c>
      <c r="DF23" s="108">
        <f t="shared" si="22"/>
        <v>15</v>
      </c>
      <c r="DG23" s="112">
        <f t="shared" si="23"/>
        <v>-1935</v>
      </c>
      <c r="DH23" s="110">
        <f t="shared" si="24"/>
        <v>0</v>
      </c>
      <c r="DI23" s="108">
        <f t="shared" si="25"/>
        <v>10</v>
      </c>
      <c r="DJ23" s="112">
        <f t="shared" si="26"/>
        <v>-1290</v>
      </c>
      <c r="DK23" s="110">
        <f t="shared" si="27"/>
        <v>0</v>
      </c>
      <c r="DL23" s="108">
        <f t="shared" si="27"/>
        <v>25</v>
      </c>
      <c r="DM23" s="111">
        <f t="shared" si="27"/>
        <v>-3225</v>
      </c>
      <c r="DN23" s="76">
        <f t="shared" si="60"/>
        <v>42</v>
      </c>
      <c r="DO23" s="76">
        <f t="shared" si="72"/>
        <v>0</v>
      </c>
      <c r="DP23" s="112"/>
      <c r="DQ23" s="112"/>
      <c r="DR23" s="113" t="s">
        <v>521</v>
      </c>
      <c r="DS23" s="112"/>
      <c r="DT23" s="112"/>
      <c r="DU23" s="111"/>
      <c r="DV23" s="114"/>
      <c r="DW23" s="80">
        <f t="shared" ref="DW23:DW25" si="86">IFERROR(AL23+BF23,"")</f>
        <v>25</v>
      </c>
      <c r="DX23" s="81">
        <f t="shared" si="28"/>
        <v>-3200</v>
      </c>
      <c r="DY23" s="80">
        <f t="shared" si="62"/>
        <v>0</v>
      </c>
      <c r="DZ23" s="82">
        <f t="shared" si="63"/>
        <v>0</v>
      </c>
      <c r="EA23" s="82">
        <f t="shared" si="64"/>
        <v>0</v>
      </c>
      <c r="EB23" s="82">
        <f t="shared" si="65"/>
        <v>50</v>
      </c>
      <c r="EC23" s="82">
        <f>(BX23-CA23)+((AV23+BP23)/1000)</f>
        <v>50</v>
      </c>
      <c r="EF23" s="83">
        <f t="shared" si="83"/>
        <v>-3225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0"/>
        <v>GWA6063-T5-T18.15x8.6x3-H9A15</v>
      </c>
      <c r="H24" s="46" t="str">
        <f t="shared" si="31"/>
        <v>A6063-T5GW18.158.6TH9</v>
      </c>
      <c r="I24" s="46" t="str">
        <f t="shared" si="32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3"/>
        <v>14</v>
      </c>
      <c r="T24" s="51">
        <v>30</v>
      </c>
      <c r="U24" s="92"/>
      <c r="V24" s="89">
        <v>9.9</v>
      </c>
      <c r="W24" s="93">
        <f t="shared" si="5"/>
        <v>0</v>
      </c>
      <c r="X24" s="93">
        <f t="shared" si="6"/>
        <v>0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0</v>
      </c>
      <c r="AE24" s="93">
        <f t="shared" si="34"/>
        <v>0</v>
      </c>
      <c r="AF24" s="54">
        <f>AE24+'07.02'!AF24</f>
        <v>3510</v>
      </c>
      <c r="AG24" s="94">
        <f t="shared" si="66"/>
        <v>30</v>
      </c>
      <c r="AH24" s="56">
        <f t="shared" si="13"/>
        <v>0</v>
      </c>
      <c r="AI24" s="93">
        <v>4</v>
      </c>
      <c r="AJ24" s="93">
        <f t="shared" si="67"/>
        <v>0</v>
      </c>
      <c r="AK24" s="95">
        <f t="shared" si="35"/>
        <v>1</v>
      </c>
      <c r="AL24" s="58">
        <f t="shared" si="36"/>
        <v>4</v>
      </c>
      <c r="AM24" s="55">
        <f t="shared" si="68"/>
        <v>26</v>
      </c>
      <c r="AN24" s="93"/>
      <c r="AO24" s="96"/>
      <c r="AP24" s="96">
        <f>$CJ24</f>
        <v>0</v>
      </c>
      <c r="AQ24" s="96"/>
      <c r="AR24" s="96"/>
      <c r="AS24" s="96"/>
      <c r="AT24" s="96"/>
      <c r="AU24" s="96">
        <f t="shared" si="37"/>
        <v>0</v>
      </c>
      <c r="AV24" s="96">
        <f t="shared" si="37"/>
        <v>0</v>
      </c>
      <c r="AW24" s="96">
        <f t="shared" si="38"/>
        <v>0</v>
      </c>
      <c r="AX24" s="96">
        <f t="shared" si="39"/>
        <v>0</v>
      </c>
      <c r="AY24" s="94">
        <f t="shared" si="69"/>
        <v>-2692.8</v>
      </c>
      <c r="AZ24" s="94">
        <f t="shared" si="40"/>
        <v>-272</v>
      </c>
      <c r="BA24" s="94">
        <f t="shared" si="41"/>
        <v>26</v>
      </c>
      <c r="BB24" s="97">
        <f t="shared" si="42"/>
        <v>0</v>
      </c>
      <c r="BC24" s="93">
        <v>3</v>
      </c>
      <c r="BD24" s="93">
        <f t="shared" si="43"/>
        <v>0</v>
      </c>
      <c r="BE24" s="95">
        <f t="shared" si="44"/>
        <v>1</v>
      </c>
      <c r="BF24" s="58">
        <f t="shared" si="45"/>
        <v>3</v>
      </c>
      <c r="BG24" s="94">
        <f t="shared" si="46"/>
        <v>23</v>
      </c>
      <c r="BH24" s="89"/>
      <c r="BI24" s="89"/>
      <c r="BJ24" s="92">
        <f>$CN24</f>
        <v>0</v>
      </c>
      <c r="BK24" s="89"/>
      <c r="BL24" s="89"/>
      <c r="BM24" s="89"/>
      <c r="BN24" s="89"/>
      <c r="BO24" s="92">
        <f t="shared" si="70"/>
        <v>0</v>
      </c>
      <c r="BP24" s="92">
        <f t="shared" si="70"/>
        <v>0</v>
      </c>
      <c r="BQ24" s="96">
        <f t="shared" si="47"/>
        <v>0</v>
      </c>
      <c r="BR24" s="96">
        <f t="shared" si="48"/>
        <v>0</v>
      </c>
      <c r="BS24" s="96">
        <f t="shared" si="71"/>
        <v>-2019.6000000000001</v>
      </c>
      <c r="BT24" s="96">
        <f t="shared" si="49"/>
        <v>-204</v>
      </c>
      <c r="BU24" s="92">
        <f t="shared" si="16"/>
        <v>0</v>
      </c>
      <c r="BV24" s="98">
        <f t="shared" si="17"/>
        <v>7</v>
      </c>
      <c r="BW24" s="92">
        <f t="shared" si="18"/>
        <v>-476</v>
      </c>
      <c r="BX24" s="98">
        <f t="shared" si="50"/>
        <v>11.487</v>
      </c>
      <c r="BY24" s="61">
        <f t="shared" si="74"/>
        <v>7</v>
      </c>
      <c r="BZ24" s="62">
        <f t="shared" si="51"/>
        <v>7</v>
      </c>
      <c r="CA24" s="98">
        <f t="shared" si="52"/>
        <v>0</v>
      </c>
      <c r="CB24" s="92">
        <f t="shared" si="19"/>
        <v>0</v>
      </c>
      <c r="CC24" s="92">
        <f t="shared" si="19"/>
        <v>-4712.4000000000005</v>
      </c>
      <c r="CD24" s="92">
        <f t="shared" si="19"/>
        <v>-476</v>
      </c>
      <c r="CE24" s="99"/>
      <c r="CF24" s="99"/>
      <c r="CG24" s="51">
        <f t="shared" si="53"/>
        <v>11.487</v>
      </c>
      <c r="CH24" s="62">
        <f t="shared" si="54"/>
        <v>11.487</v>
      </c>
      <c r="CI24" s="89"/>
      <c r="CJ24" s="89"/>
      <c r="CK24" s="89"/>
      <c r="CL24" s="96"/>
      <c r="CM24" s="89"/>
      <c r="CN24" s="89"/>
      <c r="CO24" s="92"/>
      <c r="CP24" s="101"/>
      <c r="CQ24" s="102">
        <f t="shared" si="55"/>
        <v>0</v>
      </c>
      <c r="CR24" s="102">
        <f t="shared" si="55"/>
        <v>0</v>
      </c>
      <c r="CS24" s="102">
        <f t="shared" si="55"/>
        <v>0</v>
      </c>
      <c r="CT24" s="92">
        <f t="shared" si="56"/>
        <v>0</v>
      </c>
      <c r="CU24" s="92">
        <f t="shared" si="57"/>
        <v>0</v>
      </c>
      <c r="CV24" s="103">
        <f t="shared" si="57"/>
        <v>0</v>
      </c>
      <c r="CW24" s="104"/>
      <c r="CX24" s="105">
        <v>80.33</v>
      </c>
      <c r="CY24" s="106">
        <f t="shared" si="58"/>
        <v>507</v>
      </c>
      <c r="CZ24" s="106">
        <f t="shared" si="59"/>
        <v>650.673</v>
      </c>
      <c r="DA24" s="106"/>
      <c r="DB24" s="106"/>
      <c r="DC24" s="105"/>
      <c r="DD24" s="107"/>
      <c r="DE24" s="92">
        <f t="shared" si="21"/>
        <v>0</v>
      </c>
      <c r="DF24" s="108">
        <f t="shared" si="22"/>
        <v>4</v>
      </c>
      <c r="DG24" s="112">
        <f t="shared" si="23"/>
        <v>-272</v>
      </c>
      <c r="DH24" s="110">
        <f t="shared" si="24"/>
        <v>0</v>
      </c>
      <c r="DI24" s="108">
        <f t="shared" si="25"/>
        <v>3</v>
      </c>
      <c r="DJ24" s="112">
        <f t="shared" si="26"/>
        <v>-204</v>
      </c>
      <c r="DK24" s="110">
        <f t="shared" ref="DK24:DM87" si="87">IFERROR(DE24+DH24,"")</f>
        <v>0</v>
      </c>
      <c r="DL24" s="108">
        <f t="shared" si="87"/>
        <v>7</v>
      </c>
      <c r="DM24" s="111">
        <f t="shared" si="87"/>
        <v>-476</v>
      </c>
      <c r="DN24" s="76">
        <f t="shared" si="60"/>
        <v>30</v>
      </c>
      <c r="DO24" s="76">
        <f t="shared" si="72"/>
        <v>0</v>
      </c>
      <c r="DP24" s="112"/>
      <c r="DQ24" s="112"/>
      <c r="DR24" s="113" t="s">
        <v>522</v>
      </c>
      <c r="DS24" s="112"/>
      <c r="DT24" s="112"/>
      <c r="DU24" s="111"/>
      <c r="DV24" s="114"/>
      <c r="DW24" s="80">
        <f t="shared" si="86"/>
        <v>7</v>
      </c>
      <c r="DX24" s="81">
        <f t="shared" si="28"/>
        <v>-469</v>
      </c>
      <c r="DY24" s="80">
        <f t="shared" si="62"/>
        <v>0</v>
      </c>
      <c r="DZ24" s="82">
        <f t="shared" si="63"/>
        <v>0</v>
      </c>
      <c r="EA24" s="82">
        <f t="shared" si="64"/>
        <v>0</v>
      </c>
      <c r="EB24" s="82">
        <f t="shared" si="65"/>
        <v>11.487</v>
      </c>
      <c r="EC24" s="82">
        <f t="shared" si="76"/>
        <v>11.487</v>
      </c>
      <c r="EF24" s="83">
        <f t="shared" si="83"/>
        <v>-476</v>
      </c>
    </row>
    <row r="25" spans="1:136" hidden="1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0"/>
        <v>GWA6063-T5-17x3-H9B15</v>
      </c>
      <c r="H25" s="46" t="str">
        <f t="shared" si="31"/>
        <v>A6063-T5GW170DH9</v>
      </c>
      <c r="I25" s="46" t="str">
        <f t="shared" si="32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3"/>
        <v>16</v>
      </c>
      <c r="T25" s="51">
        <v>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4"/>
        <v>0</v>
      </c>
      <c r="AF25" s="54">
        <f>AE25+'07.02'!AF25</f>
        <v>0</v>
      </c>
      <c r="AG25" s="94">
        <f t="shared" si="66"/>
        <v>0</v>
      </c>
      <c r="AH25" s="56">
        <f t="shared" si="13"/>
        <v>0</v>
      </c>
      <c r="AI25" s="93"/>
      <c r="AJ25" s="93">
        <f t="shared" si="67"/>
        <v>0</v>
      </c>
      <c r="AK25" s="95">
        <f t="shared" si="35"/>
        <v>1</v>
      </c>
      <c r="AL25" s="58">
        <f t="shared" si="36"/>
        <v>0</v>
      </c>
      <c r="AM25" s="55">
        <f t="shared" si="68"/>
        <v>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7"/>
        <v>0</v>
      </c>
      <c r="AV25" s="96">
        <f t="shared" si="37"/>
        <v>0</v>
      </c>
      <c r="AW25" s="96">
        <f t="shared" si="38"/>
        <v>0</v>
      </c>
      <c r="AX25" s="96">
        <f t="shared" si="39"/>
        <v>0</v>
      </c>
      <c r="AY25" s="94">
        <f t="shared" si="69"/>
        <v>0</v>
      </c>
      <c r="AZ25" s="94">
        <f t="shared" si="40"/>
        <v>0</v>
      </c>
      <c r="BA25" s="94">
        <f t="shared" si="41"/>
        <v>0</v>
      </c>
      <c r="BB25" s="97">
        <f t="shared" si="42"/>
        <v>0</v>
      </c>
      <c r="BC25" s="93"/>
      <c r="BD25" s="93">
        <f t="shared" si="43"/>
        <v>0</v>
      </c>
      <c r="BE25" s="95">
        <f t="shared" si="44"/>
        <v>1</v>
      </c>
      <c r="BF25" s="58">
        <f t="shared" si="45"/>
        <v>0</v>
      </c>
      <c r="BG25" s="94">
        <f t="shared" si="46"/>
        <v>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0"/>
        <v>0</v>
      </c>
      <c r="BP25" s="92">
        <f t="shared" si="70"/>
        <v>0</v>
      </c>
      <c r="BQ25" s="96">
        <f t="shared" si="47"/>
        <v>0</v>
      </c>
      <c r="BR25" s="96">
        <f t="shared" si="48"/>
        <v>0</v>
      </c>
      <c r="BS25" s="96">
        <f t="shared" si="71"/>
        <v>0</v>
      </c>
      <c r="BT25" s="96">
        <f t="shared" si="49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0"/>
        <v>0</v>
      </c>
      <c r="BY25" s="61">
        <f t="shared" si="74"/>
        <v>0</v>
      </c>
      <c r="BZ25" s="62">
        <f t="shared" si="51"/>
        <v>0</v>
      </c>
      <c r="CA25" s="98">
        <f t="shared" si="52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3"/>
        <v>0</v>
      </c>
      <c r="CH25" s="62">
        <f t="shared" si="54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8">INT(IFERROR( CJ25/$V25,0))</f>
        <v>0</v>
      </c>
      <c r="CR25" s="102">
        <f t="shared" si="88"/>
        <v>0</v>
      </c>
      <c r="CS25" s="102">
        <f t="shared" si="88"/>
        <v>0</v>
      </c>
      <c r="CT25" s="92">
        <f t="shared" si="56"/>
        <v>0</v>
      </c>
      <c r="CU25" s="92">
        <f t="shared" ref="CU25:CV40" si="89">INT(IFERROR( AC25-CR25,0))</f>
        <v>0</v>
      </c>
      <c r="CV25" s="103">
        <f t="shared" si="89"/>
        <v>0</v>
      </c>
      <c r="CW25" s="104"/>
      <c r="CX25" s="105">
        <v>69.16</v>
      </c>
      <c r="CY25" s="106">
        <f t="shared" si="58"/>
        <v>585</v>
      </c>
      <c r="CZ25" s="106">
        <f t="shared" si="59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7"/>
        <v>0</v>
      </c>
      <c r="DL25" s="108">
        <f t="shared" si="87"/>
        <v>0</v>
      </c>
      <c r="DM25" s="111">
        <f t="shared" si="87"/>
        <v>0</v>
      </c>
      <c r="DN25" s="76">
        <f t="shared" si="60"/>
        <v>0</v>
      </c>
      <c r="DO25" s="76">
        <f t="shared" si="72"/>
        <v>0</v>
      </c>
      <c r="DP25" s="112"/>
      <c r="DQ25" s="112"/>
      <c r="DR25" s="113"/>
      <c r="DS25" s="112"/>
      <c r="DT25" s="112"/>
      <c r="DU25" s="111"/>
      <c r="DV25" s="114"/>
      <c r="DW25" s="80">
        <f t="shared" si="86"/>
        <v>0</v>
      </c>
      <c r="DX25" s="81">
        <f t="shared" si="28"/>
        <v>0</v>
      </c>
      <c r="DY25" s="80">
        <f t="shared" si="62"/>
        <v>0</v>
      </c>
      <c r="DZ25" s="82">
        <f t="shared" si="63"/>
        <v>0</v>
      </c>
      <c r="EA25" s="82">
        <f t="shared" si="64"/>
        <v>0</v>
      </c>
      <c r="EB25" s="82">
        <f t="shared" si="65"/>
        <v>0</v>
      </c>
      <c r="EC25" s="82">
        <f>(BX25-CA25)+((AV25+BP25)/1000)</f>
        <v>0</v>
      </c>
      <c r="EF25" s="83">
        <f t="shared" si="83"/>
        <v>0</v>
      </c>
    </row>
    <row r="26" spans="1:136" hidden="1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0"/>
        <v>-xx-</v>
      </c>
      <c r="H26" s="46" t="str">
        <f t="shared" si="31"/>
        <v/>
      </c>
      <c r="I26" s="46" t="str">
        <f t="shared" si="32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3"/>
        <v>#DIV/0!</v>
      </c>
      <c r="T26" s="51">
        <f>'07.02'!BG26</f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4"/>
        <v>0</v>
      </c>
      <c r="AF26" s="54">
        <f>AE26+'07.02'!AF26</f>
        <v>0</v>
      </c>
      <c r="AG26" s="94">
        <f t="shared" si="66"/>
        <v>0</v>
      </c>
      <c r="AH26" s="56">
        <f t="shared" si="13"/>
        <v>0</v>
      </c>
      <c r="AI26" s="93"/>
      <c r="AJ26" s="93">
        <f t="shared" si="67"/>
        <v>0</v>
      </c>
      <c r="AK26" s="95">
        <f t="shared" si="35"/>
        <v>1</v>
      </c>
      <c r="AL26" s="58">
        <f t="shared" si="36"/>
        <v>0</v>
      </c>
      <c r="AM26" s="55">
        <f t="shared" si="68"/>
        <v>0</v>
      </c>
      <c r="AN26" s="93"/>
      <c r="AO26" s="96"/>
      <c r="AP26" s="96"/>
      <c r="AQ26" s="96"/>
      <c r="AR26" s="96"/>
      <c r="AS26" s="96"/>
      <c r="AT26" s="96"/>
      <c r="AU26" s="96">
        <f t="shared" si="37"/>
        <v>0</v>
      </c>
      <c r="AV26" s="96">
        <f t="shared" si="37"/>
        <v>0</v>
      </c>
      <c r="AW26" s="96">
        <f t="shared" si="38"/>
        <v>0</v>
      </c>
      <c r="AX26" s="96">
        <f t="shared" si="39"/>
        <v>0</v>
      </c>
      <c r="AY26" s="94">
        <f t="shared" si="69"/>
        <v>0</v>
      </c>
      <c r="AZ26" s="94">
        <f t="shared" si="40"/>
        <v>0</v>
      </c>
      <c r="BA26" s="94">
        <f t="shared" si="41"/>
        <v>0</v>
      </c>
      <c r="BB26" s="97">
        <f t="shared" si="42"/>
        <v>0</v>
      </c>
      <c r="BC26" s="93"/>
      <c r="BD26" s="93">
        <f t="shared" si="43"/>
        <v>0</v>
      </c>
      <c r="BE26" s="95">
        <f t="shared" si="44"/>
        <v>1</v>
      </c>
      <c r="BF26" s="58">
        <f t="shared" si="45"/>
        <v>0</v>
      </c>
      <c r="BG26" s="94">
        <f t="shared" si="46"/>
        <v>0</v>
      </c>
      <c r="BH26" s="89"/>
      <c r="BI26" s="89"/>
      <c r="BJ26" s="89"/>
      <c r="BK26" s="89"/>
      <c r="BL26" s="89"/>
      <c r="BM26" s="89"/>
      <c r="BN26" s="89"/>
      <c r="BO26" s="92">
        <f t="shared" si="70"/>
        <v>0</v>
      </c>
      <c r="BP26" s="92">
        <f t="shared" si="70"/>
        <v>0</v>
      </c>
      <c r="BQ26" s="96">
        <f t="shared" si="47"/>
        <v>0</v>
      </c>
      <c r="BR26" s="96">
        <f t="shared" si="48"/>
        <v>0</v>
      </c>
      <c r="BS26" s="96">
        <f t="shared" si="71"/>
        <v>0</v>
      </c>
      <c r="BT26" s="96">
        <f t="shared" si="49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0"/>
        <v/>
      </c>
      <c r="BY26" s="61">
        <f t="shared" si="74"/>
        <v>0</v>
      </c>
      <c r="BZ26" s="62">
        <f t="shared" si="51"/>
        <v>0</v>
      </c>
      <c r="CA26" s="98">
        <f t="shared" si="52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3"/>
        <v>0</v>
      </c>
      <c r="CH26" s="62">
        <f t="shared" si="54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8"/>
        <v>0</v>
      </c>
      <c r="CR26" s="102">
        <f t="shared" si="88"/>
        <v>0</v>
      </c>
      <c r="CS26" s="102">
        <f t="shared" si="88"/>
        <v>0</v>
      </c>
      <c r="CT26" s="92">
        <f t="shared" si="56"/>
        <v>0</v>
      </c>
      <c r="CU26" s="92">
        <f t="shared" si="89"/>
        <v>0</v>
      </c>
      <c r="CV26" s="103">
        <f t="shared" si="89"/>
        <v>0</v>
      </c>
      <c r="CW26" s="104"/>
      <c r="CX26" s="105"/>
      <c r="CY26" s="106" t="e">
        <f t="shared" si="58"/>
        <v>#DIV/0!</v>
      </c>
      <c r="CZ26" s="106">
        <f t="shared" si="59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7"/>
        <v>0</v>
      </c>
      <c r="DL26" s="108">
        <f t="shared" si="87"/>
        <v>0</v>
      </c>
      <c r="DM26" s="111">
        <f t="shared" si="87"/>
        <v>0</v>
      </c>
      <c r="DN26" s="76">
        <f t="shared" si="60"/>
        <v>0</v>
      </c>
      <c r="DO26" s="76">
        <f t="shared" si="72"/>
        <v>0</v>
      </c>
      <c r="DP26" s="112"/>
      <c r="DQ26" s="112"/>
      <c r="DR26" s="113"/>
      <c r="DS26" s="112"/>
      <c r="DT26" s="112"/>
      <c r="DU26" s="111"/>
      <c r="DV26" s="114"/>
      <c r="DW26" s="80">
        <f t="shared" si="61"/>
        <v>0</v>
      </c>
      <c r="DX26" s="81">
        <f t="shared" si="28"/>
        <v>0</v>
      </c>
      <c r="DY26" s="80">
        <f t="shared" si="62"/>
        <v>0</v>
      </c>
      <c r="DZ26" s="82">
        <f t="shared" si="63"/>
        <v>0</v>
      </c>
      <c r="EA26" s="82">
        <f t="shared" si="64"/>
        <v>0</v>
      </c>
      <c r="EB26" s="82" t="e">
        <f t="shared" si="65"/>
        <v>#VALUE!</v>
      </c>
      <c r="EC26" s="82" t="e">
        <f t="shared" si="76"/>
        <v>#VALUE!</v>
      </c>
    </row>
    <row r="27" spans="1:136" hidden="1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0"/>
        <v>TVSUJ2-8.1x3-H9C13</v>
      </c>
      <c r="H27" s="46" t="str">
        <f t="shared" si="31"/>
        <v>SUJ2TV8.10DH9</v>
      </c>
      <c r="I27" s="46" t="str">
        <f t="shared" si="32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3"/>
        <v>52</v>
      </c>
      <c r="T27" s="51">
        <f>'07.02'!BG27</f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4"/>
        <v>0</v>
      </c>
      <c r="AF27" s="54">
        <f>AE27+'07.02'!AF27</f>
        <v>0</v>
      </c>
      <c r="AG27" s="94">
        <f t="shared" si="66"/>
        <v>0</v>
      </c>
      <c r="AH27" s="56">
        <f t="shared" si="13"/>
        <v>0</v>
      </c>
      <c r="AI27" s="93"/>
      <c r="AJ27" s="93">
        <f t="shared" si="67"/>
        <v>0</v>
      </c>
      <c r="AK27" s="95">
        <f t="shared" si="35"/>
        <v>1</v>
      </c>
      <c r="AL27" s="58">
        <f t="shared" si="36"/>
        <v>0</v>
      </c>
      <c r="AM27" s="55">
        <f t="shared" si="68"/>
        <v>0</v>
      </c>
      <c r="AN27" s="93"/>
      <c r="AO27" s="96"/>
      <c r="AP27" s="96">
        <f t="shared" ref="AP27:AP33" si="90">$CJ27</f>
        <v>0</v>
      </c>
      <c r="AQ27" s="96"/>
      <c r="AR27" s="96"/>
      <c r="AS27" s="96"/>
      <c r="AT27" s="96"/>
      <c r="AU27" s="96">
        <f t="shared" si="37"/>
        <v>0</v>
      </c>
      <c r="AV27" s="96">
        <f t="shared" si="37"/>
        <v>0</v>
      </c>
      <c r="AW27" s="96">
        <f t="shared" si="38"/>
        <v>0</v>
      </c>
      <c r="AX27" s="96">
        <f t="shared" si="39"/>
        <v>0</v>
      </c>
      <c r="AY27" s="94">
        <f t="shared" si="69"/>
        <v>0</v>
      </c>
      <c r="AZ27" s="94">
        <f t="shared" si="40"/>
        <v>0</v>
      </c>
      <c r="BA27" s="94">
        <f t="shared" si="41"/>
        <v>0</v>
      </c>
      <c r="BB27" s="97">
        <f t="shared" si="42"/>
        <v>0</v>
      </c>
      <c r="BC27" s="93"/>
      <c r="BD27" s="93">
        <f t="shared" si="43"/>
        <v>0</v>
      </c>
      <c r="BE27" s="95">
        <f t="shared" si="44"/>
        <v>1</v>
      </c>
      <c r="BF27" s="58">
        <f t="shared" si="45"/>
        <v>0</v>
      </c>
      <c r="BG27" s="94">
        <f t="shared" si="46"/>
        <v>0</v>
      </c>
      <c r="BH27" s="89"/>
      <c r="BI27" s="89"/>
      <c r="BJ27" s="92">
        <f t="shared" ref="BJ27:BJ33" si="91">$CN27</f>
        <v>0</v>
      </c>
      <c r="BK27" s="89"/>
      <c r="BL27" s="89"/>
      <c r="BM27" s="89"/>
      <c r="BN27" s="89"/>
      <c r="BO27" s="92">
        <f t="shared" si="70"/>
        <v>0</v>
      </c>
      <c r="BP27" s="92">
        <f t="shared" si="70"/>
        <v>0</v>
      </c>
      <c r="BQ27" s="96">
        <f t="shared" si="47"/>
        <v>0</v>
      </c>
      <c r="BR27" s="96">
        <f t="shared" si="48"/>
        <v>0</v>
      </c>
      <c r="BS27" s="96">
        <f t="shared" si="71"/>
        <v>0</v>
      </c>
      <c r="BT27" s="96">
        <f t="shared" si="49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0"/>
        <v>0</v>
      </c>
      <c r="BY27" s="61">
        <f t="shared" si="74"/>
        <v>0</v>
      </c>
      <c r="BZ27" s="62">
        <f t="shared" si="51"/>
        <v>0</v>
      </c>
      <c r="CA27" s="98">
        <f t="shared" si="52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3"/>
        <v>0</v>
      </c>
      <c r="CH27" s="62">
        <f t="shared" si="54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8"/>
        <v>0</v>
      </c>
      <c r="CR27" s="102">
        <f t="shared" si="88"/>
        <v>0</v>
      </c>
      <c r="CS27" s="102">
        <f t="shared" si="88"/>
        <v>0</v>
      </c>
      <c r="CT27" s="92">
        <f t="shared" si="56"/>
        <v>0</v>
      </c>
      <c r="CU27" s="92">
        <f t="shared" si="89"/>
        <v>0</v>
      </c>
      <c r="CV27" s="103">
        <f t="shared" si="89"/>
        <v>0</v>
      </c>
      <c r="CW27" s="104"/>
      <c r="CX27" s="105">
        <v>17</v>
      </c>
      <c r="CY27" s="106">
        <f t="shared" si="58"/>
        <v>1941</v>
      </c>
      <c r="CZ27" s="106">
        <f t="shared" si="59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7"/>
        <v>0</v>
      </c>
      <c r="DL27" s="108">
        <f t="shared" si="87"/>
        <v>0</v>
      </c>
      <c r="DM27" s="111">
        <f t="shared" si="87"/>
        <v>0</v>
      </c>
      <c r="DN27" s="76">
        <f t="shared" si="60"/>
        <v>0</v>
      </c>
      <c r="DO27" s="76">
        <f t="shared" si="72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1"/>
        <v>0</v>
      </c>
      <c r="DX27" s="81">
        <f t="shared" si="28"/>
        <v>0</v>
      </c>
      <c r="DY27" s="80">
        <f t="shared" si="62"/>
        <v>0</v>
      </c>
      <c r="DZ27" s="82">
        <f t="shared" si="63"/>
        <v>0</v>
      </c>
      <c r="EA27" s="82">
        <f t="shared" si="64"/>
        <v>0</v>
      </c>
      <c r="EB27" s="82">
        <f t="shared" si="65"/>
        <v>0</v>
      </c>
      <c r="EC27" s="82">
        <f t="shared" si="76"/>
        <v>0</v>
      </c>
      <c r="EF27" s="83">
        <f t="shared" ref="EF27:EF58" si="92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0"/>
        <v>GWA6063-T5-T18.15x8.6x3-H9A15</v>
      </c>
      <c r="H28" s="46" t="str">
        <f t="shared" si="31"/>
        <v>A6063-T5GW18.158.6TH9</v>
      </c>
      <c r="I28" s="46" t="str">
        <f t="shared" si="32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3"/>
        <v>18</v>
      </c>
      <c r="T28" s="51">
        <f>'07.02'!BG28</f>
        <v>20</v>
      </c>
      <c r="U28" s="92"/>
      <c r="V28" s="89">
        <v>7.7</v>
      </c>
      <c r="W28" s="93">
        <f t="shared" si="5"/>
        <v>0</v>
      </c>
      <c r="X28" s="93">
        <f t="shared" si="6"/>
        <v>0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0</v>
      </c>
      <c r="AE28" s="93">
        <f t="shared" si="34"/>
        <v>0</v>
      </c>
      <c r="AF28" s="54">
        <f>AE28+'07.02'!AF28</f>
        <v>7124</v>
      </c>
      <c r="AG28" s="94">
        <f t="shared" si="66"/>
        <v>20</v>
      </c>
      <c r="AH28" s="56">
        <f t="shared" si="13"/>
        <v>0</v>
      </c>
      <c r="AI28" s="93">
        <v>15</v>
      </c>
      <c r="AJ28" s="93">
        <f t="shared" si="67"/>
        <v>0</v>
      </c>
      <c r="AK28" s="95">
        <f t="shared" si="35"/>
        <v>1</v>
      </c>
      <c r="AL28" s="58">
        <f t="shared" si="36"/>
        <v>15</v>
      </c>
      <c r="AM28" s="55">
        <f t="shared" si="68"/>
        <v>5</v>
      </c>
      <c r="AN28" s="93"/>
      <c r="AO28" s="96"/>
      <c r="AP28" s="96">
        <f t="shared" si="90"/>
        <v>0</v>
      </c>
      <c r="AQ28" s="96"/>
      <c r="AR28" s="96"/>
      <c r="AS28" s="96"/>
      <c r="AT28" s="96"/>
      <c r="AU28" s="96">
        <f t="shared" si="37"/>
        <v>0</v>
      </c>
      <c r="AV28" s="96">
        <f t="shared" si="37"/>
        <v>0</v>
      </c>
      <c r="AW28" s="96">
        <f t="shared" si="38"/>
        <v>0</v>
      </c>
      <c r="AX28" s="96">
        <f t="shared" si="39"/>
        <v>0</v>
      </c>
      <c r="AY28" s="94">
        <f t="shared" si="69"/>
        <v>-10510.5</v>
      </c>
      <c r="AZ28" s="94">
        <f t="shared" si="40"/>
        <v>-1365</v>
      </c>
      <c r="BA28" s="94">
        <f t="shared" si="41"/>
        <v>5</v>
      </c>
      <c r="BB28" s="97">
        <f t="shared" si="42"/>
        <v>0</v>
      </c>
      <c r="BC28" s="93">
        <v>6</v>
      </c>
      <c r="BD28" s="93">
        <f t="shared" si="43"/>
        <v>0</v>
      </c>
      <c r="BE28" s="95">
        <f t="shared" si="44"/>
        <v>1</v>
      </c>
      <c r="BF28" s="58">
        <f t="shared" si="45"/>
        <v>6</v>
      </c>
      <c r="BG28" s="94">
        <f t="shared" si="46"/>
        <v>-1</v>
      </c>
      <c r="BH28" s="89"/>
      <c r="BI28" s="89"/>
      <c r="BJ28" s="92">
        <f t="shared" si="91"/>
        <v>0</v>
      </c>
      <c r="BK28" s="89"/>
      <c r="BL28" s="89"/>
      <c r="BM28" s="89"/>
      <c r="BN28" s="89"/>
      <c r="BO28" s="92">
        <f t="shared" si="70"/>
        <v>0</v>
      </c>
      <c r="BP28" s="92">
        <f t="shared" si="70"/>
        <v>0</v>
      </c>
      <c r="BQ28" s="96">
        <f t="shared" si="47"/>
        <v>0</v>
      </c>
      <c r="BR28" s="96">
        <f t="shared" si="48"/>
        <v>0</v>
      </c>
      <c r="BS28" s="96">
        <f t="shared" si="71"/>
        <v>-4204.2</v>
      </c>
      <c r="BT28" s="96">
        <f t="shared" si="49"/>
        <v>-546</v>
      </c>
      <c r="BU28" s="92">
        <f t="shared" si="16"/>
        <v>0</v>
      </c>
      <c r="BV28" s="98">
        <f t="shared" si="17"/>
        <v>21</v>
      </c>
      <c r="BW28" s="92">
        <f t="shared" si="18"/>
        <v>-1911</v>
      </c>
      <c r="BX28" s="98">
        <f t="shared" si="50"/>
        <v>34.460999999999999</v>
      </c>
      <c r="BY28" s="61">
        <f t="shared" si="74"/>
        <v>21</v>
      </c>
      <c r="BZ28" s="62">
        <f t="shared" si="51"/>
        <v>21</v>
      </c>
      <c r="CA28" s="98">
        <f t="shared" si="52"/>
        <v>0</v>
      </c>
      <c r="CB28" s="92">
        <f t="shared" si="19"/>
        <v>0</v>
      </c>
      <c r="CC28" s="92">
        <f t="shared" si="19"/>
        <v>-14714.7</v>
      </c>
      <c r="CD28" s="92">
        <f t="shared" si="19"/>
        <v>-1911</v>
      </c>
      <c r="CE28" s="99"/>
      <c r="CF28" s="99"/>
      <c r="CG28" s="51">
        <f t="shared" si="53"/>
        <v>34.460999999999999</v>
      </c>
      <c r="CH28" s="62">
        <f t="shared" si="54"/>
        <v>34.460999999999999</v>
      </c>
      <c r="CI28" s="89"/>
      <c r="CJ28" s="89"/>
      <c r="CK28" s="89"/>
      <c r="CL28" s="96"/>
      <c r="CM28" s="89"/>
      <c r="CN28" s="89"/>
      <c r="CO28" s="92"/>
      <c r="CP28" s="101"/>
      <c r="CQ28" s="102">
        <f t="shared" si="88"/>
        <v>0</v>
      </c>
      <c r="CR28" s="102">
        <f t="shared" si="88"/>
        <v>0</v>
      </c>
      <c r="CS28" s="102">
        <f t="shared" si="88"/>
        <v>0</v>
      </c>
      <c r="CT28" s="92">
        <f t="shared" si="56"/>
        <v>0</v>
      </c>
      <c r="CU28" s="92">
        <f t="shared" si="89"/>
        <v>0</v>
      </c>
      <c r="CV28" s="103">
        <f t="shared" si="89"/>
        <v>0</v>
      </c>
      <c r="CW28" s="104"/>
      <c r="CX28" s="105">
        <v>49.97</v>
      </c>
      <c r="CY28" s="106">
        <f t="shared" si="58"/>
        <v>804</v>
      </c>
      <c r="CZ28" s="106">
        <f t="shared" si="59"/>
        <v>404.75700000000001</v>
      </c>
      <c r="DA28" s="106"/>
      <c r="DB28" s="106"/>
      <c r="DC28" s="105"/>
      <c r="DD28" s="107"/>
      <c r="DE28" s="92">
        <f t="shared" si="21"/>
        <v>0</v>
      </c>
      <c r="DF28" s="108">
        <f t="shared" si="22"/>
        <v>15</v>
      </c>
      <c r="DG28" s="112">
        <f t="shared" si="23"/>
        <v>-1365</v>
      </c>
      <c r="DH28" s="110">
        <f t="shared" si="24"/>
        <v>0</v>
      </c>
      <c r="DI28" s="108">
        <f t="shared" si="25"/>
        <v>6</v>
      </c>
      <c r="DJ28" s="112">
        <f t="shared" si="26"/>
        <v>-546</v>
      </c>
      <c r="DK28" s="110">
        <f t="shared" si="87"/>
        <v>0</v>
      </c>
      <c r="DL28" s="108">
        <f t="shared" si="87"/>
        <v>21</v>
      </c>
      <c r="DM28" s="111">
        <f t="shared" si="87"/>
        <v>-1911</v>
      </c>
      <c r="DN28" s="76">
        <f t="shared" si="60"/>
        <v>20</v>
      </c>
      <c r="DO28" s="76">
        <f t="shared" si="72"/>
        <v>0</v>
      </c>
      <c r="DP28" s="112"/>
      <c r="DQ28" s="112"/>
      <c r="DR28" s="113" t="s">
        <v>523</v>
      </c>
      <c r="DS28" s="112"/>
      <c r="DT28" s="112"/>
      <c r="DU28" s="111"/>
      <c r="DV28" s="114"/>
      <c r="DW28" s="80">
        <f t="shared" si="61"/>
        <v>21</v>
      </c>
      <c r="DX28" s="81">
        <f t="shared" si="28"/>
        <v>-1890</v>
      </c>
      <c r="DY28" s="80">
        <f t="shared" si="62"/>
        <v>0</v>
      </c>
      <c r="DZ28" s="82">
        <f t="shared" si="63"/>
        <v>0</v>
      </c>
      <c r="EA28" s="82">
        <f t="shared" si="64"/>
        <v>0</v>
      </c>
      <c r="EB28" s="82">
        <f t="shared" si="65"/>
        <v>34.460999999999999</v>
      </c>
      <c r="EC28" s="82">
        <f t="shared" si="76"/>
        <v>34.460999999999999</v>
      </c>
      <c r="EF28" s="83">
        <f t="shared" si="92"/>
        <v>-1911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0"/>
        <v>TV12L14-11x2.5-H9C14</v>
      </c>
      <c r="H29" s="46" t="str">
        <f t="shared" si="31"/>
        <v>12L14TV110DH9</v>
      </c>
      <c r="I29" s="46" t="str">
        <f t="shared" si="32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3"/>
        <v>6</v>
      </c>
      <c r="T29" s="51">
        <v>14</v>
      </c>
      <c r="U29" s="92">
        <v>6</v>
      </c>
      <c r="V29" s="89">
        <v>2</v>
      </c>
      <c r="W29" s="93">
        <f t="shared" si="5"/>
        <v>0</v>
      </c>
      <c r="X29" s="93">
        <f t="shared" si="6"/>
        <v>0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0</v>
      </c>
      <c r="AE29" s="93">
        <f t="shared" si="34"/>
        <v>0</v>
      </c>
      <c r="AF29" s="54">
        <f>AE29+'07.02'!AF29</f>
        <v>26802</v>
      </c>
      <c r="AG29" s="94">
        <f t="shared" si="66"/>
        <v>14</v>
      </c>
      <c r="AH29" s="56">
        <f t="shared" si="13"/>
        <v>0</v>
      </c>
      <c r="AI29" s="93"/>
      <c r="AJ29" s="93">
        <f t="shared" si="67"/>
        <v>0</v>
      </c>
      <c r="AK29" s="95">
        <f t="shared" si="35"/>
        <v>1</v>
      </c>
      <c r="AL29" s="58">
        <f t="shared" si="36"/>
        <v>0</v>
      </c>
      <c r="AM29" s="55">
        <f t="shared" si="68"/>
        <v>20</v>
      </c>
      <c r="AN29" s="93"/>
      <c r="AO29" s="96"/>
      <c r="AP29" s="96">
        <f t="shared" si="90"/>
        <v>0</v>
      </c>
      <c r="AQ29" s="96"/>
      <c r="AR29" s="96"/>
      <c r="AS29" s="96"/>
      <c r="AT29" s="96"/>
      <c r="AU29" s="96">
        <f t="shared" si="37"/>
        <v>0</v>
      </c>
      <c r="AV29" s="96">
        <f t="shared" si="37"/>
        <v>0</v>
      </c>
      <c r="AW29" s="96">
        <f t="shared" si="38"/>
        <v>0</v>
      </c>
      <c r="AX29" s="96">
        <f t="shared" si="39"/>
        <v>0</v>
      </c>
      <c r="AY29" s="94">
        <f t="shared" si="69"/>
        <v>0</v>
      </c>
      <c r="AZ29" s="94">
        <f t="shared" si="40"/>
        <v>0</v>
      </c>
      <c r="BA29" s="94">
        <f t="shared" si="41"/>
        <v>20</v>
      </c>
      <c r="BB29" s="97">
        <f t="shared" si="42"/>
        <v>0</v>
      </c>
      <c r="BC29" s="93"/>
      <c r="BD29" s="93">
        <f t="shared" si="43"/>
        <v>0</v>
      </c>
      <c r="BE29" s="95">
        <f t="shared" si="44"/>
        <v>1</v>
      </c>
      <c r="BF29" s="58">
        <f t="shared" si="45"/>
        <v>0</v>
      </c>
      <c r="BG29" s="94">
        <f t="shared" si="46"/>
        <v>20</v>
      </c>
      <c r="BH29" s="89"/>
      <c r="BI29" s="89"/>
      <c r="BJ29" s="92">
        <f t="shared" si="91"/>
        <v>0</v>
      </c>
      <c r="BK29" s="89"/>
      <c r="BL29" s="89"/>
      <c r="BM29" s="89"/>
      <c r="BN29" s="92"/>
      <c r="BO29" s="92">
        <f t="shared" si="70"/>
        <v>0</v>
      </c>
      <c r="BP29" s="92">
        <f t="shared" si="70"/>
        <v>0</v>
      </c>
      <c r="BQ29" s="96">
        <f t="shared" si="47"/>
        <v>0</v>
      </c>
      <c r="BR29" s="96">
        <f t="shared" si="48"/>
        <v>0</v>
      </c>
      <c r="BS29" s="96">
        <f t="shared" si="71"/>
        <v>0</v>
      </c>
      <c r="BT29" s="96">
        <f t="shared" si="49"/>
        <v>0</v>
      </c>
      <c r="BU29" s="92">
        <f t="shared" si="16"/>
        <v>0</v>
      </c>
      <c r="BV29" s="98">
        <f t="shared" si="17"/>
        <v>0</v>
      </c>
      <c r="BW29" s="92">
        <f t="shared" si="18"/>
        <v>0</v>
      </c>
      <c r="BX29" s="98" t="str">
        <f t="shared" si="50"/>
        <v/>
      </c>
      <c r="BY29" s="61">
        <f>IFERROR(BF29+AL29,0)</f>
        <v>0</v>
      </c>
      <c r="BZ29" s="62">
        <f t="shared" si="51"/>
        <v>0</v>
      </c>
      <c r="CA29" s="98">
        <f t="shared" si="52"/>
        <v>0</v>
      </c>
      <c r="CB29" s="92">
        <f t="shared" si="19"/>
        <v>0</v>
      </c>
      <c r="CC29" s="92">
        <f t="shared" si="19"/>
        <v>0</v>
      </c>
      <c r="CD29" s="92">
        <f t="shared" si="19"/>
        <v>0</v>
      </c>
      <c r="CE29" s="99"/>
      <c r="CF29" s="99"/>
      <c r="CG29" s="51">
        <f t="shared" si="53"/>
        <v>0</v>
      </c>
      <c r="CH29" s="62">
        <f t="shared" si="54"/>
        <v>0</v>
      </c>
      <c r="CI29" s="89"/>
      <c r="CJ29" s="89"/>
      <c r="CK29" s="89"/>
      <c r="CL29" s="96"/>
      <c r="CM29" s="89"/>
      <c r="CN29" s="89"/>
      <c r="CO29" s="92"/>
      <c r="CP29" s="101"/>
      <c r="CQ29" s="102">
        <f t="shared" si="88"/>
        <v>0</v>
      </c>
      <c r="CR29" s="102">
        <f t="shared" si="88"/>
        <v>0</v>
      </c>
      <c r="CS29" s="102">
        <f t="shared" si="88"/>
        <v>0</v>
      </c>
      <c r="CT29" s="92">
        <f t="shared" si="56"/>
        <v>0</v>
      </c>
      <c r="CU29" s="92">
        <f t="shared" si="89"/>
        <v>0</v>
      </c>
      <c r="CV29" s="103">
        <f t="shared" si="89"/>
        <v>0</v>
      </c>
      <c r="CW29" s="104"/>
      <c r="CX29" s="105">
        <v>48</v>
      </c>
      <c r="CY29" s="106">
        <f t="shared" si="58"/>
        <v>875</v>
      </c>
      <c r="CZ29" s="106">
        <f t="shared" si="59"/>
        <v>388.8</v>
      </c>
      <c r="DA29" s="106"/>
      <c r="DB29" s="106"/>
      <c r="DC29" s="105"/>
      <c r="DD29" s="107"/>
      <c r="DE29" s="92">
        <f t="shared" si="21"/>
        <v>0</v>
      </c>
      <c r="DF29" s="108">
        <f t="shared" si="22"/>
        <v>0</v>
      </c>
      <c r="DG29" s="112">
        <f t="shared" si="23"/>
        <v>0</v>
      </c>
      <c r="DH29" s="110">
        <f t="shared" si="24"/>
        <v>0</v>
      </c>
      <c r="DI29" s="108">
        <f t="shared" si="25"/>
        <v>0</v>
      </c>
      <c r="DJ29" s="112">
        <f t="shared" si="26"/>
        <v>0</v>
      </c>
      <c r="DK29" s="110">
        <f t="shared" si="87"/>
        <v>0</v>
      </c>
      <c r="DL29" s="108">
        <f t="shared" si="87"/>
        <v>0</v>
      </c>
      <c r="DM29" s="111">
        <f t="shared" si="87"/>
        <v>0</v>
      </c>
      <c r="DN29" s="76">
        <f t="shared" si="60"/>
        <v>14</v>
      </c>
      <c r="DO29" s="76">
        <f t="shared" si="72"/>
        <v>6</v>
      </c>
      <c r="DP29" s="112"/>
      <c r="DQ29" s="112"/>
      <c r="DR29" s="113" t="s">
        <v>524</v>
      </c>
      <c r="DS29" s="112"/>
      <c r="DT29" s="112"/>
      <c r="DU29" s="111"/>
      <c r="DV29" s="114"/>
      <c r="DW29" s="80">
        <f>IFERROR(AL29+BF29,"")</f>
        <v>0</v>
      </c>
      <c r="DX29" s="81">
        <f t="shared" si="28"/>
        <v>0</v>
      </c>
      <c r="DY29" s="80">
        <f t="shared" si="62"/>
        <v>0</v>
      </c>
      <c r="DZ29" s="82">
        <f t="shared" si="63"/>
        <v>0</v>
      </c>
      <c r="EA29" s="82">
        <f t="shared" si="64"/>
        <v>0</v>
      </c>
      <c r="EB29" s="82" t="e">
        <f t="shared" si="65"/>
        <v>#VALUE!</v>
      </c>
      <c r="EC29" s="82" t="e">
        <f>(BX29-CA29)+((AV29+BP29)/1000)</f>
        <v>#VALUE!</v>
      </c>
      <c r="EF29" s="83">
        <f t="shared" si="92"/>
        <v>0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0"/>
        <v>GWA6063-T5-T15x8.6x3-H9E14</v>
      </c>
      <c r="H30" s="46" t="str">
        <f t="shared" si="31"/>
        <v>A6063-T5GW158.6TH9</v>
      </c>
      <c r="I30" s="46" t="str">
        <f t="shared" si="32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3"/>
        <v>26</v>
      </c>
      <c r="T30" s="51">
        <f>'07.02'!BG30</f>
        <v>31</v>
      </c>
      <c r="U30" s="92">
        <v>20</v>
      </c>
      <c r="V30" s="108">
        <v>3</v>
      </c>
      <c r="W30" s="93">
        <f t="shared" si="5"/>
        <v>0</v>
      </c>
      <c r="X30" s="93">
        <f t="shared" si="6"/>
        <v>0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0</v>
      </c>
      <c r="AE30" s="93">
        <f t="shared" si="34"/>
        <v>0</v>
      </c>
      <c r="AF30" s="54">
        <f>AE30+'07.02'!AF30</f>
        <v>21231</v>
      </c>
      <c r="AG30" s="94">
        <f t="shared" si="66"/>
        <v>31</v>
      </c>
      <c r="AH30" s="56">
        <f t="shared" si="13"/>
        <v>0</v>
      </c>
      <c r="AI30" s="93">
        <v>11</v>
      </c>
      <c r="AJ30" s="93">
        <f t="shared" si="67"/>
        <v>0</v>
      </c>
      <c r="AK30" s="95">
        <f t="shared" si="35"/>
        <v>1</v>
      </c>
      <c r="AL30" s="58">
        <f t="shared" si="36"/>
        <v>11</v>
      </c>
      <c r="AM30" s="55">
        <f t="shared" si="68"/>
        <v>40</v>
      </c>
      <c r="AN30" s="93"/>
      <c r="AO30" s="96"/>
      <c r="AP30" s="96">
        <f t="shared" si="90"/>
        <v>0</v>
      </c>
      <c r="AQ30" s="96"/>
      <c r="AR30" s="96"/>
      <c r="AS30" s="96"/>
      <c r="AT30" s="96"/>
      <c r="AU30" s="96">
        <f t="shared" si="37"/>
        <v>0</v>
      </c>
      <c r="AV30" s="96">
        <f t="shared" si="37"/>
        <v>0</v>
      </c>
      <c r="AW30" s="96">
        <f t="shared" si="38"/>
        <v>0</v>
      </c>
      <c r="AX30" s="96">
        <f t="shared" si="39"/>
        <v>0</v>
      </c>
      <c r="AY30" s="94">
        <f t="shared" si="69"/>
        <v>-5544</v>
      </c>
      <c r="AZ30" s="94">
        <f t="shared" si="40"/>
        <v>-1848</v>
      </c>
      <c r="BA30" s="94">
        <f t="shared" si="41"/>
        <v>40</v>
      </c>
      <c r="BB30" s="97">
        <f t="shared" si="42"/>
        <v>0</v>
      </c>
      <c r="BC30" s="93">
        <v>11</v>
      </c>
      <c r="BD30" s="93">
        <f t="shared" si="43"/>
        <v>0</v>
      </c>
      <c r="BE30" s="95">
        <f t="shared" si="44"/>
        <v>1</v>
      </c>
      <c r="BF30" s="58">
        <f t="shared" si="45"/>
        <v>11</v>
      </c>
      <c r="BG30" s="94">
        <f t="shared" si="46"/>
        <v>29</v>
      </c>
      <c r="BH30" s="89"/>
      <c r="BI30" s="89"/>
      <c r="BJ30" s="92">
        <f t="shared" si="91"/>
        <v>0</v>
      </c>
      <c r="BK30" s="89"/>
      <c r="BL30" s="89"/>
      <c r="BM30" s="89"/>
      <c r="BN30" s="89"/>
      <c r="BO30" s="92">
        <f t="shared" si="70"/>
        <v>0</v>
      </c>
      <c r="BP30" s="92">
        <f t="shared" si="70"/>
        <v>0</v>
      </c>
      <c r="BQ30" s="96">
        <f t="shared" si="47"/>
        <v>0</v>
      </c>
      <c r="BR30" s="96">
        <f t="shared" si="48"/>
        <v>0</v>
      </c>
      <c r="BS30" s="96">
        <f t="shared" si="71"/>
        <v>-5544</v>
      </c>
      <c r="BT30" s="96">
        <f t="shared" si="49"/>
        <v>-1848</v>
      </c>
      <c r="BU30" s="92">
        <f t="shared" si="16"/>
        <v>0</v>
      </c>
      <c r="BV30" s="98">
        <f t="shared" si="17"/>
        <v>22</v>
      </c>
      <c r="BW30" s="92">
        <f t="shared" si="18"/>
        <v>-3696</v>
      </c>
      <c r="BX30" s="98">
        <f t="shared" si="50"/>
        <v>16.61</v>
      </c>
      <c r="BY30" s="61">
        <f>IFERROR(BF30+AL30,0)</f>
        <v>22</v>
      </c>
      <c r="BZ30" s="62">
        <f t="shared" si="51"/>
        <v>22</v>
      </c>
      <c r="CA30" s="98">
        <f t="shared" si="52"/>
        <v>0</v>
      </c>
      <c r="CB30" s="92">
        <f t="shared" si="19"/>
        <v>0</v>
      </c>
      <c r="CC30" s="92">
        <f t="shared" si="19"/>
        <v>-11088</v>
      </c>
      <c r="CD30" s="92">
        <f t="shared" si="19"/>
        <v>-3696</v>
      </c>
      <c r="CE30" s="99"/>
      <c r="CF30" s="99"/>
      <c r="CG30" s="51">
        <f t="shared" si="53"/>
        <v>16.61</v>
      </c>
      <c r="CH30" s="62">
        <f t="shared" si="54"/>
        <v>16.61</v>
      </c>
      <c r="CI30" s="89"/>
      <c r="CJ30" s="89"/>
      <c r="CK30" s="89"/>
      <c r="CL30" s="96"/>
      <c r="CM30" s="89"/>
      <c r="CN30" s="89"/>
      <c r="CO30" s="92"/>
      <c r="CP30" s="101"/>
      <c r="CQ30" s="102">
        <f t="shared" si="88"/>
        <v>0</v>
      </c>
      <c r="CR30" s="102">
        <f t="shared" si="88"/>
        <v>0</v>
      </c>
      <c r="CS30" s="102">
        <f t="shared" si="88"/>
        <v>0</v>
      </c>
      <c r="CT30" s="92">
        <f t="shared" si="56"/>
        <v>0</v>
      </c>
      <c r="CU30" s="92">
        <f t="shared" si="89"/>
        <v>0</v>
      </c>
      <c r="CV30" s="103">
        <f t="shared" si="89"/>
        <v>0</v>
      </c>
      <c r="CW30" s="104"/>
      <c r="CX30" s="105">
        <v>18</v>
      </c>
      <c r="CY30" s="106">
        <f t="shared" si="58"/>
        <v>2150</v>
      </c>
      <c r="CZ30" s="106">
        <f t="shared" si="59"/>
        <v>145.80000000000001</v>
      </c>
      <c r="DA30" s="106"/>
      <c r="DB30" s="106"/>
      <c r="DC30" s="105"/>
      <c r="DD30" s="107"/>
      <c r="DE30" s="92">
        <f t="shared" si="21"/>
        <v>0</v>
      </c>
      <c r="DF30" s="108">
        <f t="shared" si="22"/>
        <v>11</v>
      </c>
      <c r="DG30" s="112">
        <f>IFERROR(AZ30,"")</f>
        <v>-1848</v>
      </c>
      <c r="DH30" s="110">
        <f t="shared" si="24"/>
        <v>0</v>
      </c>
      <c r="DI30" s="108">
        <f t="shared" si="25"/>
        <v>11</v>
      </c>
      <c r="DJ30" s="112">
        <f t="shared" si="26"/>
        <v>-1848</v>
      </c>
      <c r="DK30" s="110">
        <f t="shared" si="87"/>
        <v>0</v>
      </c>
      <c r="DL30" s="108">
        <f t="shared" si="87"/>
        <v>22</v>
      </c>
      <c r="DM30" s="111">
        <f t="shared" si="87"/>
        <v>-3696</v>
      </c>
      <c r="DN30" s="76">
        <f t="shared" si="60"/>
        <v>31</v>
      </c>
      <c r="DO30" s="76">
        <f t="shared" si="72"/>
        <v>20</v>
      </c>
      <c r="DP30" s="112"/>
      <c r="DQ30" s="112"/>
      <c r="DR30" s="113" t="s">
        <v>525</v>
      </c>
      <c r="DS30" s="112"/>
      <c r="DT30" s="112"/>
      <c r="DU30" s="111"/>
      <c r="DV30" s="114"/>
      <c r="DW30" s="80">
        <f t="shared" si="61"/>
        <v>22</v>
      </c>
      <c r="DX30" s="81">
        <f t="shared" si="28"/>
        <v>-3674</v>
      </c>
      <c r="DY30" s="80">
        <f t="shared" si="62"/>
        <v>0</v>
      </c>
      <c r="DZ30" s="82">
        <f t="shared" si="63"/>
        <v>0</v>
      </c>
      <c r="EA30" s="82">
        <f t="shared" si="64"/>
        <v>0</v>
      </c>
      <c r="EB30" s="82">
        <f t="shared" si="65"/>
        <v>16.61</v>
      </c>
      <c r="EC30" s="82">
        <f t="shared" si="76"/>
        <v>16.61</v>
      </c>
      <c r="EF30" s="83">
        <f t="shared" si="92"/>
        <v>-3696</v>
      </c>
    </row>
    <row r="31" spans="1:136" hidden="1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0"/>
        <v>YHC3604-4x3-H9A14</v>
      </c>
      <c r="H31" s="46" t="str">
        <f t="shared" si="31"/>
        <v>C3604YH40DH9</v>
      </c>
      <c r="I31" s="46" t="str">
        <f t="shared" si="32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3"/>
        <v>36</v>
      </c>
      <c r="T31" s="51">
        <f>'07.02'!BG31</f>
        <v>0</v>
      </c>
      <c r="U31" s="92"/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0</v>
      </c>
      <c r="AC31" s="93">
        <f t="shared" si="11"/>
        <v>0</v>
      </c>
      <c r="AD31" s="93">
        <f t="shared" si="12"/>
        <v>0</v>
      </c>
      <c r="AE31" s="93">
        <f t="shared" si="34"/>
        <v>0</v>
      </c>
      <c r="AF31" s="54">
        <f>AE31+'07.02'!AF31</f>
        <v>6974</v>
      </c>
      <c r="AG31" s="94">
        <f t="shared" si="66"/>
        <v>0</v>
      </c>
      <c r="AH31" s="56">
        <f t="shared" si="13"/>
        <v>0</v>
      </c>
      <c r="AI31" s="93"/>
      <c r="AJ31" s="93">
        <f t="shared" si="67"/>
        <v>0</v>
      </c>
      <c r="AK31" s="95">
        <f t="shared" si="35"/>
        <v>1</v>
      </c>
      <c r="AL31" s="58">
        <f t="shared" si="36"/>
        <v>0</v>
      </c>
      <c r="AM31" s="55">
        <f t="shared" si="68"/>
        <v>0</v>
      </c>
      <c r="AN31" s="93"/>
      <c r="AO31" s="96"/>
      <c r="AP31" s="96"/>
      <c r="AQ31" s="96"/>
      <c r="AR31" s="96"/>
      <c r="AS31" s="96"/>
      <c r="AT31" s="96">
        <f t="shared" ref="AT31" si="93">$CJ31</f>
        <v>0</v>
      </c>
      <c r="AU31" s="96">
        <f t="shared" si="37"/>
        <v>0</v>
      </c>
      <c r="AV31" s="96">
        <f t="shared" si="37"/>
        <v>0</v>
      </c>
      <c r="AW31" s="96">
        <f t="shared" si="38"/>
        <v>0</v>
      </c>
      <c r="AX31" s="96">
        <f t="shared" si="39"/>
        <v>0</v>
      </c>
      <c r="AY31" s="94">
        <f t="shared" si="69"/>
        <v>0</v>
      </c>
      <c r="AZ31" s="94">
        <f t="shared" si="40"/>
        <v>0</v>
      </c>
      <c r="BA31" s="94">
        <f t="shared" si="41"/>
        <v>0</v>
      </c>
      <c r="BB31" s="97">
        <f t="shared" si="42"/>
        <v>0</v>
      </c>
      <c r="BC31" s="93"/>
      <c r="BD31" s="93">
        <f t="shared" si="43"/>
        <v>0</v>
      </c>
      <c r="BE31" s="95">
        <f t="shared" si="44"/>
        <v>1</v>
      </c>
      <c r="BF31" s="58">
        <f t="shared" si="45"/>
        <v>0</v>
      </c>
      <c r="BG31" s="94">
        <f t="shared" si="46"/>
        <v>0</v>
      </c>
      <c r="BH31" s="89"/>
      <c r="BI31" s="89"/>
      <c r="BJ31" s="92"/>
      <c r="BK31" s="89"/>
      <c r="BL31" s="89"/>
      <c r="BM31" s="92"/>
      <c r="BN31" s="92">
        <f t="shared" ref="BN31" si="94">$CN31</f>
        <v>0</v>
      </c>
      <c r="BO31" s="92">
        <f t="shared" si="70"/>
        <v>0</v>
      </c>
      <c r="BP31" s="92">
        <f t="shared" si="70"/>
        <v>0</v>
      </c>
      <c r="BQ31" s="96">
        <f t="shared" si="47"/>
        <v>0</v>
      </c>
      <c r="BR31" s="96">
        <f t="shared" si="48"/>
        <v>0</v>
      </c>
      <c r="BS31" s="96">
        <f t="shared" si="71"/>
        <v>0</v>
      </c>
      <c r="BT31" s="96">
        <f t="shared" si="49"/>
        <v>0</v>
      </c>
      <c r="BU31" s="92">
        <f t="shared" si="16"/>
        <v>0</v>
      </c>
      <c r="BV31" s="98">
        <f t="shared" si="17"/>
        <v>0</v>
      </c>
      <c r="BW31" s="92">
        <f t="shared" si="18"/>
        <v>0</v>
      </c>
      <c r="BX31" s="98">
        <f t="shared" si="50"/>
        <v>0</v>
      </c>
      <c r="BY31" s="61">
        <f t="shared" si="74"/>
        <v>0</v>
      </c>
      <c r="BZ31" s="62">
        <f t="shared" si="51"/>
        <v>0</v>
      </c>
      <c r="CA31" s="98">
        <f t="shared" si="52"/>
        <v>0</v>
      </c>
      <c r="CB31" s="92">
        <f t="shared" si="19"/>
        <v>0</v>
      </c>
      <c r="CC31" s="92">
        <f t="shared" si="19"/>
        <v>0</v>
      </c>
      <c r="CD31" s="92">
        <f t="shared" si="19"/>
        <v>0</v>
      </c>
      <c r="CE31" s="99"/>
      <c r="CF31" s="99"/>
      <c r="CG31" s="51">
        <f t="shared" si="53"/>
        <v>0</v>
      </c>
      <c r="CH31" s="62">
        <f t="shared" si="54"/>
        <v>0</v>
      </c>
      <c r="CI31" s="89"/>
      <c r="CJ31" s="89"/>
      <c r="CK31" s="89"/>
      <c r="CL31" s="96"/>
      <c r="CM31" s="89"/>
      <c r="CN31" s="89"/>
      <c r="CO31" s="92"/>
      <c r="CP31" s="101"/>
      <c r="CQ31" s="102">
        <f t="shared" si="88"/>
        <v>0</v>
      </c>
      <c r="CR31" s="102">
        <f t="shared" si="88"/>
        <v>0</v>
      </c>
      <c r="CS31" s="102">
        <f t="shared" si="88"/>
        <v>0</v>
      </c>
      <c r="CT31" s="92">
        <f t="shared" si="56"/>
        <v>0</v>
      </c>
      <c r="CU31" s="92">
        <f t="shared" si="89"/>
        <v>0</v>
      </c>
      <c r="CV31" s="103">
        <f t="shared" si="89"/>
        <v>0</v>
      </c>
      <c r="CW31" s="104" t="s">
        <v>157</v>
      </c>
      <c r="CX31" s="105">
        <v>14</v>
      </c>
      <c r="CY31" s="106">
        <f t="shared" si="58"/>
        <v>3051</v>
      </c>
      <c r="CZ31" s="106">
        <f t="shared" si="59"/>
        <v>56.7</v>
      </c>
      <c r="DA31" s="106"/>
      <c r="DB31" s="106"/>
      <c r="DC31" s="105"/>
      <c r="DD31" s="107"/>
      <c r="DE31" s="92">
        <f t="shared" si="21"/>
        <v>0</v>
      </c>
      <c r="DF31" s="108">
        <f t="shared" si="22"/>
        <v>0</v>
      </c>
      <c r="DG31" s="112">
        <f t="shared" si="23"/>
        <v>0</v>
      </c>
      <c r="DH31" s="110">
        <f t="shared" si="24"/>
        <v>0</v>
      </c>
      <c r="DI31" s="108">
        <f t="shared" si="25"/>
        <v>0</v>
      </c>
      <c r="DJ31" s="112">
        <f t="shared" si="26"/>
        <v>0</v>
      </c>
      <c r="DK31" s="110">
        <f t="shared" si="87"/>
        <v>0</v>
      </c>
      <c r="DL31" s="108">
        <f t="shared" si="87"/>
        <v>0</v>
      </c>
      <c r="DM31" s="111">
        <f t="shared" si="87"/>
        <v>0</v>
      </c>
      <c r="DN31" s="76">
        <f t="shared" si="60"/>
        <v>0</v>
      </c>
      <c r="DO31" s="76">
        <f t="shared" si="72"/>
        <v>0</v>
      </c>
      <c r="DP31" s="112"/>
      <c r="DQ31" s="112"/>
      <c r="DR31" s="113"/>
      <c r="DS31" s="112"/>
      <c r="DT31" s="112"/>
      <c r="DU31" s="111"/>
      <c r="DV31" s="114"/>
      <c r="DW31" s="80">
        <f t="shared" si="61"/>
        <v>0</v>
      </c>
      <c r="DX31" s="81">
        <f t="shared" si="28"/>
        <v>0</v>
      </c>
      <c r="DY31" s="80">
        <f t="shared" si="62"/>
        <v>0</v>
      </c>
      <c r="DZ31" s="82">
        <f t="shared" si="63"/>
        <v>0</v>
      </c>
      <c r="EA31" s="82">
        <f t="shared" si="64"/>
        <v>0</v>
      </c>
      <c r="EB31" s="82">
        <f t="shared" si="65"/>
        <v>0</v>
      </c>
      <c r="EC31" s="82">
        <f t="shared" si="76"/>
        <v>0</v>
      </c>
      <c r="EF31" s="83">
        <f t="shared" si="92"/>
        <v>0</v>
      </c>
    </row>
    <row r="32" spans="1:136" ht="14.1" hidden="1" customHeight="1">
      <c r="A32" s="84">
        <v>25</v>
      </c>
      <c r="B32" s="85" t="s">
        <v>205</v>
      </c>
      <c r="C32" s="86"/>
      <c r="D32" s="119" t="s">
        <v>485</v>
      </c>
      <c r="E32" s="88">
        <v>97</v>
      </c>
      <c r="F32" s="89" t="s">
        <v>136</v>
      </c>
      <c r="G32" s="45" t="str">
        <f t="shared" si="30"/>
        <v>IBC3604-H7x3-H11C14</v>
      </c>
      <c r="H32" s="46" t="str">
        <f t="shared" si="31"/>
        <v>C3604IB70HH11</v>
      </c>
      <c r="I32" s="46" t="str">
        <f t="shared" si="32"/>
        <v>C3604IB70HH113C14</v>
      </c>
      <c r="J32" s="90" t="s">
        <v>148</v>
      </c>
      <c r="K32" s="90" t="s">
        <v>156</v>
      </c>
      <c r="L32" s="90">
        <v>7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1.08</v>
      </c>
      <c r="R32" s="90" t="s">
        <v>144</v>
      </c>
      <c r="S32" s="89">
        <f t="shared" si="33"/>
        <v>32</v>
      </c>
      <c r="T32" s="51">
        <f>'07.02'!BG32</f>
        <v>0</v>
      </c>
      <c r="U32" s="92"/>
      <c r="V32" s="89">
        <v>5.7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4"/>
        <v>0</v>
      </c>
      <c r="AF32" s="54">
        <f>AE32+'07.02'!AF32</f>
        <v>68</v>
      </c>
      <c r="AG32" s="94">
        <f t="shared" si="66"/>
        <v>0</v>
      </c>
      <c r="AH32" s="56">
        <f t="shared" si="13"/>
        <v>0</v>
      </c>
      <c r="AI32" s="93"/>
      <c r="AJ32" s="93">
        <f t="shared" si="67"/>
        <v>0</v>
      </c>
      <c r="AK32" s="95">
        <f t="shared" si="35"/>
        <v>1</v>
      </c>
      <c r="AL32" s="58">
        <f t="shared" si="36"/>
        <v>0</v>
      </c>
      <c r="AM32" s="55">
        <f t="shared" si="68"/>
        <v>0</v>
      </c>
      <c r="AN32" s="93"/>
      <c r="AO32" s="96"/>
      <c r="AP32" s="96"/>
      <c r="AQ32" s="96"/>
      <c r="AR32" s="96"/>
      <c r="AS32" s="96">
        <f t="shared" ref="AS32" si="95">$CJ32</f>
        <v>0</v>
      </c>
      <c r="AT32" s="96"/>
      <c r="AU32" s="96">
        <f t="shared" si="37"/>
        <v>0</v>
      </c>
      <c r="AV32" s="96">
        <f t="shared" si="37"/>
        <v>0</v>
      </c>
      <c r="AW32" s="96">
        <f t="shared" si="38"/>
        <v>0</v>
      </c>
      <c r="AX32" s="96">
        <f t="shared" si="39"/>
        <v>0</v>
      </c>
      <c r="AY32" s="94">
        <f t="shared" si="69"/>
        <v>0</v>
      </c>
      <c r="AZ32" s="94">
        <f t="shared" si="40"/>
        <v>0</v>
      </c>
      <c r="BA32" s="94">
        <f t="shared" si="41"/>
        <v>0</v>
      </c>
      <c r="BB32" s="97">
        <f t="shared" si="42"/>
        <v>0</v>
      </c>
      <c r="BC32" s="93"/>
      <c r="BD32" s="93">
        <f t="shared" si="43"/>
        <v>0</v>
      </c>
      <c r="BE32" s="95">
        <f t="shared" si="44"/>
        <v>1</v>
      </c>
      <c r="BF32" s="58">
        <f t="shared" si="45"/>
        <v>0</v>
      </c>
      <c r="BG32" s="94">
        <f t="shared" si="46"/>
        <v>0</v>
      </c>
      <c r="BH32" s="89"/>
      <c r="BI32" s="89"/>
      <c r="BJ32" s="92"/>
      <c r="BK32" s="89"/>
      <c r="BL32" s="89"/>
      <c r="BM32" s="92">
        <f t="shared" ref="BM32" si="96">$CN32</f>
        <v>0</v>
      </c>
      <c r="BN32" s="89"/>
      <c r="BO32" s="92">
        <f t="shared" si="70"/>
        <v>0</v>
      </c>
      <c r="BP32" s="92">
        <f t="shared" si="70"/>
        <v>0</v>
      </c>
      <c r="BQ32" s="96">
        <f t="shared" si="47"/>
        <v>0</v>
      </c>
      <c r="BR32" s="96">
        <f t="shared" si="48"/>
        <v>0</v>
      </c>
      <c r="BS32" s="96">
        <f t="shared" si="71"/>
        <v>0</v>
      </c>
      <c r="BT32" s="96">
        <f t="shared" si="49"/>
        <v>0</v>
      </c>
      <c r="BU32" s="92">
        <f t="shared" si="16"/>
        <v>0</v>
      </c>
      <c r="BV32" s="98">
        <f t="shared" si="17"/>
        <v>0</v>
      </c>
      <c r="BW32" s="92">
        <f t="shared" si="18"/>
        <v>0</v>
      </c>
      <c r="BX32" s="98">
        <f t="shared" si="50"/>
        <v>0</v>
      </c>
      <c r="BY32" s="61">
        <f t="shared" si="74"/>
        <v>0</v>
      </c>
      <c r="BZ32" s="62">
        <f t="shared" si="51"/>
        <v>0</v>
      </c>
      <c r="CA32" s="98">
        <f t="shared" si="52"/>
        <v>0</v>
      </c>
      <c r="CB32" s="92">
        <f t="shared" si="19"/>
        <v>0</v>
      </c>
      <c r="CC32" s="92">
        <f t="shared" si="19"/>
        <v>0</v>
      </c>
      <c r="CD32" s="92">
        <f t="shared" si="19"/>
        <v>0</v>
      </c>
      <c r="CE32" s="99"/>
      <c r="CF32" s="99"/>
      <c r="CG32" s="51">
        <f t="shared" si="53"/>
        <v>0</v>
      </c>
      <c r="CH32" s="62">
        <f t="shared" si="54"/>
        <v>0</v>
      </c>
      <c r="CI32" s="89"/>
      <c r="CJ32" s="89"/>
      <c r="CK32" s="89"/>
      <c r="CL32" s="96"/>
      <c r="CM32" s="89"/>
      <c r="CN32" s="89"/>
      <c r="CO32" s="92"/>
      <c r="CP32" s="101"/>
      <c r="CQ32" s="102">
        <f t="shared" si="88"/>
        <v>0</v>
      </c>
      <c r="CR32" s="102">
        <f t="shared" si="88"/>
        <v>0</v>
      </c>
      <c r="CS32" s="102">
        <f t="shared" si="88"/>
        <v>0</v>
      </c>
      <c r="CT32" s="92">
        <f t="shared" si="56"/>
        <v>0</v>
      </c>
      <c r="CU32" s="92">
        <f t="shared" si="89"/>
        <v>0</v>
      </c>
      <c r="CV32" s="103">
        <f t="shared" si="89"/>
        <v>0</v>
      </c>
      <c r="CW32" s="104"/>
      <c r="CX32" s="105">
        <v>24</v>
      </c>
      <c r="CY32" s="106">
        <f t="shared" si="58"/>
        <v>1562</v>
      </c>
      <c r="CZ32" s="106">
        <f t="shared" si="59"/>
        <v>194.4</v>
      </c>
      <c r="DA32" s="106"/>
      <c r="DB32" s="106"/>
      <c r="DC32" s="105"/>
      <c r="DD32" s="107"/>
      <c r="DE32" s="92">
        <f t="shared" si="21"/>
        <v>0</v>
      </c>
      <c r="DF32" s="108">
        <f t="shared" si="22"/>
        <v>0</v>
      </c>
      <c r="DG32" s="112">
        <f t="shared" si="23"/>
        <v>0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7"/>
        <v>0</v>
      </c>
      <c r="DL32" s="108">
        <f t="shared" si="87"/>
        <v>0</v>
      </c>
      <c r="DM32" s="111">
        <f t="shared" si="87"/>
        <v>0</v>
      </c>
      <c r="DN32" s="76">
        <f t="shared" si="60"/>
        <v>0</v>
      </c>
      <c r="DO32" s="76">
        <f t="shared" si="72"/>
        <v>0</v>
      </c>
      <c r="DP32" s="112"/>
      <c r="DQ32" s="112"/>
      <c r="DR32" s="113"/>
      <c r="DS32" s="112"/>
      <c r="DT32" s="112"/>
      <c r="DU32" s="111"/>
      <c r="DV32" s="114"/>
      <c r="DW32" s="80">
        <f t="shared" si="61"/>
        <v>0</v>
      </c>
      <c r="DX32" s="81">
        <f t="shared" si="28"/>
        <v>0</v>
      </c>
      <c r="DY32" s="80">
        <f t="shared" si="62"/>
        <v>0</v>
      </c>
      <c r="DZ32" s="82">
        <f t="shared" si="63"/>
        <v>0</v>
      </c>
      <c r="EA32" s="82">
        <f t="shared" si="64"/>
        <v>0</v>
      </c>
      <c r="EB32" s="82">
        <f t="shared" si="65"/>
        <v>0</v>
      </c>
      <c r="EC32" s="82">
        <f t="shared" si="76"/>
        <v>0</v>
      </c>
      <c r="EF32" s="83">
        <f t="shared" si="92"/>
        <v>0</v>
      </c>
    </row>
    <row r="33" spans="1:136" ht="15" customHeight="1">
      <c r="A33" s="84">
        <v>26</v>
      </c>
      <c r="B33" s="85" t="s">
        <v>210</v>
      </c>
      <c r="C33" s="86"/>
      <c r="D33" s="116" t="s">
        <v>491</v>
      </c>
      <c r="E33" s="88">
        <v>23</v>
      </c>
      <c r="F33" s="89" t="s">
        <v>147</v>
      </c>
      <c r="G33" s="45" t="str">
        <f t="shared" si="30"/>
        <v>YHC3604-4x3-H9A14</v>
      </c>
      <c r="H33" s="46" t="str">
        <f t="shared" si="31"/>
        <v>C3604YH40DH9</v>
      </c>
      <c r="I33" s="46" t="str">
        <f t="shared" si="32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3"/>
        <v>282</v>
      </c>
      <c r="T33" s="51">
        <f>'07.02'!BG33</f>
        <v>565</v>
      </c>
      <c r="U33" s="92"/>
      <c r="V33" s="89">
        <v>12.15</v>
      </c>
      <c r="W33" s="93">
        <f t="shared" si="5"/>
        <v>0</v>
      </c>
      <c r="X33" s="93">
        <f t="shared" si="6"/>
        <v>0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0</v>
      </c>
      <c r="AE33" s="93">
        <f t="shared" si="34"/>
        <v>0</v>
      </c>
      <c r="AF33" s="54">
        <f>AE33+'07.02'!AF33</f>
        <v>8856</v>
      </c>
      <c r="AG33" s="94">
        <f t="shared" si="66"/>
        <v>565</v>
      </c>
      <c r="AH33" s="56">
        <f t="shared" si="13"/>
        <v>0</v>
      </c>
      <c r="AI33" s="93"/>
      <c r="AJ33" s="93">
        <f t="shared" si="67"/>
        <v>0</v>
      </c>
      <c r="AK33" s="95">
        <f t="shared" si="35"/>
        <v>1</v>
      </c>
      <c r="AL33" s="58">
        <f t="shared" si="36"/>
        <v>0</v>
      </c>
      <c r="AM33" s="55">
        <f t="shared" si="68"/>
        <v>565</v>
      </c>
      <c r="AN33" s="93"/>
      <c r="AO33" s="96"/>
      <c r="AP33" s="96">
        <f t="shared" si="90"/>
        <v>0</v>
      </c>
      <c r="AQ33" s="96"/>
      <c r="AR33" s="96"/>
      <c r="AS33" s="96"/>
      <c r="AT33" s="96"/>
      <c r="AU33" s="96">
        <f t="shared" si="37"/>
        <v>0</v>
      </c>
      <c r="AV33" s="96">
        <f t="shared" si="37"/>
        <v>0</v>
      </c>
      <c r="AW33" s="96">
        <f t="shared" si="38"/>
        <v>0</v>
      </c>
      <c r="AX33" s="96">
        <f t="shared" si="39"/>
        <v>0</v>
      </c>
      <c r="AY33" s="94">
        <f t="shared" si="69"/>
        <v>0</v>
      </c>
      <c r="AZ33" s="94">
        <f t="shared" si="40"/>
        <v>0</v>
      </c>
      <c r="BA33" s="94">
        <f t="shared" si="41"/>
        <v>565</v>
      </c>
      <c r="BB33" s="97">
        <f t="shared" si="42"/>
        <v>0</v>
      </c>
      <c r="BC33" s="93">
        <v>128</v>
      </c>
      <c r="BD33" s="93">
        <f t="shared" si="43"/>
        <v>0</v>
      </c>
      <c r="BE33" s="95">
        <f t="shared" si="44"/>
        <v>1</v>
      </c>
      <c r="BF33" s="58">
        <f t="shared" si="45"/>
        <v>128</v>
      </c>
      <c r="BG33" s="94">
        <f t="shared" si="46"/>
        <v>437</v>
      </c>
      <c r="BH33" s="89"/>
      <c r="BI33" s="89"/>
      <c r="BJ33" s="92">
        <f t="shared" si="91"/>
        <v>0</v>
      </c>
      <c r="BK33" s="89"/>
      <c r="BL33" s="89"/>
      <c r="BM33" s="89"/>
      <c r="BN33" s="89"/>
      <c r="BO33" s="92">
        <f t="shared" si="70"/>
        <v>0</v>
      </c>
      <c r="BP33" s="92">
        <f t="shared" si="70"/>
        <v>0</v>
      </c>
      <c r="BQ33" s="96">
        <f t="shared" si="47"/>
        <v>0</v>
      </c>
      <c r="BR33" s="96">
        <f t="shared" si="48"/>
        <v>0</v>
      </c>
      <c r="BS33" s="96">
        <f t="shared" si="71"/>
        <v>-35769.599999999999</v>
      </c>
      <c r="BT33" s="96">
        <f t="shared" si="49"/>
        <v>-2944</v>
      </c>
      <c r="BU33" s="92">
        <f t="shared" si="16"/>
        <v>0</v>
      </c>
      <c r="BV33" s="98">
        <f t="shared" si="17"/>
        <v>128</v>
      </c>
      <c r="BW33" s="92">
        <f t="shared" si="18"/>
        <v>-2944</v>
      </c>
      <c r="BX33" s="98">
        <f t="shared" si="50"/>
        <v>40.704000000000001</v>
      </c>
      <c r="BY33" s="61">
        <f t="shared" si="74"/>
        <v>128</v>
      </c>
      <c r="BZ33" s="62">
        <f t="shared" si="51"/>
        <v>128</v>
      </c>
      <c r="CA33" s="98">
        <f t="shared" si="52"/>
        <v>0</v>
      </c>
      <c r="CB33" s="92">
        <f t="shared" si="19"/>
        <v>0</v>
      </c>
      <c r="CC33" s="92">
        <f t="shared" si="19"/>
        <v>-35769.599999999999</v>
      </c>
      <c r="CD33" s="92">
        <f t="shared" si="19"/>
        <v>-2944</v>
      </c>
      <c r="CE33" s="99"/>
      <c r="CF33" s="99"/>
      <c r="CG33" s="51">
        <f t="shared" si="53"/>
        <v>40.704000000000001</v>
      </c>
      <c r="CH33" s="62">
        <f t="shared" si="54"/>
        <v>40.704000000000001</v>
      </c>
      <c r="CI33" s="89"/>
      <c r="CJ33" s="89"/>
      <c r="CK33" s="89"/>
      <c r="CL33" s="96"/>
      <c r="CM33" s="89"/>
      <c r="CN33" s="89"/>
      <c r="CO33" s="92"/>
      <c r="CP33" s="101"/>
      <c r="CQ33" s="102">
        <f t="shared" si="88"/>
        <v>0</v>
      </c>
      <c r="CR33" s="102">
        <f t="shared" si="88"/>
        <v>0</v>
      </c>
      <c r="CS33" s="102">
        <f t="shared" si="88"/>
        <v>0</v>
      </c>
      <c r="CT33" s="92">
        <f t="shared" si="56"/>
        <v>0</v>
      </c>
      <c r="CU33" s="92">
        <f t="shared" si="89"/>
        <v>0</v>
      </c>
      <c r="CV33" s="103">
        <f t="shared" si="89"/>
        <v>0</v>
      </c>
      <c r="CW33" s="104" t="s">
        <v>157</v>
      </c>
      <c r="CX33" s="105">
        <v>12</v>
      </c>
      <c r="CY33" s="106">
        <f t="shared" si="58"/>
        <v>3246</v>
      </c>
      <c r="CZ33" s="106">
        <f t="shared" si="59"/>
        <v>48.6</v>
      </c>
      <c r="DA33" s="106"/>
      <c r="DB33" s="106"/>
      <c r="DC33" s="105"/>
      <c r="DD33" s="107"/>
      <c r="DE33" s="92">
        <f t="shared" si="21"/>
        <v>0</v>
      </c>
      <c r="DF33" s="108">
        <f t="shared" si="22"/>
        <v>0</v>
      </c>
      <c r="DG33" s="112">
        <f t="shared" si="23"/>
        <v>0</v>
      </c>
      <c r="DH33" s="110">
        <f t="shared" si="24"/>
        <v>0</v>
      </c>
      <c r="DI33" s="108">
        <f t="shared" si="25"/>
        <v>128</v>
      </c>
      <c r="DJ33" s="112">
        <f t="shared" si="26"/>
        <v>-2944</v>
      </c>
      <c r="DK33" s="110">
        <f t="shared" si="87"/>
        <v>0</v>
      </c>
      <c r="DL33" s="108">
        <f t="shared" si="87"/>
        <v>128</v>
      </c>
      <c r="DM33" s="111">
        <f t="shared" si="87"/>
        <v>-2944</v>
      </c>
      <c r="DN33" s="76">
        <f t="shared" si="60"/>
        <v>565</v>
      </c>
      <c r="DO33" s="76">
        <f t="shared" si="72"/>
        <v>0</v>
      </c>
      <c r="DP33" s="112"/>
      <c r="DQ33" s="112"/>
      <c r="DR33" s="113" t="s">
        <v>526</v>
      </c>
      <c r="DS33" s="112"/>
      <c r="DT33" s="112"/>
      <c r="DU33" s="111"/>
      <c r="DV33" s="114"/>
      <c r="DW33" s="80">
        <f t="shared" si="61"/>
        <v>128</v>
      </c>
      <c r="DX33" s="81">
        <f t="shared" si="28"/>
        <v>-2816</v>
      </c>
      <c r="DY33" s="80">
        <f t="shared" si="62"/>
        <v>0</v>
      </c>
      <c r="DZ33" s="82">
        <f t="shared" si="63"/>
        <v>0</v>
      </c>
      <c r="EA33" s="82">
        <f t="shared" si="64"/>
        <v>0</v>
      </c>
      <c r="EB33" s="82">
        <f t="shared" si="65"/>
        <v>40.704000000000001</v>
      </c>
      <c r="EC33" s="82">
        <f t="shared" si="76"/>
        <v>40.704000000000001</v>
      </c>
      <c r="EF33" s="83">
        <f t="shared" si="92"/>
        <v>-2944</v>
      </c>
    </row>
    <row r="34" spans="1:136" ht="14.1" hidden="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0"/>
        <v>SSSUS304K-4x3-H9A08</v>
      </c>
      <c r="H34" s="46" t="str">
        <f t="shared" si="31"/>
        <v>SUS304KSS40DH9</v>
      </c>
      <c r="I34" s="46" t="str">
        <f t="shared" si="32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3"/>
        <v>46</v>
      </c>
      <c r="T34" s="51">
        <f>'07.02'!BG34</f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4"/>
        <v>0</v>
      </c>
      <c r="AF34" s="54">
        <f>AE34+'07.02'!AF34</f>
        <v>0</v>
      </c>
      <c r="AG34" s="94">
        <f t="shared" si="66"/>
        <v>0</v>
      </c>
      <c r="AH34" s="56">
        <f t="shared" si="13"/>
        <v>0</v>
      </c>
      <c r="AI34" s="93"/>
      <c r="AJ34" s="93">
        <f t="shared" si="67"/>
        <v>0</v>
      </c>
      <c r="AK34" s="95">
        <f t="shared" si="35"/>
        <v>1</v>
      </c>
      <c r="AL34" s="58">
        <f t="shared" si="36"/>
        <v>0</v>
      </c>
      <c r="AM34" s="55">
        <f t="shared" si="68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7"/>
        <v>0</v>
      </c>
      <c r="AV34" s="96">
        <f t="shared" si="37"/>
        <v>0</v>
      </c>
      <c r="AW34" s="96">
        <f t="shared" si="38"/>
        <v>0</v>
      </c>
      <c r="AX34" s="96">
        <f t="shared" si="39"/>
        <v>0</v>
      </c>
      <c r="AY34" s="94">
        <f t="shared" si="69"/>
        <v>0</v>
      </c>
      <c r="AZ34" s="94">
        <f t="shared" si="40"/>
        <v>0</v>
      </c>
      <c r="BA34" s="94">
        <f t="shared" si="41"/>
        <v>0</v>
      </c>
      <c r="BB34" s="97">
        <f t="shared" si="42"/>
        <v>0</v>
      </c>
      <c r="BC34" s="93"/>
      <c r="BD34" s="93">
        <f t="shared" si="43"/>
        <v>0</v>
      </c>
      <c r="BE34" s="95">
        <f t="shared" si="44"/>
        <v>1</v>
      </c>
      <c r="BF34" s="58">
        <f t="shared" si="45"/>
        <v>0</v>
      </c>
      <c r="BG34" s="94">
        <f t="shared" si="46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0"/>
        <v>0</v>
      </c>
      <c r="BP34" s="92">
        <f t="shared" si="70"/>
        <v>0</v>
      </c>
      <c r="BQ34" s="96">
        <f t="shared" si="47"/>
        <v>0</v>
      </c>
      <c r="BR34" s="96">
        <f t="shared" si="48"/>
        <v>0</v>
      </c>
      <c r="BS34" s="96">
        <f t="shared" si="71"/>
        <v>0</v>
      </c>
      <c r="BT34" s="96">
        <f t="shared" si="49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0"/>
        <v>0</v>
      </c>
      <c r="BY34" s="61">
        <f>IFERROR(BF34+AL34,0)</f>
        <v>0</v>
      </c>
      <c r="BZ34" s="62">
        <f t="shared" si="51"/>
        <v>0</v>
      </c>
      <c r="CA34" s="98">
        <f t="shared" si="52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3"/>
        <v>0</v>
      </c>
      <c r="CH34" s="62">
        <f t="shared" si="54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8"/>
        <v>0</v>
      </c>
      <c r="CR34" s="102">
        <f t="shared" si="88"/>
        <v>0</v>
      </c>
      <c r="CS34" s="102">
        <f t="shared" si="88"/>
        <v>0</v>
      </c>
      <c r="CT34" s="92">
        <f t="shared" si="56"/>
        <v>0</v>
      </c>
      <c r="CU34" s="92">
        <f t="shared" si="89"/>
        <v>0</v>
      </c>
      <c r="CV34" s="103">
        <f t="shared" si="89"/>
        <v>0</v>
      </c>
      <c r="CW34" s="104"/>
      <c r="CX34" s="105">
        <v>8</v>
      </c>
      <c r="CY34" s="106">
        <f t="shared" si="58"/>
        <v>4312</v>
      </c>
      <c r="CZ34" s="106">
        <f t="shared" si="59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7"/>
        <v>0</v>
      </c>
      <c r="DL34" s="108">
        <f t="shared" si="87"/>
        <v>0</v>
      </c>
      <c r="DM34" s="111">
        <f t="shared" si="87"/>
        <v>0</v>
      </c>
      <c r="DN34" s="76">
        <f t="shared" si="60"/>
        <v>0</v>
      </c>
      <c r="DO34" s="76">
        <f t="shared" si="72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1"/>
        <v>0</v>
      </c>
      <c r="DX34" s="81">
        <f t="shared" si="28"/>
        <v>0</v>
      </c>
      <c r="DY34" s="80">
        <f t="shared" si="62"/>
        <v>0</v>
      </c>
      <c r="DZ34" s="82">
        <f t="shared" si="63"/>
        <v>0</v>
      </c>
      <c r="EA34" s="82">
        <f t="shared" si="64"/>
        <v>0</v>
      </c>
      <c r="EB34" s="82">
        <f t="shared" si="65"/>
        <v>0</v>
      </c>
      <c r="EC34" s="82">
        <f t="shared" ref="EC34:EC35" si="97">(BX34-CA34)+((AV34+BP34)/1000)</f>
        <v>0</v>
      </c>
      <c r="EF34" s="83">
        <f t="shared" si="92"/>
        <v>0</v>
      </c>
    </row>
    <row r="35" spans="1:136" ht="14.1" hidden="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0"/>
        <v>IBC3604-6.5x3-H9A14</v>
      </c>
      <c r="H35" s="46" t="str">
        <f t="shared" si="31"/>
        <v>C3604IB6.50DH9</v>
      </c>
      <c r="I35" s="46" t="str">
        <f t="shared" si="32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3"/>
        <v>34</v>
      </c>
      <c r="T35" s="51">
        <f>'07.02'!BG35</f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4"/>
        <v>0</v>
      </c>
      <c r="AF35" s="54">
        <f>AE35+'07.02'!AF35</f>
        <v>0</v>
      </c>
      <c r="AG35" s="94">
        <f t="shared" si="66"/>
        <v>0</v>
      </c>
      <c r="AH35" s="56">
        <f t="shared" si="13"/>
        <v>0</v>
      </c>
      <c r="AI35" s="93"/>
      <c r="AJ35" s="93">
        <f t="shared" si="67"/>
        <v>0</v>
      </c>
      <c r="AK35" s="95">
        <f t="shared" si="35"/>
        <v>1</v>
      </c>
      <c r="AL35" s="58">
        <f t="shared" si="36"/>
        <v>0</v>
      </c>
      <c r="AM35" s="55">
        <f t="shared" si="68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7"/>
        <v>0</v>
      </c>
      <c r="AV35" s="96">
        <f t="shared" si="37"/>
        <v>0</v>
      </c>
      <c r="AW35" s="96">
        <f t="shared" si="38"/>
        <v>0</v>
      </c>
      <c r="AX35" s="96">
        <f t="shared" si="39"/>
        <v>0</v>
      </c>
      <c r="AY35" s="94">
        <f t="shared" si="69"/>
        <v>0</v>
      </c>
      <c r="AZ35" s="94">
        <f t="shared" si="40"/>
        <v>0</v>
      </c>
      <c r="BA35" s="94">
        <f t="shared" si="41"/>
        <v>0</v>
      </c>
      <c r="BB35" s="97">
        <f t="shared" si="42"/>
        <v>0</v>
      </c>
      <c r="BC35" s="93"/>
      <c r="BD35" s="93">
        <f t="shared" si="43"/>
        <v>0</v>
      </c>
      <c r="BE35" s="95">
        <f t="shared" si="44"/>
        <v>1</v>
      </c>
      <c r="BF35" s="58">
        <f t="shared" si="45"/>
        <v>0</v>
      </c>
      <c r="BG35" s="94">
        <f t="shared" si="46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0"/>
        <v>0</v>
      </c>
      <c r="BP35" s="92">
        <f t="shared" si="70"/>
        <v>0</v>
      </c>
      <c r="BQ35" s="96">
        <f t="shared" si="47"/>
        <v>0</v>
      </c>
      <c r="BR35" s="96">
        <f t="shared" si="48"/>
        <v>0</v>
      </c>
      <c r="BS35" s="96">
        <f t="shared" si="71"/>
        <v>0</v>
      </c>
      <c r="BT35" s="96">
        <f t="shared" si="49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0"/>
        <v>0</v>
      </c>
      <c r="BY35" s="61">
        <f t="shared" si="74"/>
        <v>0</v>
      </c>
      <c r="BZ35" s="62">
        <f t="shared" si="51"/>
        <v>0</v>
      </c>
      <c r="CA35" s="98">
        <f t="shared" si="52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3"/>
        <v>0</v>
      </c>
      <c r="CH35" s="62">
        <f t="shared" si="54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8"/>
        <v>0</v>
      </c>
      <c r="CR35" s="102">
        <f t="shared" si="88"/>
        <v>0</v>
      </c>
      <c r="CS35" s="102">
        <f t="shared" si="88"/>
        <v>0</v>
      </c>
      <c r="CT35" s="92">
        <f t="shared" si="56"/>
        <v>0</v>
      </c>
      <c r="CU35" s="92">
        <f t="shared" si="89"/>
        <v>0</v>
      </c>
      <c r="CV35" s="103">
        <f t="shared" si="89"/>
        <v>0</v>
      </c>
      <c r="CW35" s="104" t="s">
        <v>147</v>
      </c>
      <c r="CX35" s="105">
        <v>13</v>
      </c>
      <c r="CY35" s="106">
        <f t="shared" si="58"/>
        <v>3073</v>
      </c>
      <c r="CZ35" s="106">
        <f t="shared" si="59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7"/>
        <v>0</v>
      </c>
      <c r="DL35" s="108">
        <f t="shared" si="87"/>
        <v>0</v>
      </c>
      <c r="DM35" s="111">
        <f t="shared" si="87"/>
        <v>0</v>
      </c>
      <c r="DN35" s="76">
        <f t="shared" si="60"/>
        <v>0</v>
      </c>
      <c r="DO35" s="76">
        <f t="shared" si="72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1"/>
        <v>0</v>
      </c>
      <c r="DX35" s="81">
        <f t="shared" si="28"/>
        <v>0</v>
      </c>
      <c r="DY35" s="80">
        <f t="shared" si="62"/>
        <v>0</v>
      </c>
      <c r="DZ35" s="82">
        <f t="shared" si="63"/>
        <v>0</v>
      </c>
      <c r="EA35" s="82">
        <f t="shared" si="64"/>
        <v>0</v>
      </c>
      <c r="EB35" s="82">
        <f t="shared" si="65"/>
        <v>0</v>
      </c>
      <c r="EC35" s="82">
        <f t="shared" si="97"/>
        <v>0</v>
      </c>
      <c r="EF35" s="83">
        <f t="shared" si="92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0"/>
        <v>TV12L14-5.97x2.5-H9B14</v>
      </c>
      <c r="H36" s="46" t="str">
        <f t="shared" si="31"/>
        <v>12L14TV5.970DH9</v>
      </c>
      <c r="I36" s="46" t="str">
        <f t="shared" si="32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3"/>
        <v>76</v>
      </c>
      <c r="T36" s="51">
        <f>'07.02'!BG36</f>
        <v>68</v>
      </c>
      <c r="U36" s="146">
        <v>32</v>
      </c>
      <c r="V36" s="135">
        <v>4.45</v>
      </c>
      <c r="W36" s="151">
        <f t="shared" si="5"/>
        <v>0</v>
      </c>
      <c r="X36" s="151">
        <f t="shared" si="6"/>
        <v>0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0</v>
      </c>
      <c r="AE36" s="151">
        <f t="shared" si="34"/>
        <v>0</v>
      </c>
      <c r="AF36" s="54">
        <f>AE36+'07.02'!AF36</f>
        <v>16163</v>
      </c>
      <c r="AG36" s="94">
        <f t="shared" si="66"/>
        <v>68</v>
      </c>
      <c r="AH36" s="56">
        <f t="shared" si="13"/>
        <v>0</v>
      </c>
      <c r="AI36" s="151">
        <v>35</v>
      </c>
      <c r="AJ36" s="93">
        <f t="shared" si="67"/>
        <v>0</v>
      </c>
      <c r="AK36" s="95">
        <f t="shared" si="35"/>
        <v>1</v>
      </c>
      <c r="AL36" s="58">
        <f t="shared" si="36"/>
        <v>35</v>
      </c>
      <c r="AM36" s="55">
        <f t="shared" si="68"/>
        <v>65</v>
      </c>
      <c r="AN36" s="151"/>
      <c r="AO36" s="145"/>
      <c r="AP36" s="145">
        <f>$CJ36</f>
        <v>0</v>
      </c>
      <c r="AQ36" s="145"/>
      <c r="AR36" s="145"/>
      <c r="AS36" s="145"/>
      <c r="AT36" s="145"/>
      <c r="AU36" s="145">
        <f t="shared" si="37"/>
        <v>0</v>
      </c>
      <c r="AV36" s="145">
        <f t="shared" si="37"/>
        <v>0</v>
      </c>
      <c r="AW36" s="145">
        <f t="shared" si="38"/>
        <v>0</v>
      </c>
      <c r="AX36" s="145">
        <f t="shared" si="39"/>
        <v>0</v>
      </c>
      <c r="AY36" s="94">
        <f t="shared" si="69"/>
        <v>-6230</v>
      </c>
      <c r="AZ36" s="94">
        <f t="shared" si="40"/>
        <v>-1400</v>
      </c>
      <c r="BA36" s="94">
        <f t="shared" si="41"/>
        <v>65</v>
      </c>
      <c r="BB36" s="97">
        <f t="shared" si="42"/>
        <v>0</v>
      </c>
      <c r="BC36" s="151">
        <v>29</v>
      </c>
      <c r="BD36" s="93">
        <f t="shared" si="43"/>
        <v>0</v>
      </c>
      <c r="BE36" s="152">
        <f t="shared" si="44"/>
        <v>1</v>
      </c>
      <c r="BF36" s="58">
        <f t="shared" si="45"/>
        <v>29</v>
      </c>
      <c r="BG36" s="94">
        <f t="shared" si="46"/>
        <v>36</v>
      </c>
      <c r="BH36" s="150"/>
      <c r="BI36" s="150"/>
      <c r="BJ36" s="146">
        <f>$CN36</f>
        <v>0</v>
      </c>
      <c r="BK36" s="150"/>
      <c r="BL36" s="150"/>
      <c r="BM36" s="150"/>
      <c r="BN36" s="146"/>
      <c r="BO36" s="146">
        <f t="shared" si="70"/>
        <v>0</v>
      </c>
      <c r="BP36" s="146">
        <f t="shared" si="70"/>
        <v>0</v>
      </c>
      <c r="BQ36" s="145">
        <f t="shared" si="47"/>
        <v>0</v>
      </c>
      <c r="BR36" s="145">
        <f t="shared" si="48"/>
        <v>0</v>
      </c>
      <c r="BS36" s="96">
        <f t="shared" si="71"/>
        <v>-5162</v>
      </c>
      <c r="BT36" s="145">
        <f t="shared" si="49"/>
        <v>-1160</v>
      </c>
      <c r="BU36" s="146">
        <f t="shared" si="16"/>
        <v>0</v>
      </c>
      <c r="BV36" s="98">
        <f t="shared" si="17"/>
        <v>64</v>
      </c>
      <c r="BW36" s="146">
        <f t="shared" si="18"/>
        <v>-2560</v>
      </c>
      <c r="BX36" s="153">
        <f t="shared" si="50"/>
        <v>35.008000000000003</v>
      </c>
      <c r="BY36" s="61">
        <f t="shared" si="74"/>
        <v>64</v>
      </c>
      <c r="BZ36" s="62">
        <f t="shared" si="51"/>
        <v>64</v>
      </c>
      <c r="CA36" s="98">
        <f t="shared" si="52"/>
        <v>0</v>
      </c>
      <c r="CB36" s="146">
        <f t="shared" si="19"/>
        <v>0</v>
      </c>
      <c r="CC36" s="146">
        <f t="shared" si="19"/>
        <v>-11392</v>
      </c>
      <c r="CD36" s="146">
        <f t="shared" si="19"/>
        <v>-2560</v>
      </c>
      <c r="CE36" s="99"/>
      <c r="CF36" s="99"/>
      <c r="CG36" s="51">
        <f t="shared" si="53"/>
        <v>35.008000000000003</v>
      </c>
      <c r="CH36" s="62">
        <f t="shared" si="54"/>
        <v>35.008000000000003</v>
      </c>
      <c r="CI36" s="150"/>
      <c r="CJ36" s="150"/>
      <c r="CK36" s="150"/>
      <c r="CL36" s="145"/>
      <c r="CM36" s="150"/>
      <c r="CN36" s="150"/>
      <c r="CO36" s="146"/>
      <c r="CP36" s="154"/>
      <c r="CQ36" s="102">
        <f t="shared" si="88"/>
        <v>0</v>
      </c>
      <c r="CR36" s="102">
        <f t="shared" si="88"/>
        <v>0</v>
      </c>
      <c r="CS36" s="102">
        <f t="shared" si="88"/>
        <v>0</v>
      </c>
      <c r="CT36" s="92">
        <f t="shared" si="56"/>
        <v>0</v>
      </c>
      <c r="CU36" s="92">
        <f t="shared" si="89"/>
        <v>0</v>
      </c>
      <c r="CV36" s="103">
        <f t="shared" si="89"/>
        <v>0</v>
      </c>
      <c r="CW36" s="155" t="s">
        <v>147</v>
      </c>
      <c r="CX36" s="156">
        <v>23</v>
      </c>
      <c r="CY36" s="157">
        <f t="shared" si="58"/>
        <v>1510</v>
      </c>
      <c r="CZ36" s="157">
        <f t="shared" si="59"/>
        <v>93.15</v>
      </c>
      <c r="DA36" s="157"/>
      <c r="DB36" s="157"/>
      <c r="DC36" s="156"/>
      <c r="DD36" s="158"/>
      <c r="DE36" s="92">
        <f t="shared" si="21"/>
        <v>0</v>
      </c>
      <c r="DF36" s="108">
        <f t="shared" si="22"/>
        <v>35</v>
      </c>
      <c r="DG36" s="112">
        <f t="shared" si="23"/>
        <v>-1400</v>
      </c>
      <c r="DH36" s="110">
        <f t="shared" si="24"/>
        <v>0</v>
      </c>
      <c r="DI36" s="108">
        <f t="shared" si="25"/>
        <v>29</v>
      </c>
      <c r="DJ36" s="112">
        <f t="shared" si="26"/>
        <v>-1160</v>
      </c>
      <c r="DK36" s="110">
        <f t="shared" si="87"/>
        <v>0</v>
      </c>
      <c r="DL36" s="108">
        <f t="shared" si="87"/>
        <v>64</v>
      </c>
      <c r="DM36" s="111">
        <f t="shared" si="87"/>
        <v>-2560</v>
      </c>
      <c r="DN36" s="76">
        <f t="shared" si="60"/>
        <v>68</v>
      </c>
      <c r="DO36" s="76">
        <f t="shared" si="72"/>
        <v>32</v>
      </c>
      <c r="DP36" s="112"/>
      <c r="DQ36" s="112"/>
      <c r="DR36" s="113" t="s">
        <v>527</v>
      </c>
      <c r="DS36" s="112"/>
      <c r="DT36" s="112"/>
      <c r="DU36" s="111"/>
      <c r="DV36" s="114"/>
      <c r="DW36" s="80">
        <f>IFERROR(AL36+BF36,"")</f>
        <v>64</v>
      </c>
      <c r="DX36" s="159">
        <f t="shared" si="28"/>
        <v>-2496</v>
      </c>
      <c r="DY36" s="80">
        <f t="shared" si="62"/>
        <v>0</v>
      </c>
      <c r="DZ36" s="82">
        <f t="shared" si="63"/>
        <v>0</v>
      </c>
      <c r="EA36" s="82">
        <f t="shared" si="64"/>
        <v>0</v>
      </c>
      <c r="EB36" s="82">
        <f t="shared" si="65"/>
        <v>35.008000000000003</v>
      </c>
      <c r="EC36" s="82">
        <f t="shared" si="76"/>
        <v>35.008000000000003</v>
      </c>
      <c r="EF36" s="83">
        <f t="shared" si="92"/>
        <v>-2560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0"/>
        <v>GAA5052-5.7x3-H9A14</v>
      </c>
      <c r="H37" s="46" t="str">
        <f t="shared" si="31"/>
        <v>A5052GA5.70DH9</v>
      </c>
      <c r="I37" s="46" t="str">
        <f t="shared" si="32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3"/>
        <v>18</v>
      </c>
      <c r="T37" s="51">
        <f>'07.02'!BG37</f>
        <v>30</v>
      </c>
      <c r="U37" s="92"/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34"/>
        <v>0</v>
      </c>
      <c r="AF37" s="54">
        <f>AE37+'07.02'!AF37</f>
        <v>2000</v>
      </c>
      <c r="AG37" s="94">
        <f t="shared" si="66"/>
        <v>30</v>
      </c>
      <c r="AH37" s="56">
        <f t="shared" si="13"/>
        <v>0</v>
      </c>
      <c r="AI37" s="93"/>
      <c r="AJ37" s="93">
        <f t="shared" si="67"/>
        <v>0</v>
      </c>
      <c r="AK37" s="95">
        <f t="shared" si="35"/>
        <v>1</v>
      </c>
      <c r="AL37" s="58">
        <f t="shared" si="36"/>
        <v>0</v>
      </c>
      <c r="AM37" s="55">
        <f t="shared" si="68"/>
        <v>30</v>
      </c>
      <c r="AN37" s="93"/>
      <c r="AO37" s="96"/>
      <c r="AP37" s="96"/>
      <c r="AQ37" s="96"/>
      <c r="AR37" s="96"/>
      <c r="AS37" s="96"/>
      <c r="AT37" s="96">
        <f>$CJ37</f>
        <v>0</v>
      </c>
      <c r="AU37" s="96">
        <f t="shared" si="37"/>
        <v>0</v>
      </c>
      <c r="AV37" s="96">
        <f t="shared" si="37"/>
        <v>0</v>
      </c>
      <c r="AW37" s="96">
        <f t="shared" si="38"/>
        <v>0</v>
      </c>
      <c r="AX37" s="96">
        <f t="shared" si="39"/>
        <v>0</v>
      </c>
      <c r="AY37" s="94">
        <f t="shared" si="69"/>
        <v>0</v>
      </c>
      <c r="AZ37" s="94">
        <f t="shared" si="40"/>
        <v>0</v>
      </c>
      <c r="BA37" s="94">
        <f t="shared" si="41"/>
        <v>30</v>
      </c>
      <c r="BB37" s="97">
        <f t="shared" si="42"/>
        <v>0</v>
      </c>
      <c r="BC37" s="93"/>
      <c r="BD37" s="93">
        <f t="shared" si="43"/>
        <v>0</v>
      </c>
      <c r="BE37" s="95">
        <f t="shared" si="44"/>
        <v>1</v>
      </c>
      <c r="BF37" s="58">
        <f t="shared" si="45"/>
        <v>0</v>
      </c>
      <c r="BG37" s="94">
        <f t="shared" si="46"/>
        <v>30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0"/>
        <v>0</v>
      </c>
      <c r="BP37" s="92">
        <f t="shared" si="70"/>
        <v>0</v>
      </c>
      <c r="BQ37" s="96">
        <f t="shared" si="47"/>
        <v>0</v>
      </c>
      <c r="BR37" s="96">
        <f t="shared" si="48"/>
        <v>0</v>
      </c>
      <c r="BS37" s="96">
        <f t="shared" si="71"/>
        <v>0</v>
      </c>
      <c r="BT37" s="96">
        <f t="shared" si="49"/>
        <v>0</v>
      </c>
      <c r="BU37" s="92">
        <f t="shared" si="16"/>
        <v>0</v>
      </c>
      <c r="BV37" s="98">
        <f t="shared" si="17"/>
        <v>0</v>
      </c>
      <c r="BW37" s="92">
        <f t="shared" si="18"/>
        <v>0</v>
      </c>
      <c r="BX37" s="98">
        <f t="shared" si="50"/>
        <v>0</v>
      </c>
      <c r="BY37" s="61">
        <f t="shared" si="74"/>
        <v>0</v>
      </c>
      <c r="BZ37" s="62">
        <f t="shared" si="51"/>
        <v>0</v>
      </c>
      <c r="CA37" s="98">
        <f t="shared" si="52"/>
        <v>0</v>
      </c>
      <c r="CB37" s="92">
        <f t="shared" si="19"/>
        <v>0</v>
      </c>
      <c r="CC37" s="92">
        <f t="shared" si="19"/>
        <v>0</v>
      </c>
      <c r="CD37" s="92">
        <f t="shared" si="19"/>
        <v>0</v>
      </c>
      <c r="CE37" s="99"/>
      <c r="CF37" s="99"/>
      <c r="CG37" s="51">
        <f t="shared" si="53"/>
        <v>0</v>
      </c>
      <c r="CH37" s="62">
        <f t="shared" si="54"/>
        <v>0</v>
      </c>
      <c r="CI37" s="89"/>
      <c r="CJ37" s="89"/>
      <c r="CK37" s="89"/>
      <c r="CL37" s="96"/>
      <c r="CM37" s="89"/>
      <c r="CN37" s="89"/>
      <c r="CO37" s="92"/>
      <c r="CP37" s="101"/>
      <c r="CQ37" s="102">
        <f t="shared" si="88"/>
        <v>0</v>
      </c>
      <c r="CR37" s="102">
        <f t="shared" si="88"/>
        <v>0</v>
      </c>
      <c r="CS37" s="102">
        <f t="shared" si="88"/>
        <v>0</v>
      </c>
      <c r="CT37" s="92">
        <f t="shared" si="56"/>
        <v>0</v>
      </c>
      <c r="CU37" s="92">
        <f t="shared" si="89"/>
        <v>0</v>
      </c>
      <c r="CV37" s="103">
        <f t="shared" si="89"/>
        <v>0</v>
      </c>
      <c r="CW37" s="104" t="s">
        <v>147</v>
      </c>
      <c r="CX37" s="105">
        <v>18</v>
      </c>
      <c r="CY37" s="106">
        <f t="shared" si="58"/>
        <v>2300</v>
      </c>
      <c r="CZ37" s="106">
        <f t="shared" si="59"/>
        <v>72.900000000000006</v>
      </c>
      <c r="DA37" s="106"/>
      <c r="DB37" s="106"/>
      <c r="DC37" s="105"/>
      <c r="DD37" s="107"/>
      <c r="DE37" s="92">
        <f t="shared" si="21"/>
        <v>0</v>
      </c>
      <c r="DF37" s="108">
        <f t="shared" si="22"/>
        <v>0</v>
      </c>
      <c r="DG37" s="112">
        <f t="shared" si="23"/>
        <v>0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7"/>
        <v>0</v>
      </c>
      <c r="DL37" s="108">
        <f t="shared" si="87"/>
        <v>0</v>
      </c>
      <c r="DM37" s="111">
        <f t="shared" si="87"/>
        <v>0</v>
      </c>
      <c r="DN37" s="76">
        <f t="shared" si="60"/>
        <v>30</v>
      </c>
      <c r="DO37" s="76">
        <f t="shared" si="72"/>
        <v>0</v>
      </c>
      <c r="DP37" s="112"/>
      <c r="DQ37" s="112"/>
      <c r="DR37" s="113" t="s">
        <v>528</v>
      </c>
      <c r="DS37" s="112"/>
      <c r="DT37" s="112"/>
      <c r="DU37" s="111"/>
      <c r="DV37" s="114"/>
      <c r="DW37" s="80">
        <f t="shared" si="61"/>
        <v>0</v>
      </c>
      <c r="DX37" s="81">
        <f t="shared" si="28"/>
        <v>0</v>
      </c>
      <c r="DY37" s="80">
        <f t="shared" si="62"/>
        <v>0</v>
      </c>
      <c r="DZ37" s="82">
        <f t="shared" si="63"/>
        <v>0</v>
      </c>
      <c r="EA37" s="82">
        <f t="shared" si="64"/>
        <v>0</v>
      </c>
      <c r="EB37" s="82">
        <f t="shared" si="65"/>
        <v>0</v>
      </c>
      <c r="EC37" s="82">
        <f t="shared" si="76"/>
        <v>0</v>
      </c>
      <c r="EF37" s="83">
        <f t="shared" si="92"/>
        <v>0</v>
      </c>
    </row>
    <row r="38" spans="1:136" s="143" customFormat="1" ht="14.1" hidden="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0"/>
        <v>MESUS303-5x3-H7B13</v>
      </c>
      <c r="H38" s="123" t="str">
        <f t="shared" si="31"/>
        <v>SUS303ME50DH7</v>
      </c>
      <c r="I38" s="123" t="str">
        <f t="shared" si="32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3"/>
        <v>4</v>
      </c>
      <c r="T38" s="51">
        <f>'07.02'!BG38</f>
        <v>0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4"/>
        <v>0</v>
      </c>
      <c r="AF38" s="54">
        <f>AE38+'07.02'!AF38</f>
        <v>0</v>
      </c>
      <c r="AG38" s="94">
        <f t="shared" si="66"/>
        <v>0</v>
      </c>
      <c r="AH38" s="56">
        <f t="shared" si="13"/>
        <v>0</v>
      </c>
      <c r="AI38" s="125"/>
      <c r="AJ38" s="93">
        <f t="shared" si="67"/>
        <v>0</v>
      </c>
      <c r="AK38" s="95">
        <f t="shared" si="35"/>
        <v>1</v>
      </c>
      <c r="AL38" s="58">
        <f t="shared" si="36"/>
        <v>0</v>
      </c>
      <c r="AM38" s="55">
        <f t="shared" si="68"/>
        <v>0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7"/>
        <v>0</v>
      </c>
      <c r="AV38" s="126">
        <f t="shared" si="37"/>
        <v>0</v>
      </c>
      <c r="AW38" s="126">
        <f t="shared" si="38"/>
        <v>0</v>
      </c>
      <c r="AX38" s="126">
        <f t="shared" si="39"/>
        <v>0</v>
      </c>
      <c r="AY38" s="162">
        <f t="shared" si="69"/>
        <v>0</v>
      </c>
      <c r="AZ38" s="94">
        <f t="shared" si="40"/>
        <v>0</v>
      </c>
      <c r="BA38" s="94">
        <f t="shared" si="41"/>
        <v>0</v>
      </c>
      <c r="BB38" s="97">
        <f t="shared" si="42"/>
        <v>0</v>
      </c>
      <c r="BC38" s="125"/>
      <c r="BD38" s="93">
        <f t="shared" si="43"/>
        <v>0</v>
      </c>
      <c r="BE38" s="127">
        <f t="shared" si="44"/>
        <v>1</v>
      </c>
      <c r="BF38" s="58">
        <f t="shared" si="45"/>
        <v>0</v>
      </c>
      <c r="BG38" s="94">
        <f t="shared" si="46"/>
        <v>0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0"/>
        <v>0</v>
      </c>
      <c r="BP38" s="124">
        <f t="shared" si="70"/>
        <v>0</v>
      </c>
      <c r="BQ38" s="126">
        <f t="shared" si="47"/>
        <v>0</v>
      </c>
      <c r="BR38" s="126">
        <f t="shared" si="48"/>
        <v>0</v>
      </c>
      <c r="BS38" s="126">
        <f t="shared" si="71"/>
        <v>0</v>
      </c>
      <c r="BT38" s="126">
        <f t="shared" si="49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0"/>
        <v>0</v>
      </c>
      <c r="BY38" s="129">
        <f t="shared" si="74"/>
        <v>0</v>
      </c>
      <c r="BZ38" s="62">
        <f t="shared" si="51"/>
        <v>0</v>
      </c>
      <c r="CA38" s="128">
        <f t="shared" si="52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3"/>
        <v>0</v>
      </c>
      <c r="CH38" s="62">
        <f t="shared" si="54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8"/>
        <v>0</v>
      </c>
      <c r="CR38" s="102">
        <f t="shared" si="88"/>
        <v>0</v>
      </c>
      <c r="CS38" s="102">
        <f t="shared" si="88"/>
        <v>0</v>
      </c>
      <c r="CT38" s="92">
        <f t="shared" si="56"/>
        <v>0</v>
      </c>
      <c r="CU38" s="92">
        <f t="shared" si="89"/>
        <v>0</v>
      </c>
      <c r="CV38" s="103">
        <f t="shared" si="89"/>
        <v>0</v>
      </c>
      <c r="CW38" s="131" t="s">
        <v>147</v>
      </c>
      <c r="CX38" s="132">
        <v>60</v>
      </c>
      <c r="CY38" s="133">
        <f t="shared" si="58"/>
        <v>714</v>
      </c>
      <c r="CZ38" s="133">
        <f t="shared" si="59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7"/>
        <v>0</v>
      </c>
      <c r="DL38" s="135">
        <f t="shared" si="87"/>
        <v>0</v>
      </c>
      <c r="DM38" s="137">
        <f t="shared" si="87"/>
        <v>0</v>
      </c>
      <c r="DN38" s="76">
        <f t="shared" si="60"/>
        <v>0</v>
      </c>
      <c r="DO38" s="76">
        <f t="shared" si="72"/>
        <v>0</v>
      </c>
      <c r="DP38" s="115"/>
      <c r="DQ38" s="115"/>
      <c r="DR38" s="138"/>
      <c r="DS38" s="115"/>
      <c r="DT38" s="115"/>
      <c r="DU38" s="137"/>
      <c r="DV38" s="139"/>
      <c r="DW38" s="140">
        <f t="shared" si="61"/>
        <v>0</v>
      </c>
      <c r="DX38" s="141">
        <f t="shared" si="28"/>
        <v>0</v>
      </c>
      <c r="DY38" s="140">
        <f t="shared" si="62"/>
        <v>0</v>
      </c>
      <c r="DZ38" s="142">
        <f t="shared" si="63"/>
        <v>0</v>
      </c>
      <c r="EA38" s="142">
        <f t="shared" si="64"/>
        <v>0</v>
      </c>
      <c r="EB38" s="142">
        <f t="shared" si="65"/>
        <v>0</v>
      </c>
      <c r="EC38" s="142">
        <f t="shared" si="76"/>
        <v>0</v>
      </c>
      <c r="EF38" s="83">
        <f t="shared" si="92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0"/>
        <v>GAA5052-5.7x3-H9A14</v>
      </c>
      <c r="H39" s="46" t="str">
        <f t="shared" si="31"/>
        <v>A5052GA5.70DH9</v>
      </c>
      <c r="I39" s="46" t="str">
        <f t="shared" si="32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3"/>
        <v>10</v>
      </c>
      <c r="T39" s="51">
        <f>'07.02'!BG39</f>
        <v>30</v>
      </c>
      <c r="U39" s="92"/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4"/>
        <v>0</v>
      </c>
      <c r="AF39" s="54">
        <f>AE39+'07.02'!AF39</f>
        <v>0</v>
      </c>
      <c r="AG39" s="94">
        <f t="shared" si="66"/>
        <v>30</v>
      </c>
      <c r="AH39" s="56">
        <f t="shared" si="13"/>
        <v>0</v>
      </c>
      <c r="AI39" s="93"/>
      <c r="AJ39" s="93">
        <f t="shared" si="67"/>
        <v>0</v>
      </c>
      <c r="AK39" s="95">
        <f t="shared" si="35"/>
        <v>1</v>
      </c>
      <c r="AL39" s="58">
        <f t="shared" si="36"/>
        <v>0</v>
      </c>
      <c r="AM39" s="55">
        <f t="shared" si="68"/>
        <v>30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7"/>
        <v>0</v>
      </c>
      <c r="AV39" s="96">
        <f t="shared" si="37"/>
        <v>0</v>
      </c>
      <c r="AW39" s="96">
        <f t="shared" si="38"/>
        <v>0</v>
      </c>
      <c r="AX39" s="96">
        <f t="shared" si="39"/>
        <v>0</v>
      </c>
      <c r="AY39" s="94">
        <f t="shared" si="69"/>
        <v>0</v>
      </c>
      <c r="AZ39" s="94">
        <f t="shared" si="40"/>
        <v>0</v>
      </c>
      <c r="BA39" s="94">
        <f t="shared" si="41"/>
        <v>30</v>
      </c>
      <c r="BB39" s="97">
        <f t="shared" si="42"/>
        <v>0</v>
      </c>
      <c r="BC39" s="93"/>
      <c r="BD39" s="93">
        <f t="shared" si="43"/>
        <v>0</v>
      </c>
      <c r="BE39" s="95">
        <f t="shared" si="44"/>
        <v>1</v>
      </c>
      <c r="BF39" s="58">
        <f t="shared" si="45"/>
        <v>0</v>
      </c>
      <c r="BG39" s="94">
        <f t="shared" si="46"/>
        <v>30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0"/>
        <v>0</v>
      </c>
      <c r="BP39" s="92">
        <f t="shared" si="70"/>
        <v>0</v>
      </c>
      <c r="BQ39" s="96">
        <f t="shared" si="47"/>
        <v>0</v>
      </c>
      <c r="BR39" s="96">
        <f t="shared" si="48"/>
        <v>0</v>
      </c>
      <c r="BS39" s="96">
        <f t="shared" si="71"/>
        <v>0</v>
      </c>
      <c r="BT39" s="96">
        <f t="shared" si="49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0"/>
        <v>0</v>
      </c>
      <c r="BY39" s="61">
        <f t="shared" si="74"/>
        <v>0</v>
      </c>
      <c r="BZ39" s="62">
        <f t="shared" si="51"/>
        <v>0</v>
      </c>
      <c r="CA39" s="98">
        <f t="shared" si="52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3"/>
        <v>0</v>
      </c>
      <c r="CH39" s="62">
        <f t="shared" si="54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8"/>
        <v>0</v>
      </c>
      <c r="CR39" s="102">
        <f t="shared" si="88"/>
        <v>0</v>
      </c>
      <c r="CS39" s="102">
        <f t="shared" si="88"/>
        <v>0</v>
      </c>
      <c r="CT39" s="92">
        <f t="shared" si="56"/>
        <v>0</v>
      </c>
      <c r="CU39" s="92">
        <f t="shared" si="89"/>
        <v>0</v>
      </c>
      <c r="CV39" s="103">
        <f t="shared" si="89"/>
        <v>0</v>
      </c>
      <c r="CW39" s="104" t="s">
        <v>147</v>
      </c>
      <c r="CX39" s="105">
        <v>35</v>
      </c>
      <c r="CY39" s="106">
        <f t="shared" si="58"/>
        <v>1203</v>
      </c>
      <c r="CZ39" s="106">
        <f t="shared" si="59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7"/>
        <v>0</v>
      </c>
      <c r="DL39" s="108">
        <f t="shared" si="87"/>
        <v>0</v>
      </c>
      <c r="DM39" s="111">
        <f t="shared" si="87"/>
        <v>0</v>
      </c>
      <c r="DN39" s="76">
        <f t="shared" si="60"/>
        <v>30</v>
      </c>
      <c r="DO39" s="76">
        <f t="shared" si="72"/>
        <v>0</v>
      </c>
      <c r="DP39" s="112"/>
      <c r="DQ39" s="112"/>
      <c r="DR39" s="113" t="s">
        <v>529</v>
      </c>
      <c r="DS39" s="112"/>
      <c r="DT39" s="112"/>
      <c r="DU39" s="111"/>
      <c r="DV39" s="114"/>
      <c r="DW39" s="80">
        <f t="shared" si="61"/>
        <v>0</v>
      </c>
      <c r="DX39" s="81">
        <f t="shared" si="28"/>
        <v>0</v>
      </c>
      <c r="DY39" s="80">
        <f t="shared" si="62"/>
        <v>0</v>
      </c>
      <c r="DZ39" s="82">
        <f t="shared" si="63"/>
        <v>0</v>
      </c>
      <c r="EA39" s="82">
        <f t="shared" si="64"/>
        <v>0</v>
      </c>
      <c r="EB39" s="82">
        <f t="shared" si="65"/>
        <v>0</v>
      </c>
      <c r="EC39" s="82">
        <f t="shared" si="76"/>
        <v>0</v>
      </c>
      <c r="EF39" s="83">
        <f t="shared" si="92"/>
        <v>0</v>
      </c>
    </row>
    <row r="40" spans="1:136" ht="14.1" customHeight="1">
      <c r="A40" s="84">
        <v>33</v>
      </c>
      <c r="B40" s="85" t="s">
        <v>232</v>
      </c>
      <c r="C40" s="86"/>
      <c r="D40" s="87" t="s">
        <v>233</v>
      </c>
      <c r="E40" s="88">
        <v>1166</v>
      </c>
      <c r="F40" s="89" t="s">
        <v>147</v>
      </c>
      <c r="G40" s="45" t="str">
        <f t="shared" si="30"/>
        <v>IBC3604-5x3-H9B14</v>
      </c>
      <c r="H40" s="46" t="str">
        <f t="shared" si="31"/>
        <v>C3604IB50DH9</v>
      </c>
      <c r="I40" s="46" t="str">
        <f t="shared" si="32"/>
        <v>C3604IB50DH93B14</v>
      </c>
      <c r="J40" s="90" t="s">
        <v>148</v>
      </c>
      <c r="K40" s="90" t="s">
        <v>156</v>
      </c>
      <c r="L40" s="90">
        <v>5</v>
      </c>
      <c r="M40" s="90">
        <v>0</v>
      </c>
      <c r="N40" s="90" t="s">
        <v>128</v>
      </c>
      <c r="O40" s="90" t="s">
        <v>131</v>
      </c>
      <c r="P40" s="90">
        <v>3</v>
      </c>
      <c r="Q40" s="91">
        <v>0.5</v>
      </c>
      <c r="R40" s="160" t="s">
        <v>171</v>
      </c>
      <c r="S40" s="89">
        <f t="shared" si="33"/>
        <v>6</v>
      </c>
      <c r="T40" s="51">
        <f>'07.02'!BG40</f>
        <v>14</v>
      </c>
      <c r="U40" s="92"/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0</v>
      </c>
      <c r="AC40" s="93">
        <f t="shared" si="11"/>
        <v>0</v>
      </c>
      <c r="AD40" s="93">
        <f t="shared" si="12"/>
        <v>0</v>
      </c>
      <c r="AE40" s="93">
        <f t="shared" si="34"/>
        <v>0</v>
      </c>
      <c r="AF40" s="54">
        <f>AE40+'07.02'!AF40</f>
        <v>47872</v>
      </c>
      <c r="AG40" s="94">
        <f t="shared" si="66"/>
        <v>14</v>
      </c>
      <c r="AH40" s="56">
        <f t="shared" si="13"/>
        <v>0</v>
      </c>
      <c r="AI40" s="93">
        <v>4</v>
      </c>
      <c r="AJ40" s="93">
        <f t="shared" si="67"/>
        <v>0</v>
      </c>
      <c r="AK40" s="95">
        <f t="shared" si="35"/>
        <v>1</v>
      </c>
      <c r="AL40" s="58">
        <f t="shared" si="36"/>
        <v>4</v>
      </c>
      <c r="AM40" s="55">
        <f t="shared" si="68"/>
        <v>10</v>
      </c>
      <c r="AN40" s="93"/>
      <c r="AO40" s="96"/>
      <c r="AP40" s="96"/>
      <c r="AQ40" s="96"/>
      <c r="AR40" s="96"/>
      <c r="AS40" s="96"/>
      <c r="AT40" s="96">
        <f>$CJ40</f>
        <v>0</v>
      </c>
      <c r="AU40" s="96">
        <f t="shared" si="37"/>
        <v>0</v>
      </c>
      <c r="AV40" s="96">
        <f t="shared" si="37"/>
        <v>0</v>
      </c>
      <c r="AW40" s="96">
        <f>SUM(AO40:AV40)</f>
        <v>0</v>
      </c>
      <c r="AX40" s="96">
        <f>IF(V40="","",INT(AW40/$V40))</f>
        <v>0</v>
      </c>
      <c r="AY40" s="94">
        <f t="shared" si="69"/>
        <v>-583</v>
      </c>
      <c r="AZ40" s="94">
        <f t="shared" si="40"/>
        <v>-4664</v>
      </c>
      <c r="BA40" s="94">
        <f t="shared" si="41"/>
        <v>10</v>
      </c>
      <c r="BB40" s="97">
        <f t="shared" si="42"/>
        <v>0</v>
      </c>
      <c r="BC40" s="93">
        <v>4</v>
      </c>
      <c r="BD40" s="93">
        <f t="shared" si="43"/>
        <v>0</v>
      </c>
      <c r="BE40" s="95">
        <f t="shared" si="44"/>
        <v>1</v>
      </c>
      <c r="BF40" s="58">
        <f t="shared" si="45"/>
        <v>4</v>
      </c>
      <c r="BG40" s="94">
        <f t="shared" si="46"/>
        <v>6</v>
      </c>
      <c r="BH40" s="89"/>
      <c r="BI40" s="89"/>
      <c r="BJ40" s="89"/>
      <c r="BK40" s="89"/>
      <c r="BL40" s="92"/>
      <c r="BM40" s="92"/>
      <c r="BN40" s="92">
        <f>$CN40</f>
        <v>0</v>
      </c>
      <c r="BO40" s="92">
        <f t="shared" si="70"/>
        <v>0</v>
      </c>
      <c r="BP40" s="92">
        <f t="shared" si="70"/>
        <v>0</v>
      </c>
      <c r="BQ40" s="96">
        <f t="shared" si="47"/>
        <v>0</v>
      </c>
      <c r="BR40" s="96">
        <f t="shared" si="48"/>
        <v>0</v>
      </c>
      <c r="BS40" s="96">
        <f t="shared" si="71"/>
        <v>-583</v>
      </c>
      <c r="BT40" s="96">
        <f t="shared" si="49"/>
        <v>-4664</v>
      </c>
      <c r="BU40" s="92">
        <f t="shared" si="16"/>
        <v>0</v>
      </c>
      <c r="BV40" s="98">
        <f t="shared" si="17"/>
        <v>8</v>
      </c>
      <c r="BW40" s="92">
        <f t="shared" si="18"/>
        <v>-9328</v>
      </c>
      <c r="BX40" s="98">
        <f t="shared" si="50"/>
        <v>4</v>
      </c>
      <c r="BY40" s="61">
        <f t="shared" si="74"/>
        <v>8</v>
      </c>
      <c r="BZ40" s="62">
        <f t="shared" si="51"/>
        <v>8</v>
      </c>
      <c r="CA40" s="98">
        <f t="shared" si="52"/>
        <v>0</v>
      </c>
      <c r="CB40" s="92">
        <f t="shared" ref="CB40:CD71" si="98">IFERROR(BR40+AX40,"")</f>
        <v>0</v>
      </c>
      <c r="CC40" s="92">
        <f t="shared" si="98"/>
        <v>-1166</v>
      </c>
      <c r="CD40" s="92">
        <f t="shared" si="98"/>
        <v>-9328</v>
      </c>
      <c r="CE40" s="99"/>
      <c r="CF40" s="99"/>
      <c r="CG40" s="51">
        <f t="shared" si="53"/>
        <v>4</v>
      </c>
      <c r="CH40" s="62">
        <f t="shared" si="54"/>
        <v>4</v>
      </c>
      <c r="CI40" s="89"/>
      <c r="CJ40" s="89"/>
      <c r="CK40" s="89"/>
      <c r="CL40" s="96"/>
      <c r="CM40" s="89"/>
      <c r="CN40" s="89"/>
      <c r="CO40" s="92"/>
      <c r="CP40" s="101"/>
      <c r="CQ40" s="102">
        <f t="shared" si="88"/>
        <v>0</v>
      </c>
      <c r="CR40" s="102">
        <f t="shared" si="88"/>
        <v>0</v>
      </c>
      <c r="CS40" s="102">
        <f t="shared" si="88"/>
        <v>0</v>
      </c>
      <c r="CT40" s="92">
        <f t="shared" si="56"/>
        <v>0</v>
      </c>
      <c r="CU40" s="92">
        <f t="shared" si="89"/>
        <v>0</v>
      </c>
      <c r="CV40" s="103">
        <f t="shared" si="89"/>
        <v>0</v>
      </c>
      <c r="CW40" s="104" t="s">
        <v>147</v>
      </c>
      <c r="CX40" s="105">
        <v>11</v>
      </c>
      <c r="CY40" s="106">
        <f t="shared" si="58"/>
        <v>3861</v>
      </c>
      <c r="CZ40" s="106">
        <f t="shared" si="59"/>
        <v>44.550000000000004</v>
      </c>
      <c r="DA40" s="106"/>
      <c r="DB40" s="106"/>
      <c r="DC40" s="105"/>
      <c r="DD40" s="107"/>
      <c r="DE40" s="92">
        <f t="shared" si="21"/>
        <v>0</v>
      </c>
      <c r="DF40" s="108">
        <f t="shared" si="22"/>
        <v>4</v>
      </c>
      <c r="DG40" s="112">
        <f t="shared" si="23"/>
        <v>-4664</v>
      </c>
      <c r="DH40" s="110">
        <f t="shared" si="24"/>
        <v>0</v>
      </c>
      <c r="DI40" s="108">
        <f t="shared" si="25"/>
        <v>4</v>
      </c>
      <c r="DJ40" s="112">
        <f t="shared" si="26"/>
        <v>-4664</v>
      </c>
      <c r="DK40" s="110">
        <f t="shared" si="87"/>
        <v>0</v>
      </c>
      <c r="DL40" s="108">
        <f t="shared" si="87"/>
        <v>8</v>
      </c>
      <c r="DM40" s="111">
        <f t="shared" si="87"/>
        <v>-9328</v>
      </c>
      <c r="DN40" s="76">
        <f t="shared" si="60"/>
        <v>14</v>
      </c>
      <c r="DO40" s="76">
        <f t="shared" si="72"/>
        <v>0</v>
      </c>
      <c r="DP40" s="112"/>
      <c r="DQ40" s="112"/>
      <c r="DR40" s="113" t="s">
        <v>530</v>
      </c>
      <c r="DS40" s="112"/>
      <c r="DT40" s="112"/>
      <c r="DU40" s="111"/>
      <c r="DV40" s="114"/>
      <c r="DW40" s="80">
        <f t="shared" ref="DW40:DW42" si="99">IFERROR(AL40+BF40,"")</f>
        <v>8</v>
      </c>
      <c r="DX40" s="81">
        <f t="shared" si="28"/>
        <v>-9320</v>
      </c>
      <c r="DY40" s="80">
        <f t="shared" si="62"/>
        <v>0</v>
      </c>
      <c r="DZ40" s="82">
        <f t="shared" si="63"/>
        <v>0</v>
      </c>
      <c r="EA40" s="82">
        <f t="shared" si="64"/>
        <v>0</v>
      </c>
      <c r="EB40" s="82">
        <f t="shared" si="65"/>
        <v>4</v>
      </c>
      <c r="EC40" s="82">
        <f t="shared" ref="EC40:EC42" si="100">(BX40-CA40)+((AV40+BP40)/1000)</f>
        <v>4</v>
      </c>
      <c r="EF40" s="83">
        <f t="shared" si="92"/>
        <v>-9328</v>
      </c>
    </row>
    <row r="41" spans="1:136" ht="13.5" customHeight="1">
      <c r="A41" s="84">
        <v>34</v>
      </c>
      <c r="B41" s="85" t="s">
        <v>236</v>
      </c>
      <c r="C41" s="86"/>
      <c r="D41" s="119" t="s">
        <v>237</v>
      </c>
      <c r="E41" s="88">
        <v>394</v>
      </c>
      <c r="F41" s="89" t="s">
        <v>147</v>
      </c>
      <c r="G41" s="45" t="str">
        <f t="shared" si="30"/>
        <v>MESUS303Cu-3x3-H9A14</v>
      </c>
      <c r="H41" s="46" t="str">
        <f t="shared" si="31"/>
        <v>SUS303CuME30DH9</v>
      </c>
      <c r="I41" s="46" t="str">
        <f t="shared" si="32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3"/>
        <v>18</v>
      </c>
      <c r="T41" s="51">
        <f>'07.02'!BG41</f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4"/>
        <v>0</v>
      </c>
      <c r="AF41" s="54">
        <f>AE41+'07.02'!AF41</f>
        <v>0</v>
      </c>
      <c r="AG41" s="94">
        <f t="shared" si="66"/>
        <v>10</v>
      </c>
      <c r="AH41" s="56">
        <f t="shared" si="13"/>
        <v>0</v>
      </c>
      <c r="AI41" s="93"/>
      <c r="AJ41" s="93">
        <f t="shared" si="67"/>
        <v>0</v>
      </c>
      <c r="AK41" s="95">
        <f t="shared" si="35"/>
        <v>1</v>
      </c>
      <c r="AL41" s="58">
        <f t="shared" si="36"/>
        <v>0</v>
      </c>
      <c r="AM41" s="55">
        <f t="shared" si="68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7"/>
        <v>0</v>
      </c>
      <c r="AV41" s="96">
        <f t="shared" si="37"/>
        <v>0</v>
      </c>
      <c r="AW41" s="96">
        <f>SUM(AO41:AV41)</f>
        <v>0</v>
      </c>
      <c r="AX41" s="96">
        <f>IF(V41="","",INT(AW41/$V41))</f>
        <v>0</v>
      </c>
      <c r="AY41" s="94">
        <f t="shared" si="69"/>
        <v>0</v>
      </c>
      <c r="AZ41" s="94">
        <f t="shared" si="40"/>
        <v>0</v>
      </c>
      <c r="BA41" s="94">
        <f t="shared" si="41"/>
        <v>10</v>
      </c>
      <c r="BB41" s="97">
        <f t="shared" si="42"/>
        <v>0</v>
      </c>
      <c r="BC41" s="93"/>
      <c r="BD41" s="93">
        <f t="shared" si="43"/>
        <v>0</v>
      </c>
      <c r="BE41" s="95">
        <f t="shared" si="44"/>
        <v>1</v>
      </c>
      <c r="BF41" s="58">
        <f t="shared" si="45"/>
        <v>0</v>
      </c>
      <c r="BG41" s="94">
        <f t="shared" si="46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0"/>
        <v>0</v>
      </c>
      <c r="BP41" s="92">
        <f t="shared" si="70"/>
        <v>0</v>
      </c>
      <c r="BQ41" s="96">
        <f t="shared" si="47"/>
        <v>0</v>
      </c>
      <c r="BR41" s="96">
        <f>IF(AA41="","",INT(BQ41/$V41))</f>
        <v>0</v>
      </c>
      <c r="BS41" s="96">
        <f t="shared" si="71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0"/>
        <v>0</v>
      </c>
      <c r="BY41" s="61">
        <f t="shared" si="74"/>
        <v>0</v>
      </c>
      <c r="BZ41" s="62">
        <f t="shared" si="51"/>
        <v>0</v>
      </c>
      <c r="CA41" s="98">
        <f t="shared" si="52"/>
        <v>0</v>
      </c>
      <c r="CB41" s="92">
        <f t="shared" si="98"/>
        <v>0</v>
      </c>
      <c r="CC41" s="92">
        <f t="shared" si="98"/>
        <v>0</v>
      </c>
      <c r="CD41" s="92">
        <f t="shared" si="98"/>
        <v>0</v>
      </c>
      <c r="CE41" s="99"/>
      <c r="CF41" s="99"/>
      <c r="CG41" s="51">
        <f t="shared" si="53"/>
        <v>0</v>
      </c>
      <c r="CH41" s="62">
        <f t="shared" si="54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101">INT(IFERROR( CJ41/$V41,0))</f>
        <v>0</v>
      </c>
      <c r="CR41" s="102">
        <f t="shared" si="101"/>
        <v>0</v>
      </c>
      <c r="CS41" s="102">
        <f t="shared" si="101"/>
        <v>0</v>
      </c>
      <c r="CT41" s="92">
        <f t="shared" si="56"/>
        <v>0</v>
      </c>
      <c r="CU41" s="92">
        <f t="shared" ref="CU41:CV103" si="102">INT(IFERROR( AC41-CR41,0))</f>
        <v>0</v>
      </c>
      <c r="CV41" s="103">
        <f t="shared" si="102"/>
        <v>0</v>
      </c>
      <c r="CW41" s="104" t="s">
        <v>147</v>
      </c>
      <c r="CX41" s="105">
        <v>12</v>
      </c>
      <c r="CY41" s="106">
        <f t="shared" si="58"/>
        <v>3450</v>
      </c>
      <c r="CZ41" s="106">
        <f t="shared" si="59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7"/>
        <v>0</v>
      </c>
      <c r="DL41" s="108">
        <f t="shared" si="87"/>
        <v>0</v>
      </c>
      <c r="DM41" s="111">
        <f t="shared" si="87"/>
        <v>0</v>
      </c>
      <c r="DN41" s="76">
        <f t="shared" si="60"/>
        <v>10</v>
      </c>
      <c r="DO41" s="76">
        <f t="shared" si="72"/>
        <v>0</v>
      </c>
      <c r="DP41" s="112"/>
      <c r="DQ41" s="112"/>
      <c r="DR41" s="113" t="s">
        <v>531</v>
      </c>
      <c r="DS41" s="112"/>
      <c r="DT41" s="112"/>
      <c r="DU41" s="111"/>
      <c r="DV41" s="114"/>
      <c r="DW41" s="80">
        <f t="shared" si="99"/>
        <v>0</v>
      </c>
      <c r="DX41" s="81">
        <f t="shared" si="28"/>
        <v>0</v>
      </c>
      <c r="DY41" s="80">
        <f t="shared" si="62"/>
        <v>0</v>
      </c>
      <c r="DZ41" s="82">
        <f t="shared" si="63"/>
        <v>0</v>
      </c>
      <c r="EA41" s="82">
        <f t="shared" si="64"/>
        <v>0</v>
      </c>
      <c r="EB41" s="82">
        <f t="shared" si="65"/>
        <v>0</v>
      </c>
      <c r="EC41" s="82">
        <f t="shared" si="100"/>
        <v>0</v>
      </c>
      <c r="EF41" s="83">
        <f t="shared" si="92"/>
        <v>0</v>
      </c>
    </row>
    <row r="42" spans="1:136" ht="15" hidden="1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0"/>
        <v>IBC3604-6x3-H9C13</v>
      </c>
      <c r="H42" s="46" t="str">
        <f t="shared" si="31"/>
        <v>C3604IB60DH9</v>
      </c>
      <c r="I42" s="46" t="str">
        <f t="shared" si="32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3"/>
        <v>42</v>
      </c>
      <c r="T42" s="51">
        <f>'07.02'!BG42</f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4"/>
        <v>0</v>
      </c>
      <c r="AF42" s="54">
        <f>AE42+'07.02'!AF42</f>
        <v>0</v>
      </c>
      <c r="AG42" s="94">
        <f t="shared" si="66"/>
        <v>0</v>
      </c>
      <c r="AH42" s="56">
        <f t="shared" si="13"/>
        <v>0</v>
      </c>
      <c r="AI42" s="93"/>
      <c r="AJ42" s="93">
        <f t="shared" si="67"/>
        <v>0</v>
      </c>
      <c r="AK42" s="95">
        <f t="shared" si="35"/>
        <v>1</v>
      </c>
      <c r="AL42" s="58">
        <f t="shared" si="36"/>
        <v>0</v>
      </c>
      <c r="AM42" s="55">
        <f t="shared" si="68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7"/>
        <v>0</v>
      </c>
      <c r="AV42" s="96">
        <f t="shared" si="37"/>
        <v>0</v>
      </c>
      <c r="AW42" s="96">
        <f t="shared" si="38"/>
        <v>0</v>
      </c>
      <c r="AX42" s="96">
        <f t="shared" si="39"/>
        <v>0</v>
      </c>
      <c r="AY42" s="94">
        <f t="shared" si="69"/>
        <v>0</v>
      </c>
      <c r="AZ42" s="94">
        <f t="shared" si="40"/>
        <v>0</v>
      </c>
      <c r="BA42" s="94">
        <f t="shared" si="41"/>
        <v>0</v>
      </c>
      <c r="BB42" s="97">
        <f t="shared" si="42"/>
        <v>0</v>
      </c>
      <c r="BC42" s="93"/>
      <c r="BD42" s="93">
        <f t="shared" si="43"/>
        <v>0</v>
      </c>
      <c r="BE42" s="95">
        <f t="shared" si="44"/>
        <v>1</v>
      </c>
      <c r="BF42" s="58">
        <f t="shared" si="45"/>
        <v>0</v>
      </c>
      <c r="BG42" s="94">
        <f t="shared" si="46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0"/>
        <v>0</v>
      </c>
      <c r="BP42" s="92">
        <f t="shared" si="70"/>
        <v>0</v>
      </c>
      <c r="BQ42" s="96">
        <f t="shared" si="47"/>
        <v>0</v>
      </c>
      <c r="BR42" s="96">
        <f t="shared" si="48"/>
        <v>0</v>
      </c>
      <c r="BS42" s="96">
        <f t="shared" si="71"/>
        <v>0</v>
      </c>
      <c r="BT42" s="96">
        <f t="shared" si="49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0"/>
        <v>0</v>
      </c>
      <c r="BY42" s="61">
        <f t="shared" si="74"/>
        <v>0</v>
      </c>
      <c r="BZ42" s="62">
        <f t="shared" si="51"/>
        <v>0</v>
      </c>
      <c r="CA42" s="98">
        <f t="shared" si="52"/>
        <v>0</v>
      </c>
      <c r="CB42" s="92">
        <f t="shared" si="98"/>
        <v>0</v>
      </c>
      <c r="CC42" s="92">
        <f t="shared" si="98"/>
        <v>0</v>
      </c>
      <c r="CD42" s="92">
        <f t="shared" si="98"/>
        <v>0</v>
      </c>
      <c r="CE42" s="99"/>
      <c r="CF42" s="99"/>
      <c r="CG42" s="51">
        <f t="shared" si="53"/>
        <v>0</v>
      </c>
      <c r="CH42" s="62">
        <f t="shared" si="54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101"/>
        <v>0</v>
      </c>
      <c r="CR42" s="102">
        <f t="shared" si="101"/>
        <v>0</v>
      </c>
      <c r="CS42" s="102">
        <f t="shared" si="101"/>
        <v>0</v>
      </c>
      <c r="CT42" s="92">
        <f t="shared" si="56"/>
        <v>0</v>
      </c>
      <c r="CU42" s="92">
        <f t="shared" si="102"/>
        <v>0</v>
      </c>
      <c r="CV42" s="103">
        <f t="shared" si="102"/>
        <v>0</v>
      </c>
      <c r="CW42" s="104" t="s">
        <v>147</v>
      </c>
      <c r="CX42" s="105">
        <v>24</v>
      </c>
      <c r="CY42" s="106">
        <f t="shared" si="58"/>
        <v>1620</v>
      </c>
      <c r="CZ42" s="106">
        <f t="shared" si="59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7"/>
        <v>0</v>
      </c>
      <c r="DL42" s="108">
        <f t="shared" si="87"/>
        <v>0</v>
      </c>
      <c r="DM42" s="111">
        <f t="shared" si="87"/>
        <v>0</v>
      </c>
      <c r="DN42" s="76">
        <f t="shared" si="60"/>
        <v>0</v>
      </c>
      <c r="DO42" s="76">
        <f t="shared" si="72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99"/>
        <v>0</v>
      </c>
      <c r="DX42" s="81">
        <f t="shared" si="28"/>
        <v>0</v>
      </c>
      <c r="DY42" s="80">
        <f t="shared" si="62"/>
        <v>0</v>
      </c>
      <c r="DZ42" s="82">
        <f t="shared" si="63"/>
        <v>0</v>
      </c>
      <c r="EA42" s="82">
        <f t="shared" si="64"/>
        <v>0</v>
      </c>
      <c r="EB42" s="82">
        <f t="shared" si="65"/>
        <v>0</v>
      </c>
      <c r="EC42" s="82">
        <f t="shared" si="100"/>
        <v>0</v>
      </c>
      <c r="EF42" s="83">
        <f t="shared" si="92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0"/>
        <v>IBC3604-5.5x3-H9A14</v>
      </c>
      <c r="H43" s="46" t="str">
        <f t="shared" si="31"/>
        <v>C3604IB5.50DH9</v>
      </c>
      <c r="I43" s="46" t="str">
        <f t="shared" si="32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3"/>
        <v>16</v>
      </c>
      <c r="T43" s="51">
        <f>'07.02'!BG43</f>
        <v>13</v>
      </c>
      <c r="U43" s="92">
        <v>57</v>
      </c>
      <c r="V43" s="100">
        <v>1.1000000000000001</v>
      </c>
      <c r="W43" s="93">
        <f t="shared" si="5"/>
        <v>0</v>
      </c>
      <c r="X43" s="93">
        <f t="shared" si="6"/>
        <v>0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0</v>
      </c>
      <c r="AE43" s="93">
        <f t="shared" si="34"/>
        <v>0</v>
      </c>
      <c r="AF43" s="54">
        <f>AE43+'07.02'!AF43</f>
        <v>47170</v>
      </c>
      <c r="AG43" s="94">
        <f t="shared" si="66"/>
        <v>13</v>
      </c>
      <c r="AH43" s="56">
        <f t="shared" si="13"/>
        <v>0</v>
      </c>
      <c r="AI43" s="93">
        <v>14</v>
      </c>
      <c r="AJ43" s="93">
        <f t="shared" si="67"/>
        <v>0</v>
      </c>
      <c r="AK43" s="95">
        <f t="shared" si="35"/>
        <v>1</v>
      </c>
      <c r="AL43" s="58">
        <f t="shared" si="36"/>
        <v>14</v>
      </c>
      <c r="AM43" s="55">
        <f t="shared" si="68"/>
        <v>56</v>
      </c>
      <c r="AN43" s="93"/>
      <c r="AO43" s="96"/>
      <c r="AP43" s="96">
        <f>$CJ43</f>
        <v>0</v>
      </c>
      <c r="AQ43" s="96"/>
      <c r="AR43" s="96"/>
      <c r="AS43" s="96"/>
      <c r="AT43" s="96"/>
      <c r="AU43" s="96">
        <f>CK43</f>
        <v>0</v>
      </c>
      <c r="AV43" s="96">
        <f>CL43</f>
        <v>0</v>
      </c>
      <c r="AW43" s="96">
        <f>SUM(AO43:AV43)</f>
        <v>0</v>
      </c>
      <c r="AX43" s="96">
        <f>IF(V43="","",INT(AW43/$V43))</f>
        <v>0</v>
      </c>
      <c r="AY43" s="94">
        <f t="shared" si="69"/>
        <v>-2510.2000000000003</v>
      </c>
      <c r="AZ43" s="94">
        <f t="shared" si="40"/>
        <v>-2282</v>
      </c>
      <c r="BA43" s="94">
        <f t="shared" si="41"/>
        <v>56</v>
      </c>
      <c r="BB43" s="97">
        <f t="shared" si="42"/>
        <v>0</v>
      </c>
      <c r="BC43" s="93">
        <v>26</v>
      </c>
      <c r="BD43" s="93">
        <f t="shared" si="43"/>
        <v>0</v>
      </c>
      <c r="BE43" s="95">
        <f t="shared" si="44"/>
        <v>1</v>
      </c>
      <c r="BF43" s="58">
        <f t="shared" si="45"/>
        <v>26</v>
      </c>
      <c r="BG43" s="94">
        <f t="shared" si="46"/>
        <v>30</v>
      </c>
      <c r="BH43" s="89"/>
      <c r="BI43" s="89"/>
      <c r="BJ43" s="92">
        <f>$CN43</f>
        <v>0</v>
      </c>
      <c r="BK43" s="89"/>
      <c r="BL43" s="89"/>
      <c r="BM43" s="92"/>
      <c r="BN43" s="89"/>
      <c r="BO43" s="92">
        <f t="shared" si="70"/>
        <v>0</v>
      </c>
      <c r="BP43" s="92">
        <f t="shared" si="70"/>
        <v>0</v>
      </c>
      <c r="BQ43" s="96">
        <f t="shared" si="47"/>
        <v>0</v>
      </c>
      <c r="BR43" s="96">
        <f>IF(AA43="","",INT(BQ43/$V43))</f>
        <v>0</v>
      </c>
      <c r="BS43" s="96">
        <f t="shared" si="71"/>
        <v>-4661.8</v>
      </c>
      <c r="BT43" s="96">
        <f t="shared" si="49"/>
        <v>-4238</v>
      </c>
      <c r="BU43" s="92">
        <f t="shared" si="16"/>
        <v>0</v>
      </c>
      <c r="BV43" s="98">
        <f t="shared" si="17"/>
        <v>40</v>
      </c>
      <c r="BW43" s="92">
        <f t="shared" si="18"/>
        <v>-6520</v>
      </c>
      <c r="BX43" s="98">
        <f t="shared" si="50"/>
        <v>24.16</v>
      </c>
      <c r="BY43" s="61">
        <f t="shared" si="74"/>
        <v>40</v>
      </c>
      <c r="BZ43" s="62">
        <f t="shared" si="51"/>
        <v>40</v>
      </c>
      <c r="CA43" s="98">
        <f t="shared" si="52"/>
        <v>0</v>
      </c>
      <c r="CB43" s="92">
        <f t="shared" si="98"/>
        <v>0</v>
      </c>
      <c r="CC43" s="92">
        <f t="shared" si="98"/>
        <v>-7172</v>
      </c>
      <c r="CD43" s="92">
        <f t="shared" si="98"/>
        <v>-6520</v>
      </c>
      <c r="CE43" s="99"/>
      <c r="CF43" s="99"/>
      <c r="CG43" s="51">
        <f t="shared" si="53"/>
        <v>24.16</v>
      </c>
      <c r="CH43" s="62">
        <f t="shared" si="54"/>
        <v>24.16</v>
      </c>
      <c r="CI43" s="89"/>
      <c r="CJ43" s="89"/>
      <c r="CK43" s="89"/>
      <c r="CL43" s="96"/>
      <c r="CM43" s="89"/>
      <c r="CN43" s="89"/>
      <c r="CO43" s="92"/>
      <c r="CP43" s="101"/>
      <c r="CQ43" s="102">
        <f t="shared" si="101"/>
        <v>0</v>
      </c>
      <c r="CR43" s="102">
        <f t="shared" si="101"/>
        <v>0</v>
      </c>
      <c r="CS43" s="102">
        <f t="shared" si="101"/>
        <v>0</v>
      </c>
      <c r="CT43" s="92">
        <f t="shared" si="56"/>
        <v>0</v>
      </c>
      <c r="CU43" s="92">
        <f t="shared" si="102"/>
        <v>0</v>
      </c>
      <c r="CV43" s="103">
        <f t="shared" si="102"/>
        <v>0</v>
      </c>
      <c r="CW43" s="104" t="s">
        <v>147</v>
      </c>
      <c r="CX43" s="105">
        <v>32</v>
      </c>
      <c r="CY43" s="106">
        <f t="shared" si="58"/>
        <v>1299</v>
      </c>
      <c r="CZ43" s="106">
        <f t="shared" si="59"/>
        <v>129.60000000000002</v>
      </c>
      <c r="DA43" s="106"/>
      <c r="DB43" s="106"/>
      <c r="DC43" s="105"/>
      <c r="DD43" s="107"/>
      <c r="DE43" s="92">
        <f t="shared" si="21"/>
        <v>0</v>
      </c>
      <c r="DF43" s="108">
        <f t="shared" si="22"/>
        <v>14</v>
      </c>
      <c r="DG43" s="115">
        <f t="shared" si="23"/>
        <v>-2282</v>
      </c>
      <c r="DH43" s="110">
        <f t="shared" si="24"/>
        <v>0</v>
      </c>
      <c r="DI43" s="108">
        <f t="shared" si="25"/>
        <v>26</v>
      </c>
      <c r="DJ43" s="112">
        <f t="shared" si="26"/>
        <v>-4238</v>
      </c>
      <c r="DK43" s="110">
        <f t="shared" si="87"/>
        <v>0</v>
      </c>
      <c r="DL43" s="108">
        <f t="shared" si="87"/>
        <v>40</v>
      </c>
      <c r="DM43" s="111">
        <f t="shared" si="87"/>
        <v>-6520</v>
      </c>
      <c r="DN43" s="76">
        <f t="shared" si="60"/>
        <v>13</v>
      </c>
      <c r="DO43" s="76">
        <f t="shared" si="72"/>
        <v>57</v>
      </c>
      <c r="DP43" s="112"/>
      <c r="DQ43" s="112"/>
      <c r="DR43" s="113" t="s">
        <v>532</v>
      </c>
      <c r="DS43" s="112"/>
      <c r="DT43" s="112"/>
      <c r="DU43" s="111"/>
      <c r="DV43" s="114"/>
      <c r="DW43" s="80">
        <f t="shared" si="61"/>
        <v>40</v>
      </c>
      <c r="DX43" s="81">
        <f t="shared" si="28"/>
        <v>-6480</v>
      </c>
      <c r="DY43" s="80">
        <f t="shared" si="62"/>
        <v>0</v>
      </c>
      <c r="DZ43" s="82">
        <f t="shared" si="63"/>
        <v>0</v>
      </c>
      <c r="EA43" s="82">
        <f t="shared" si="64"/>
        <v>0</v>
      </c>
      <c r="EB43" s="82">
        <f t="shared" si="65"/>
        <v>24.16</v>
      </c>
      <c r="EC43" s="82">
        <f t="shared" si="76"/>
        <v>24.16</v>
      </c>
      <c r="EF43" s="83">
        <f t="shared" si="92"/>
        <v>-6520</v>
      </c>
    </row>
    <row r="44" spans="1:136" ht="14.1" customHeight="1">
      <c r="A44" s="84">
        <v>37</v>
      </c>
      <c r="B44" s="147" t="s">
        <v>244</v>
      </c>
      <c r="C44" s="148"/>
      <c r="D44" s="116" t="s">
        <v>495</v>
      </c>
      <c r="E44" s="149">
        <v>189</v>
      </c>
      <c r="F44" s="89" t="s">
        <v>136</v>
      </c>
      <c r="G44" s="45" t="str">
        <f t="shared" si="30"/>
        <v>MESUS303-4x3-H9A11</v>
      </c>
      <c r="H44" s="46" t="str">
        <f t="shared" si="31"/>
        <v>SUS303ME40DH9</v>
      </c>
      <c r="I44" s="46" t="str">
        <f t="shared" si="32"/>
        <v>SUS303ME40DH93A11</v>
      </c>
      <c r="J44" s="90" t="s">
        <v>226</v>
      </c>
      <c r="K44" s="90" t="s">
        <v>227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500</v>
      </c>
      <c r="S44" s="89">
        <f t="shared" si="33"/>
        <v>34</v>
      </c>
      <c r="T44" s="51">
        <v>12</v>
      </c>
      <c r="U44" s="146">
        <v>18</v>
      </c>
      <c r="V44" s="100">
        <v>0.41</v>
      </c>
      <c r="W44" s="151">
        <f t="shared" si="5"/>
        <v>0</v>
      </c>
      <c r="X44" s="151">
        <f t="shared" si="6"/>
        <v>0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0</v>
      </c>
      <c r="AE44" s="151">
        <f>IF(V44="","",SUM(W44:AC44))</f>
        <v>0</v>
      </c>
      <c r="AF44" s="54">
        <f>AE44+'07.02'!AF44</f>
        <v>8613</v>
      </c>
      <c r="AG44" s="94">
        <f t="shared" si="66"/>
        <v>12</v>
      </c>
      <c r="AH44" s="56">
        <f t="shared" si="13"/>
        <v>0</v>
      </c>
      <c r="AI44" s="151">
        <v>10</v>
      </c>
      <c r="AJ44" s="93">
        <f t="shared" si="67"/>
        <v>0</v>
      </c>
      <c r="AK44" s="95">
        <f t="shared" si="35"/>
        <v>1</v>
      </c>
      <c r="AL44" s="58">
        <f t="shared" si="36"/>
        <v>10</v>
      </c>
      <c r="AM44" s="55">
        <f t="shared" si="68"/>
        <v>20</v>
      </c>
      <c r="AN44" s="151"/>
      <c r="AO44" s="145"/>
      <c r="AP44" s="145">
        <f>$CJ44</f>
        <v>0</v>
      </c>
      <c r="AQ44" s="145"/>
      <c r="AR44" s="145"/>
      <c r="AS44" s="145"/>
      <c r="AT44" s="145"/>
      <c r="AU44" s="145">
        <f t="shared" si="37"/>
        <v>0</v>
      </c>
      <c r="AV44" s="145">
        <f t="shared" si="37"/>
        <v>0</v>
      </c>
      <c r="AW44" s="145">
        <f t="shared" si="38"/>
        <v>0</v>
      </c>
      <c r="AX44" s="145">
        <f t="shared" si="39"/>
        <v>0</v>
      </c>
      <c r="AY44" s="94">
        <f t="shared" si="69"/>
        <v>-774.9</v>
      </c>
      <c r="AZ44" s="94">
        <f t="shared" si="40"/>
        <v>-1890</v>
      </c>
      <c r="BA44" s="94">
        <f t="shared" si="41"/>
        <v>20</v>
      </c>
      <c r="BB44" s="97">
        <f t="shared" si="42"/>
        <v>0</v>
      </c>
      <c r="BC44" s="151">
        <v>10</v>
      </c>
      <c r="BD44" s="93">
        <f t="shared" si="43"/>
        <v>0</v>
      </c>
      <c r="BE44" s="152">
        <f t="shared" si="44"/>
        <v>1</v>
      </c>
      <c r="BF44" s="58">
        <f t="shared" si="45"/>
        <v>10</v>
      </c>
      <c r="BG44" s="94">
        <f t="shared" si="46"/>
        <v>10</v>
      </c>
      <c r="BH44" s="150"/>
      <c r="BI44" s="150"/>
      <c r="BJ44" s="146">
        <f>$CN44</f>
        <v>0</v>
      </c>
      <c r="BK44" s="150"/>
      <c r="BL44" s="150"/>
      <c r="BM44" s="146"/>
      <c r="BN44" s="146"/>
      <c r="BO44" s="146">
        <f t="shared" si="70"/>
        <v>0</v>
      </c>
      <c r="BP44" s="146">
        <f t="shared" si="70"/>
        <v>0</v>
      </c>
      <c r="BQ44" s="145">
        <f>SUM(BI44:BP44)</f>
        <v>0</v>
      </c>
      <c r="BR44" s="145">
        <f>IF(AA44="","",INT(BQ44/$V44))</f>
        <v>0</v>
      </c>
      <c r="BS44" s="96">
        <f t="shared" si="71"/>
        <v>-774.9</v>
      </c>
      <c r="BT44" s="145">
        <f t="shared" si="49"/>
        <v>-1890</v>
      </c>
      <c r="BU44" s="146">
        <f t="shared" si="16"/>
        <v>0</v>
      </c>
      <c r="BV44" s="98">
        <f t="shared" si="17"/>
        <v>20</v>
      </c>
      <c r="BW44" s="146">
        <f t="shared" si="18"/>
        <v>-3780</v>
      </c>
      <c r="BX44" s="153">
        <f t="shared" si="50"/>
        <v>5.92</v>
      </c>
      <c r="BY44" s="61">
        <f>IFERROR(BF44+AL44,0)</f>
        <v>20</v>
      </c>
      <c r="BZ44" s="62">
        <f t="shared" si="51"/>
        <v>20</v>
      </c>
      <c r="CA44" s="98">
        <f t="shared" si="52"/>
        <v>0</v>
      </c>
      <c r="CB44" s="146">
        <f t="shared" si="98"/>
        <v>0</v>
      </c>
      <c r="CC44" s="146">
        <f t="shared" si="98"/>
        <v>-1549.8</v>
      </c>
      <c r="CD44" s="146">
        <f t="shared" si="98"/>
        <v>-3780</v>
      </c>
      <c r="CE44" s="99"/>
      <c r="CF44" s="99"/>
      <c r="CG44" s="51">
        <f t="shared" si="53"/>
        <v>5.92</v>
      </c>
      <c r="CH44" s="62">
        <f t="shared" si="54"/>
        <v>5.92</v>
      </c>
      <c r="CI44" s="150"/>
      <c r="CJ44" s="150"/>
      <c r="CK44" s="150"/>
      <c r="CL44" s="145"/>
      <c r="CM44" s="150"/>
      <c r="CN44" s="150"/>
      <c r="CO44" s="146"/>
      <c r="CP44" s="154"/>
      <c r="CQ44" s="102">
        <f t="shared" si="101"/>
        <v>0</v>
      </c>
      <c r="CR44" s="102">
        <f t="shared" si="101"/>
        <v>0</v>
      </c>
      <c r="CS44" s="102">
        <f t="shared" si="101"/>
        <v>0</v>
      </c>
      <c r="CT44" s="92">
        <f t="shared" si="56"/>
        <v>0</v>
      </c>
      <c r="CU44" s="92">
        <f t="shared" si="102"/>
        <v>0</v>
      </c>
      <c r="CV44" s="103">
        <f t="shared" si="102"/>
        <v>0</v>
      </c>
      <c r="CW44" s="155" t="s">
        <v>147</v>
      </c>
      <c r="CX44" s="156">
        <v>12</v>
      </c>
      <c r="CY44" s="157">
        <f t="shared" si="58"/>
        <v>3300</v>
      </c>
      <c r="CZ44" s="157">
        <f t="shared" si="59"/>
        <v>48.6</v>
      </c>
      <c r="DA44" s="157"/>
      <c r="DB44" s="157"/>
      <c r="DC44" s="156"/>
      <c r="DD44" s="158"/>
      <c r="DE44" s="92">
        <f t="shared" si="21"/>
        <v>0</v>
      </c>
      <c r="DF44" s="108">
        <f t="shared" si="22"/>
        <v>10</v>
      </c>
      <c r="DG44" s="112">
        <f t="shared" si="23"/>
        <v>-1890</v>
      </c>
      <c r="DH44" s="110">
        <f t="shared" si="24"/>
        <v>0</v>
      </c>
      <c r="DI44" s="108">
        <f t="shared" si="25"/>
        <v>10</v>
      </c>
      <c r="DJ44" s="112">
        <f t="shared" si="26"/>
        <v>-1890</v>
      </c>
      <c r="DK44" s="110">
        <f t="shared" si="87"/>
        <v>0</v>
      </c>
      <c r="DL44" s="108">
        <f t="shared" si="87"/>
        <v>20</v>
      </c>
      <c r="DM44" s="111">
        <f t="shared" si="87"/>
        <v>-3780</v>
      </c>
      <c r="DN44" s="76">
        <f t="shared" si="60"/>
        <v>12</v>
      </c>
      <c r="DO44" s="76">
        <f t="shared" si="72"/>
        <v>18</v>
      </c>
      <c r="DP44" s="112"/>
      <c r="DQ44" s="112"/>
      <c r="DR44" s="113" t="s">
        <v>533</v>
      </c>
      <c r="DS44" s="112"/>
      <c r="DT44" s="112"/>
      <c r="DU44" s="111"/>
      <c r="DV44" s="114"/>
      <c r="DW44" s="80">
        <f>IFERROR(AL44+BF44,"")</f>
        <v>20</v>
      </c>
      <c r="DX44" s="159">
        <f t="shared" si="28"/>
        <v>-3760</v>
      </c>
      <c r="DY44" s="80">
        <f t="shared" si="62"/>
        <v>0</v>
      </c>
      <c r="DZ44" s="82">
        <f t="shared" si="63"/>
        <v>0</v>
      </c>
      <c r="EA44" s="82">
        <f t="shared" si="64"/>
        <v>0</v>
      </c>
      <c r="EB44" s="82">
        <f t="shared" si="65"/>
        <v>5.92</v>
      </c>
      <c r="EC44" s="82">
        <f t="shared" si="76"/>
        <v>5.92</v>
      </c>
      <c r="EF44" s="83">
        <f t="shared" si="92"/>
        <v>-3780</v>
      </c>
    </row>
    <row r="45" spans="1:136" ht="14.1" hidden="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0"/>
        <v>IBC3604-6.2x3-H9A14</v>
      </c>
      <c r="H45" s="46" t="str">
        <f t="shared" si="31"/>
        <v>C3604IB6.20DH9</v>
      </c>
      <c r="I45" s="46" t="str">
        <f t="shared" si="32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3"/>
        <v>54</v>
      </c>
      <c r="T45" s="51">
        <f>'07.02'!BG45</f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4"/>
        <v>0</v>
      </c>
      <c r="AF45" s="54">
        <f>AE45+'07.02'!AF45</f>
        <v>0</v>
      </c>
      <c r="AG45" s="94">
        <f t="shared" si="66"/>
        <v>0</v>
      </c>
      <c r="AH45" s="56">
        <f t="shared" si="13"/>
        <v>0</v>
      </c>
      <c r="AI45" s="93"/>
      <c r="AJ45" s="93">
        <f t="shared" si="67"/>
        <v>0</v>
      </c>
      <c r="AK45" s="95">
        <f t="shared" si="35"/>
        <v>1</v>
      </c>
      <c r="AL45" s="58">
        <f t="shared" si="36"/>
        <v>0</v>
      </c>
      <c r="AM45" s="55">
        <f t="shared" si="68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7"/>
        <v>0</v>
      </c>
      <c r="AV45" s="96">
        <f t="shared" si="37"/>
        <v>0</v>
      </c>
      <c r="AW45" s="96">
        <f t="shared" si="38"/>
        <v>0</v>
      </c>
      <c r="AX45" s="96">
        <f t="shared" si="39"/>
        <v>0</v>
      </c>
      <c r="AY45" s="94">
        <f t="shared" si="69"/>
        <v>0</v>
      </c>
      <c r="AZ45" s="94">
        <f t="shared" si="40"/>
        <v>0</v>
      </c>
      <c r="BA45" s="94">
        <f t="shared" si="41"/>
        <v>0</v>
      </c>
      <c r="BB45" s="97">
        <f t="shared" si="42"/>
        <v>0</v>
      </c>
      <c r="BC45" s="93"/>
      <c r="BD45" s="93">
        <f t="shared" si="43"/>
        <v>0</v>
      </c>
      <c r="BE45" s="95">
        <f t="shared" si="44"/>
        <v>1</v>
      </c>
      <c r="BF45" s="58">
        <f t="shared" si="45"/>
        <v>0</v>
      </c>
      <c r="BG45" s="94">
        <f t="shared" si="46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0"/>
        <v>0</v>
      </c>
      <c r="BP45" s="92">
        <f t="shared" si="70"/>
        <v>0</v>
      </c>
      <c r="BQ45" s="96">
        <f t="shared" si="47"/>
        <v>0</v>
      </c>
      <c r="BR45" s="96">
        <f t="shared" si="48"/>
        <v>0</v>
      </c>
      <c r="BS45" s="96">
        <f t="shared" si="71"/>
        <v>0</v>
      </c>
      <c r="BT45" s="96">
        <f t="shared" si="49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0"/>
        <v>0</v>
      </c>
      <c r="BY45" s="61">
        <f t="shared" si="74"/>
        <v>0</v>
      </c>
      <c r="BZ45" s="62">
        <f t="shared" si="51"/>
        <v>0</v>
      </c>
      <c r="CA45" s="98">
        <f t="shared" si="52"/>
        <v>0</v>
      </c>
      <c r="CB45" s="92">
        <f t="shared" si="98"/>
        <v>0</v>
      </c>
      <c r="CC45" s="92">
        <f t="shared" si="98"/>
        <v>0</v>
      </c>
      <c r="CD45" s="92">
        <f t="shared" si="98"/>
        <v>0</v>
      </c>
      <c r="CE45" s="99"/>
      <c r="CF45" s="99"/>
      <c r="CG45" s="51">
        <f t="shared" si="53"/>
        <v>0</v>
      </c>
      <c r="CH45" s="62">
        <f t="shared" si="54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101"/>
        <v>0</v>
      </c>
      <c r="CR45" s="102">
        <f t="shared" si="101"/>
        <v>0</v>
      </c>
      <c r="CS45" s="102">
        <f t="shared" si="101"/>
        <v>0</v>
      </c>
      <c r="CT45" s="92">
        <f t="shared" si="56"/>
        <v>0</v>
      </c>
      <c r="CU45" s="92">
        <f t="shared" si="102"/>
        <v>0</v>
      </c>
      <c r="CV45" s="103">
        <f t="shared" si="102"/>
        <v>0</v>
      </c>
      <c r="CW45" s="104" t="s">
        <v>147</v>
      </c>
      <c r="CX45" s="105">
        <v>15</v>
      </c>
      <c r="CY45" s="106">
        <f t="shared" si="58"/>
        <v>2496</v>
      </c>
      <c r="CZ45" s="106">
        <f t="shared" si="59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7"/>
        <v>0</v>
      </c>
      <c r="DL45" s="108">
        <f t="shared" si="87"/>
        <v>0</v>
      </c>
      <c r="DM45" s="111">
        <f t="shared" si="87"/>
        <v>0</v>
      </c>
      <c r="DN45" s="76">
        <f t="shared" si="60"/>
        <v>0</v>
      </c>
      <c r="DO45" s="76">
        <f t="shared" si="72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1"/>
        <v>0</v>
      </c>
      <c r="DX45" s="81">
        <f t="shared" si="28"/>
        <v>0</v>
      </c>
      <c r="DY45" s="80">
        <f t="shared" si="62"/>
        <v>0</v>
      </c>
      <c r="DZ45" s="82">
        <f t="shared" si="63"/>
        <v>0</v>
      </c>
      <c r="EA45" s="82">
        <f t="shared" si="64"/>
        <v>0</v>
      </c>
      <c r="EB45" s="82">
        <f t="shared" si="65"/>
        <v>0</v>
      </c>
      <c r="EC45" s="82">
        <f t="shared" si="76"/>
        <v>0</v>
      </c>
      <c r="EF45" s="83">
        <f t="shared" si="92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0"/>
        <v>TV12L14-4.76x2.5-H9B14</v>
      </c>
      <c r="H46" s="46" t="str">
        <f t="shared" si="31"/>
        <v>12L14TV4.760DH9</v>
      </c>
      <c r="I46" s="46" t="str">
        <f t="shared" si="32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3"/>
        <v>44</v>
      </c>
      <c r="T46" s="51">
        <f>'07.02'!BG46</f>
        <v>69</v>
      </c>
      <c r="U46" s="92"/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0</v>
      </c>
      <c r="AB46" s="93">
        <f t="shared" si="10"/>
        <v>0</v>
      </c>
      <c r="AC46" s="93">
        <f t="shared" si="11"/>
        <v>0</v>
      </c>
      <c r="AD46" s="93">
        <f t="shared" si="12"/>
        <v>0</v>
      </c>
      <c r="AE46" s="93">
        <f t="shared" si="34"/>
        <v>0</v>
      </c>
      <c r="AF46" s="54">
        <f>AE46+'07.02'!AF46</f>
        <v>19319</v>
      </c>
      <c r="AG46" s="94">
        <f t="shared" si="66"/>
        <v>69</v>
      </c>
      <c r="AH46" s="56">
        <f t="shared" si="13"/>
        <v>0</v>
      </c>
      <c r="AI46" s="93">
        <v>15</v>
      </c>
      <c r="AJ46" s="93">
        <f t="shared" si="67"/>
        <v>0</v>
      </c>
      <c r="AK46" s="95">
        <f t="shared" si="35"/>
        <v>1</v>
      </c>
      <c r="AL46" s="58">
        <f t="shared" si="36"/>
        <v>15</v>
      </c>
      <c r="AM46" s="55">
        <f t="shared" si="68"/>
        <v>54</v>
      </c>
      <c r="AN46" s="93"/>
      <c r="AO46" s="96"/>
      <c r="AP46" s="96"/>
      <c r="AQ46" s="96"/>
      <c r="AR46" s="96"/>
      <c r="AS46" s="96">
        <f>$CJ46</f>
        <v>0</v>
      </c>
      <c r="AT46" s="96"/>
      <c r="AU46" s="96">
        <f t="shared" si="37"/>
        <v>0</v>
      </c>
      <c r="AV46" s="96">
        <f t="shared" si="37"/>
        <v>0</v>
      </c>
      <c r="AW46" s="96">
        <f t="shared" si="38"/>
        <v>0</v>
      </c>
      <c r="AX46" s="96">
        <f t="shared" si="39"/>
        <v>0</v>
      </c>
      <c r="AY46" s="94">
        <f t="shared" si="69"/>
        <v>-2970</v>
      </c>
      <c r="AZ46" s="94">
        <f t="shared" si="40"/>
        <v>-1320</v>
      </c>
      <c r="BA46" s="94">
        <f t="shared" si="41"/>
        <v>54</v>
      </c>
      <c r="BB46" s="97">
        <f t="shared" si="42"/>
        <v>0</v>
      </c>
      <c r="BC46" s="93"/>
      <c r="BD46" s="93">
        <f t="shared" si="43"/>
        <v>0</v>
      </c>
      <c r="BE46" s="95">
        <f t="shared" si="44"/>
        <v>1</v>
      </c>
      <c r="BF46" s="58">
        <f t="shared" si="45"/>
        <v>0</v>
      </c>
      <c r="BG46" s="94">
        <f t="shared" si="46"/>
        <v>54</v>
      </c>
      <c r="BH46" s="89"/>
      <c r="BI46" s="89"/>
      <c r="BJ46" s="89"/>
      <c r="BK46" s="89"/>
      <c r="BL46" s="89"/>
      <c r="BM46" s="92">
        <f>$CN46</f>
        <v>0</v>
      </c>
      <c r="BN46" s="89"/>
      <c r="BO46" s="92">
        <f t="shared" si="70"/>
        <v>0</v>
      </c>
      <c r="BP46" s="92">
        <f t="shared" si="70"/>
        <v>0</v>
      </c>
      <c r="BQ46" s="96">
        <f t="shared" si="47"/>
        <v>0</v>
      </c>
      <c r="BR46" s="96">
        <f t="shared" si="48"/>
        <v>0</v>
      </c>
      <c r="BS46" s="96">
        <f t="shared" si="71"/>
        <v>0</v>
      </c>
      <c r="BT46" s="96">
        <f t="shared" si="49"/>
        <v>0</v>
      </c>
      <c r="BU46" s="92">
        <f t="shared" si="16"/>
        <v>0</v>
      </c>
      <c r="BV46" s="98">
        <f t="shared" si="17"/>
        <v>15</v>
      </c>
      <c r="BW46" s="92">
        <f t="shared" si="18"/>
        <v>-1320</v>
      </c>
      <c r="BX46" s="98">
        <f t="shared" si="50"/>
        <v>5.2050000000000001</v>
      </c>
      <c r="BY46" s="61">
        <f t="shared" si="74"/>
        <v>15</v>
      </c>
      <c r="BZ46" s="62">
        <f t="shared" si="51"/>
        <v>15</v>
      </c>
      <c r="CA46" s="98">
        <f t="shared" si="52"/>
        <v>0</v>
      </c>
      <c r="CB46" s="92">
        <f t="shared" si="98"/>
        <v>0</v>
      </c>
      <c r="CC46" s="92">
        <f t="shared" si="98"/>
        <v>-2970</v>
      </c>
      <c r="CD46" s="92">
        <f t="shared" si="98"/>
        <v>-1320</v>
      </c>
      <c r="CE46" s="99"/>
      <c r="CF46" s="99"/>
      <c r="CG46" s="51">
        <f t="shared" si="53"/>
        <v>5.2050000000000001</v>
      </c>
      <c r="CH46" s="62">
        <f t="shared" si="54"/>
        <v>5.2050000000000001</v>
      </c>
      <c r="CI46" s="89"/>
      <c r="CJ46" s="89"/>
      <c r="CK46" s="89"/>
      <c r="CL46" s="96"/>
      <c r="CM46" s="89"/>
      <c r="CN46" s="89"/>
      <c r="CO46" s="92"/>
      <c r="CP46" s="101"/>
      <c r="CQ46" s="102">
        <f t="shared" si="101"/>
        <v>0</v>
      </c>
      <c r="CR46" s="102">
        <f t="shared" si="101"/>
        <v>0</v>
      </c>
      <c r="CS46" s="102">
        <f t="shared" si="101"/>
        <v>0</v>
      </c>
      <c r="CT46" s="92">
        <f t="shared" si="56"/>
        <v>0</v>
      </c>
      <c r="CU46" s="92">
        <f t="shared" si="102"/>
        <v>0</v>
      </c>
      <c r="CV46" s="103">
        <f t="shared" si="102"/>
        <v>0</v>
      </c>
      <c r="CW46" s="104" t="s">
        <v>147</v>
      </c>
      <c r="CX46" s="105">
        <v>20</v>
      </c>
      <c r="CY46" s="106">
        <f t="shared" si="58"/>
        <v>1935</v>
      </c>
      <c r="CZ46" s="106">
        <f t="shared" si="59"/>
        <v>81</v>
      </c>
      <c r="DA46" s="106"/>
      <c r="DB46" s="106"/>
      <c r="DC46" s="105"/>
      <c r="DD46" s="107"/>
      <c r="DE46" s="92">
        <f t="shared" si="21"/>
        <v>0</v>
      </c>
      <c r="DF46" s="108">
        <f t="shared" si="22"/>
        <v>15</v>
      </c>
      <c r="DG46" s="112">
        <f t="shared" si="23"/>
        <v>-1320</v>
      </c>
      <c r="DH46" s="110">
        <f t="shared" si="24"/>
        <v>0</v>
      </c>
      <c r="DI46" s="108">
        <f t="shared" si="25"/>
        <v>0</v>
      </c>
      <c r="DJ46" s="112">
        <f t="shared" si="26"/>
        <v>0</v>
      </c>
      <c r="DK46" s="110">
        <f t="shared" si="87"/>
        <v>0</v>
      </c>
      <c r="DL46" s="108">
        <f t="shared" si="87"/>
        <v>15</v>
      </c>
      <c r="DM46" s="111">
        <f t="shared" si="87"/>
        <v>-1320</v>
      </c>
      <c r="DN46" s="76">
        <f t="shared" si="60"/>
        <v>69</v>
      </c>
      <c r="DO46" s="76">
        <f t="shared" si="72"/>
        <v>0</v>
      </c>
      <c r="DP46" s="112"/>
      <c r="DQ46" s="112"/>
      <c r="DR46" s="113" t="s">
        <v>534</v>
      </c>
      <c r="DS46" s="112"/>
      <c r="DT46" s="112"/>
      <c r="DU46" s="111"/>
      <c r="DV46" s="114"/>
      <c r="DW46" s="80">
        <f>IFERROR(AL46+BF46,"")</f>
        <v>15</v>
      </c>
      <c r="DX46" s="81">
        <f t="shared" si="28"/>
        <v>-1305</v>
      </c>
      <c r="DY46" s="80">
        <f t="shared" si="62"/>
        <v>0</v>
      </c>
      <c r="DZ46" s="82">
        <f t="shared" si="63"/>
        <v>0</v>
      </c>
      <c r="EA46" s="82">
        <f t="shared" si="64"/>
        <v>0</v>
      </c>
      <c r="EB46" s="82">
        <f t="shared" si="65"/>
        <v>5.2050000000000001</v>
      </c>
      <c r="EC46" s="82">
        <f t="shared" si="76"/>
        <v>5.2050000000000001</v>
      </c>
      <c r="EF46" s="83">
        <f t="shared" si="92"/>
        <v>-1320</v>
      </c>
    </row>
    <row r="47" spans="1:136" ht="14.1" hidden="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0"/>
        <v>MESUS303-2.5x3-H9B14</v>
      </c>
      <c r="H47" s="46" t="str">
        <f t="shared" si="31"/>
        <v>SUS303ME2.50DH9</v>
      </c>
      <c r="I47" s="46" t="str">
        <f t="shared" si="32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3"/>
        <v>62</v>
      </c>
      <c r="T47" s="51">
        <f>'07.02'!BG47</f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4"/>
        <v>0</v>
      </c>
      <c r="AF47" s="54">
        <f>AE47+'07.02'!AF47</f>
        <v>0</v>
      </c>
      <c r="AG47" s="94">
        <f t="shared" si="66"/>
        <v>0</v>
      </c>
      <c r="AH47" s="56">
        <f t="shared" si="13"/>
        <v>0</v>
      </c>
      <c r="AI47" s="93"/>
      <c r="AJ47" s="93">
        <f t="shared" si="67"/>
        <v>0</v>
      </c>
      <c r="AK47" s="95">
        <f t="shared" si="35"/>
        <v>1</v>
      </c>
      <c r="AL47" s="58">
        <f t="shared" si="36"/>
        <v>0</v>
      </c>
      <c r="AM47" s="55">
        <f t="shared" si="68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7"/>
        <v>0</v>
      </c>
      <c r="AV47" s="96">
        <f t="shared" si="37"/>
        <v>0</v>
      </c>
      <c r="AW47" s="96">
        <f t="shared" si="38"/>
        <v>0</v>
      </c>
      <c r="AX47" s="96">
        <f t="shared" si="39"/>
        <v>0</v>
      </c>
      <c r="AY47" s="94">
        <f t="shared" si="69"/>
        <v>0</v>
      </c>
      <c r="AZ47" s="94">
        <f t="shared" si="40"/>
        <v>0</v>
      </c>
      <c r="BA47" s="94">
        <f t="shared" si="41"/>
        <v>0</v>
      </c>
      <c r="BB47" s="97">
        <f t="shared" si="42"/>
        <v>0</v>
      </c>
      <c r="BC47" s="93"/>
      <c r="BD47" s="93">
        <f t="shared" si="43"/>
        <v>0</v>
      </c>
      <c r="BE47" s="95">
        <f t="shared" si="44"/>
        <v>1</v>
      </c>
      <c r="BF47" s="58">
        <f t="shared" si="45"/>
        <v>0</v>
      </c>
      <c r="BG47" s="94">
        <f t="shared" si="46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0"/>
        <v>0</v>
      </c>
      <c r="BP47" s="92">
        <f t="shared" si="70"/>
        <v>0</v>
      </c>
      <c r="BQ47" s="96">
        <f t="shared" si="47"/>
        <v>0</v>
      </c>
      <c r="BR47" s="96">
        <f t="shared" si="48"/>
        <v>0</v>
      </c>
      <c r="BS47" s="96">
        <f t="shared" si="71"/>
        <v>0</v>
      </c>
      <c r="BT47" s="96">
        <f t="shared" si="49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0"/>
        <v>0</v>
      </c>
      <c r="BY47" s="61">
        <f t="shared" si="74"/>
        <v>0</v>
      </c>
      <c r="BZ47" s="62">
        <f t="shared" si="51"/>
        <v>0</v>
      </c>
      <c r="CA47" s="98">
        <f t="shared" si="52"/>
        <v>0</v>
      </c>
      <c r="CB47" s="92">
        <f t="shared" si="98"/>
        <v>0</v>
      </c>
      <c r="CC47" s="92">
        <f t="shared" si="98"/>
        <v>0</v>
      </c>
      <c r="CD47" s="92">
        <f t="shared" si="98"/>
        <v>0</v>
      </c>
      <c r="CE47" s="99"/>
      <c r="CF47" s="99"/>
      <c r="CG47" s="51">
        <f t="shared" si="53"/>
        <v>0</v>
      </c>
      <c r="CH47" s="62">
        <f t="shared" si="54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101"/>
        <v>0</v>
      </c>
      <c r="CR47" s="102">
        <f t="shared" si="101"/>
        <v>0</v>
      </c>
      <c r="CS47" s="102">
        <f t="shared" si="101"/>
        <v>0</v>
      </c>
      <c r="CT47" s="92">
        <f t="shared" si="56"/>
        <v>0</v>
      </c>
      <c r="CU47" s="92">
        <f t="shared" si="102"/>
        <v>0</v>
      </c>
      <c r="CV47" s="103">
        <f t="shared" si="102"/>
        <v>0</v>
      </c>
      <c r="CW47" s="104" t="s">
        <v>147</v>
      </c>
      <c r="CX47" s="105">
        <v>17</v>
      </c>
      <c r="CY47" s="106">
        <f t="shared" si="58"/>
        <v>2149</v>
      </c>
      <c r="CZ47" s="106">
        <f t="shared" si="59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7"/>
        <v>0</v>
      </c>
      <c r="DL47" s="108">
        <f t="shared" si="87"/>
        <v>0</v>
      </c>
      <c r="DM47" s="111">
        <f t="shared" si="87"/>
        <v>0</v>
      </c>
      <c r="DN47" s="76">
        <f t="shared" si="60"/>
        <v>0</v>
      </c>
      <c r="DO47" s="76">
        <f t="shared" si="72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1"/>
        <v>0</v>
      </c>
      <c r="DX47" s="81">
        <f t="shared" si="28"/>
        <v>0</v>
      </c>
      <c r="DY47" s="80">
        <f t="shared" si="62"/>
        <v>0</v>
      </c>
      <c r="DZ47" s="82">
        <f t="shared" si="63"/>
        <v>0</v>
      </c>
      <c r="EA47" s="82">
        <f t="shared" si="64"/>
        <v>0</v>
      </c>
      <c r="EB47" s="82">
        <f t="shared" si="65"/>
        <v>0</v>
      </c>
      <c r="EC47" s="82">
        <f t="shared" si="76"/>
        <v>0</v>
      </c>
      <c r="EF47" s="83">
        <f t="shared" si="92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0"/>
        <v>TV12L14-3.975x2.5-H7A12</v>
      </c>
      <c r="H48" s="46" t="str">
        <f t="shared" si="31"/>
        <v>12L14TV3.9750DH7</v>
      </c>
      <c r="I48" s="46" t="str">
        <f t="shared" si="32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3"/>
        <v>16</v>
      </c>
      <c r="T48" s="51">
        <f>'07.02'!BG48</f>
        <v>24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4"/>
        <v>0</v>
      </c>
      <c r="AF48" s="54">
        <f>AE48+'07.02'!AF48</f>
        <v>0</v>
      </c>
      <c r="AG48" s="94">
        <f t="shared" si="66"/>
        <v>24</v>
      </c>
      <c r="AH48" s="56">
        <f t="shared" si="13"/>
        <v>0</v>
      </c>
      <c r="AI48" s="93"/>
      <c r="AJ48" s="93">
        <f t="shared" si="67"/>
        <v>0</v>
      </c>
      <c r="AK48" s="95">
        <f t="shared" si="35"/>
        <v>1</v>
      </c>
      <c r="AL48" s="58">
        <f t="shared" si="36"/>
        <v>0</v>
      </c>
      <c r="AM48" s="55">
        <f t="shared" si="68"/>
        <v>24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7"/>
        <v>0</v>
      </c>
      <c r="AV48" s="96">
        <f t="shared" si="37"/>
        <v>0</v>
      </c>
      <c r="AW48" s="96">
        <f t="shared" si="38"/>
        <v>0</v>
      </c>
      <c r="AX48" s="96">
        <f t="shared" si="39"/>
        <v>0</v>
      </c>
      <c r="AY48" s="94">
        <f t="shared" si="69"/>
        <v>0</v>
      </c>
      <c r="AZ48" s="94">
        <f t="shared" si="40"/>
        <v>0</v>
      </c>
      <c r="BA48" s="94">
        <f t="shared" si="41"/>
        <v>24</v>
      </c>
      <c r="BB48" s="97">
        <f t="shared" si="42"/>
        <v>0</v>
      </c>
      <c r="BC48" s="93"/>
      <c r="BD48" s="93">
        <f t="shared" si="43"/>
        <v>0</v>
      </c>
      <c r="BE48" s="95">
        <f t="shared" si="44"/>
        <v>1</v>
      </c>
      <c r="BF48" s="58">
        <f t="shared" si="45"/>
        <v>0</v>
      </c>
      <c r="BG48" s="94">
        <f t="shared" si="46"/>
        <v>24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0"/>
        <v>0</v>
      </c>
      <c r="BP48" s="92">
        <f t="shared" si="70"/>
        <v>0</v>
      </c>
      <c r="BQ48" s="96">
        <f t="shared" si="47"/>
        <v>0</v>
      </c>
      <c r="BR48" s="96">
        <f t="shared" si="48"/>
        <v>0</v>
      </c>
      <c r="BS48" s="96">
        <f t="shared" si="71"/>
        <v>0</v>
      </c>
      <c r="BT48" s="96">
        <f t="shared" si="49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0"/>
        <v>0</v>
      </c>
      <c r="BY48" s="61">
        <f t="shared" si="74"/>
        <v>0</v>
      </c>
      <c r="BZ48" s="62">
        <f t="shared" si="51"/>
        <v>0</v>
      </c>
      <c r="CA48" s="98">
        <f t="shared" si="52"/>
        <v>0</v>
      </c>
      <c r="CB48" s="92">
        <f t="shared" si="98"/>
        <v>0</v>
      </c>
      <c r="CC48" s="92">
        <f t="shared" si="98"/>
        <v>0</v>
      </c>
      <c r="CD48" s="92">
        <f t="shared" si="98"/>
        <v>0</v>
      </c>
      <c r="CE48" s="99"/>
      <c r="CF48" s="99"/>
      <c r="CG48" s="51">
        <f t="shared" si="53"/>
        <v>0</v>
      </c>
      <c r="CH48" s="62">
        <f t="shared" si="54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101"/>
        <v>0</v>
      </c>
      <c r="CR48" s="102">
        <f t="shared" si="101"/>
        <v>0</v>
      </c>
      <c r="CS48" s="102">
        <f t="shared" si="101"/>
        <v>0</v>
      </c>
      <c r="CT48" s="92">
        <f t="shared" si="56"/>
        <v>0</v>
      </c>
      <c r="CU48" s="92">
        <f t="shared" si="102"/>
        <v>0</v>
      </c>
      <c r="CV48" s="103">
        <f t="shared" si="102"/>
        <v>0</v>
      </c>
      <c r="CW48" s="104" t="s">
        <v>147</v>
      </c>
      <c r="CX48" s="105">
        <v>21</v>
      </c>
      <c r="CY48" s="106">
        <f t="shared" si="58"/>
        <v>1988</v>
      </c>
      <c r="CZ48" s="106">
        <f t="shared" si="59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7"/>
        <v>0</v>
      </c>
      <c r="DL48" s="108">
        <f t="shared" si="87"/>
        <v>0</v>
      </c>
      <c r="DM48" s="111">
        <f t="shared" si="87"/>
        <v>0</v>
      </c>
      <c r="DN48" s="76">
        <f t="shared" si="60"/>
        <v>24</v>
      </c>
      <c r="DO48" s="76">
        <f t="shared" si="72"/>
        <v>0</v>
      </c>
      <c r="DP48" s="112"/>
      <c r="DQ48" s="112"/>
      <c r="DR48" s="113" t="s">
        <v>535</v>
      </c>
      <c r="DS48" s="112"/>
      <c r="DT48" s="112"/>
      <c r="DU48" s="111"/>
      <c r="DV48" s="114"/>
      <c r="DW48" s="80">
        <f t="shared" si="61"/>
        <v>0</v>
      </c>
      <c r="DX48" s="81">
        <f t="shared" si="28"/>
        <v>0</v>
      </c>
      <c r="DY48" s="80">
        <f t="shared" si="62"/>
        <v>0</v>
      </c>
      <c r="DZ48" s="82">
        <f t="shared" si="63"/>
        <v>0</v>
      </c>
      <c r="EA48" s="82">
        <f t="shared" si="64"/>
        <v>0</v>
      </c>
      <c r="EB48" s="82">
        <f t="shared" si="65"/>
        <v>0</v>
      </c>
      <c r="EC48" s="82">
        <f t="shared" si="76"/>
        <v>0</v>
      </c>
      <c r="EF48" s="83">
        <f t="shared" si="92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0"/>
        <v>GAA5052-5.7x3-H9A14</v>
      </c>
      <c r="H49" s="46" t="str">
        <f t="shared" si="31"/>
        <v>A5052GA5.70DH9</v>
      </c>
      <c r="I49" s="46" t="str">
        <f t="shared" si="32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3"/>
        <v>14</v>
      </c>
      <c r="T49" s="51">
        <f>'07.02'!BG49</f>
        <v>29.999999999999993</v>
      </c>
      <c r="U49" s="92"/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0</v>
      </c>
      <c r="AC49" s="93">
        <f t="shared" si="11"/>
        <v>0</v>
      </c>
      <c r="AD49" s="93">
        <f t="shared" si="12"/>
        <v>0</v>
      </c>
      <c r="AE49" s="93">
        <f t="shared" si="34"/>
        <v>0</v>
      </c>
      <c r="AF49" s="54">
        <f>AE49+'07.02'!AF49</f>
        <v>15704</v>
      </c>
      <c r="AG49" s="94">
        <f t="shared" si="66"/>
        <v>29.999999999999993</v>
      </c>
      <c r="AH49" s="56">
        <f t="shared" si="13"/>
        <v>0</v>
      </c>
      <c r="AI49" s="93">
        <v>5</v>
      </c>
      <c r="AJ49" s="93">
        <f t="shared" si="67"/>
        <v>0</v>
      </c>
      <c r="AK49" s="95">
        <f t="shared" si="35"/>
        <v>1</v>
      </c>
      <c r="AL49" s="58">
        <f t="shared" si="36"/>
        <v>5</v>
      </c>
      <c r="AM49" s="55">
        <f t="shared" si="68"/>
        <v>24.999999999999993</v>
      </c>
      <c r="AN49" s="93"/>
      <c r="AO49" s="96"/>
      <c r="AP49" s="96"/>
      <c r="AQ49" s="96"/>
      <c r="AR49" s="96"/>
      <c r="AS49" s="96"/>
      <c r="AT49" s="96">
        <f>$CJ49</f>
        <v>0</v>
      </c>
      <c r="AU49" s="96">
        <f t="shared" si="37"/>
        <v>0</v>
      </c>
      <c r="AV49" s="96">
        <f t="shared" si="37"/>
        <v>0</v>
      </c>
      <c r="AW49" s="96">
        <f t="shared" si="38"/>
        <v>0</v>
      </c>
      <c r="AX49" s="96">
        <f t="shared" si="39"/>
        <v>0</v>
      </c>
      <c r="AY49" s="94">
        <f t="shared" si="69"/>
        <v>-180</v>
      </c>
      <c r="AZ49" s="94">
        <f t="shared" si="40"/>
        <v>-1200</v>
      </c>
      <c r="BA49" s="94">
        <f t="shared" si="41"/>
        <v>24.999999999999993</v>
      </c>
      <c r="BB49" s="97">
        <f t="shared" si="42"/>
        <v>0</v>
      </c>
      <c r="BC49" s="93">
        <v>6</v>
      </c>
      <c r="BD49" s="93">
        <f t="shared" si="43"/>
        <v>0</v>
      </c>
      <c r="BE49" s="95">
        <f t="shared" si="44"/>
        <v>1</v>
      </c>
      <c r="BF49" s="58">
        <f t="shared" si="45"/>
        <v>6</v>
      </c>
      <c r="BG49" s="94">
        <f t="shared" si="46"/>
        <v>18.999999999999993</v>
      </c>
      <c r="BH49" s="89"/>
      <c r="BI49" s="89"/>
      <c r="BJ49" s="89"/>
      <c r="BK49" s="89"/>
      <c r="BL49" s="89"/>
      <c r="BM49" s="89"/>
      <c r="BN49" s="146">
        <f>$CN49</f>
        <v>0</v>
      </c>
      <c r="BO49" s="92">
        <f t="shared" si="70"/>
        <v>0</v>
      </c>
      <c r="BP49" s="92">
        <f t="shared" si="70"/>
        <v>0</v>
      </c>
      <c r="BQ49" s="96">
        <f t="shared" si="47"/>
        <v>0</v>
      </c>
      <c r="BR49" s="96">
        <f t="shared" si="48"/>
        <v>0</v>
      </c>
      <c r="BS49" s="96">
        <f t="shared" si="71"/>
        <v>-216</v>
      </c>
      <c r="BT49" s="96">
        <f t="shared" si="49"/>
        <v>-1440</v>
      </c>
      <c r="BU49" s="92">
        <f t="shared" si="16"/>
        <v>0</v>
      </c>
      <c r="BV49" s="98">
        <f t="shared" si="17"/>
        <v>11</v>
      </c>
      <c r="BW49" s="92">
        <f t="shared" si="18"/>
        <v>-2640</v>
      </c>
      <c r="BX49" s="98">
        <f t="shared" si="50"/>
        <v>2.2439999999999998</v>
      </c>
      <c r="BY49" s="61">
        <f t="shared" si="74"/>
        <v>11</v>
      </c>
      <c r="BZ49" s="62">
        <f t="shared" si="51"/>
        <v>11</v>
      </c>
      <c r="CA49" s="98">
        <f t="shared" si="52"/>
        <v>0</v>
      </c>
      <c r="CB49" s="92">
        <f t="shared" si="98"/>
        <v>0</v>
      </c>
      <c r="CC49" s="92">
        <f t="shared" si="98"/>
        <v>-396</v>
      </c>
      <c r="CD49" s="92">
        <f t="shared" si="98"/>
        <v>-2640</v>
      </c>
      <c r="CE49" s="99"/>
      <c r="CF49" s="99"/>
      <c r="CG49" s="51">
        <f t="shared" si="53"/>
        <v>2.2439999999999998</v>
      </c>
      <c r="CH49" s="62">
        <f t="shared" si="54"/>
        <v>2.2439999999999998</v>
      </c>
      <c r="CI49" s="89"/>
      <c r="CJ49" s="89"/>
      <c r="CK49" s="89"/>
      <c r="CL49" s="96"/>
      <c r="CM49" s="89"/>
      <c r="CN49" s="89"/>
      <c r="CO49" s="92"/>
      <c r="CP49" s="101"/>
      <c r="CQ49" s="102">
        <f t="shared" si="101"/>
        <v>0</v>
      </c>
      <c r="CR49" s="102">
        <f t="shared" si="101"/>
        <v>0</v>
      </c>
      <c r="CS49" s="102">
        <f t="shared" si="101"/>
        <v>0</v>
      </c>
      <c r="CT49" s="92">
        <f t="shared" si="56"/>
        <v>0</v>
      </c>
      <c r="CU49" s="92">
        <f t="shared" si="102"/>
        <v>0</v>
      </c>
      <c r="CV49" s="103">
        <f t="shared" si="102"/>
        <v>0</v>
      </c>
      <c r="CW49" s="104" t="s">
        <v>147</v>
      </c>
      <c r="CX49" s="105">
        <v>26</v>
      </c>
      <c r="CY49" s="106">
        <f t="shared" si="58"/>
        <v>1613</v>
      </c>
      <c r="CZ49" s="106">
        <f t="shared" si="59"/>
        <v>105.30000000000001</v>
      </c>
      <c r="DA49" s="106"/>
      <c r="DB49" s="106"/>
      <c r="DC49" s="105"/>
      <c r="DD49" s="107"/>
      <c r="DE49" s="92">
        <f t="shared" si="21"/>
        <v>0</v>
      </c>
      <c r="DF49" s="108">
        <f t="shared" si="22"/>
        <v>5</v>
      </c>
      <c r="DG49" s="112">
        <f t="shared" si="23"/>
        <v>-1200</v>
      </c>
      <c r="DH49" s="110">
        <f t="shared" si="24"/>
        <v>0</v>
      </c>
      <c r="DI49" s="108">
        <f t="shared" si="25"/>
        <v>6</v>
      </c>
      <c r="DJ49" s="112">
        <f t="shared" si="26"/>
        <v>-1440</v>
      </c>
      <c r="DK49" s="110">
        <f t="shared" si="87"/>
        <v>0</v>
      </c>
      <c r="DL49" s="108">
        <f t="shared" si="87"/>
        <v>11</v>
      </c>
      <c r="DM49" s="111">
        <f t="shared" si="87"/>
        <v>-2640</v>
      </c>
      <c r="DN49" s="76">
        <f t="shared" si="60"/>
        <v>29.999999999999993</v>
      </c>
      <c r="DO49" s="76">
        <f t="shared" si="72"/>
        <v>0</v>
      </c>
      <c r="DP49" s="112"/>
      <c r="DQ49" s="112"/>
      <c r="DR49" s="113" t="s">
        <v>536</v>
      </c>
      <c r="DS49" s="112"/>
      <c r="DT49" s="112"/>
      <c r="DU49" s="111"/>
      <c r="DV49" s="114"/>
      <c r="DW49" s="80">
        <f t="shared" si="61"/>
        <v>11</v>
      </c>
      <c r="DX49" s="81">
        <f t="shared" si="28"/>
        <v>-2629</v>
      </c>
      <c r="DY49" s="80">
        <f t="shared" si="62"/>
        <v>0</v>
      </c>
      <c r="DZ49" s="82">
        <f t="shared" si="63"/>
        <v>0</v>
      </c>
      <c r="EA49" s="82">
        <f t="shared" si="64"/>
        <v>0</v>
      </c>
      <c r="EB49" s="82">
        <f t="shared" si="65"/>
        <v>2.2439999999999998</v>
      </c>
      <c r="EC49" s="82">
        <f t="shared" si="76"/>
        <v>2.2439999999999998</v>
      </c>
      <c r="EF49" s="83">
        <f t="shared" si="92"/>
        <v>-2640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0"/>
        <v>MESUS303CU-3.5x3-H9B14</v>
      </c>
      <c r="H50" s="46" t="str">
        <f t="shared" si="31"/>
        <v>SUS303CUME3.50DH9</v>
      </c>
      <c r="I50" s="46" t="str">
        <f t="shared" si="32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3"/>
        <v>8</v>
      </c>
      <c r="T50" s="51">
        <f>'07.02'!BG50</f>
        <v>25</v>
      </c>
      <c r="U50" s="92"/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0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4"/>
        <v>0</v>
      </c>
      <c r="AF50" s="54">
        <f>AE50+'07.02'!AF50</f>
        <v>23207</v>
      </c>
      <c r="AG50" s="94">
        <f t="shared" si="66"/>
        <v>25</v>
      </c>
      <c r="AH50" s="56">
        <f t="shared" si="13"/>
        <v>0</v>
      </c>
      <c r="AI50" s="93">
        <v>5</v>
      </c>
      <c r="AJ50" s="93">
        <f t="shared" si="67"/>
        <v>0</v>
      </c>
      <c r="AK50" s="95">
        <f t="shared" si="35"/>
        <v>1</v>
      </c>
      <c r="AL50" s="58">
        <f t="shared" si="36"/>
        <v>5</v>
      </c>
      <c r="AM50" s="55">
        <f t="shared" si="68"/>
        <v>20</v>
      </c>
      <c r="AN50" s="93"/>
      <c r="AO50" s="96"/>
      <c r="AP50" s="96"/>
      <c r="AQ50" s="96"/>
      <c r="AR50" s="96">
        <f>$CJ50</f>
        <v>0</v>
      </c>
      <c r="AS50" s="96"/>
      <c r="AT50" s="96"/>
      <c r="AU50" s="96">
        <f t="shared" si="37"/>
        <v>0</v>
      </c>
      <c r="AV50" s="96">
        <f t="shared" si="37"/>
        <v>0</v>
      </c>
      <c r="AW50" s="96">
        <f t="shared" si="38"/>
        <v>0</v>
      </c>
      <c r="AX50" s="96">
        <f t="shared" si="39"/>
        <v>0</v>
      </c>
      <c r="AY50" s="94">
        <f t="shared" si="69"/>
        <v>-407.5</v>
      </c>
      <c r="AZ50" s="94">
        <f t="shared" si="40"/>
        <v>-2500</v>
      </c>
      <c r="BA50" s="94">
        <f t="shared" si="41"/>
        <v>20</v>
      </c>
      <c r="BB50" s="97">
        <f t="shared" si="42"/>
        <v>0</v>
      </c>
      <c r="BC50" s="93">
        <v>5</v>
      </c>
      <c r="BD50" s="93">
        <f t="shared" si="43"/>
        <v>0</v>
      </c>
      <c r="BE50" s="95">
        <f t="shared" si="44"/>
        <v>1</v>
      </c>
      <c r="BF50" s="58">
        <f t="shared" si="45"/>
        <v>5</v>
      </c>
      <c r="BG50" s="94">
        <f t="shared" si="46"/>
        <v>15</v>
      </c>
      <c r="BH50" s="89"/>
      <c r="BI50" s="89"/>
      <c r="BJ50" s="89"/>
      <c r="BK50" s="89"/>
      <c r="BL50" s="92">
        <f>$CN50</f>
        <v>0</v>
      </c>
      <c r="BM50" s="92"/>
      <c r="BN50" s="89"/>
      <c r="BO50" s="92">
        <f t="shared" si="70"/>
        <v>0</v>
      </c>
      <c r="BP50" s="92">
        <f t="shared" si="70"/>
        <v>0</v>
      </c>
      <c r="BQ50" s="96">
        <f t="shared" si="47"/>
        <v>0</v>
      </c>
      <c r="BR50" s="96">
        <f t="shared" si="48"/>
        <v>0</v>
      </c>
      <c r="BS50" s="96">
        <f t="shared" si="71"/>
        <v>-407.5</v>
      </c>
      <c r="BT50" s="96">
        <f t="shared" si="49"/>
        <v>-2500</v>
      </c>
      <c r="BU50" s="92">
        <f t="shared" si="16"/>
        <v>0</v>
      </c>
      <c r="BV50" s="98">
        <f t="shared" si="17"/>
        <v>10</v>
      </c>
      <c r="BW50" s="92">
        <f t="shared" si="18"/>
        <v>-5000</v>
      </c>
      <c r="BX50" s="98">
        <f t="shared" si="50"/>
        <v>2.3000000000000003</v>
      </c>
      <c r="BY50" s="61">
        <f t="shared" si="74"/>
        <v>10</v>
      </c>
      <c r="BZ50" s="62">
        <f t="shared" si="51"/>
        <v>10</v>
      </c>
      <c r="CA50" s="98">
        <f t="shared" si="52"/>
        <v>0</v>
      </c>
      <c r="CB50" s="92">
        <f t="shared" si="98"/>
        <v>0</v>
      </c>
      <c r="CC50" s="92">
        <f t="shared" si="98"/>
        <v>-815</v>
      </c>
      <c r="CD50" s="92">
        <f t="shared" si="98"/>
        <v>-5000</v>
      </c>
      <c r="CE50" s="99"/>
      <c r="CF50" s="99"/>
      <c r="CG50" s="51">
        <f t="shared" si="53"/>
        <v>2.3000000000000003</v>
      </c>
      <c r="CH50" s="62">
        <f t="shared" si="54"/>
        <v>2.3000000000000003</v>
      </c>
      <c r="CI50" s="89"/>
      <c r="CJ50" s="89"/>
      <c r="CK50" s="89"/>
      <c r="CL50" s="96"/>
      <c r="CM50" s="89"/>
      <c r="CN50" s="89"/>
      <c r="CO50" s="92"/>
      <c r="CP50" s="101"/>
      <c r="CQ50" s="102">
        <f t="shared" si="101"/>
        <v>0</v>
      </c>
      <c r="CR50" s="102">
        <f t="shared" si="101"/>
        <v>0</v>
      </c>
      <c r="CS50" s="102">
        <f t="shared" si="101"/>
        <v>0</v>
      </c>
      <c r="CT50" s="92">
        <f t="shared" si="56"/>
        <v>0</v>
      </c>
      <c r="CU50" s="92">
        <f t="shared" si="102"/>
        <v>0</v>
      </c>
      <c r="CV50" s="103">
        <f t="shared" si="102"/>
        <v>0</v>
      </c>
      <c r="CW50" s="104" t="s">
        <v>147</v>
      </c>
      <c r="CX50" s="105">
        <v>23</v>
      </c>
      <c r="CY50" s="106">
        <f t="shared" si="58"/>
        <v>1846</v>
      </c>
      <c r="CZ50" s="106">
        <f t="shared" si="59"/>
        <v>93.15</v>
      </c>
      <c r="DA50" s="106"/>
      <c r="DB50" s="106"/>
      <c r="DC50" s="105"/>
      <c r="DD50" s="107"/>
      <c r="DE50" s="92">
        <f t="shared" si="21"/>
        <v>0</v>
      </c>
      <c r="DF50" s="108">
        <f t="shared" si="22"/>
        <v>5</v>
      </c>
      <c r="DG50" s="112">
        <f t="shared" si="23"/>
        <v>-2500</v>
      </c>
      <c r="DH50" s="110">
        <f t="shared" si="24"/>
        <v>0</v>
      </c>
      <c r="DI50" s="108">
        <f t="shared" si="25"/>
        <v>5</v>
      </c>
      <c r="DJ50" s="112">
        <f t="shared" si="26"/>
        <v>-2500</v>
      </c>
      <c r="DK50" s="110">
        <f t="shared" si="87"/>
        <v>0</v>
      </c>
      <c r="DL50" s="108">
        <f t="shared" si="87"/>
        <v>10</v>
      </c>
      <c r="DM50" s="111">
        <f t="shared" si="87"/>
        <v>-5000</v>
      </c>
      <c r="DN50" s="76">
        <f t="shared" si="60"/>
        <v>25</v>
      </c>
      <c r="DO50" s="76">
        <f t="shared" si="72"/>
        <v>0</v>
      </c>
      <c r="DP50" s="112"/>
      <c r="DQ50" s="112"/>
      <c r="DR50" s="113" t="s">
        <v>537</v>
      </c>
      <c r="DS50" s="112"/>
      <c r="DT50" s="112"/>
      <c r="DU50" s="111"/>
      <c r="DV50" s="114"/>
      <c r="DW50" s="80">
        <f t="shared" ref="DW50:DW52" si="103">IFERROR(AL50+BF50,"")</f>
        <v>10</v>
      </c>
      <c r="DX50" s="81">
        <f t="shared" si="28"/>
        <v>-4990</v>
      </c>
      <c r="DY50" s="80">
        <f t="shared" si="62"/>
        <v>0</v>
      </c>
      <c r="DZ50" s="82">
        <f t="shared" si="63"/>
        <v>0</v>
      </c>
      <c r="EA50" s="82">
        <f t="shared" si="64"/>
        <v>0</v>
      </c>
      <c r="EB50" s="82">
        <f t="shared" si="65"/>
        <v>2.3000000000000003</v>
      </c>
      <c r="EC50" s="82">
        <f t="shared" si="76"/>
        <v>2.3000000000000003</v>
      </c>
      <c r="EF50" s="83">
        <f t="shared" si="92"/>
        <v>-5000</v>
      </c>
    </row>
    <row r="51" spans="1:136" ht="14.1" hidden="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0"/>
        <v>MESUS303-2.5x3-H9B14</v>
      </c>
      <c r="H51" s="46" t="str">
        <f t="shared" si="31"/>
        <v>SUS303ME2.50DH9</v>
      </c>
      <c r="I51" s="46" t="str">
        <f t="shared" si="32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3"/>
        <v>38</v>
      </c>
      <c r="T51" s="51">
        <f>'07.02'!BG51</f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4"/>
        <v>0</v>
      </c>
      <c r="AF51" s="54">
        <f>AE51+'07.02'!AF51</f>
        <v>0</v>
      </c>
      <c r="AG51" s="94">
        <f t="shared" si="66"/>
        <v>0</v>
      </c>
      <c r="AH51" s="56">
        <f t="shared" si="13"/>
        <v>0</v>
      </c>
      <c r="AI51" s="93"/>
      <c r="AJ51" s="93">
        <f t="shared" si="67"/>
        <v>0</v>
      </c>
      <c r="AK51" s="95">
        <f t="shared" si="35"/>
        <v>1</v>
      </c>
      <c r="AL51" s="58">
        <f t="shared" si="36"/>
        <v>0</v>
      </c>
      <c r="AM51" s="55">
        <f t="shared" si="68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7"/>
        <v>0</v>
      </c>
      <c r="AV51" s="96">
        <f t="shared" si="37"/>
        <v>0</v>
      </c>
      <c r="AW51" s="96">
        <f t="shared" si="38"/>
        <v>0</v>
      </c>
      <c r="AX51" s="96">
        <f t="shared" si="39"/>
        <v>0</v>
      </c>
      <c r="AY51" s="94">
        <f t="shared" si="69"/>
        <v>0</v>
      </c>
      <c r="AZ51" s="94">
        <f t="shared" si="40"/>
        <v>0</v>
      </c>
      <c r="BA51" s="94">
        <f t="shared" si="41"/>
        <v>0</v>
      </c>
      <c r="BB51" s="97">
        <f t="shared" si="42"/>
        <v>0</v>
      </c>
      <c r="BC51" s="93"/>
      <c r="BD51" s="93">
        <f t="shared" si="43"/>
        <v>0</v>
      </c>
      <c r="BE51" s="95">
        <f t="shared" si="44"/>
        <v>1</v>
      </c>
      <c r="BF51" s="58">
        <f t="shared" si="45"/>
        <v>0</v>
      </c>
      <c r="BG51" s="94">
        <f t="shared" si="46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0"/>
        <v>0</v>
      </c>
      <c r="BP51" s="92">
        <f t="shared" si="70"/>
        <v>0</v>
      </c>
      <c r="BQ51" s="96">
        <f t="shared" si="47"/>
        <v>0</v>
      </c>
      <c r="BR51" s="96">
        <f t="shared" si="48"/>
        <v>0</v>
      </c>
      <c r="BS51" s="96">
        <f t="shared" si="71"/>
        <v>0</v>
      </c>
      <c r="BT51" s="96">
        <f t="shared" si="49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0"/>
        <v>0</v>
      </c>
      <c r="BY51" s="61">
        <f t="shared" si="74"/>
        <v>0</v>
      </c>
      <c r="BZ51" s="62">
        <f t="shared" si="51"/>
        <v>0</v>
      </c>
      <c r="CA51" s="98">
        <f t="shared" si="52"/>
        <v>0</v>
      </c>
      <c r="CB51" s="92">
        <f t="shared" si="98"/>
        <v>0</v>
      </c>
      <c r="CC51" s="92">
        <f t="shared" si="98"/>
        <v>0</v>
      </c>
      <c r="CD51" s="92">
        <f t="shared" si="98"/>
        <v>0</v>
      </c>
      <c r="CE51" s="99"/>
      <c r="CF51" s="99"/>
      <c r="CG51" s="51">
        <f t="shared" si="53"/>
        <v>0</v>
      </c>
      <c r="CH51" s="62">
        <f t="shared" si="54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101"/>
        <v>0</v>
      </c>
      <c r="CR51" s="102">
        <f t="shared" si="101"/>
        <v>0</v>
      </c>
      <c r="CS51" s="102">
        <f t="shared" si="101"/>
        <v>0</v>
      </c>
      <c r="CT51" s="92">
        <f t="shared" si="56"/>
        <v>0</v>
      </c>
      <c r="CU51" s="92">
        <f t="shared" si="102"/>
        <v>0</v>
      </c>
      <c r="CV51" s="103">
        <f t="shared" si="102"/>
        <v>0</v>
      </c>
      <c r="CW51" s="104" t="s">
        <v>147</v>
      </c>
      <c r="CX51" s="105">
        <v>20</v>
      </c>
      <c r="CY51" s="106">
        <f t="shared" si="58"/>
        <v>1971</v>
      </c>
      <c r="CZ51" s="106">
        <f t="shared" si="59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7"/>
        <v>0</v>
      </c>
      <c r="DL51" s="108">
        <f t="shared" si="87"/>
        <v>0</v>
      </c>
      <c r="DM51" s="111">
        <f t="shared" si="87"/>
        <v>0</v>
      </c>
      <c r="DN51" s="76">
        <f t="shared" si="60"/>
        <v>0</v>
      </c>
      <c r="DO51" s="76">
        <f t="shared" si="72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3"/>
        <v>0</v>
      </c>
      <c r="DX51" s="81">
        <f t="shared" si="28"/>
        <v>0</v>
      </c>
      <c r="DY51" s="80">
        <f t="shared" si="62"/>
        <v>0</v>
      </c>
      <c r="DZ51" s="82">
        <f t="shared" si="63"/>
        <v>0</v>
      </c>
      <c r="EA51" s="82">
        <f t="shared" si="64"/>
        <v>0</v>
      </c>
      <c r="EB51" s="82">
        <f t="shared" si="65"/>
        <v>0</v>
      </c>
      <c r="EC51" s="82">
        <f t="shared" si="76"/>
        <v>0</v>
      </c>
      <c r="EF51" s="83">
        <f t="shared" si="92"/>
        <v>0</v>
      </c>
    </row>
    <row r="52" spans="1:136" ht="14.1" hidden="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0"/>
        <v>MESUS303CU-3.5x3-H9B14</v>
      </c>
      <c r="H52" s="46" t="str">
        <f t="shared" si="31"/>
        <v>SUS303CUME3.50DH9</v>
      </c>
      <c r="I52" s="46" t="str">
        <f t="shared" si="32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3"/>
        <v>14</v>
      </c>
      <c r="T52" s="51">
        <f>'07.02'!BG52</f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4"/>
        <v>0</v>
      </c>
      <c r="AF52" s="54">
        <f>AE52+'07.02'!AF52</f>
        <v>0</v>
      </c>
      <c r="AG52" s="94">
        <f t="shared" si="66"/>
        <v>0</v>
      </c>
      <c r="AH52" s="56">
        <f t="shared" si="13"/>
        <v>0</v>
      </c>
      <c r="AI52" s="93"/>
      <c r="AJ52" s="93">
        <f t="shared" si="67"/>
        <v>0</v>
      </c>
      <c r="AK52" s="95">
        <f t="shared" si="35"/>
        <v>1</v>
      </c>
      <c r="AL52" s="58">
        <f t="shared" si="36"/>
        <v>0</v>
      </c>
      <c r="AM52" s="55">
        <f t="shared" si="68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7"/>
        <v>0</v>
      </c>
      <c r="AV52" s="96">
        <f t="shared" si="37"/>
        <v>0</v>
      </c>
      <c r="AW52" s="96">
        <f t="shared" si="38"/>
        <v>0</v>
      </c>
      <c r="AX52" s="96">
        <f t="shared" si="39"/>
        <v>0</v>
      </c>
      <c r="AY52" s="94">
        <f t="shared" si="69"/>
        <v>0</v>
      </c>
      <c r="AZ52" s="94">
        <f t="shared" si="40"/>
        <v>0</v>
      </c>
      <c r="BA52" s="94">
        <f t="shared" si="41"/>
        <v>0</v>
      </c>
      <c r="BB52" s="97">
        <f t="shared" si="42"/>
        <v>0</v>
      </c>
      <c r="BC52" s="93"/>
      <c r="BD52" s="93">
        <f t="shared" si="43"/>
        <v>0</v>
      </c>
      <c r="BE52" s="95">
        <f t="shared" si="44"/>
        <v>1</v>
      </c>
      <c r="BF52" s="58">
        <f t="shared" si="45"/>
        <v>0</v>
      </c>
      <c r="BG52" s="94">
        <f t="shared" si="46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0"/>
        <v>0</v>
      </c>
      <c r="BP52" s="92">
        <f t="shared" si="70"/>
        <v>0</v>
      </c>
      <c r="BQ52" s="96">
        <f t="shared" si="47"/>
        <v>0</v>
      </c>
      <c r="BR52" s="96">
        <f t="shared" si="48"/>
        <v>0</v>
      </c>
      <c r="BS52" s="96">
        <f t="shared" si="71"/>
        <v>0</v>
      </c>
      <c r="BT52" s="96">
        <f t="shared" si="49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0"/>
        <v>0</v>
      </c>
      <c r="BY52" s="61">
        <f t="shared" si="74"/>
        <v>0</v>
      </c>
      <c r="BZ52" s="62">
        <f t="shared" si="51"/>
        <v>0</v>
      </c>
      <c r="CA52" s="98">
        <f t="shared" si="52"/>
        <v>0</v>
      </c>
      <c r="CB52" s="92">
        <f t="shared" si="98"/>
        <v>0</v>
      </c>
      <c r="CC52" s="92">
        <f t="shared" si="98"/>
        <v>0</v>
      </c>
      <c r="CD52" s="92">
        <f t="shared" si="98"/>
        <v>0</v>
      </c>
      <c r="CE52" s="99"/>
      <c r="CF52" s="99"/>
      <c r="CG52" s="51">
        <f t="shared" si="53"/>
        <v>0</v>
      </c>
      <c r="CH52" s="62">
        <f t="shared" si="54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101"/>
        <v>0</v>
      </c>
      <c r="CR52" s="102">
        <f t="shared" si="101"/>
        <v>0</v>
      </c>
      <c r="CS52" s="102">
        <f t="shared" si="101"/>
        <v>0</v>
      </c>
      <c r="CT52" s="92">
        <f t="shared" si="56"/>
        <v>0</v>
      </c>
      <c r="CU52" s="92">
        <f t="shared" si="102"/>
        <v>0</v>
      </c>
      <c r="CV52" s="103">
        <f t="shared" si="102"/>
        <v>0</v>
      </c>
      <c r="CW52" s="104" t="s">
        <v>147</v>
      </c>
      <c r="CX52" s="105">
        <v>12</v>
      </c>
      <c r="CY52" s="106">
        <f t="shared" si="58"/>
        <v>3480</v>
      </c>
      <c r="CZ52" s="106">
        <f t="shared" si="59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7"/>
        <v>0</v>
      </c>
      <c r="DL52" s="108">
        <f t="shared" si="87"/>
        <v>0</v>
      </c>
      <c r="DM52" s="111">
        <f t="shared" si="87"/>
        <v>0</v>
      </c>
      <c r="DN52" s="76">
        <f t="shared" si="60"/>
        <v>0</v>
      </c>
      <c r="DO52" s="76">
        <f t="shared" si="72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3"/>
        <v>0</v>
      </c>
      <c r="DX52" s="81">
        <f t="shared" si="28"/>
        <v>0</v>
      </c>
      <c r="DY52" s="80">
        <f t="shared" si="62"/>
        <v>0</v>
      </c>
      <c r="DZ52" s="82">
        <f t="shared" si="63"/>
        <v>0</v>
      </c>
      <c r="EA52" s="82">
        <f t="shared" si="64"/>
        <v>0</v>
      </c>
      <c r="EB52" s="82">
        <f t="shared" si="65"/>
        <v>0</v>
      </c>
      <c r="EC52" s="82">
        <f t="shared" si="76"/>
        <v>0</v>
      </c>
      <c r="EF52" s="83">
        <f t="shared" si="92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0"/>
        <v>MESUS420J2-2x2.5-H9A14</v>
      </c>
      <c r="H53" s="46" t="str">
        <f t="shared" si="31"/>
        <v>SUS420J2ME20DH9</v>
      </c>
      <c r="I53" s="46" t="str">
        <f t="shared" si="32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3"/>
        <v>42</v>
      </c>
      <c r="T53" s="51">
        <f>'07.02'!BG53</f>
        <v>20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4"/>
        <v>0</v>
      </c>
      <c r="AF53" s="54">
        <f>AE53+'07.02'!AF53</f>
        <v>0</v>
      </c>
      <c r="AG53" s="94">
        <f t="shared" si="66"/>
        <v>20</v>
      </c>
      <c r="AH53" s="56">
        <f t="shared" si="13"/>
        <v>0</v>
      </c>
      <c r="AI53" s="93"/>
      <c r="AJ53" s="93">
        <f t="shared" si="67"/>
        <v>0</v>
      </c>
      <c r="AK53" s="95">
        <f t="shared" si="35"/>
        <v>1</v>
      </c>
      <c r="AL53" s="58">
        <f t="shared" si="36"/>
        <v>0</v>
      </c>
      <c r="AM53" s="55">
        <f t="shared" si="68"/>
        <v>20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7"/>
        <v>0</v>
      </c>
      <c r="AV53" s="96">
        <f t="shared" si="37"/>
        <v>0</v>
      </c>
      <c r="AW53" s="96">
        <f t="shared" si="38"/>
        <v>0</v>
      </c>
      <c r="AX53" s="96">
        <f t="shared" si="39"/>
        <v>0</v>
      </c>
      <c r="AY53" s="94">
        <f t="shared" si="69"/>
        <v>0</v>
      </c>
      <c r="AZ53" s="94">
        <f t="shared" si="40"/>
        <v>0</v>
      </c>
      <c r="BA53" s="94">
        <f t="shared" si="41"/>
        <v>20</v>
      </c>
      <c r="BB53" s="97">
        <f t="shared" si="42"/>
        <v>0</v>
      </c>
      <c r="BC53" s="93"/>
      <c r="BD53" s="93">
        <f t="shared" si="43"/>
        <v>0</v>
      </c>
      <c r="BE53" s="95">
        <f t="shared" si="44"/>
        <v>1</v>
      </c>
      <c r="BF53" s="58">
        <f t="shared" si="45"/>
        <v>0</v>
      </c>
      <c r="BG53" s="94">
        <f t="shared" si="46"/>
        <v>20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0"/>
        <v>0</v>
      </c>
      <c r="BP53" s="92">
        <f t="shared" si="70"/>
        <v>0</v>
      </c>
      <c r="BQ53" s="96">
        <f t="shared" si="47"/>
        <v>0</v>
      </c>
      <c r="BR53" s="96">
        <f t="shared" si="48"/>
        <v>0</v>
      </c>
      <c r="BS53" s="96">
        <f t="shared" si="71"/>
        <v>0</v>
      </c>
      <c r="BT53" s="96">
        <f t="shared" si="49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0"/>
        <v>0</v>
      </c>
      <c r="BY53" s="61">
        <f t="shared" si="74"/>
        <v>0</v>
      </c>
      <c r="BZ53" s="62">
        <f t="shared" si="51"/>
        <v>0</v>
      </c>
      <c r="CA53" s="98">
        <f t="shared" si="52"/>
        <v>0</v>
      </c>
      <c r="CB53" s="92">
        <f t="shared" si="98"/>
        <v>0</v>
      </c>
      <c r="CC53" s="92">
        <f t="shared" si="98"/>
        <v>0</v>
      </c>
      <c r="CD53" s="92">
        <f t="shared" si="98"/>
        <v>0</v>
      </c>
      <c r="CE53" s="99"/>
      <c r="CF53" s="99"/>
      <c r="CG53" s="51">
        <f t="shared" si="53"/>
        <v>0</v>
      </c>
      <c r="CH53" s="62">
        <f t="shared" si="54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101"/>
        <v>0</v>
      </c>
      <c r="CR53" s="102">
        <f t="shared" si="101"/>
        <v>0</v>
      </c>
      <c r="CS53" s="102">
        <f t="shared" si="101"/>
        <v>0</v>
      </c>
      <c r="CT53" s="92">
        <f t="shared" si="56"/>
        <v>0</v>
      </c>
      <c r="CU53" s="92">
        <f t="shared" si="102"/>
        <v>0</v>
      </c>
      <c r="CV53" s="103">
        <f t="shared" si="102"/>
        <v>0</v>
      </c>
      <c r="CW53" s="104" t="s">
        <v>147</v>
      </c>
      <c r="CX53" s="105">
        <v>8.0500000000000007</v>
      </c>
      <c r="CY53" s="106">
        <f t="shared" si="58"/>
        <v>4829</v>
      </c>
      <c r="CZ53" s="106">
        <f t="shared" si="59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7"/>
        <v>0</v>
      </c>
      <c r="DL53" s="108">
        <f t="shared" si="87"/>
        <v>0</v>
      </c>
      <c r="DM53" s="111">
        <f t="shared" si="87"/>
        <v>0</v>
      </c>
      <c r="DN53" s="76">
        <f t="shared" si="60"/>
        <v>20</v>
      </c>
      <c r="DO53" s="76">
        <f t="shared" si="72"/>
        <v>0</v>
      </c>
      <c r="DP53" s="112"/>
      <c r="DQ53" s="112"/>
      <c r="DR53" s="113" t="s">
        <v>538</v>
      </c>
      <c r="DS53" s="112"/>
      <c r="DT53" s="112"/>
      <c r="DU53" s="111"/>
      <c r="DV53" s="114"/>
      <c r="DW53" s="80">
        <f t="shared" si="61"/>
        <v>0</v>
      </c>
      <c r="DX53" s="81">
        <f t="shared" si="28"/>
        <v>0</v>
      </c>
      <c r="DY53" s="80">
        <f t="shared" si="62"/>
        <v>0</v>
      </c>
      <c r="DZ53" s="82">
        <f t="shared" si="63"/>
        <v>0</v>
      </c>
      <c r="EA53" s="82">
        <f t="shared" si="64"/>
        <v>0</v>
      </c>
      <c r="EB53" s="82">
        <f t="shared" si="65"/>
        <v>0</v>
      </c>
      <c r="EC53" s="82">
        <f t="shared" si="76"/>
        <v>0</v>
      </c>
      <c r="EF53" s="83">
        <f t="shared" si="92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0"/>
        <v>MESUS303CU-3.5x3-H9B14</v>
      </c>
      <c r="H54" s="46" t="str">
        <f t="shared" si="31"/>
        <v>SUS303CUME3.50DH9</v>
      </c>
      <c r="I54" s="46" t="str">
        <f t="shared" si="32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3"/>
        <v>12</v>
      </c>
      <c r="T54" s="51">
        <f>'07.02'!BG54</f>
        <v>40</v>
      </c>
      <c r="U54" s="92"/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4"/>
        <v>0</v>
      </c>
      <c r="AF54" s="54">
        <f>AE54+'07.02'!AF54</f>
        <v>0</v>
      </c>
      <c r="AG54" s="94">
        <f t="shared" si="66"/>
        <v>40</v>
      </c>
      <c r="AH54" s="56">
        <f t="shared" si="13"/>
        <v>0</v>
      </c>
      <c r="AI54" s="93"/>
      <c r="AJ54" s="93">
        <f t="shared" si="67"/>
        <v>0</v>
      </c>
      <c r="AK54" s="95">
        <f t="shared" si="35"/>
        <v>1</v>
      </c>
      <c r="AL54" s="58">
        <f t="shared" si="36"/>
        <v>0</v>
      </c>
      <c r="AM54" s="55">
        <f t="shared" si="68"/>
        <v>40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7"/>
        <v>0</v>
      </c>
      <c r="AV54" s="96">
        <f t="shared" si="37"/>
        <v>0</v>
      </c>
      <c r="AW54" s="96">
        <f t="shared" si="38"/>
        <v>0</v>
      </c>
      <c r="AX54" s="96">
        <f t="shared" si="39"/>
        <v>0</v>
      </c>
      <c r="AY54" s="94">
        <f t="shared" si="69"/>
        <v>0</v>
      </c>
      <c r="AZ54" s="94">
        <f t="shared" si="40"/>
        <v>0</v>
      </c>
      <c r="BA54" s="94">
        <f t="shared" si="41"/>
        <v>40</v>
      </c>
      <c r="BB54" s="97">
        <f t="shared" si="42"/>
        <v>0</v>
      </c>
      <c r="BC54" s="93"/>
      <c r="BD54" s="93">
        <f t="shared" si="43"/>
        <v>0</v>
      </c>
      <c r="BE54" s="95">
        <f t="shared" si="44"/>
        <v>1</v>
      </c>
      <c r="BF54" s="58">
        <f t="shared" si="45"/>
        <v>0</v>
      </c>
      <c r="BG54" s="94">
        <f t="shared" si="46"/>
        <v>40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0"/>
        <v>0</v>
      </c>
      <c r="BP54" s="92">
        <f t="shared" si="70"/>
        <v>0</v>
      </c>
      <c r="BQ54" s="96">
        <f t="shared" si="47"/>
        <v>0</v>
      </c>
      <c r="BR54" s="96">
        <f t="shared" si="48"/>
        <v>0</v>
      </c>
      <c r="BS54" s="96">
        <f t="shared" si="71"/>
        <v>0</v>
      </c>
      <c r="BT54" s="96">
        <f t="shared" si="49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0"/>
        <v>0</v>
      </c>
      <c r="BY54" s="61">
        <f t="shared" si="74"/>
        <v>0</v>
      </c>
      <c r="BZ54" s="62">
        <f t="shared" si="51"/>
        <v>0</v>
      </c>
      <c r="CA54" s="98">
        <f t="shared" si="52"/>
        <v>0</v>
      </c>
      <c r="CB54" s="92">
        <f t="shared" si="98"/>
        <v>0</v>
      </c>
      <c r="CC54" s="92">
        <f t="shared" si="98"/>
        <v>0</v>
      </c>
      <c r="CD54" s="92">
        <f t="shared" si="98"/>
        <v>0</v>
      </c>
      <c r="CE54" s="99"/>
      <c r="CF54" s="99"/>
      <c r="CG54" s="51">
        <f t="shared" si="53"/>
        <v>0</v>
      </c>
      <c r="CH54" s="62">
        <f t="shared" si="54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101"/>
        <v>0</v>
      </c>
      <c r="CR54" s="102">
        <f t="shared" si="101"/>
        <v>0</v>
      </c>
      <c r="CS54" s="102">
        <f t="shared" si="101"/>
        <v>0</v>
      </c>
      <c r="CT54" s="92">
        <f t="shared" si="56"/>
        <v>0</v>
      </c>
      <c r="CU54" s="92">
        <f t="shared" si="102"/>
        <v>0</v>
      </c>
      <c r="CV54" s="103">
        <f t="shared" si="102"/>
        <v>0</v>
      </c>
      <c r="CW54" s="104" t="s">
        <v>147</v>
      </c>
      <c r="CX54" s="105">
        <v>15</v>
      </c>
      <c r="CY54" s="106">
        <f t="shared" si="58"/>
        <v>2808</v>
      </c>
      <c r="CZ54" s="106">
        <f t="shared" si="59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7"/>
        <v>0</v>
      </c>
      <c r="DL54" s="108">
        <f t="shared" si="87"/>
        <v>0</v>
      </c>
      <c r="DM54" s="111">
        <f t="shared" si="87"/>
        <v>0</v>
      </c>
      <c r="DN54" s="76">
        <f t="shared" si="60"/>
        <v>40</v>
      </c>
      <c r="DO54" s="76">
        <f t="shared" si="72"/>
        <v>0</v>
      </c>
      <c r="DP54" s="112"/>
      <c r="DQ54" s="112"/>
      <c r="DR54" s="113" t="s">
        <v>539</v>
      </c>
      <c r="DS54" s="112"/>
      <c r="DT54" s="112"/>
      <c r="DU54" s="111"/>
      <c r="DV54" s="114"/>
      <c r="DW54" s="80">
        <f t="shared" ref="DW54:DW58" si="104">IFERROR(AL54+BF54,"")</f>
        <v>0</v>
      </c>
      <c r="DX54" s="81">
        <f t="shared" si="28"/>
        <v>0</v>
      </c>
      <c r="DY54" s="80">
        <f t="shared" si="62"/>
        <v>0</v>
      </c>
      <c r="DZ54" s="82">
        <f t="shared" si="63"/>
        <v>0</v>
      </c>
      <c r="EA54" s="82">
        <f t="shared" si="64"/>
        <v>0</v>
      </c>
      <c r="EB54" s="82">
        <f t="shared" si="65"/>
        <v>0</v>
      </c>
      <c r="EC54" s="82">
        <f t="shared" si="76"/>
        <v>0</v>
      </c>
      <c r="EF54" s="83">
        <f t="shared" si="92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0"/>
        <v>YHC3604-4.03x3-H9A14</v>
      </c>
      <c r="H55" s="46" t="str">
        <f t="shared" si="31"/>
        <v>C3604YH4.030DH9</v>
      </c>
      <c r="I55" s="46" t="str">
        <f t="shared" si="32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3"/>
        <v>60</v>
      </c>
      <c r="T55" s="51">
        <f>'07.02'!BG55</f>
        <v>27</v>
      </c>
      <c r="U55" s="92">
        <v>53</v>
      </c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0</v>
      </c>
      <c r="AC55" s="93">
        <f t="shared" si="11"/>
        <v>0</v>
      </c>
      <c r="AD55" s="93">
        <f t="shared" si="12"/>
        <v>0</v>
      </c>
      <c r="AE55" s="93">
        <f t="shared" si="34"/>
        <v>0</v>
      </c>
      <c r="AF55" s="54">
        <f>AE55+'07.02'!AF55</f>
        <v>64165</v>
      </c>
      <c r="AG55" s="94">
        <f t="shared" si="66"/>
        <v>27</v>
      </c>
      <c r="AH55" s="56">
        <f t="shared" si="13"/>
        <v>0</v>
      </c>
      <c r="AI55" s="93">
        <v>27</v>
      </c>
      <c r="AJ55" s="93">
        <f t="shared" si="67"/>
        <v>0</v>
      </c>
      <c r="AK55" s="95">
        <f t="shared" si="35"/>
        <v>1</v>
      </c>
      <c r="AL55" s="58">
        <f t="shared" si="36"/>
        <v>27</v>
      </c>
      <c r="AM55" s="55">
        <f t="shared" si="68"/>
        <v>53</v>
      </c>
      <c r="AN55" s="93"/>
      <c r="AO55" s="96"/>
      <c r="AP55" s="96"/>
      <c r="AQ55" s="96"/>
      <c r="AR55" s="96"/>
      <c r="AS55" s="96"/>
      <c r="AT55" s="96">
        <f>$CJ55</f>
        <v>0</v>
      </c>
      <c r="AU55" s="96">
        <f t="shared" si="37"/>
        <v>0</v>
      </c>
      <c r="AV55" s="96">
        <f t="shared" si="37"/>
        <v>0</v>
      </c>
      <c r="AW55" s="96">
        <f t="shared" si="38"/>
        <v>0</v>
      </c>
      <c r="AX55" s="96">
        <f t="shared" si="39"/>
        <v>0</v>
      </c>
      <c r="AY55" s="94">
        <f t="shared" si="69"/>
        <v>-3058.56</v>
      </c>
      <c r="AZ55" s="94">
        <f t="shared" si="40"/>
        <v>-4779</v>
      </c>
      <c r="BA55" s="94">
        <f t="shared" si="41"/>
        <v>53</v>
      </c>
      <c r="BB55" s="97">
        <f t="shared" si="42"/>
        <v>0</v>
      </c>
      <c r="BC55" s="93">
        <v>28</v>
      </c>
      <c r="BD55" s="93">
        <f t="shared" si="43"/>
        <v>0</v>
      </c>
      <c r="BE55" s="95">
        <f t="shared" si="44"/>
        <v>1</v>
      </c>
      <c r="BF55" s="58">
        <f t="shared" si="45"/>
        <v>28</v>
      </c>
      <c r="BG55" s="94">
        <f t="shared" si="46"/>
        <v>25</v>
      </c>
      <c r="BH55" s="89"/>
      <c r="BI55" s="89"/>
      <c r="BJ55" s="89"/>
      <c r="BK55" s="89"/>
      <c r="BL55" s="89"/>
      <c r="BM55" s="89"/>
      <c r="BN55" s="92">
        <f>$CN55</f>
        <v>0</v>
      </c>
      <c r="BO55" s="92">
        <f t="shared" si="70"/>
        <v>0</v>
      </c>
      <c r="BP55" s="92">
        <f t="shared" si="70"/>
        <v>0</v>
      </c>
      <c r="BQ55" s="96">
        <f t="shared" si="47"/>
        <v>0</v>
      </c>
      <c r="BR55" s="96">
        <f t="shared" si="48"/>
        <v>0</v>
      </c>
      <c r="BS55" s="96">
        <f t="shared" si="71"/>
        <v>-3171.84</v>
      </c>
      <c r="BT55" s="96">
        <f t="shared" si="49"/>
        <v>-4956</v>
      </c>
      <c r="BU55" s="92">
        <f t="shared" si="16"/>
        <v>0</v>
      </c>
      <c r="BV55" s="98">
        <f t="shared" si="17"/>
        <v>55</v>
      </c>
      <c r="BW55" s="92">
        <f t="shared" si="18"/>
        <v>-9735</v>
      </c>
      <c r="BX55" s="98">
        <f t="shared" si="50"/>
        <v>17.765000000000001</v>
      </c>
      <c r="BY55" s="61">
        <f t="shared" si="74"/>
        <v>55</v>
      </c>
      <c r="BZ55" s="62">
        <f t="shared" si="51"/>
        <v>55</v>
      </c>
      <c r="CA55" s="98">
        <f t="shared" si="52"/>
        <v>0</v>
      </c>
      <c r="CB55" s="92">
        <f t="shared" si="98"/>
        <v>0</v>
      </c>
      <c r="CC55" s="92">
        <f t="shared" si="98"/>
        <v>-6230.4</v>
      </c>
      <c r="CD55" s="92">
        <f t="shared" si="98"/>
        <v>-9735</v>
      </c>
      <c r="CE55" s="99"/>
      <c r="CF55" s="99"/>
      <c r="CG55" s="51">
        <f t="shared" si="53"/>
        <v>17.765000000000001</v>
      </c>
      <c r="CH55" s="62">
        <f t="shared" si="54"/>
        <v>17.765000000000001</v>
      </c>
      <c r="CI55" s="89"/>
      <c r="CJ55" s="89"/>
      <c r="CK55" s="89"/>
      <c r="CL55" s="96"/>
      <c r="CM55" s="89"/>
      <c r="CN55" s="89"/>
      <c r="CO55" s="92"/>
      <c r="CP55" s="101"/>
      <c r="CQ55" s="102">
        <f t="shared" si="101"/>
        <v>0</v>
      </c>
      <c r="CR55" s="102">
        <f t="shared" si="101"/>
        <v>0</v>
      </c>
      <c r="CS55" s="102">
        <f t="shared" si="101"/>
        <v>0</v>
      </c>
      <c r="CT55" s="92">
        <f t="shared" si="56"/>
        <v>0</v>
      </c>
      <c r="CU55" s="92">
        <f t="shared" si="102"/>
        <v>0</v>
      </c>
      <c r="CV55" s="103">
        <f t="shared" si="102"/>
        <v>0</v>
      </c>
      <c r="CW55" s="104" t="s">
        <v>147</v>
      </c>
      <c r="CX55" s="105">
        <v>7</v>
      </c>
      <c r="CY55" s="106">
        <f t="shared" si="58"/>
        <v>5271</v>
      </c>
      <c r="CZ55" s="106">
        <f t="shared" si="59"/>
        <v>28.35</v>
      </c>
      <c r="DA55" s="106"/>
      <c r="DB55" s="106"/>
      <c r="DC55" s="105"/>
      <c r="DD55" s="107"/>
      <c r="DE55" s="92">
        <f t="shared" si="21"/>
        <v>0</v>
      </c>
      <c r="DF55" s="108">
        <f t="shared" si="22"/>
        <v>27</v>
      </c>
      <c r="DG55" s="112">
        <f t="shared" si="23"/>
        <v>-4779</v>
      </c>
      <c r="DH55" s="110">
        <f t="shared" si="24"/>
        <v>0</v>
      </c>
      <c r="DI55" s="108">
        <f t="shared" si="25"/>
        <v>28</v>
      </c>
      <c r="DJ55" s="112">
        <f t="shared" si="26"/>
        <v>-4956</v>
      </c>
      <c r="DK55" s="110">
        <f t="shared" si="87"/>
        <v>0</v>
      </c>
      <c r="DL55" s="108">
        <f t="shared" si="87"/>
        <v>55</v>
      </c>
      <c r="DM55" s="111">
        <f t="shared" si="87"/>
        <v>-9735</v>
      </c>
      <c r="DN55" s="76">
        <f t="shared" si="60"/>
        <v>27</v>
      </c>
      <c r="DO55" s="76">
        <f t="shared" si="72"/>
        <v>53</v>
      </c>
      <c r="DP55" s="112"/>
      <c r="DQ55" s="112"/>
      <c r="DR55" s="113" t="s">
        <v>540</v>
      </c>
      <c r="DS55" s="112"/>
      <c r="DT55" s="112"/>
      <c r="DU55" s="111"/>
      <c r="DV55" s="114"/>
      <c r="DW55" s="80">
        <f t="shared" si="104"/>
        <v>55</v>
      </c>
      <c r="DX55" s="81">
        <f t="shared" si="28"/>
        <v>-9680</v>
      </c>
      <c r="DY55" s="80">
        <f t="shared" si="62"/>
        <v>0</v>
      </c>
      <c r="DZ55" s="82">
        <f t="shared" si="63"/>
        <v>0</v>
      </c>
      <c r="EA55" s="82">
        <f t="shared" si="64"/>
        <v>0</v>
      </c>
      <c r="EB55" s="82">
        <f t="shared" si="65"/>
        <v>17.765000000000001</v>
      </c>
      <c r="EC55" s="82">
        <f t="shared" ref="EC55:EC56" si="105">(BX55-CA55)+((AV55+BP55)/1000)</f>
        <v>17.765000000000001</v>
      </c>
      <c r="EF55" s="83">
        <f t="shared" si="92"/>
        <v>-9735</v>
      </c>
    </row>
    <row r="56" spans="1:136" ht="14.1" customHeight="1">
      <c r="A56" s="84">
        <v>49</v>
      </c>
      <c r="B56" s="85" t="s">
        <v>278</v>
      </c>
      <c r="C56" s="86"/>
      <c r="D56" s="240" t="s">
        <v>279</v>
      </c>
      <c r="E56" s="88">
        <v>51</v>
      </c>
      <c r="F56" s="89" t="s">
        <v>147</v>
      </c>
      <c r="G56" s="45" t="str">
        <f t="shared" si="30"/>
        <v>TVSUS303-6x2.5-H9A14</v>
      </c>
      <c r="H56" s="46" t="str">
        <f t="shared" si="31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3"/>
        <v>110</v>
      </c>
      <c r="T56" s="51">
        <f>'07.02'!BG56</f>
        <v>30</v>
      </c>
      <c r="U56" s="92"/>
      <c r="V56" s="100">
        <v>7</v>
      </c>
      <c r="W56" s="93">
        <f t="shared" si="5"/>
        <v>0</v>
      </c>
      <c r="X56" s="93">
        <f t="shared" si="6"/>
        <v>0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0</v>
      </c>
      <c r="AE56" s="93">
        <f t="shared" si="34"/>
        <v>0</v>
      </c>
      <c r="AF56" s="54">
        <f>AE56+'07.02'!AF56</f>
        <v>1582</v>
      </c>
      <c r="AG56" s="94">
        <f t="shared" si="66"/>
        <v>30</v>
      </c>
      <c r="AH56" s="56">
        <f t="shared" si="13"/>
        <v>0</v>
      </c>
      <c r="AI56" s="93"/>
      <c r="AJ56" s="93">
        <f t="shared" si="67"/>
        <v>0</v>
      </c>
      <c r="AK56" s="95">
        <f t="shared" si="35"/>
        <v>1</v>
      </c>
      <c r="AL56" s="58">
        <f t="shared" si="36"/>
        <v>0</v>
      </c>
      <c r="AM56" s="55">
        <f t="shared" si="68"/>
        <v>30</v>
      </c>
      <c r="AN56" s="93"/>
      <c r="AO56" s="96"/>
      <c r="AP56" s="96">
        <f>$CJ56</f>
        <v>0</v>
      </c>
      <c r="AQ56" s="96"/>
      <c r="AR56" s="96"/>
      <c r="AS56" s="96"/>
      <c r="AT56" s="96"/>
      <c r="AU56" s="96">
        <f t="shared" si="37"/>
        <v>0</v>
      </c>
      <c r="AV56" s="96">
        <f t="shared" si="37"/>
        <v>0</v>
      </c>
      <c r="AW56" s="96">
        <f t="shared" si="38"/>
        <v>0</v>
      </c>
      <c r="AX56" s="96">
        <f t="shared" si="39"/>
        <v>0</v>
      </c>
      <c r="AY56" s="94">
        <f t="shared" si="69"/>
        <v>0</v>
      </c>
      <c r="AZ56" s="94">
        <f t="shared" si="40"/>
        <v>0</v>
      </c>
      <c r="BA56" s="94">
        <f t="shared" si="41"/>
        <v>30</v>
      </c>
      <c r="BB56" s="97">
        <f t="shared" si="42"/>
        <v>0</v>
      </c>
      <c r="BC56" s="93"/>
      <c r="BD56" s="93">
        <f t="shared" si="43"/>
        <v>0</v>
      </c>
      <c r="BE56" s="95">
        <f t="shared" si="44"/>
        <v>1</v>
      </c>
      <c r="BF56" s="58">
        <f t="shared" si="45"/>
        <v>0</v>
      </c>
      <c r="BG56" s="94">
        <f t="shared" si="46"/>
        <v>30</v>
      </c>
      <c r="BH56" s="89"/>
      <c r="BI56" s="89"/>
      <c r="BJ56" s="92">
        <f>$CN56</f>
        <v>0</v>
      </c>
      <c r="BK56" s="92"/>
      <c r="BL56" s="92"/>
      <c r="BM56" s="92"/>
      <c r="BN56" s="92"/>
      <c r="BO56" s="92">
        <f t="shared" si="70"/>
        <v>0</v>
      </c>
      <c r="BP56" s="92">
        <f t="shared" si="70"/>
        <v>0</v>
      </c>
      <c r="BQ56" s="96">
        <f t="shared" si="47"/>
        <v>0</v>
      </c>
      <c r="BR56" s="96">
        <f t="shared" si="48"/>
        <v>0</v>
      </c>
      <c r="BS56" s="96">
        <f t="shared" si="71"/>
        <v>0</v>
      </c>
      <c r="BT56" s="96">
        <f t="shared" si="49"/>
        <v>0</v>
      </c>
      <c r="BU56" s="92">
        <f t="shared" si="16"/>
        <v>0</v>
      </c>
      <c r="BV56" s="98">
        <f t="shared" si="17"/>
        <v>0</v>
      </c>
      <c r="BW56" s="92">
        <f t="shared" si="18"/>
        <v>0</v>
      </c>
      <c r="BX56" s="98">
        <f t="shared" si="50"/>
        <v>0</v>
      </c>
      <c r="BY56" s="61">
        <f t="shared" si="74"/>
        <v>0</v>
      </c>
      <c r="BZ56" s="62">
        <f t="shared" si="51"/>
        <v>0</v>
      </c>
      <c r="CA56" s="98">
        <f t="shared" si="52"/>
        <v>0</v>
      </c>
      <c r="CB56" s="92">
        <f t="shared" si="98"/>
        <v>0</v>
      </c>
      <c r="CC56" s="92">
        <f t="shared" si="98"/>
        <v>0</v>
      </c>
      <c r="CD56" s="92">
        <f t="shared" si="98"/>
        <v>0</v>
      </c>
      <c r="CE56" s="99"/>
      <c r="CF56" s="99"/>
      <c r="CG56" s="51">
        <f t="shared" si="53"/>
        <v>0</v>
      </c>
      <c r="CH56" s="62">
        <f t="shared" si="54"/>
        <v>0</v>
      </c>
      <c r="CI56" s="89"/>
      <c r="CJ56" s="89"/>
      <c r="CK56" s="89"/>
      <c r="CL56" s="96"/>
      <c r="CM56" s="89"/>
      <c r="CN56" s="89"/>
      <c r="CO56" s="92"/>
      <c r="CP56" s="101"/>
      <c r="CQ56" s="102">
        <f t="shared" si="101"/>
        <v>0</v>
      </c>
      <c r="CR56" s="102">
        <f t="shared" si="101"/>
        <v>0</v>
      </c>
      <c r="CS56" s="102">
        <f t="shared" si="101"/>
        <v>0</v>
      </c>
      <c r="CT56" s="92">
        <f t="shared" si="56"/>
        <v>0</v>
      </c>
      <c r="CU56" s="92">
        <f t="shared" si="102"/>
        <v>0</v>
      </c>
      <c r="CV56" s="103">
        <f t="shared" si="102"/>
        <v>0</v>
      </c>
      <c r="CW56" s="104" t="s">
        <v>147</v>
      </c>
      <c r="CX56" s="105">
        <v>10</v>
      </c>
      <c r="CY56" s="106">
        <f t="shared" si="58"/>
        <v>2790</v>
      </c>
      <c r="CZ56" s="106">
        <f t="shared" si="59"/>
        <v>40.5</v>
      </c>
      <c r="DA56" s="106"/>
      <c r="DB56" s="106"/>
      <c r="DC56" s="105"/>
      <c r="DD56" s="107"/>
      <c r="DE56" s="92">
        <f t="shared" si="21"/>
        <v>0</v>
      </c>
      <c r="DF56" s="108">
        <f t="shared" si="22"/>
        <v>0</v>
      </c>
      <c r="DG56" s="112">
        <f t="shared" si="23"/>
        <v>0</v>
      </c>
      <c r="DH56" s="136">
        <f t="shared" si="24"/>
        <v>0</v>
      </c>
      <c r="DI56" s="135">
        <f t="shared" si="25"/>
        <v>0</v>
      </c>
      <c r="DJ56" s="115">
        <f t="shared" si="26"/>
        <v>0</v>
      </c>
      <c r="DK56" s="110">
        <f t="shared" si="87"/>
        <v>0</v>
      </c>
      <c r="DL56" s="108">
        <f t="shared" si="87"/>
        <v>0</v>
      </c>
      <c r="DM56" s="111">
        <f t="shared" si="87"/>
        <v>0</v>
      </c>
      <c r="DN56" s="76">
        <f t="shared" si="60"/>
        <v>30</v>
      </c>
      <c r="DO56" s="76">
        <f t="shared" si="72"/>
        <v>0</v>
      </c>
      <c r="DP56" s="112"/>
      <c r="DQ56" s="112"/>
      <c r="DR56" s="113" t="s">
        <v>541</v>
      </c>
      <c r="DS56" s="112"/>
      <c r="DT56" s="112"/>
      <c r="DU56" s="111"/>
      <c r="DV56" s="114"/>
      <c r="DW56" s="80">
        <f t="shared" si="104"/>
        <v>0</v>
      </c>
      <c r="DX56" s="81">
        <f t="shared" si="28"/>
        <v>0</v>
      </c>
      <c r="DY56" s="80">
        <f t="shared" si="62"/>
        <v>0</v>
      </c>
      <c r="DZ56" s="82">
        <f t="shared" si="63"/>
        <v>0</v>
      </c>
      <c r="EA56" s="82">
        <f t="shared" si="64"/>
        <v>0</v>
      </c>
      <c r="EB56" s="82">
        <f t="shared" si="65"/>
        <v>0</v>
      </c>
      <c r="EC56" s="82">
        <f t="shared" si="105"/>
        <v>0</v>
      </c>
      <c r="EF56" s="83">
        <f t="shared" si="92"/>
        <v>0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0"/>
        <v>GWA6063-T5-8.3x3-H9B14</v>
      </c>
      <c r="H57" s="46" t="str">
        <f t="shared" si="31"/>
        <v>A6063-T5GW8.30DH9</v>
      </c>
      <c r="I57" s="46" t="str">
        <f t="shared" si="32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3"/>
        <v>12</v>
      </c>
      <c r="T57" s="51">
        <f>'07.02'!BG57</f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4"/>
        <v>0</v>
      </c>
      <c r="AF57" s="54">
        <f>AE57+'07.02'!AF57</f>
        <v>0</v>
      </c>
      <c r="AG57" s="94">
        <f t="shared" si="66"/>
        <v>47</v>
      </c>
      <c r="AH57" s="56">
        <f t="shared" si="13"/>
        <v>0</v>
      </c>
      <c r="AI57" s="93"/>
      <c r="AJ57" s="93">
        <f t="shared" si="67"/>
        <v>0</v>
      </c>
      <c r="AK57" s="95">
        <f t="shared" si="35"/>
        <v>1</v>
      </c>
      <c r="AL57" s="58">
        <f t="shared" si="36"/>
        <v>0</v>
      </c>
      <c r="AM57" s="55">
        <f t="shared" si="68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7"/>
        <v>0</v>
      </c>
      <c r="AV57" s="96">
        <f t="shared" si="37"/>
        <v>0</v>
      </c>
      <c r="AW57" s="96">
        <f t="shared" si="38"/>
        <v>0</v>
      </c>
      <c r="AX57" s="96">
        <f t="shared" si="39"/>
        <v>0</v>
      </c>
      <c r="AY57" s="94">
        <f t="shared" si="69"/>
        <v>0</v>
      </c>
      <c r="AZ57" s="94">
        <f t="shared" si="40"/>
        <v>0</v>
      </c>
      <c r="BA57" s="94">
        <f t="shared" si="41"/>
        <v>47</v>
      </c>
      <c r="BB57" s="97">
        <f t="shared" si="42"/>
        <v>0</v>
      </c>
      <c r="BC57" s="93"/>
      <c r="BD57" s="93">
        <f t="shared" si="43"/>
        <v>0</v>
      </c>
      <c r="BE57" s="95">
        <f t="shared" si="44"/>
        <v>1</v>
      </c>
      <c r="BF57" s="58">
        <f t="shared" si="45"/>
        <v>0</v>
      </c>
      <c r="BG57" s="94">
        <f t="shared" si="46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0"/>
        <v>0</v>
      </c>
      <c r="BP57" s="92">
        <f t="shared" si="70"/>
        <v>0</v>
      </c>
      <c r="BQ57" s="96">
        <f t="shared" si="47"/>
        <v>0</v>
      </c>
      <c r="BR57" s="96">
        <f t="shared" si="48"/>
        <v>0</v>
      </c>
      <c r="BS57" s="96">
        <f t="shared" si="71"/>
        <v>0</v>
      </c>
      <c r="BT57" s="96">
        <f t="shared" si="49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0"/>
        <v>0</v>
      </c>
      <c r="BY57" s="61">
        <f t="shared" si="74"/>
        <v>0</v>
      </c>
      <c r="BZ57" s="62">
        <f t="shared" si="51"/>
        <v>0</v>
      </c>
      <c r="CA57" s="98">
        <f t="shared" si="52"/>
        <v>0</v>
      </c>
      <c r="CB57" s="92">
        <f t="shared" si="98"/>
        <v>0</v>
      </c>
      <c r="CC57" s="92">
        <f t="shared" si="98"/>
        <v>0</v>
      </c>
      <c r="CD57" s="92">
        <f t="shared" si="98"/>
        <v>0</v>
      </c>
      <c r="CE57" s="99"/>
      <c r="CF57" s="99"/>
      <c r="CG57" s="51">
        <f t="shared" si="53"/>
        <v>0</v>
      </c>
      <c r="CH57" s="62">
        <f t="shared" si="54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101"/>
        <v>0</v>
      </c>
      <c r="CR57" s="102">
        <f t="shared" si="101"/>
        <v>0</v>
      </c>
      <c r="CS57" s="102">
        <f t="shared" si="101"/>
        <v>0</v>
      </c>
      <c r="CT57" s="92">
        <f t="shared" si="56"/>
        <v>0</v>
      </c>
      <c r="CU57" s="92">
        <f t="shared" si="102"/>
        <v>0</v>
      </c>
      <c r="CV57" s="103">
        <f t="shared" si="102"/>
        <v>0</v>
      </c>
      <c r="CW57" s="104" t="s">
        <v>147</v>
      </c>
      <c r="CX57" s="105">
        <v>22</v>
      </c>
      <c r="CY57" s="106">
        <f t="shared" si="58"/>
        <v>1914</v>
      </c>
      <c r="CZ57" s="106">
        <f t="shared" si="59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7"/>
        <v>0</v>
      </c>
      <c r="DL57" s="108">
        <f t="shared" si="87"/>
        <v>0</v>
      </c>
      <c r="DM57" s="111">
        <f t="shared" si="87"/>
        <v>0</v>
      </c>
      <c r="DN57" s="76">
        <f t="shared" si="60"/>
        <v>47</v>
      </c>
      <c r="DO57" s="76">
        <f t="shared" si="72"/>
        <v>0</v>
      </c>
      <c r="DP57" s="112"/>
      <c r="DQ57" s="112"/>
      <c r="DR57" s="113" t="s">
        <v>542</v>
      </c>
      <c r="DS57" s="112"/>
      <c r="DT57" s="112"/>
      <c r="DU57" s="111"/>
      <c r="DV57" s="114"/>
      <c r="DW57" s="80">
        <f t="shared" si="104"/>
        <v>0</v>
      </c>
      <c r="DX57" s="81">
        <f t="shared" si="28"/>
        <v>0</v>
      </c>
      <c r="DY57" s="80">
        <f t="shared" si="62"/>
        <v>0</v>
      </c>
      <c r="DZ57" s="82">
        <f t="shared" si="63"/>
        <v>0</v>
      </c>
      <c r="EA57" s="82">
        <f t="shared" si="64"/>
        <v>0</v>
      </c>
      <c r="EB57" s="82">
        <f t="shared" si="65"/>
        <v>0</v>
      </c>
      <c r="EC57" s="82">
        <f t="shared" si="76"/>
        <v>0</v>
      </c>
      <c r="EF57" s="83">
        <f t="shared" si="92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0"/>
        <v>IBC3604-6.5x3-H9A15</v>
      </c>
      <c r="H58" s="46" t="str">
        <f t="shared" si="31"/>
        <v>C3604IB6.50DH9</v>
      </c>
      <c r="I58" s="46" t="str">
        <f t="shared" si="32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3"/>
        <v>20</v>
      </c>
      <c r="T58" s="51">
        <f>'07.02'!BG58</f>
        <v>8.9999999999999964</v>
      </c>
      <c r="U58" s="92">
        <v>21</v>
      </c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0</v>
      </c>
      <c r="AC58" s="93">
        <f t="shared" si="11"/>
        <v>0</v>
      </c>
      <c r="AD58" s="93">
        <f t="shared" si="12"/>
        <v>0</v>
      </c>
      <c r="AE58" s="93">
        <f t="shared" si="34"/>
        <v>0</v>
      </c>
      <c r="AF58" s="54">
        <f>AE58+'07.02'!AF58</f>
        <v>43248</v>
      </c>
      <c r="AG58" s="94">
        <f t="shared" si="66"/>
        <v>8.9999999999999964</v>
      </c>
      <c r="AH58" s="56">
        <f t="shared" si="13"/>
        <v>0</v>
      </c>
      <c r="AI58" s="93">
        <v>10</v>
      </c>
      <c r="AJ58" s="93">
        <f t="shared" si="67"/>
        <v>0</v>
      </c>
      <c r="AK58" s="95">
        <f t="shared" si="35"/>
        <v>1</v>
      </c>
      <c r="AL58" s="58">
        <f t="shared" si="36"/>
        <v>10</v>
      </c>
      <c r="AM58" s="55">
        <f t="shared" si="68"/>
        <v>19.999999999999996</v>
      </c>
      <c r="AN58" s="93"/>
      <c r="AO58" s="96"/>
      <c r="AP58" s="96"/>
      <c r="AQ58" s="96"/>
      <c r="AR58" s="96"/>
      <c r="AS58" s="96"/>
      <c r="AT58" s="96">
        <f>$CJ58</f>
        <v>0</v>
      </c>
      <c r="AU58" s="96">
        <f t="shared" si="37"/>
        <v>0</v>
      </c>
      <c r="AV58" s="96">
        <f t="shared" si="37"/>
        <v>0</v>
      </c>
      <c r="AW58" s="96">
        <f t="shared" si="38"/>
        <v>0</v>
      </c>
      <c r="AX58" s="96">
        <f t="shared" si="39"/>
        <v>0</v>
      </c>
      <c r="AY58" s="94">
        <f t="shared" si="69"/>
        <v>-1897.1</v>
      </c>
      <c r="AZ58" s="94">
        <f t="shared" si="40"/>
        <v>-3110</v>
      </c>
      <c r="BA58" s="94">
        <f t="shared" si="41"/>
        <v>19.999999999999996</v>
      </c>
      <c r="BB58" s="97">
        <f t="shared" si="42"/>
        <v>0</v>
      </c>
      <c r="BC58" s="93">
        <v>6</v>
      </c>
      <c r="BD58" s="93">
        <f t="shared" si="43"/>
        <v>0</v>
      </c>
      <c r="BE58" s="95">
        <f t="shared" si="44"/>
        <v>1</v>
      </c>
      <c r="BF58" s="58">
        <f t="shared" si="45"/>
        <v>6</v>
      </c>
      <c r="BG58" s="94">
        <f t="shared" si="46"/>
        <v>13.999999999999996</v>
      </c>
      <c r="BH58" s="89"/>
      <c r="BI58" s="89"/>
      <c r="BJ58" s="89"/>
      <c r="BK58" s="89"/>
      <c r="BL58" s="89"/>
      <c r="BM58" s="89"/>
      <c r="BN58" s="92">
        <f>$CN58</f>
        <v>0</v>
      </c>
      <c r="BO58" s="92">
        <f t="shared" si="70"/>
        <v>0</v>
      </c>
      <c r="BP58" s="92">
        <f t="shared" si="70"/>
        <v>0</v>
      </c>
      <c r="BQ58" s="96">
        <f t="shared" si="47"/>
        <v>0</v>
      </c>
      <c r="BR58" s="96">
        <f t="shared" si="48"/>
        <v>0</v>
      </c>
      <c r="BS58" s="96">
        <f t="shared" si="71"/>
        <v>-1138.26</v>
      </c>
      <c r="BT58" s="96">
        <f t="shared" si="49"/>
        <v>-1866</v>
      </c>
      <c r="BU58" s="92">
        <f t="shared" si="16"/>
        <v>0</v>
      </c>
      <c r="BV58" s="98">
        <f t="shared" si="17"/>
        <v>16</v>
      </c>
      <c r="BW58" s="92">
        <f t="shared" si="18"/>
        <v>-4976</v>
      </c>
      <c r="BX58" s="98">
        <f t="shared" si="50"/>
        <v>13.456</v>
      </c>
      <c r="BY58" s="61">
        <f t="shared" si="74"/>
        <v>16</v>
      </c>
      <c r="BZ58" s="62">
        <f t="shared" si="51"/>
        <v>16</v>
      </c>
      <c r="CA58" s="98">
        <f t="shared" si="52"/>
        <v>0</v>
      </c>
      <c r="CB58" s="92">
        <f t="shared" si="98"/>
        <v>0</v>
      </c>
      <c r="CC58" s="92">
        <f t="shared" si="98"/>
        <v>-3035.3599999999997</v>
      </c>
      <c r="CD58" s="92">
        <f t="shared" si="98"/>
        <v>-4976</v>
      </c>
      <c r="CE58" s="99"/>
      <c r="CF58" s="99"/>
      <c r="CG58" s="51">
        <f t="shared" si="53"/>
        <v>13.456</v>
      </c>
      <c r="CH58" s="62">
        <f t="shared" si="54"/>
        <v>13.456</v>
      </c>
      <c r="CI58" s="89"/>
      <c r="CJ58" s="89"/>
      <c r="CK58" s="89"/>
      <c r="CL58" s="96"/>
      <c r="CM58" s="89"/>
      <c r="CN58" s="89"/>
      <c r="CO58" s="92"/>
      <c r="CP58" s="101"/>
      <c r="CQ58" s="102">
        <f t="shared" si="101"/>
        <v>0</v>
      </c>
      <c r="CR58" s="102">
        <f t="shared" si="101"/>
        <v>0</v>
      </c>
      <c r="CS58" s="102">
        <f t="shared" si="101"/>
        <v>0</v>
      </c>
      <c r="CT58" s="92">
        <f t="shared" si="56"/>
        <v>0</v>
      </c>
      <c r="CU58" s="92">
        <f t="shared" si="102"/>
        <v>0</v>
      </c>
      <c r="CV58" s="103">
        <f t="shared" si="102"/>
        <v>0</v>
      </c>
      <c r="CW58" s="104" t="s">
        <v>147</v>
      </c>
      <c r="CX58" s="105">
        <v>13</v>
      </c>
      <c r="CY58" s="106">
        <f t="shared" si="58"/>
        <v>3170</v>
      </c>
      <c r="CZ58" s="106">
        <f t="shared" si="59"/>
        <v>52.650000000000006</v>
      </c>
      <c r="DA58" s="106"/>
      <c r="DB58" s="106"/>
      <c r="DC58" s="105"/>
      <c r="DD58" s="107"/>
      <c r="DE58" s="92">
        <f t="shared" si="21"/>
        <v>0</v>
      </c>
      <c r="DF58" s="108">
        <f t="shared" si="22"/>
        <v>10</v>
      </c>
      <c r="DG58" s="112">
        <f t="shared" si="23"/>
        <v>-3110</v>
      </c>
      <c r="DH58" s="110">
        <f t="shared" si="24"/>
        <v>0</v>
      </c>
      <c r="DI58" s="108">
        <f t="shared" si="25"/>
        <v>6</v>
      </c>
      <c r="DJ58" s="112">
        <f t="shared" si="26"/>
        <v>-1866</v>
      </c>
      <c r="DK58" s="110">
        <f t="shared" si="87"/>
        <v>0</v>
      </c>
      <c r="DL58" s="108">
        <f t="shared" si="87"/>
        <v>16</v>
      </c>
      <c r="DM58" s="111">
        <f t="shared" si="87"/>
        <v>-4976</v>
      </c>
      <c r="DN58" s="76">
        <f t="shared" si="60"/>
        <v>8.9999999999999964</v>
      </c>
      <c r="DO58" s="76">
        <f t="shared" si="72"/>
        <v>21</v>
      </c>
      <c r="DP58" s="112"/>
      <c r="DQ58" s="112"/>
      <c r="DR58" s="113" t="s">
        <v>543</v>
      </c>
      <c r="DS58" s="112"/>
      <c r="DT58" s="112"/>
      <c r="DU58" s="111"/>
      <c r="DV58" s="114"/>
      <c r="DW58" s="80">
        <f t="shared" si="104"/>
        <v>16</v>
      </c>
      <c r="DX58" s="81">
        <f t="shared" si="28"/>
        <v>-4960</v>
      </c>
      <c r="DY58" s="80">
        <f t="shared" si="62"/>
        <v>0</v>
      </c>
      <c r="DZ58" s="82">
        <f t="shared" si="63"/>
        <v>0</v>
      </c>
      <c r="EA58" s="82">
        <f t="shared" si="64"/>
        <v>0</v>
      </c>
      <c r="EB58" s="82">
        <f t="shared" si="65"/>
        <v>13.456</v>
      </c>
      <c r="EC58" s="82">
        <f>(BX58-CA58)+((AV58+BP58)/1000)</f>
        <v>13.456</v>
      </c>
      <c r="EF58" s="83">
        <f t="shared" si="92"/>
        <v>-4976</v>
      </c>
    </row>
    <row r="59" spans="1:136" ht="14.1" hidden="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0"/>
        <v>GWA6063-T5-7.5x3-H9B14</v>
      </c>
      <c r="H59" s="46" t="str">
        <f t="shared" si="31"/>
        <v>A6063-T5GW7.50DH9</v>
      </c>
      <c r="I59" s="46" t="str">
        <f t="shared" si="32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3"/>
        <v>22</v>
      </c>
      <c r="T59" s="51">
        <f>'07.02'!BG59</f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4"/>
        <v>0</v>
      </c>
      <c r="AF59" s="54">
        <f>AE59+'07.02'!AF59</f>
        <v>0</v>
      </c>
      <c r="AG59" s="94">
        <f t="shared" si="66"/>
        <v>0</v>
      </c>
      <c r="AH59" s="56">
        <f t="shared" si="13"/>
        <v>0</v>
      </c>
      <c r="AI59" s="93"/>
      <c r="AJ59" s="93">
        <f t="shared" si="67"/>
        <v>0</v>
      </c>
      <c r="AK59" s="95">
        <f t="shared" si="35"/>
        <v>1</v>
      </c>
      <c r="AL59" s="58">
        <f t="shared" si="36"/>
        <v>0</v>
      </c>
      <c r="AM59" s="55">
        <f t="shared" si="68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7"/>
        <v>0</v>
      </c>
      <c r="AV59" s="96">
        <f t="shared" si="37"/>
        <v>0</v>
      </c>
      <c r="AW59" s="96">
        <f t="shared" si="38"/>
        <v>0</v>
      </c>
      <c r="AX59" s="96">
        <f t="shared" si="39"/>
        <v>0</v>
      </c>
      <c r="AY59" s="94">
        <f t="shared" si="69"/>
        <v>0</v>
      </c>
      <c r="AZ59" s="94">
        <f t="shared" si="40"/>
        <v>0</v>
      </c>
      <c r="BA59" s="94">
        <f t="shared" si="41"/>
        <v>0</v>
      </c>
      <c r="BB59" s="97">
        <f t="shared" si="42"/>
        <v>0</v>
      </c>
      <c r="BC59" s="93"/>
      <c r="BD59" s="93">
        <f t="shared" si="43"/>
        <v>0</v>
      </c>
      <c r="BE59" s="95">
        <f t="shared" si="44"/>
        <v>1</v>
      </c>
      <c r="BF59" s="58">
        <f t="shared" si="45"/>
        <v>0</v>
      </c>
      <c r="BG59" s="94">
        <f t="shared" si="46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0"/>
        <v>0</v>
      </c>
      <c r="BP59" s="92">
        <f t="shared" si="70"/>
        <v>0</v>
      </c>
      <c r="BQ59" s="96">
        <f t="shared" si="47"/>
        <v>0</v>
      </c>
      <c r="BR59" s="96">
        <f t="shared" si="48"/>
        <v>0</v>
      </c>
      <c r="BS59" s="96">
        <f t="shared" si="71"/>
        <v>0</v>
      </c>
      <c r="BT59" s="96">
        <f t="shared" si="49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0"/>
        <v>0</v>
      </c>
      <c r="BY59" s="61">
        <f t="shared" si="74"/>
        <v>0</v>
      </c>
      <c r="BZ59" s="62">
        <f t="shared" si="51"/>
        <v>0</v>
      </c>
      <c r="CA59" s="98">
        <f t="shared" si="52"/>
        <v>0</v>
      </c>
      <c r="CB59" s="92">
        <f t="shared" si="98"/>
        <v>0</v>
      </c>
      <c r="CC59" s="92">
        <f t="shared" si="98"/>
        <v>0</v>
      </c>
      <c r="CD59" s="92">
        <f t="shared" si="98"/>
        <v>0</v>
      </c>
      <c r="CE59" s="99"/>
      <c r="CF59" s="99"/>
      <c r="CG59" s="51">
        <f t="shared" si="53"/>
        <v>0</v>
      </c>
      <c r="CH59" s="62">
        <f t="shared" si="54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101"/>
        <v>0</v>
      </c>
      <c r="CR59" s="102">
        <f t="shared" si="101"/>
        <v>0</v>
      </c>
      <c r="CS59" s="102">
        <f t="shared" si="101"/>
        <v>0</v>
      </c>
      <c r="CT59" s="92">
        <f t="shared" si="56"/>
        <v>0</v>
      </c>
      <c r="CU59" s="92">
        <f t="shared" si="102"/>
        <v>0</v>
      </c>
      <c r="CV59" s="103">
        <f t="shared" si="102"/>
        <v>0</v>
      </c>
      <c r="CW59" s="104" t="s">
        <v>147</v>
      </c>
      <c r="CX59" s="105">
        <v>15.56</v>
      </c>
      <c r="CY59" s="106">
        <f t="shared" si="58"/>
        <v>2637</v>
      </c>
      <c r="CZ59" s="106">
        <f t="shared" si="59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7"/>
        <v>0</v>
      </c>
      <c r="DL59" s="108">
        <f t="shared" si="87"/>
        <v>0</v>
      </c>
      <c r="DM59" s="111">
        <f t="shared" si="87"/>
        <v>0</v>
      </c>
      <c r="DN59" s="76">
        <f t="shared" si="60"/>
        <v>0</v>
      </c>
      <c r="DO59" s="76">
        <f t="shared" si="72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1"/>
        <v>0</v>
      </c>
      <c r="DX59" s="81">
        <f t="shared" si="28"/>
        <v>0</v>
      </c>
      <c r="DY59" s="80">
        <f t="shared" si="62"/>
        <v>0</v>
      </c>
      <c r="DZ59" s="82">
        <f t="shared" si="63"/>
        <v>0</v>
      </c>
      <c r="EA59" s="82">
        <f t="shared" si="64"/>
        <v>0</v>
      </c>
      <c r="EB59" s="82">
        <f t="shared" si="65"/>
        <v>0</v>
      </c>
      <c r="EC59" s="82">
        <f t="shared" si="76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0"/>
        <v>TVSUS303-5x3-H7B13</v>
      </c>
      <c r="H60" s="46" t="str">
        <f t="shared" si="31"/>
        <v>SUS303TV50DH7</v>
      </c>
      <c r="I60" s="46" t="str">
        <f t="shared" si="32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3"/>
        <v>6</v>
      </c>
      <c r="T60" s="51">
        <f>'07.02'!BG60</f>
        <v>15</v>
      </c>
      <c r="U60" s="92"/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0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0</v>
      </c>
      <c r="AE60" s="93">
        <f t="shared" si="34"/>
        <v>0</v>
      </c>
      <c r="AF60" s="54">
        <f>AE60+'07.02'!AF60</f>
        <v>4800</v>
      </c>
      <c r="AG60" s="94">
        <f t="shared" si="66"/>
        <v>15</v>
      </c>
      <c r="AH60" s="56">
        <f t="shared" si="13"/>
        <v>0</v>
      </c>
      <c r="AI60" s="93">
        <v>2</v>
      </c>
      <c r="AJ60" s="93">
        <f t="shared" si="67"/>
        <v>0</v>
      </c>
      <c r="AK60" s="95">
        <f t="shared" si="35"/>
        <v>1</v>
      </c>
      <c r="AL60" s="58">
        <f t="shared" si="36"/>
        <v>2</v>
      </c>
      <c r="AM60" s="55">
        <f t="shared" si="68"/>
        <v>13</v>
      </c>
      <c r="AN60" s="93"/>
      <c r="AO60" s="96"/>
      <c r="AP60" s="96"/>
      <c r="AQ60" s="96"/>
      <c r="AR60" s="96">
        <f t="shared" ref="AR60:AS61" si="106">$CJ60</f>
        <v>0</v>
      </c>
      <c r="AS60" s="96"/>
      <c r="AT60" s="96"/>
      <c r="AU60" s="96">
        <f t="shared" si="37"/>
        <v>0</v>
      </c>
      <c r="AV60" s="96">
        <f t="shared" si="37"/>
        <v>0</v>
      </c>
      <c r="AW60" s="96">
        <f t="shared" si="38"/>
        <v>0</v>
      </c>
      <c r="AX60" s="96">
        <f t="shared" si="39"/>
        <v>0</v>
      </c>
      <c r="AY60" s="94">
        <f t="shared" si="69"/>
        <v>-371.57</v>
      </c>
      <c r="AZ60" s="94">
        <f t="shared" si="40"/>
        <v>-1018</v>
      </c>
      <c r="BA60" s="94">
        <f t="shared" si="41"/>
        <v>13</v>
      </c>
      <c r="BB60" s="97">
        <f t="shared" si="42"/>
        <v>0</v>
      </c>
      <c r="BC60" s="93">
        <v>3</v>
      </c>
      <c r="BD60" s="93">
        <f t="shared" si="43"/>
        <v>0</v>
      </c>
      <c r="BE60" s="95">
        <f t="shared" si="44"/>
        <v>1</v>
      </c>
      <c r="BF60" s="58">
        <f t="shared" si="45"/>
        <v>3</v>
      </c>
      <c r="BG60" s="94">
        <f t="shared" si="46"/>
        <v>10</v>
      </c>
      <c r="BH60" s="89"/>
      <c r="BI60" s="89"/>
      <c r="BJ60" s="92"/>
      <c r="BK60" s="89"/>
      <c r="BL60" s="92">
        <f>$CN60</f>
        <v>0</v>
      </c>
      <c r="BM60" s="92"/>
      <c r="BN60" s="92"/>
      <c r="BO60" s="92">
        <f t="shared" si="70"/>
        <v>0</v>
      </c>
      <c r="BP60" s="92">
        <f t="shared" si="70"/>
        <v>0</v>
      </c>
      <c r="BQ60" s="96">
        <f t="shared" si="47"/>
        <v>0</v>
      </c>
      <c r="BR60" s="96">
        <f t="shared" si="48"/>
        <v>0</v>
      </c>
      <c r="BS60" s="96">
        <f t="shared" si="71"/>
        <v>-557.35500000000002</v>
      </c>
      <c r="BT60" s="96">
        <f t="shared" si="49"/>
        <v>-1527</v>
      </c>
      <c r="BU60" s="92">
        <f t="shared" si="16"/>
        <v>0</v>
      </c>
      <c r="BV60" s="98">
        <f t="shared" si="17"/>
        <v>5</v>
      </c>
      <c r="BW60" s="92">
        <f t="shared" si="18"/>
        <v>-2545</v>
      </c>
      <c r="BX60" s="98">
        <f t="shared" si="50"/>
        <v>2.3499999999999996</v>
      </c>
      <c r="BY60" s="61">
        <f t="shared" si="74"/>
        <v>5</v>
      </c>
      <c r="BZ60" s="62">
        <f t="shared" si="51"/>
        <v>5</v>
      </c>
      <c r="CA60" s="98">
        <f t="shared" si="52"/>
        <v>0</v>
      </c>
      <c r="CB60" s="92">
        <f t="shared" si="98"/>
        <v>0</v>
      </c>
      <c r="CC60" s="92">
        <f t="shared" si="98"/>
        <v>-928.92499999999995</v>
      </c>
      <c r="CD60" s="92">
        <f t="shared" si="98"/>
        <v>-2545</v>
      </c>
      <c r="CE60" s="99"/>
      <c r="CF60" s="99"/>
      <c r="CG60" s="51">
        <f t="shared" si="53"/>
        <v>2.3499999999999996</v>
      </c>
      <c r="CH60" s="62">
        <f t="shared" si="54"/>
        <v>2.3499999999999996</v>
      </c>
      <c r="CI60" s="89"/>
      <c r="CJ60" s="89"/>
      <c r="CK60" s="89"/>
      <c r="CL60" s="96"/>
      <c r="CM60" s="89"/>
      <c r="CN60" s="89"/>
      <c r="CO60" s="92"/>
      <c r="CP60" s="101"/>
      <c r="CQ60" s="102">
        <f t="shared" si="101"/>
        <v>0</v>
      </c>
      <c r="CR60" s="102">
        <f t="shared" si="101"/>
        <v>0</v>
      </c>
      <c r="CS60" s="102">
        <f t="shared" si="101"/>
        <v>0</v>
      </c>
      <c r="CT60" s="92">
        <f t="shared" si="56"/>
        <v>0</v>
      </c>
      <c r="CU60" s="92">
        <f t="shared" si="102"/>
        <v>0</v>
      </c>
      <c r="CV60" s="103">
        <f t="shared" si="102"/>
        <v>0</v>
      </c>
      <c r="CW60" s="104" t="s">
        <v>147</v>
      </c>
      <c r="CX60" s="105">
        <v>30</v>
      </c>
      <c r="CY60" s="106">
        <f t="shared" si="58"/>
        <v>1422</v>
      </c>
      <c r="CZ60" s="106">
        <f t="shared" si="59"/>
        <v>121.50000000000001</v>
      </c>
      <c r="DA60" s="106"/>
      <c r="DB60" s="106"/>
      <c r="DC60" s="105"/>
      <c r="DD60" s="107"/>
      <c r="DE60" s="92">
        <f t="shared" si="21"/>
        <v>0</v>
      </c>
      <c r="DF60" s="108">
        <f t="shared" si="22"/>
        <v>2</v>
      </c>
      <c r="DG60" s="115">
        <f t="shared" si="23"/>
        <v>-1018</v>
      </c>
      <c r="DH60" s="110">
        <f t="shared" si="24"/>
        <v>0</v>
      </c>
      <c r="DI60" s="108">
        <f t="shared" si="25"/>
        <v>3</v>
      </c>
      <c r="DJ60" s="115">
        <f t="shared" si="26"/>
        <v>-1527</v>
      </c>
      <c r="DK60" s="110">
        <f t="shared" si="87"/>
        <v>0</v>
      </c>
      <c r="DL60" s="108">
        <f t="shared" si="87"/>
        <v>5</v>
      </c>
      <c r="DM60" s="111">
        <f t="shared" si="87"/>
        <v>-2545</v>
      </c>
      <c r="DN60" s="76">
        <f t="shared" si="60"/>
        <v>15</v>
      </c>
      <c r="DO60" s="76">
        <f t="shared" si="72"/>
        <v>0</v>
      </c>
      <c r="DP60" s="112"/>
      <c r="DQ60" s="112"/>
      <c r="DR60" s="113" t="s">
        <v>544</v>
      </c>
      <c r="DS60" s="112"/>
      <c r="DT60" s="112"/>
      <c r="DU60" s="111"/>
      <c r="DV60" s="114"/>
      <c r="DW60" s="80">
        <f>IFERROR(AL60+BF60,"")</f>
        <v>5</v>
      </c>
      <c r="DX60" s="81">
        <f t="shared" si="28"/>
        <v>-2540</v>
      </c>
      <c r="DY60" s="80">
        <f t="shared" si="62"/>
        <v>0</v>
      </c>
      <c r="DZ60" s="82">
        <f t="shared" si="63"/>
        <v>0</v>
      </c>
      <c r="EA60" s="82">
        <f t="shared" si="64"/>
        <v>0</v>
      </c>
      <c r="EB60" s="82">
        <f t="shared" si="65"/>
        <v>2.3499999999999996</v>
      </c>
      <c r="EC60" s="82">
        <f t="shared" si="76"/>
        <v>2.3499999999999996</v>
      </c>
      <c r="EF60" s="83">
        <f t="shared" ref="EF60:EF88" si="107">DG60+DJ60</f>
        <v>-2545</v>
      </c>
    </row>
    <row r="61" spans="1:136" ht="14.1" customHeight="1">
      <c r="A61" s="84">
        <v>54</v>
      </c>
      <c r="B61" s="85" t="s">
        <v>290</v>
      </c>
      <c r="C61" s="86"/>
      <c r="D61" s="171" t="s">
        <v>496</v>
      </c>
      <c r="E61" s="88">
        <v>61</v>
      </c>
      <c r="F61" s="89" t="s">
        <v>147</v>
      </c>
      <c r="G61" s="45" t="str">
        <f t="shared" si="30"/>
        <v>TV12L14-5x3-H9A14</v>
      </c>
      <c r="H61" s="46" t="str">
        <f t="shared" si="31"/>
        <v>12L14TV50DH9</v>
      </c>
      <c r="I61" s="46" t="str">
        <f t="shared" si="32"/>
        <v>12L14TV50DH93A14</v>
      </c>
      <c r="J61" s="90" t="s">
        <v>137</v>
      </c>
      <c r="K61" s="90" t="s">
        <v>138</v>
      </c>
      <c r="L61" s="90">
        <v>5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139</v>
      </c>
      <c r="S61" s="89">
        <f t="shared" si="33"/>
        <v>84</v>
      </c>
      <c r="T61" s="51">
        <f>'07.02'!BG61</f>
        <v>50</v>
      </c>
      <c r="U61" s="92"/>
      <c r="V61" s="100">
        <v>2.0499999999999998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34"/>
        <v>0</v>
      </c>
      <c r="AF61" s="54">
        <f>AE61+'07.02'!AF61</f>
        <v>608</v>
      </c>
      <c r="AG61" s="94">
        <f t="shared" si="66"/>
        <v>50</v>
      </c>
      <c r="AH61" s="56">
        <f t="shared" si="13"/>
        <v>0</v>
      </c>
      <c r="AI61" s="93"/>
      <c r="AJ61" s="93">
        <f t="shared" si="67"/>
        <v>0</v>
      </c>
      <c r="AK61" s="95">
        <f t="shared" si="35"/>
        <v>1</v>
      </c>
      <c r="AL61" s="58">
        <f t="shared" si="36"/>
        <v>0</v>
      </c>
      <c r="AM61" s="55">
        <f t="shared" si="68"/>
        <v>50</v>
      </c>
      <c r="AN61" s="93"/>
      <c r="AO61" s="96"/>
      <c r="AP61" s="96"/>
      <c r="AQ61" s="96"/>
      <c r="AR61" s="96"/>
      <c r="AS61" s="96">
        <f t="shared" si="106"/>
        <v>0</v>
      </c>
      <c r="AT61" s="96"/>
      <c r="AU61" s="96">
        <f t="shared" si="37"/>
        <v>0</v>
      </c>
      <c r="AV61" s="96">
        <f t="shared" si="37"/>
        <v>0</v>
      </c>
      <c r="AW61" s="96">
        <f t="shared" si="38"/>
        <v>0</v>
      </c>
      <c r="AX61" s="96">
        <f t="shared" si="39"/>
        <v>0</v>
      </c>
      <c r="AY61" s="94">
        <f t="shared" si="69"/>
        <v>0</v>
      </c>
      <c r="AZ61" s="94">
        <f t="shared" si="40"/>
        <v>0</v>
      </c>
      <c r="BA61" s="94">
        <f t="shared" si="41"/>
        <v>50</v>
      </c>
      <c r="BB61" s="97">
        <f t="shared" si="42"/>
        <v>0</v>
      </c>
      <c r="BC61" s="93"/>
      <c r="BD61" s="93">
        <f t="shared" si="43"/>
        <v>0</v>
      </c>
      <c r="BE61" s="95">
        <f t="shared" si="44"/>
        <v>1</v>
      </c>
      <c r="BF61" s="58">
        <f t="shared" si="45"/>
        <v>0</v>
      </c>
      <c r="BG61" s="94">
        <f t="shared" si="46"/>
        <v>50</v>
      </c>
      <c r="BH61" s="89"/>
      <c r="BI61" s="89"/>
      <c r="BJ61" s="92"/>
      <c r="BK61" s="89"/>
      <c r="BL61" s="89"/>
      <c r="BM61" s="92">
        <f>$CN61</f>
        <v>0</v>
      </c>
      <c r="BN61" s="92"/>
      <c r="BO61" s="92">
        <f t="shared" si="70"/>
        <v>0</v>
      </c>
      <c r="BP61" s="92">
        <f t="shared" si="70"/>
        <v>0</v>
      </c>
      <c r="BQ61" s="96">
        <f t="shared" si="47"/>
        <v>0</v>
      </c>
      <c r="BR61" s="96">
        <f t="shared" si="48"/>
        <v>0</v>
      </c>
      <c r="BS61" s="96">
        <f t="shared" si="71"/>
        <v>0</v>
      </c>
      <c r="BT61" s="96">
        <f>IF($V61="","",BS61/$V61)</f>
        <v>0</v>
      </c>
      <c r="BU61" s="92">
        <f t="shared" si="16"/>
        <v>0</v>
      </c>
      <c r="BV61" s="98">
        <f t="shared" si="17"/>
        <v>0</v>
      </c>
      <c r="BW61" s="92">
        <f t="shared" si="18"/>
        <v>0</v>
      </c>
      <c r="BX61" s="98">
        <f t="shared" si="50"/>
        <v>0</v>
      </c>
      <c r="BY61" s="61">
        <f t="shared" si="74"/>
        <v>0</v>
      </c>
      <c r="BZ61" s="62">
        <f t="shared" si="51"/>
        <v>0</v>
      </c>
      <c r="CA61" s="98">
        <f t="shared" si="52"/>
        <v>0</v>
      </c>
      <c r="CB61" s="92">
        <f t="shared" si="98"/>
        <v>0</v>
      </c>
      <c r="CC61" s="92">
        <f t="shared" si="98"/>
        <v>0</v>
      </c>
      <c r="CD61" s="92">
        <f t="shared" si="98"/>
        <v>0</v>
      </c>
      <c r="CE61" s="99"/>
      <c r="CF61" s="99"/>
      <c r="CG61" s="51">
        <f t="shared" si="53"/>
        <v>0</v>
      </c>
      <c r="CH61" s="62">
        <f t="shared" si="54"/>
        <v>0</v>
      </c>
      <c r="CI61" s="89"/>
      <c r="CJ61" s="89"/>
      <c r="CK61" s="89"/>
      <c r="CL61" s="96"/>
      <c r="CM61" s="89"/>
      <c r="CN61" s="89"/>
      <c r="CO61" s="92"/>
      <c r="CP61" s="101"/>
      <c r="CQ61" s="102">
        <f t="shared" si="101"/>
        <v>0</v>
      </c>
      <c r="CR61" s="102">
        <f t="shared" si="101"/>
        <v>0</v>
      </c>
      <c r="CS61" s="102">
        <f t="shared" si="101"/>
        <v>0</v>
      </c>
      <c r="CT61" s="92">
        <f t="shared" si="56"/>
        <v>0</v>
      </c>
      <c r="CU61" s="92">
        <f t="shared" si="102"/>
        <v>0</v>
      </c>
      <c r="CV61" s="103">
        <f t="shared" si="102"/>
        <v>0</v>
      </c>
      <c r="CW61" s="104" t="s">
        <v>147</v>
      </c>
      <c r="CX61" s="105">
        <v>13</v>
      </c>
      <c r="CY61" s="106">
        <f t="shared" si="58"/>
        <v>2561</v>
      </c>
      <c r="CZ61" s="106">
        <f t="shared" si="59"/>
        <v>52.650000000000006</v>
      </c>
      <c r="DA61" s="106"/>
      <c r="DB61" s="106"/>
      <c r="DC61" s="105"/>
      <c r="DD61" s="107"/>
      <c r="DE61" s="92">
        <f t="shared" si="21"/>
        <v>0</v>
      </c>
      <c r="DF61" s="108">
        <f t="shared" si="22"/>
        <v>0</v>
      </c>
      <c r="DG61" s="112">
        <f t="shared" si="23"/>
        <v>0</v>
      </c>
      <c r="DH61" s="110">
        <f t="shared" si="24"/>
        <v>0</v>
      </c>
      <c r="DI61" s="108">
        <f t="shared" si="25"/>
        <v>0</v>
      </c>
      <c r="DJ61" s="112">
        <f t="shared" si="26"/>
        <v>0</v>
      </c>
      <c r="DK61" s="110">
        <f t="shared" si="87"/>
        <v>0</v>
      </c>
      <c r="DL61" s="108">
        <f t="shared" si="87"/>
        <v>0</v>
      </c>
      <c r="DM61" s="111">
        <f t="shared" si="87"/>
        <v>0</v>
      </c>
      <c r="DN61" s="76">
        <f t="shared" si="60"/>
        <v>50</v>
      </c>
      <c r="DO61" s="76">
        <f t="shared" si="72"/>
        <v>0</v>
      </c>
      <c r="DP61" s="112"/>
      <c r="DQ61" s="112"/>
      <c r="DR61" s="113" t="s">
        <v>545</v>
      </c>
      <c r="DS61" s="112"/>
      <c r="DT61" s="112"/>
      <c r="DU61" s="111"/>
      <c r="DV61" s="114"/>
      <c r="DW61" s="80">
        <f t="shared" si="61"/>
        <v>0</v>
      </c>
      <c r="DX61" s="81">
        <f t="shared" si="28"/>
        <v>0</v>
      </c>
      <c r="DY61" s="80">
        <f t="shared" si="62"/>
        <v>0</v>
      </c>
      <c r="DZ61" s="82">
        <f t="shared" si="63"/>
        <v>0</v>
      </c>
      <c r="EA61" s="82">
        <f t="shared" si="64"/>
        <v>0</v>
      </c>
      <c r="EB61" s="82">
        <f t="shared" si="65"/>
        <v>0</v>
      </c>
      <c r="EC61" s="82">
        <f t="shared" ref="EC61:EC65" si="108">(BX61-CA61)+((AV61+BP61)/1000)</f>
        <v>0</v>
      </c>
      <c r="EF61" s="83">
        <f t="shared" si="107"/>
        <v>0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0"/>
        <v>MIC3602-3x2.5-H9A14</v>
      </c>
      <c r="H62" s="46" t="str">
        <f t="shared" si="31"/>
        <v>C3602MI30DH9</v>
      </c>
      <c r="I62" s="46" t="str">
        <f t="shared" si="32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3"/>
        <v>34</v>
      </c>
      <c r="T62" s="51">
        <f>'07.02'!BG62</f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4"/>
        <v>0</v>
      </c>
      <c r="AF62" s="54">
        <f>AE62+'07.02'!AF62</f>
        <v>0</v>
      </c>
      <c r="AG62" s="94">
        <f t="shared" si="66"/>
        <v>47</v>
      </c>
      <c r="AH62" s="56">
        <f t="shared" si="13"/>
        <v>0</v>
      </c>
      <c r="AI62" s="93"/>
      <c r="AJ62" s="93">
        <f t="shared" si="67"/>
        <v>0</v>
      </c>
      <c r="AK62" s="95">
        <f t="shared" si="35"/>
        <v>1</v>
      </c>
      <c r="AL62" s="58">
        <f t="shared" si="36"/>
        <v>0</v>
      </c>
      <c r="AM62" s="55">
        <f t="shared" si="68"/>
        <v>47</v>
      </c>
      <c r="AN62" s="93"/>
      <c r="AO62" s="96"/>
      <c r="AP62" s="96"/>
      <c r="AQ62" s="96"/>
      <c r="AR62" s="96"/>
      <c r="AS62" s="96"/>
      <c r="AT62" s="96">
        <f t="shared" ref="AT62:AT64" si="109">$CJ62</f>
        <v>0</v>
      </c>
      <c r="AU62" s="96">
        <f t="shared" si="37"/>
        <v>0</v>
      </c>
      <c r="AV62" s="96">
        <f t="shared" si="37"/>
        <v>0</v>
      </c>
      <c r="AW62" s="96">
        <f t="shared" si="38"/>
        <v>0</v>
      </c>
      <c r="AX62" s="96">
        <f t="shared" si="39"/>
        <v>0</v>
      </c>
      <c r="AY62" s="94">
        <f t="shared" si="69"/>
        <v>0</v>
      </c>
      <c r="AZ62" s="94">
        <f t="shared" si="40"/>
        <v>0</v>
      </c>
      <c r="BA62" s="94">
        <f t="shared" si="41"/>
        <v>47</v>
      </c>
      <c r="BB62" s="97">
        <f t="shared" si="42"/>
        <v>0</v>
      </c>
      <c r="BC62" s="93"/>
      <c r="BD62" s="93">
        <f t="shared" si="43"/>
        <v>0</v>
      </c>
      <c r="BE62" s="95">
        <f t="shared" si="44"/>
        <v>1</v>
      </c>
      <c r="BF62" s="58">
        <f t="shared" si="45"/>
        <v>0</v>
      </c>
      <c r="BG62" s="94">
        <f t="shared" si="46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0"/>
        <v>0</v>
      </c>
      <c r="BP62" s="92">
        <f t="shared" si="70"/>
        <v>0</v>
      </c>
      <c r="BQ62" s="96">
        <f t="shared" si="47"/>
        <v>0</v>
      </c>
      <c r="BR62" s="96">
        <f t="shared" si="48"/>
        <v>0</v>
      </c>
      <c r="BS62" s="96">
        <f t="shared" si="71"/>
        <v>0</v>
      </c>
      <c r="BT62" s="96">
        <f t="shared" si="49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0"/>
        <v>0</v>
      </c>
      <c r="BY62" s="61">
        <f t="shared" si="74"/>
        <v>0</v>
      </c>
      <c r="BZ62" s="62">
        <f t="shared" si="51"/>
        <v>0</v>
      </c>
      <c r="CA62" s="98">
        <f t="shared" si="52"/>
        <v>0</v>
      </c>
      <c r="CB62" s="92">
        <f t="shared" si="98"/>
        <v>0</v>
      </c>
      <c r="CC62" s="92">
        <f t="shared" si="98"/>
        <v>0</v>
      </c>
      <c r="CD62" s="92">
        <f t="shared" si="98"/>
        <v>0</v>
      </c>
      <c r="CE62" s="99"/>
      <c r="CF62" s="99"/>
      <c r="CG62" s="51">
        <f t="shared" si="53"/>
        <v>0</v>
      </c>
      <c r="CH62" s="62">
        <f t="shared" si="54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101"/>
        <v>0</v>
      </c>
      <c r="CR62" s="102">
        <f t="shared" si="101"/>
        <v>0</v>
      </c>
      <c r="CS62" s="102">
        <f t="shared" si="101"/>
        <v>0</v>
      </c>
      <c r="CT62" s="92">
        <f t="shared" si="56"/>
        <v>0</v>
      </c>
      <c r="CU62" s="92">
        <f t="shared" si="102"/>
        <v>0</v>
      </c>
      <c r="CV62" s="103">
        <f t="shared" si="102"/>
        <v>0</v>
      </c>
      <c r="CW62" s="104" t="s">
        <v>147</v>
      </c>
      <c r="CX62" s="105">
        <v>6</v>
      </c>
      <c r="CY62" s="106">
        <f t="shared" si="58"/>
        <v>6630</v>
      </c>
      <c r="CZ62" s="106">
        <f t="shared" si="59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7"/>
        <v>0</v>
      </c>
      <c r="DL62" s="108">
        <f t="shared" si="87"/>
        <v>0</v>
      </c>
      <c r="DM62" s="111">
        <f t="shared" si="87"/>
        <v>0</v>
      </c>
      <c r="DN62" s="76">
        <f t="shared" si="60"/>
        <v>47</v>
      </c>
      <c r="DO62" s="76">
        <f t="shared" si="72"/>
        <v>0</v>
      </c>
      <c r="DP62" s="112"/>
      <c r="DQ62" s="112"/>
      <c r="DR62" s="113" t="s">
        <v>546</v>
      </c>
      <c r="DS62" s="112"/>
      <c r="DT62" s="112"/>
      <c r="DU62" s="111"/>
      <c r="DV62" s="114"/>
      <c r="DW62" s="80">
        <f t="shared" ref="DW62:DW65" si="110">IFERROR(AL62+BF62,"")</f>
        <v>0</v>
      </c>
      <c r="DX62" s="81">
        <f t="shared" si="28"/>
        <v>0</v>
      </c>
      <c r="DY62" s="80">
        <f t="shared" si="62"/>
        <v>0</v>
      </c>
      <c r="DZ62" s="82">
        <f t="shared" si="63"/>
        <v>0</v>
      </c>
      <c r="EA62" s="82">
        <f t="shared" si="64"/>
        <v>0</v>
      </c>
      <c r="EB62" s="82">
        <f t="shared" si="65"/>
        <v>0</v>
      </c>
      <c r="EC62" s="82">
        <f t="shared" si="108"/>
        <v>0</v>
      </c>
      <c r="EF62" s="83">
        <f t="shared" si="107"/>
        <v>0</v>
      </c>
    </row>
    <row r="63" spans="1:136" ht="11.25" hidden="1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0"/>
        <v>FRCuBe2Pb-3.15x3-H9A08</v>
      </c>
      <c r="H63" s="46" t="str">
        <f t="shared" si="31"/>
        <v>CuBe2PbFR3.150DH9</v>
      </c>
      <c r="I63" s="46" t="str">
        <f t="shared" si="32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3"/>
        <v>16</v>
      </c>
      <c r="T63" s="51">
        <f>'07.02'!BG63</f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4"/>
        <v>0</v>
      </c>
      <c r="AF63" s="54">
        <f>AE63+'07.02'!AF63</f>
        <v>0</v>
      </c>
      <c r="AG63" s="94">
        <f t="shared" si="66"/>
        <v>0</v>
      </c>
      <c r="AH63" s="56">
        <f t="shared" si="13"/>
        <v>0</v>
      </c>
      <c r="AI63" s="93"/>
      <c r="AJ63" s="93">
        <f t="shared" si="67"/>
        <v>0</v>
      </c>
      <c r="AK63" s="95">
        <f t="shared" si="35"/>
        <v>1</v>
      </c>
      <c r="AL63" s="58">
        <f t="shared" si="36"/>
        <v>0</v>
      </c>
      <c r="AM63" s="55">
        <f t="shared" si="68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7"/>
        <v>0</v>
      </c>
      <c r="AV63" s="96">
        <f t="shared" si="37"/>
        <v>0</v>
      </c>
      <c r="AW63" s="96">
        <f t="shared" si="38"/>
        <v>0</v>
      </c>
      <c r="AX63" s="96">
        <f t="shared" si="39"/>
        <v>0</v>
      </c>
      <c r="AY63" s="94">
        <f t="shared" si="69"/>
        <v>0</v>
      </c>
      <c r="AZ63" s="94">
        <f t="shared" si="40"/>
        <v>0</v>
      </c>
      <c r="BA63" s="94">
        <f t="shared" si="41"/>
        <v>0</v>
      </c>
      <c r="BB63" s="97">
        <f t="shared" si="42"/>
        <v>0</v>
      </c>
      <c r="BC63" s="93"/>
      <c r="BD63" s="93">
        <f t="shared" si="43"/>
        <v>0</v>
      </c>
      <c r="BE63" s="95">
        <f t="shared" si="44"/>
        <v>1</v>
      </c>
      <c r="BF63" s="58">
        <f t="shared" si="45"/>
        <v>0</v>
      </c>
      <c r="BG63" s="94">
        <f t="shared" si="46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0"/>
        <v>0</v>
      </c>
      <c r="BP63" s="92">
        <f t="shared" si="70"/>
        <v>0</v>
      </c>
      <c r="BQ63" s="96">
        <f t="shared" si="47"/>
        <v>0</v>
      </c>
      <c r="BR63" s="96">
        <f>IF(AA63="","",INT(BQ63/$V63))</f>
        <v>0</v>
      </c>
      <c r="BS63" s="96">
        <f t="shared" si="71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0"/>
        <v>0</v>
      </c>
      <c r="BY63" s="61">
        <f t="shared" si="74"/>
        <v>0</v>
      </c>
      <c r="BZ63" s="62">
        <f t="shared" si="51"/>
        <v>0</v>
      </c>
      <c r="CA63" s="98">
        <f t="shared" si="52"/>
        <v>0</v>
      </c>
      <c r="CB63" s="92">
        <f t="shared" si="98"/>
        <v>0</v>
      </c>
      <c r="CC63" s="92">
        <f t="shared" si="98"/>
        <v>0</v>
      </c>
      <c r="CD63" s="92">
        <f t="shared" si="98"/>
        <v>0</v>
      </c>
      <c r="CE63" s="99"/>
      <c r="CF63" s="99"/>
      <c r="CG63" s="51">
        <f t="shared" si="53"/>
        <v>0</v>
      </c>
      <c r="CH63" s="62">
        <f t="shared" si="54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101"/>
        <v>0</v>
      </c>
      <c r="CR63" s="102">
        <f t="shared" si="101"/>
        <v>0</v>
      </c>
      <c r="CS63" s="102">
        <f t="shared" si="101"/>
        <v>0</v>
      </c>
      <c r="CT63" s="92">
        <f t="shared" si="56"/>
        <v>0</v>
      </c>
      <c r="CU63" s="92">
        <f t="shared" si="102"/>
        <v>0</v>
      </c>
      <c r="CV63" s="103">
        <f t="shared" si="102"/>
        <v>0</v>
      </c>
      <c r="CW63" s="104" t="s">
        <v>147</v>
      </c>
      <c r="CX63" s="105">
        <v>6</v>
      </c>
      <c r="CY63" s="106">
        <f t="shared" si="58"/>
        <v>6960</v>
      </c>
      <c r="CZ63" s="106">
        <f t="shared" si="59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7"/>
        <v>0</v>
      </c>
      <c r="DL63" s="108">
        <f t="shared" si="87"/>
        <v>0</v>
      </c>
      <c r="DM63" s="111">
        <f t="shared" si="87"/>
        <v>0</v>
      </c>
      <c r="DN63" s="76">
        <f t="shared" si="60"/>
        <v>0</v>
      </c>
      <c r="DO63" s="76">
        <f t="shared" si="72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10"/>
        <v>0</v>
      </c>
      <c r="DX63" s="81">
        <f t="shared" si="28"/>
        <v>0</v>
      </c>
      <c r="DY63" s="80">
        <f t="shared" si="62"/>
        <v>0</v>
      </c>
      <c r="DZ63" s="82">
        <f t="shared" si="63"/>
        <v>0</v>
      </c>
      <c r="EA63" s="82">
        <f t="shared" si="64"/>
        <v>0</v>
      </c>
      <c r="EB63" s="82">
        <f t="shared" si="65"/>
        <v>0</v>
      </c>
      <c r="EC63" s="82">
        <f t="shared" si="108"/>
        <v>0</v>
      </c>
      <c r="EF63" s="83">
        <f t="shared" si="107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0"/>
        <v>IBC3604-5x3-H9B14</v>
      </c>
      <c r="H64" s="46" t="str">
        <f t="shared" si="31"/>
        <v>C3604IB50DH9</v>
      </c>
      <c r="I64" s="46" t="str">
        <f t="shared" si="32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3"/>
        <v>22</v>
      </c>
      <c r="T64" s="51">
        <f>'07.02'!BG64</f>
        <v>13</v>
      </c>
      <c r="U64" s="92">
        <v>17</v>
      </c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0</v>
      </c>
      <c r="AC64" s="93">
        <f t="shared" si="11"/>
        <v>0</v>
      </c>
      <c r="AD64" s="93">
        <f t="shared" si="12"/>
        <v>0</v>
      </c>
      <c r="AE64" s="93">
        <f t="shared" si="34"/>
        <v>0</v>
      </c>
      <c r="AF64" s="54">
        <f>AE64+'07.02'!AF64</f>
        <v>67194</v>
      </c>
      <c r="AG64" s="94">
        <f t="shared" si="66"/>
        <v>13</v>
      </c>
      <c r="AH64" s="56">
        <f t="shared" si="13"/>
        <v>0</v>
      </c>
      <c r="AI64" s="93">
        <v>10</v>
      </c>
      <c r="AJ64" s="93">
        <f t="shared" si="67"/>
        <v>0</v>
      </c>
      <c r="AK64" s="95">
        <f t="shared" si="35"/>
        <v>1</v>
      </c>
      <c r="AL64" s="58">
        <f t="shared" si="36"/>
        <v>10</v>
      </c>
      <c r="AM64" s="55">
        <f t="shared" si="68"/>
        <v>20</v>
      </c>
      <c r="AN64" s="93"/>
      <c r="AO64" s="96"/>
      <c r="AP64" s="96"/>
      <c r="AQ64" s="96"/>
      <c r="AR64" s="96"/>
      <c r="AS64" s="96"/>
      <c r="AT64" s="96">
        <f t="shared" si="109"/>
        <v>0</v>
      </c>
      <c r="AU64" s="96">
        <f t="shared" si="37"/>
        <v>0</v>
      </c>
      <c r="AV64" s="96">
        <f t="shared" si="37"/>
        <v>0</v>
      </c>
      <c r="AW64" s="96">
        <f t="shared" si="38"/>
        <v>0</v>
      </c>
      <c r="AX64" s="96">
        <f t="shared" si="39"/>
        <v>0</v>
      </c>
      <c r="AY64" s="94">
        <f t="shared" si="69"/>
        <v>-2180.4</v>
      </c>
      <c r="AZ64" s="94">
        <f t="shared" si="40"/>
        <v>-4740</v>
      </c>
      <c r="BA64" s="94">
        <f t="shared" si="41"/>
        <v>20</v>
      </c>
      <c r="BB64" s="97">
        <f t="shared" si="42"/>
        <v>0</v>
      </c>
      <c r="BC64" s="93">
        <v>11</v>
      </c>
      <c r="BD64" s="93">
        <f t="shared" si="43"/>
        <v>0</v>
      </c>
      <c r="BE64" s="95">
        <f t="shared" si="44"/>
        <v>1</v>
      </c>
      <c r="BF64" s="58">
        <f t="shared" si="45"/>
        <v>11</v>
      </c>
      <c r="BG64" s="94">
        <f t="shared" si="46"/>
        <v>9</v>
      </c>
      <c r="BH64" s="89"/>
      <c r="BI64" s="89"/>
      <c r="BJ64" s="89"/>
      <c r="BK64" s="89"/>
      <c r="BL64" s="89"/>
      <c r="BM64" s="92"/>
      <c r="BN64" s="92">
        <f>$CN64</f>
        <v>0</v>
      </c>
      <c r="BO64" s="92">
        <f t="shared" si="70"/>
        <v>0</v>
      </c>
      <c r="BP64" s="92">
        <f t="shared" si="70"/>
        <v>0</v>
      </c>
      <c r="BQ64" s="96">
        <f t="shared" si="47"/>
        <v>0</v>
      </c>
      <c r="BR64" s="96">
        <f t="shared" si="48"/>
        <v>0</v>
      </c>
      <c r="BS64" s="96">
        <f t="shared" si="71"/>
        <v>-2398.44</v>
      </c>
      <c r="BT64" s="96">
        <f t="shared" si="49"/>
        <v>-5214</v>
      </c>
      <c r="BU64" s="92">
        <f t="shared" si="16"/>
        <v>0</v>
      </c>
      <c r="BV64" s="98">
        <f t="shared" si="17"/>
        <v>21</v>
      </c>
      <c r="BW64" s="92">
        <f t="shared" si="18"/>
        <v>-9954</v>
      </c>
      <c r="BX64" s="98">
        <f t="shared" si="50"/>
        <v>10.5</v>
      </c>
      <c r="BY64" s="61">
        <f>IFERROR(BF64+AL64,0)</f>
        <v>21</v>
      </c>
      <c r="BZ64" s="62">
        <f t="shared" si="51"/>
        <v>21</v>
      </c>
      <c r="CA64" s="98">
        <f t="shared" si="52"/>
        <v>0</v>
      </c>
      <c r="CB64" s="92">
        <f t="shared" si="98"/>
        <v>0</v>
      </c>
      <c r="CC64" s="92">
        <f t="shared" si="98"/>
        <v>-4578.84</v>
      </c>
      <c r="CD64" s="92">
        <f t="shared" si="98"/>
        <v>-9954</v>
      </c>
      <c r="CE64" s="99"/>
      <c r="CF64" s="99"/>
      <c r="CG64" s="51">
        <f t="shared" si="53"/>
        <v>10.5</v>
      </c>
      <c r="CH64" s="62">
        <f t="shared" si="54"/>
        <v>10.5</v>
      </c>
      <c r="CI64" s="89"/>
      <c r="CJ64" s="89"/>
      <c r="CK64" s="89"/>
      <c r="CL64" s="96"/>
      <c r="CM64" s="89"/>
      <c r="CN64" s="89"/>
      <c r="CO64" s="92"/>
      <c r="CP64" s="101"/>
      <c r="CQ64" s="102">
        <f t="shared" si="101"/>
        <v>0</v>
      </c>
      <c r="CR64" s="102">
        <f t="shared" si="101"/>
        <v>0</v>
      </c>
      <c r="CS64" s="102">
        <f t="shared" si="101"/>
        <v>0</v>
      </c>
      <c r="CT64" s="92">
        <f t="shared" si="56"/>
        <v>0</v>
      </c>
      <c r="CU64" s="92">
        <f t="shared" si="102"/>
        <v>0</v>
      </c>
      <c r="CV64" s="103">
        <f t="shared" si="102"/>
        <v>0</v>
      </c>
      <c r="CW64" s="104" t="s">
        <v>147</v>
      </c>
      <c r="CX64" s="105">
        <v>8</v>
      </c>
      <c r="CY64" s="106">
        <f t="shared" si="58"/>
        <v>5130</v>
      </c>
      <c r="CZ64" s="106">
        <f t="shared" si="59"/>
        <v>32.400000000000006</v>
      </c>
      <c r="DA64" s="106"/>
      <c r="DB64" s="106"/>
      <c r="DC64" s="105"/>
      <c r="DD64" s="107"/>
      <c r="DE64" s="92">
        <f t="shared" si="21"/>
        <v>0</v>
      </c>
      <c r="DF64" s="108">
        <f t="shared" si="22"/>
        <v>10</v>
      </c>
      <c r="DG64" s="112">
        <f t="shared" si="23"/>
        <v>-4740</v>
      </c>
      <c r="DH64" s="110">
        <f t="shared" si="24"/>
        <v>0</v>
      </c>
      <c r="DI64" s="108">
        <f t="shared" si="25"/>
        <v>11</v>
      </c>
      <c r="DJ64" s="112">
        <f t="shared" si="26"/>
        <v>-5214</v>
      </c>
      <c r="DK64" s="110">
        <f t="shared" si="87"/>
        <v>0</v>
      </c>
      <c r="DL64" s="108">
        <f t="shared" si="87"/>
        <v>21</v>
      </c>
      <c r="DM64" s="111">
        <f t="shared" si="87"/>
        <v>-9954</v>
      </c>
      <c r="DN64" s="76">
        <f t="shared" si="60"/>
        <v>13</v>
      </c>
      <c r="DO64" s="76">
        <f t="shared" si="72"/>
        <v>17</v>
      </c>
      <c r="DP64" s="112"/>
      <c r="DQ64" s="112"/>
      <c r="DR64" s="113" t="s">
        <v>547</v>
      </c>
      <c r="DS64" s="112"/>
      <c r="DT64" s="112"/>
      <c r="DU64" s="111"/>
      <c r="DV64" s="114"/>
      <c r="DW64" s="80">
        <f t="shared" si="110"/>
        <v>21</v>
      </c>
      <c r="DX64" s="81">
        <f t="shared" si="28"/>
        <v>-9933</v>
      </c>
      <c r="DY64" s="80">
        <f t="shared" si="62"/>
        <v>0</v>
      </c>
      <c r="DZ64" s="82">
        <f t="shared" si="63"/>
        <v>0</v>
      </c>
      <c r="EA64" s="82">
        <f t="shared" si="64"/>
        <v>0</v>
      </c>
      <c r="EB64" s="82">
        <f t="shared" si="65"/>
        <v>10.5</v>
      </c>
      <c r="EC64" s="82">
        <f t="shared" si="108"/>
        <v>10.5</v>
      </c>
      <c r="EF64" s="83">
        <f t="shared" si="107"/>
        <v>-9954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0"/>
        <v>TVA2011-T3-6x3-H9B14</v>
      </c>
      <c r="H65" s="46" t="str">
        <f t="shared" si="31"/>
        <v>A2011-T3TV60DH9</v>
      </c>
      <c r="I65" s="46" t="str">
        <f t="shared" si="32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3"/>
        <v>#DIV/0!</v>
      </c>
      <c r="T65" s="51">
        <f>'07.02'!BG65</f>
        <v>40</v>
      </c>
      <c r="U65" s="92"/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0</v>
      </c>
      <c r="AC65" s="93">
        <f t="shared" si="11"/>
        <v>0</v>
      </c>
      <c r="AD65" s="93">
        <f t="shared" si="12"/>
        <v>0</v>
      </c>
      <c r="AE65" s="93">
        <f t="shared" si="34"/>
        <v>0</v>
      </c>
      <c r="AF65" s="54">
        <f>AE65+'07.02'!AF65</f>
        <v>9679</v>
      </c>
      <c r="AG65" s="94">
        <f t="shared" si="66"/>
        <v>40</v>
      </c>
      <c r="AH65" s="56">
        <f t="shared" si="13"/>
        <v>0</v>
      </c>
      <c r="AI65" s="93"/>
      <c r="AJ65" s="93">
        <f t="shared" si="67"/>
        <v>0</v>
      </c>
      <c r="AK65" s="95">
        <f t="shared" si="35"/>
        <v>1</v>
      </c>
      <c r="AL65" s="58">
        <f t="shared" si="36"/>
        <v>0</v>
      </c>
      <c r="AM65" s="55">
        <f t="shared" si="68"/>
        <v>40</v>
      </c>
      <c r="AN65" s="93"/>
      <c r="AO65" s="96"/>
      <c r="AP65" s="96"/>
      <c r="AQ65" s="96"/>
      <c r="AR65" s="96"/>
      <c r="AS65" s="96"/>
      <c r="AT65" s="96">
        <f>$CJ65</f>
        <v>0</v>
      </c>
      <c r="AU65" s="96">
        <f t="shared" si="37"/>
        <v>0</v>
      </c>
      <c r="AV65" s="96">
        <f t="shared" si="37"/>
        <v>0</v>
      </c>
      <c r="AW65" s="96">
        <f t="shared" si="38"/>
        <v>0</v>
      </c>
      <c r="AX65" s="96">
        <f t="shared" si="39"/>
        <v>0</v>
      </c>
      <c r="AY65" s="94">
        <f t="shared" si="69"/>
        <v>0</v>
      </c>
      <c r="AZ65" s="94">
        <f t="shared" si="40"/>
        <v>0</v>
      </c>
      <c r="BA65" s="94">
        <f t="shared" si="41"/>
        <v>40</v>
      </c>
      <c r="BB65" s="97">
        <f t="shared" si="42"/>
        <v>0</v>
      </c>
      <c r="BC65" s="93"/>
      <c r="BD65" s="93">
        <f t="shared" si="43"/>
        <v>0</v>
      </c>
      <c r="BE65" s="95">
        <f t="shared" si="44"/>
        <v>1</v>
      </c>
      <c r="BF65" s="58">
        <f t="shared" si="45"/>
        <v>0</v>
      </c>
      <c r="BG65" s="94">
        <f t="shared" si="46"/>
        <v>40</v>
      </c>
      <c r="BH65" s="89"/>
      <c r="BI65" s="89"/>
      <c r="BJ65" s="92"/>
      <c r="BK65" s="89"/>
      <c r="BL65" s="89"/>
      <c r="BM65" s="89"/>
      <c r="BN65" s="92">
        <f>$CN65</f>
        <v>0</v>
      </c>
      <c r="BO65" s="92">
        <f t="shared" si="70"/>
        <v>0</v>
      </c>
      <c r="BP65" s="92">
        <f t="shared" si="70"/>
        <v>0</v>
      </c>
      <c r="BQ65" s="96">
        <f t="shared" si="47"/>
        <v>0</v>
      </c>
      <c r="BR65" s="96">
        <f t="shared" si="48"/>
        <v>0</v>
      </c>
      <c r="BS65" s="96">
        <f t="shared" si="71"/>
        <v>0</v>
      </c>
      <c r="BT65" s="96">
        <f t="shared" si="49"/>
        <v>0</v>
      </c>
      <c r="BU65" s="92">
        <f t="shared" si="16"/>
        <v>0</v>
      </c>
      <c r="BV65" s="98">
        <f t="shared" si="17"/>
        <v>0</v>
      </c>
      <c r="BW65" s="92">
        <f t="shared" si="18"/>
        <v>0</v>
      </c>
      <c r="BX65" s="98">
        <f t="shared" si="50"/>
        <v>0</v>
      </c>
      <c r="BY65" s="61">
        <f t="shared" si="74"/>
        <v>0</v>
      </c>
      <c r="BZ65" s="62">
        <f t="shared" si="51"/>
        <v>0</v>
      </c>
      <c r="CA65" s="98">
        <f t="shared" si="52"/>
        <v>0</v>
      </c>
      <c r="CB65" s="92">
        <f t="shared" si="98"/>
        <v>0</v>
      </c>
      <c r="CC65" s="92">
        <f t="shared" si="98"/>
        <v>0</v>
      </c>
      <c r="CD65" s="92">
        <f t="shared" si="98"/>
        <v>0</v>
      </c>
      <c r="CE65" s="99"/>
      <c r="CF65" s="99"/>
      <c r="CG65" s="51">
        <f t="shared" si="53"/>
        <v>0</v>
      </c>
      <c r="CH65" s="62">
        <f t="shared" si="54"/>
        <v>0</v>
      </c>
      <c r="CI65" s="89"/>
      <c r="CJ65" s="89"/>
      <c r="CK65" s="89"/>
      <c r="CL65" s="96"/>
      <c r="CM65" s="89"/>
      <c r="CN65" s="89"/>
      <c r="CO65" s="92"/>
      <c r="CP65" s="101"/>
      <c r="CQ65" s="102">
        <f t="shared" si="101"/>
        <v>0</v>
      </c>
      <c r="CR65" s="102">
        <f t="shared" si="101"/>
        <v>0</v>
      </c>
      <c r="CS65" s="102">
        <f t="shared" si="101"/>
        <v>0</v>
      </c>
      <c r="CT65" s="92">
        <f t="shared" si="56"/>
        <v>0</v>
      </c>
      <c r="CU65" s="92">
        <f t="shared" si="102"/>
        <v>0</v>
      </c>
      <c r="CV65" s="103">
        <f t="shared" si="102"/>
        <v>0</v>
      </c>
      <c r="CW65" s="104" t="s">
        <v>147</v>
      </c>
      <c r="CX65" s="105"/>
      <c r="CY65" s="106" t="e">
        <f t="shared" si="58"/>
        <v>#DIV/0!</v>
      </c>
      <c r="CZ65" s="106">
        <f t="shared" si="59"/>
        <v>0</v>
      </c>
      <c r="DA65" s="106"/>
      <c r="DB65" s="106"/>
      <c r="DC65" s="105"/>
      <c r="DD65" s="107"/>
      <c r="DE65" s="92">
        <f t="shared" si="21"/>
        <v>0</v>
      </c>
      <c r="DF65" s="108">
        <f t="shared" si="22"/>
        <v>0</v>
      </c>
      <c r="DG65" s="115">
        <f t="shared" si="23"/>
        <v>0</v>
      </c>
      <c r="DH65" s="110">
        <f t="shared" si="24"/>
        <v>0</v>
      </c>
      <c r="DI65" s="108">
        <f t="shared" si="25"/>
        <v>0</v>
      </c>
      <c r="DJ65" s="115">
        <f t="shared" si="26"/>
        <v>0</v>
      </c>
      <c r="DK65" s="110">
        <f t="shared" si="87"/>
        <v>0</v>
      </c>
      <c r="DL65" s="108">
        <f t="shared" si="87"/>
        <v>0</v>
      </c>
      <c r="DM65" s="111">
        <f t="shared" si="87"/>
        <v>0</v>
      </c>
      <c r="DN65" s="76">
        <f t="shared" si="60"/>
        <v>40</v>
      </c>
      <c r="DO65" s="76">
        <f t="shared" si="72"/>
        <v>0</v>
      </c>
      <c r="DP65" s="112"/>
      <c r="DQ65" s="112"/>
      <c r="DR65" s="113" t="s">
        <v>548</v>
      </c>
      <c r="DS65" s="112"/>
      <c r="DT65" s="112"/>
      <c r="DU65" s="111"/>
      <c r="DV65" s="114"/>
      <c r="DW65" s="80">
        <f t="shared" si="110"/>
        <v>0</v>
      </c>
      <c r="DX65" s="81">
        <f t="shared" si="28"/>
        <v>0</v>
      </c>
      <c r="DY65" s="80">
        <f t="shared" si="62"/>
        <v>0</v>
      </c>
      <c r="DZ65" s="82">
        <f t="shared" si="63"/>
        <v>0</v>
      </c>
      <c r="EA65" s="82">
        <f t="shared" si="64"/>
        <v>0</v>
      </c>
      <c r="EB65" s="82">
        <f t="shared" si="65"/>
        <v>0</v>
      </c>
      <c r="EC65" s="82">
        <f t="shared" si="108"/>
        <v>0</v>
      </c>
      <c r="EF65" s="83">
        <f t="shared" si="107"/>
        <v>0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0"/>
        <v>GAA5052-5.7x3-H9A14</v>
      </c>
      <c r="H66" s="46" t="str">
        <f t="shared" si="31"/>
        <v>A5052GA5.70DH9</v>
      </c>
      <c r="I66" s="46" t="str">
        <f t="shared" si="32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3"/>
        <v>52</v>
      </c>
      <c r="T66" s="51">
        <f>'07.02'!BG66</f>
        <v>25</v>
      </c>
      <c r="U66" s="92"/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0</v>
      </c>
      <c r="AC66" s="93">
        <f t="shared" si="11"/>
        <v>0</v>
      </c>
      <c r="AD66" s="93">
        <f t="shared" si="12"/>
        <v>0</v>
      </c>
      <c r="AE66" s="93">
        <f t="shared" si="34"/>
        <v>0</v>
      </c>
      <c r="AF66" s="54">
        <f>AE66+'07.02'!AF66</f>
        <v>20911</v>
      </c>
      <c r="AG66" s="94">
        <f t="shared" si="66"/>
        <v>25</v>
      </c>
      <c r="AH66" s="56">
        <f t="shared" si="13"/>
        <v>0</v>
      </c>
      <c r="AI66" s="93">
        <v>6</v>
      </c>
      <c r="AJ66" s="93">
        <f t="shared" si="67"/>
        <v>0</v>
      </c>
      <c r="AK66" s="95">
        <f t="shared" si="35"/>
        <v>1</v>
      </c>
      <c r="AL66" s="58">
        <f t="shared" si="36"/>
        <v>6</v>
      </c>
      <c r="AM66" s="55">
        <f t="shared" si="68"/>
        <v>19</v>
      </c>
      <c r="AN66" s="93"/>
      <c r="AO66" s="96"/>
      <c r="AP66" s="96"/>
      <c r="AQ66" s="96"/>
      <c r="AR66" s="96"/>
      <c r="AS66" s="96"/>
      <c r="AT66" s="96">
        <f>$CJ66</f>
        <v>0</v>
      </c>
      <c r="AU66" s="96">
        <f t="shared" si="37"/>
        <v>0</v>
      </c>
      <c r="AV66" s="96">
        <f t="shared" si="37"/>
        <v>0</v>
      </c>
      <c r="AW66" s="96">
        <f t="shared" si="38"/>
        <v>0</v>
      </c>
      <c r="AX66" s="96">
        <f t="shared" si="39"/>
        <v>0</v>
      </c>
      <c r="AY66" s="94">
        <f t="shared" si="69"/>
        <v>-216</v>
      </c>
      <c r="AZ66" s="94">
        <f t="shared" si="40"/>
        <v>-1440</v>
      </c>
      <c r="BA66" s="94">
        <f t="shared" si="41"/>
        <v>19</v>
      </c>
      <c r="BB66" s="97">
        <f t="shared" si="42"/>
        <v>0</v>
      </c>
      <c r="BC66" s="93">
        <v>6</v>
      </c>
      <c r="BD66" s="93">
        <f t="shared" si="43"/>
        <v>0</v>
      </c>
      <c r="BE66" s="95">
        <f t="shared" si="44"/>
        <v>1</v>
      </c>
      <c r="BF66" s="58">
        <f t="shared" si="45"/>
        <v>6</v>
      </c>
      <c r="BG66" s="94">
        <f t="shared" si="46"/>
        <v>13</v>
      </c>
      <c r="BH66" s="89"/>
      <c r="BI66" s="89"/>
      <c r="BJ66" s="89"/>
      <c r="BK66" s="92"/>
      <c r="BL66" s="89"/>
      <c r="BM66" s="92"/>
      <c r="BN66" s="92">
        <f>$CN66</f>
        <v>0</v>
      </c>
      <c r="BO66" s="92">
        <f t="shared" si="70"/>
        <v>0</v>
      </c>
      <c r="BP66" s="92">
        <f t="shared" si="70"/>
        <v>0</v>
      </c>
      <c r="BQ66" s="96">
        <f t="shared" si="47"/>
        <v>0</v>
      </c>
      <c r="BR66" s="96">
        <f t="shared" si="48"/>
        <v>0</v>
      </c>
      <c r="BS66" s="96">
        <f t="shared" si="71"/>
        <v>-216</v>
      </c>
      <c r="BT66" s="96">
        <f t="shared" si="49"/>
        <v>-1440</v>
      </c>
      <c r="BU66" s="92">
        <f t="shared" si="16"/>
        <v>0</v>
      </c>
      <c r="BV66" s="98">
        <f t="shared" si="17"/>
        <v>12</v>
      </c>
      <c r="BW66" s="92">
        <f t="shared" si="18"/>
        <v>-2880</v>
      </c>
      <c r="BX66" s="98">
        <f t="shared" si="50"/>
        <v>2.448</v>
      </c>
      <c r="BY66" s="61">
        <f t="shared" si="74"/>
        <v>12</v>
      </c>
      <c r="BZ66" s="62">
        <f t="shared" si="51"/>
        <v>12</v>
      </c>
      <c r="CA66" s="98">
        <f t="shared" si="52"/>
        <v>0</v>
      </c>
      <c r="CB66" s="92">
        <f t="shared" si="98"/>
        <v>0</v>
      </c>
      <c r="CC66" s="92">
        <f t="shared" si="98"/>
        <v>-432</v>
      </c>
      <c r="CD66" s="92">
        <f t="shared" si="98"/>
        <v>-2880</v>
      </c>
      <c r="CE66" s="99" t="s">
        <v>2</v>
      </c>
      <c r="CF66" s="99"/>
      <c r="CG66" s="51">
        <f t="shared" si="53"/>
        <v>2.448</v>
      </c>
      <c r="CH66" s="62">
        <f t="shared" si="54"/>
        <v>2.448</v>
      </c>
      <c r="CI66" s="89"/>
      <c r="CJ66" s="89"/>
      <c r="CK66" s="89"/>
      <c r="CL66" s="96"/>
      <c r="CM66" s="89"/>
      <c r="CN66" s="89"/>
      <c r="CO66" s="92"/>
      <c r="CP66" s="101"/>
      <c r="CQ66" s="102">
        <f t="shared" si="101"/>
        <v>0</v>
      </c>
      <c r="CR66" s="102">
        <f t="shared" si="101"/>
        <v>0</v>
      </c>
      <c r="CS66" s="102">
        <f t="shared" si="101"/>
        <v>0</v>
      </c>
      <c r="CT66" s="92">
        <f t="shared" si="56"/>
        <v>0</v>
      </c>
      <c r="CU66" s="92">
        <f t="shared" si="102"/>
        <v>0</v>
      </c>
      <c r="CV66" s="103">
        <f t="shared" si="102"/>
        <v>0</v>
      </c>
      <c r="CW66" s="104" t="s">
        <v>147</v>
      </c>
      <c r="CX66" s="105">
        <v>6</v>
      </c>
      <c r="CY66" s="106">
        <f t="shared" si="58"/>
        <v>6300</v>
      </c>
      <c r="CZ66" s="106">
        <f t="shared" si="59"/>
        <v>24.3</v>
      </c>
      <c r="DA66" s="106"/>
      <c r="DB66" s="106"/>
      <c r="DC66" s="105"/>
      <c r="DD66" s="107"/>
      <c r="DE66" s="92">
        <f t="shared" si="21"/>
        <v>0</v>
      </c>
      <c r="DF66" s="108">
        <f t="shared" si="22"/>
        <v>6</v>
      </c>
      <c r="DG66" s="115">
        <f t="shared" si="23"/>
        <v>-1440</v>
      </c>
      <c r="DH66" s="110">
        <f t="shared" si="24"/>
        <v>0</v>
      </c>
      <c r="DI66" s="108">
        <f t="shared" si="25"/>
        <v>6</v>
      </c>
      <c r="DJ66" s="112">
        <f t="shared" si="26"/>
        <v>-1440</v>
      </c>
      <c r="DK66" s="110">
        <f t="shared" si="87"/>
        <v>0</v>
      </c>
      <c r="DL66" s="108">
        <f t="shared" si="87"/>
        <v>12</v>
      </c>
      <c r="DM66" s="111">
        <f t="shared" si="87"/>
        <v>-2880</v>
      </c>
      <c r="DN66" s="76">
        <f t="shared" si="60"/>
        <v>25</v>
      </c>
      <c r="DO66" s="76">
        <f t="shared" si="72"/>
        <v>0</v>
      </c>
      <c r="DP66" s="112"/>
      <c r="DQ66" s="112"/>
      <c r="DR66" s="113" t="s">
        <v>549</v>
      </c>
      <c r="DS66" s="112"/>
      <c r="DT66" s="112"/>
      <c r="DU66" s="111"/>
      <c r="DV66" s="114"/>
      <c r="DW66" s="80">
        <f t="shared" si="61"/>
        <v>12</v>
      </c>
      <c r="DX66" s="81">
        <f t="shared" si="28"/>
        <v>-2868</v>
      </c>
      <c r="DY66" s="80">
        <f t="shared" si="62"/>
        <v>0</v>
      </c>
      <c r="DZ66" s="82">
        <f t="shared" si="63"/>
        <v>0</v>
      </c>
      <c r="EA66" s="82">
        <f t="shared" si="64"/>
        <v>0</v>
      </c>
      <c r="EB66" s="82">
        <f t="shared" si="65"/>
        <v>2.448</v>
      </c>
      <c r="EC66" s="82">
        <f t="shared" si="76"/>
        <v>2.448</v>
      </c>
      <c r="EF66" s="83">
        <f t="shared" si="107"/>
        <v>-2880</v>
      </c>
    </row>
    <row r="67" spans="1:136" ht="14.1" hidden="1" customHeight="1">
      <c r="A67" s="84">
        <v>60</v>
      </c>
      <c r="B67" s="147" t="s">
        <v>309</v>
      </c>
      <c r="C67" s="148"/>
      <c r="D67" s="172" t="s">
        <v>310</v>
      </c>
      <c r="E67" s="149">
        <v>175</v>
      </c>
      <c r="F67" s="150" t="s">
        <v>147</v>
      </c>
      <c r="G67" s="45" t="str">
        <f t="shared" si="30"/>
        <v>IBC3604-H7x3-H11C14</v>
      </c>
      <c r="H67" s="46" t="str">
        <f t="shared" si="31"/>
        <v>C3604IB70HH11</v>
      </c>
      <c r="I67" s="46" t="str">
        <f t="shared" si="32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3"/>
        <v>30</v>
      </c>
      <c r="T67" s="51">
        <v>0</v>
      </c>
      <c r="U67" s="146"/>
      <c r="V67" s="100">
        <v>2.44</v>
      </c>
      <c r="W67" s="151">
        <f t="shared" si="5"/>
        <v>0</v>
      </c>
      <c r="X67" s="151">
        <f t="shared" si="6"/>
        <v>0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4"/>
        <v>0</v>
      </c>
      <c r="AF67" s="54">
        <f>AE67+'07.02'!AF67</f>
        <v>103</v>
      </c>
      <c r="AG67" s="94">
        <f t="shared" si="66"/>
        <v>0</v>
      </c>
      <c r="AH67" s="56">
        <f t="shared" si="13"/>
        <v>0</v>
      </c>
      <c r="AI67" s="151"/>
      <c r="AJ67" s="93">
        <f t="shared" si="67"/>
        <v>0</v>
      </c>
      <c r="AK67" s="95">
        <f t="shared" si="35"/>
        <v>1</v>
      </c>
      <c r="AL67" s="58">
        <f t="shared" si="36"/>
        <v>0</v>
      </c>
      <c r="AM67" s="55">
        <f t="shared" si="68"/>
        <v>0</v>
      </c>
      <c r="AN67" s="151"/>
      <c r="AO67" s="145"/>
      <c r="AP67" s="145">
        <f>$CJ67</f>
        <v>0</v>
      </c>
      <c r="AQ67" s="145"/>
      <c r="AR67" s="145"/>
      <c r="AS67" s="145"/>
      <c r="AT67" s="145"/>
      <c r="AU67" s="145">
        <f t="shared" si="37"/>
        <v>0</v>
      </c>
      <c r="AV67" s="145">
        <f t="shared" si="37"/>
        <v>0</v>
      </c>
      <c r="AW67" s="145">
        <f t="shared" si="38"/>
        <v>0</v>
      </c>
      <c r="AX67" s="145">
        <f t="shared" si="39"/>
        <v>0</v>
      </c>
      <c r="AY67" s="94">
        <f t="shared" si="69"/>
        <v>0</v>
      </c>
      <c r="AZ67" s="94">
        <f t="shared" si="40"/>
        <v>0</v>
      </c>
      <c r="BA67" s="94">
        <f t="shared" si="41"/>
        <v>0</v>
      </c>
      <c r="BB67" s="97">
        <f t="shared" si="42"/>
        <v>0</v>
      </c>
      <c r="BC67" s="151"/>
      <c r="BD67" s="93">
        <f t="shared" si="43"/>
        <v>0</v>
      </c>
      <c r="BE67" s="152">
        <f t="shared" si="44"/>
        <v>1</v>
      </c>
      <c r="BF67" s="58">
        <f t="shared" si="45"/>
        <v>0</v>
      </c>
      <c r="BG67" s="94">
        <f t="shared" si="46"/>
        <v>0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0"/>
        <v>0</v>
      </c>
      <c r="BP67" s="146">
        <f t="shared" si="70"/>
        <v>0</v>
      </c>
      <c r="BQ67" s="145">
        <f t="shared" si="47"/>
        <v>0</v>
      </c>
      <c r="BR67" s="145">
        <f t="shared" si="48"/>
        <v>0</v>
      </c>
      <c r="BS67" s="96">
        <f t="shared" si="71"/>
        <v>0</v>
      </c>
      <c r="BT67" s="145">
        <f t="shared" si="49"/>
        <v>0</v>
      </c>
      <c r="BU67" s="146">
        <f t="shared" si="16"/>
        <v>0</v>
      </c>
      <c r="BV67" s="153">
        <f t="shared" si="17"/>
        <v>0</v>
      </c>
      <c r="BW67" s="146">
        <f t="shared" si="18"/>
        <v>0</v>
      </c>
      <c r="BX67" s="153">
        <f t="shared" si="50"/>
        <v>0</v>
      </c>
      <c r="BY67" s="61">
        <f t="shared" si="74"/>
        <v>0</v>
      </c>
      <c r="BZ67" s="62">
        <f t="shared" si="51"/>
        <v>0</v>
      </c>
      <c r="CA67" s="153">
        <f t="shared" si="52"/>
        <v>0</v>
      </c>
      <c r="CB67" s="146">
        <f t="shared" si="98"/>
        <v>0</v>
      </c>
      <c r="CC67" s="146">
        <f t="shared" si="98"/>
        <v>0</v>
      </c>
      <c r="CD67" s="146">
        <f t="shared" si="98"/>
        <v>0</v>
      </c>
      <c r="CE67" s="150"/>
      <c r="CF67" s="150"/>
      <c r="CG67" s="51">
        <f t="shared" si="53"/>
        <v>0</v>
      </c>
      <c r="CH67" s="62">
        <f t="shared" si="54"/>
        <v>0</v>
      </c>
      <c r="CI67" s="150"/>
      <c r="CJ67" s="150"/>
      <c r="CK67" s="150"/>
      <c r="CL67" s="145"/>
      <c r="CM67" s="150"/>
      <c r="CN67" s="150"/>
      <c r="CO67" s="146"/>
      <c r="CP67" s="154"/>
      <c r="CQ67" s="102">
        <f t="shared" si="101"/>
        <v>0</v>
      </c>
      <c r="CR67" s="102">
        <f t="shared" si="101"/>
        <v>0</v>
      </c>
      <c r="CS67" s="102">
        <f t="shared" si="101"/>
        <v>0</v>
      </c>
      <c r="CT67" s="92">
        <f t="shared" si="56"/>
        <v>0</v>
      </c>
      <c r="CU67" s="92">
        <f t="shared" si="102"/>
        <v>0</v>
      </c>
      <c r="CV67" s="103">
        <f t="shared" si="102"/>
        <v>0</v>
      </c>
      <c r="CW67" s="155" t="s">
        <v>147</v>
      </c>
      <c r="CX67" s="156">
        <v>15</v>
      </c>
      <c r="CY67" s="157">
        <f t="shared" si="58"/>
        <v>2676</v>
      </c>
      <c r="CZ67" s="157">
        <f t="shared" si="59"/>
        <v>60.750000000000007</v>
      </c>
      <c r="DA67" s="157"/>
      <c r="DB67" s="157"/>
      <c r="DC67" s="156"/>
      <c r="DD67" s="158"/>
      <c r="DE67" s="92">
        <f t="shared" si="21"/>
        <v>0</v>
      </c>
      <c r="DF67" s="108">
        <f t="shared" si="22"/>
        <v>0</v>
      </c>
      <c r="DG67" s="115">
        <f t="shared" si="23"/>
        <v>0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7"/>
        <v>0</v>
      </c>
      <c r="DL67" s="108">
        <f t="shared" si="87"/>
        <v>0</v>
      </c>
      <c r="DM67" s="111">
        <f t="shared" si="87"/>
        <v>0</v>
      </c>
      <c r="DN67" s="76">
        <f t="shared" si="60"/>
        <v>0</v>
      </c>
      <c r="DO67" s="76">
        <f t="shared" si="72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11">IFERROR(AL67+BF67,"")</f>
        <v>0</v>
      </c>
      <c r="DX67" s="159">
        <f t="shared" si="28"/>
        <v>0</v>
      </c>
      <c r="DY67" s="80">
        <f t="shared" si="62"/>
        <v>0</v>
      </c>
      <c r="DZ67" s="82">
        <f t="shared" si="63"/>
        <v>0</v>
      </c>
      <c r="EA67" s="82">
        <f t="shared" si="64"/>
        <v>0</v>
      </c>
      <c r="EB67" s="82">
        <f t="shared" si="65"/>
        <v>0</v>
      </c>
      <c r="EC67" s="82">
        <f>(BX67-CA67)+((AV67+BP67)/1000)</f>
        <v>0</v>
      </c>
      <c r="EF67" s="83">
        <f t="shared" si="107"/>
        <v>0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0"/>
        <v>TVA2011-T3-6.35x3-H9A14</v>
      </c>
      <c r="H68" s="46" t="str">
        <f t="shared" si="31"/>
        <v>A2011-T3TV6.350DH9</v>
      </c>
      <c r="I68" s="46" t="str">
        <f t="shared" si="32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3"/>
        <v>8</v>
      </c>
      <c r="T68" s="51">
        <f>'07.02'!BG68</f>
        <v>8</v>
      </c>
      <c r="U68" s="92">
        <v>22</v>
      </c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0</v>
      </c>
      <c r="AC68" s="93">
        <f t="shared" si="11"/>
        <v>0</v>
      </c>
      <c r="AD68" s="93">
        <f t="shared" si="12"/>
        <v>0</v>
      </c>
      <c r="AE68" s="93">
        <f t="shared" si="34"/>
        <v>0</v>
      </c>
      <c r="AF68" s="54">
        <f>AE68+'07.02'!AF68</f>
        <v>76685</v>
      </c>
      <c r="AG68" s="94">
        <f t="shared" si="66"/>
        <v>8</v>
      </c>
      <c r="AH68" s="56">
        <f t="shared" si="13"/>
        <v>0</v>
      </c>
      <c r="AI68" s="93">
        <v>12</v>
      </c>
      <c r="AJ68" s="93">
        <f t="shared" si="67"/>
        <v>0</v>
      </c>
      <c r="AK68" s="95">
        <f t="shared" si="35"/>
        <v>1</v>
      </c>
      <c r="AL68" s="58">
        <f t="shared" si="36"/>
        <v>12</v>
      </c>
      <c r="AM68" s="55">
        <f t="shared" si="68"/>
        <v>18</v>
      </c>
      <c r="AN68" s="93"/>
      <c r="AO68" s="96"/>
      <c r="AP68" s="96"/>
      <c r="AQ68" s="96"/>
      <c r="AR68" s="96"/>
      <c r="AS68" s="96"/>
      <c r="AT68" s="96">
        <f t="shared" ref="AT68:AT73" si="112">$CJ68</f>
        <v>0</v>
      </c>
      <c r="AU68" s="96">
        <f t="shared" si="37"/>
        <v>0</v>
      </c>
      <c r="AV68" s="96">
        <f t="shared" si="37"/>
        <v>0</v>
      </c>
      <c r="AW68" s="96">
        <f t="shared" si="38"/>
        <v>0</v>
      </c>
      <c r="AX68" s="96">
        <f t="shared" si="39"/>
        <v>0</v>
      </c>
      <c r="AY68" s="94">
        <f t="shared" si="69"/>
        <v>-2085.0480000000002</v>
      </c>
      <c r="AZ68" s="94">
        <f t="shared" si="40"/>
        <v>-5292</v>
      </c>
      <c r="BA68" s="94">
        <f t="shared" si="41"/>
        <v>18</v>
      </c>
      <c r="BB68" s="97">
        <f t="shared" si="42"/>
        <v>0</v>
      </c>
      <c r="BC68" s="93">
        <v>13</v>
      </c>
      <c r="BD68" s="93">
        <f t="shared" si="43"/>
        <v>0</v>
      </c>
      <c r="BE68" s="95">
        <f t="shared" si="44"/>
        <v>1</v>
      </c>
      <c r="BF68" s="58">
        <f t="shared" si="45"/>
        <v>13</v>
      </c>
      <c r="BG68" s="94">
        <f t="shared" si="46"/>
        <v>5</v>
      </c>
      <c r="BH68" s="89"/>
      <c r="BI68" s="89"/>
      <c r="BJ68" s="92"/>
      <c r="BK68" s="89"/>
      <c r="BL68" s="89"/>
      <c r="BM68" s="89"/>
      <c r="BN68" s="92">
        <f t="shared" ref="BN68:BN73" si="113">$CN68</f>
        <v>0</v>
      </c>
      <c r="BO68" s="92">
        <f t="shared" si="70"/>
        <v>0</v>
      </c>
      <c r="BP68" s="92">
        <f t="shared" si="70"/>
        <v>0</v>
      </c>
      <c r="BQ68" s="96">
        <f t="shared" si="47"/>
        <v>0</v>
      </c>
      <c r="BR68" s="96">
        <f t="shared" si="48"/>
        <v>0</v>
      </c>
      <c r="BS68" s="96">
        <f t="shared" si="71"/>
        <v>-2258.8020000000001</v>
      </c>
      <c r="BT68" s="96">
        <f t="shared" si="49"/>
        <v>-5733</v>
      </c>
      <c r="BU68" s="92">
        <f t="shared" si="16"/>
        <v>0</v>
      </c>
      <c r="BV68" s="98">
        <f t="shared" si="17"/>
        <v>25</v>
      </c>
      <c r="BW68" s="92">
        <f t="shared" si="18"/>
        <v>-11025</v>
      </c>
      <c r="BX68" s="98">
        <f t="shared" si="50"/>
        <v>6.5</v>
      </c>
      <c r="BY68" s="61">
        <f t="shared" si="74"/>
        <v>25</v>
      </c>
      <c r="BZ68" s="62">
        <f t="shared" si="51"/>
        <v>25</v>
      </c>
      <c r="CA68" s="98">
        <f t="shared" si="52"/>
        <v>0</v>
      </c>
      <c r="CB68" s="92">
        <f t="shared" si="98"/>
        <v>0</v>
      </c>
      <c r="CC68" s="92">
        <f t="shared" si="98"/>
        <v>-4343.8500000000004</v>
      </c>
      <c r="CD68" s="92">
        <f t="shared" si="98"/>
        <v>-11025</v>
      </c>
      <c r="CE68" s="99"/>
      <c r="CF68" s="99"/>
      <c r="CG68" s="51">
        <f t="shared" si="53"/>
        <v>6.5</v>
      </c>
      <c r="CH68" s="62">
        <f t="shared" si="54"/>
        <v>6.5</v>
      </c>
      <c r="CI68" s="89"/>
      <c r="CJ68" s="89"/>
      <c r="CK68" s="89"/>
      <c r="CL68" s="96"/>
      <c r="CM68" s="89"/>
      <c r="CN68" s="89"/>
      <c r="CO68" s="92"/>
      <c r="CP68" s="101"/>
      <c r="CQ68" s="102">
        <f t="shared" si="101"/>
        <v>0</v>
      </c>
      <c r="CR68" s="102">
        <f t="shared" si="101"/>
        <v>0</v>
      </c>
      <c r="CS68" s="102">
        <f t="shared" si="101"/>
        <v>0</v>
      </c>
      <c r="CT68" s="92">
        <f t="shared" si="56"/>
        <v>0</v>
      </c>
      <c r="CU68" s="92">
        <f t="shared" si="102"/>
        <v>0</v>
      </c>
      <c r="CV68" s="103">
        <f t="shared" si="102"/>
        <v>0</v>
      </c>
      <c r="CW68" s="104" t="s">
        <v>147</v>
      </c>
      <c r="CX68" s="105">
        <v>23.98</v>
      </c>
      <c r="CY68" s="106">
        <f t="shared" si="58"/>
        <v>1763</v>
      </c>
      <c r="CZ68" s="106">
        <f t="shared" si="59"/>
        <v>97.119</v>
      </c>
      <c r="DA68" s="106"/>
      <c r="DB68" s="106"/>
      <c r="DC68" s="105"/>
      <c r="DD68" s="107"/>
      <c r="DE68" s="92">
        <f t="shared" si="21"/>
        <v>0</v>
      </c>
      <c r="DF68" s="108">
        <f t="shared" si="22"/>
        <v>12</v>
      </c>
      <c r="DG68" s="115">
        <f t="shared" si="23"/>
        <v>-5292</v>
      </c>
      <c r="DH68" s="110">
        <f t="shared" si="24"/>
        <v>0</v>
      </c>
      <c r="DI68" s="108">
        <f t="shared" si="25"/>
        <v>13</v>
      </c>
      <c r="DJ68" s="115">
        <f t="shared" si="26"/>
        <v>-5733</v>
      </c>
      <c r="DK68" s="110">
        <f t="shared" si="87"/>
        <v>0</v>
      </c>
      <c r="DL68" s="108">
        <f t="shared" si="87"/>
        <v>25</v>
      </c>
      <c r="DM68" s="111">
        <f t="shared" si="87"/>
        <v>-11025</v>
      </c>
      <c r="DN68" s="76">
        <f t="shared" si="60"/>
        <v>8</v>
      </c>
      <c r="DO68" s="76">
        <f t="shared" si="72"/>
        <v>22</v>
      </c>
      <c r="DP68" s="112"/>
      <c r="DQ68" s="112"/>
      <c r="DR68" s="113" t="s">
        <v>550</v>
      </c>
      <c r="DS68" s="112"/>
      <c r="DT68" s="112"/>
      <c r="DU68" s="111"/>
      <c r="DV68" s="114"/>
      <c r="DW68" s="80">
        <f t="shared" si="111"/>
        <v>25</v>
      </c>
      <c r="DX68" s="81">
        <f t="shared" si="28"/>
        <v>-11000</v>
      </c>
      <c r="DY68" s="80">
        <f t="shared" si="62"/>
        <v>0</v>
      </c>
      <c r="DZ68" s="82">
        <f t="shared" si="63"/>
        <v>0</v>
      </c>
      <c r="EA68" s="82">
        <f t="shared" si="64"/>
        <v>0</v>
      </c>
      <c r="EB68" s="82">
        <f t="shared" si="65"/>
        <v>6.5</v>
      </c>
      <c r="EC68" s="82">
        <f t="shared" si="76"/>
        <v>6.5</v>
      </c>
      <c r="EF68" s="83">
        <f t="shared" si="107"/>
        <v>-11025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0"/>
        <v>GAA5052-5.7x3-H9A14</v>
      </c>
      <c r="H69" s="46" t="str">
        <f t="shared" si="31"/>
        <v>A5052GA5.70DH9</v>
      </c>
      <c r="I69" s="46" t="str">
        <f t="shared" si="32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3"/>
        <v>20</v>
      </c>
      <c r="T69" s="51">
        <f>'07.02'!BG69</f>
        <v>32.36</v>
      </c>
      <c r="U69" s="92"/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0</v>
      </c>
      <c r="AC69" s="93">
        <f t="shared" si="11"/>
        <v>0</v>
      </c>
      <c r="AD69" s="93">
        <f t="shared" si="12"/>
        <v>0</v>
      </c>
      <c r="AE69" s="93">
        <f t="shared" si="34"/>
        <v>0</v>
      </c>
      <c r="AF69" s="54">
        <f>AE69+'07.02'!AF69</f>
        <v>18804</v>
      </c>
      <c r="AG69" s="94">
        <f t="shared" si="66"/>
        <v>32.36</v>
      </c>
      <c r="AH69" s="56">
        <f t="shared" si="13"/>
        <v>0.36</v>
      </c>
      <c r="AI69" s="93">
        <v>6</v>
      </c>
      <c r="AJ69" s="93">
        <f t="shared" si="67"/>
        <v>0</v>
      </c>
      <c r="AK69" s="95">
        <f t="shared" si="35"/>
        <v>1</v>
      </c>
      <c r="AL69" s="58">
        <f t="shared" si="36"/>
        <v>6.36</v>
      </c>
      <c r="AM69" s="55">
        <f t="shared" si="68"/>
        <v>26</v>
      </c>
      <c r="AN69" s="93"/>
      <c r="AO69" s="96"/>
      <c r="AP69" s="96"/>
      <c r="AQ69" s="96"/>
      <c r="AR69" s="96"/>
      <c r="AS69" s="96"/>
      <c r="AT69" s="96">
        <f t="shared" si="112"/>
        <v>0</v>
      </c>
      <c r="AU69" s="96">
        <f t="shared" si="37"/>
        <v>0</v>
      </c>
      <c r="AV69" s="96">
        <f t="shared" si="37"/>
        <v>0</v>
      </c>
      <c r="AW69" s="96">
        <f t="shared" si="38"/>
        <v>0</v>
      </c>
      <c r="AX69" s="96">
        <f t="shared" si="39"/>
        <v>0</v>
      </c>
      <c r="AY69" s="94">
        <f t="shared" si="69"/>
        <v>-228.96</v>
      </c>
      <c r="AZ69" s="94">
        <f t="shared" si="40"/>
        <v>-1526.4</v>
      </c>
      <c r="BA69" s="94">
        <f t="shared" si="41"/>
        <v>26</v>
      </c>
      <c r="BB69" s="97">
        <f t="shared" si="42"/>
        <v>0</v>
      </c>
      <c r="BC69" s="93">
        <v>7</v>
      </c>
      <c r="BD69" s="93">
        <f t="shared" si="43"/>
        <v>0</v>
      </c>
      <c r="BE69" s="95">
        <f t="shared" si="44"/>
        <v>1</v>
      </c>
      <c r="BF69" s="58">
        <f t="shared" si="45"/>
        <v>7</v>
      </c>
      <c r="BG69" s="94">
        <f t="shared" si="46"/>
        <v>19</v>
      </c>
      <c r="BH69" s="89"/>
      <c r="BI69" s="89"/>
      <c r="BJ69" s="89"/>
      <c r="BK69" s="89"/>
      <c r="BL69" s="89"/>
      <c r="BM69" s="89"/>
      <c r="BN69" s="92">
        <f t="shared" si="113"/>
        <v>0</v>
      </c>
      <c r="BO69" s="92">
        <f t="shared" si="70"/>
        <v>0</v>
      </c>
      <c r="BP69" s="92">
        <f t="shared" si="70"/>
        <v>0</v>
      </c>
      <c r="BQ69" s="96">
        <f t="shared" si="47"/>
        <v>0</v>
      </c>
      <c r="BR69" s="96">
        <f t="shared" si="48"/>
        <v>0</v>
      </c>
      <c r="BS69" s="96">
        <f t="shared" si="71"/>
        <v>-252</v>
      </c>
      <c r="BT69" s="96">
        <f>IF($V69="","",BS69/$V69)</f>
        <v>-1680</v>
      </c>
      <c r="BU69" s="92">
        <f t="shared" si="16"/>
        <v>0</v>
      </c>
      <c r="BV69" s="98">
        <f t="shared" si="17"/>
        <v>13.36</v>
      </c>
      <c r="BW69" s="92">
        <f t="shared" si="18"/>
        <v>-3206.4</v>
      </c>
      <c r="BX69" s="98">
        <f t="shared" si="50"/>
        <v>2.7254399999999999</v>
      </c>
      <c r="BY69" s="61">
        <f t="shared" si="74"/>
        <v>13.36</v>
      </c>
      <c r="BZ69" s="62">
        <f t="shared" si="51"/>
        <v>13.36</v>
      </c>
      <c r="CA69" s="98">
        <f t="shared" si="52"/>
        <v>0</v>
      </c>
      <c r="CB69" s="92">
        <f t="shared" si="98"/>
        <v>0</v>
      </c>
      <c r="CC69" s="92">
        <f t="shared" si="98"/>
        <v>-480.96000000000004</v>
      </c>
      <c r="CD69" s="92">
        <f t="shared" si="98"/>
        <v>-3206.4</v>
      </c>
      <c r="CE69" s="99"/>
      <c r="CF69" s="99"/>
      <c r="CG69" s="51">
        <f t="shared" si="53"/>
        <v>2.7254399999999999</v>
      </c>
      <c r="CH69" s="62">
        <f t="shared" si="54"/>
        <v>2.7254399999999999</v>
      </c>
      <c r="CI69" s="89"/>
      <c r="CJ69" s="89"/>
      <c r="CK69" s="89"/>
      <c r="CL69" s="96"/>
      <c r="CM69" s="89"/>
      <c r="CN69" s="89"/>
      <c r="CO69" s="92"/>
      <c r="CP69" s="101"/>
      <c r="CQ69" s="102">
        <f t="shared" si="101"/>
        <v>0</v>
      </c>
      <c r="CR69" s="102">
        <f t="shared" si="101"/>
        <v>0</v>
      </c>
      <c r="CS69" s="102">
        <f t="shared" si="101"/>
        <v>0</v>
      </c>
      <c r="CT69" s="92">
        <f t="shared" si="56"/>
        <v>0</v>
      </c>
      <c r="CU69" s="92">
        <f t="shared" si="102"/>
        <v>0</v>
      </c>
      <c r="CV69" s="103">
        <f t="shared" si="102"/>
        <v>0</v>
      </c>
      <c r="CW69" s="104" t="s">
        <v>147</v>
      </c>
      <c r="CX69" s="105">
        <v>16.8</v>
      </c>
      <c r="CY69" s="106">
        <f t="shared" si="58"/>
        <v>2453</v>
      </c>
      <c r="CZ69" s="106">
        <f t="shared" si="59"/>
        <v>68.040000000000006</v>
      </c>
      <c r="DA69" s="106"/>
      <c r="DB69" s="106"/>
      <c r="DC69" s="105"/>
      <c r="DD69" s="107"/>
      <c r="DE69" s="92">
        <f t="shared" si="21"/>
        <v>0</v>
      </c>
      <c r="DF69" s="108">
        <f t="shared" si="22"/>
        <v>6.36</v>
      </c>
      <c r="DG69" s="115">
        <f t="shared" si="23"/>
        <v>-1526.4</v>
      </c>
      <c r="DH69" s="110">
        <f t="shared" si="24"/>
        <v>0</v>
      </c>
      <c r="DI69" s="108">
        <f t="shared" si="25"/>
        <v>7</v>
      </c>
      <c r="DJ69" s="112">
        <f t="shared" si="26"/>
        <v>-1680</v>
      </c>
      <c r="DK69" s="110">
        <f t="shared" si="87"/>
        <v>0</v>
      </c>
      <c r="DL69" s="108">
        <f t="shared" si="87"/>
        <v>13.36</v>
      </c>
      <c r="DM69" s="111">
        <f t="shared" si="87"/>
        <v>-3206.4</v>
      </c>
      <c r="DN69" s="76">
        <v>33</v>
      </c>
      <c r="DO69" s="76">
        <f t="shared" si="72"/>
        <v>0</v>
      </c>
      <c r="DP69" s="112"/>
      <c r="DQ69" s="112"/>
      <c r="DR69" s="113" t="s">
        <v>551</v>
      </c>
      <c r="DS69" s="112"/>
      <c r="DT69" s="112"/>
      <c r="DU69" s="111"/>
      <c r="DV69" s="114"/>
      <c r="DW69" s="80">
        <f t="shared" si="61"/>
        <v>13.36</v>
      </c>
      <c r="DX69" s="81">
        <f t="shared" si="28"/>
        <v>-3193.04</v>
      </c>
      <c r="DY69" s="80">
        <f t="shared" si="62"/>
        <v>0</v>
      </c>
      <c r="DZ69" s="82">
        <f t="shared" si="63"/>
        <v>0</v>
      </c>
      <c r="EA69" s="82">
        <f t="shared" si="64"/>
        <v>0</v>
      </c>
      <c r="EB69" s="82">
        <f t="shared" si="65"/>
        <v>2.7254399999999999</v>
      </c>
      <c r="EC69" s="82">
        <f t="shared" si="76"/>
        <v>2.7254399999999999</v>
      </c>
      <c r="EF69" s="83">
        <f t="shared" si="107"/>
        <v>-3206.4</v>
      </c>
    </row>
    <row r="70" spans="1:136" ht="14.1" hidden="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0"/>
        <v>YHC2700-5.5x3-H9A14</v>
      </c>
      <c r="H70" s="46" t="str">
        <f t="shared" si="31"/>
        <v>C2700YH5.50DH9</v>
      </c>
      <c r="I70" s="46" t="str">
        <f t="shared" si="32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3"/>
        <v>24</v>
      </c>
      <c r="T70" s="51">
        <f>'07.02'!BG70</f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>AE70+'07.02'!AF70</f>
        <v>0</v>
      </c>
      <c r="AG70" s="94">
        <f t="shared" si="66"/>
        <v>0</v>
      </c>
      <c r="AH70" s="56">
        <f t="shared" si="13"/>
        <v>0</v>
      </c>
      <c r="AI70" s="93"/>
      <c r="AJ70" s="93">
        <f t="shared" si="67"/>
        <v>0</v>
      </c>
      <c r="AK70" s="95">
        <f t="shared" si="35"/>
        <v>1</v>
      </c>
      <c r="AL70" s="58">
        <f t="shared" si="36"/>
        <v>0</v>
      </c>
      <c r="AM70" s="55">
        <f t="shared" si="68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7"/>
        <v>0</v>
      </c>
      <c r="AV70" s="96">
        <f t="shared" si="37"/>
        <v>0</v>
      </c>
      <c r="AW70" s="96">
        <f t="shared" si="38"/>
        <v>0</v>
      </c>
      <c r="AX70" s="96">
        <f>IF(V70="","",INT(AW70/$V70))</f>
        <v>0</v>
      </c>
      <c r="AY70" s="94">
        <f t="shared" si="69"/>
        <v>0</v>
      </c>
      <c r="AZ70" s="94">
        <f t="shared" si="40"/>
        <v>0</v>
      </c>
      <c r="BA70" s="94">
        <f t="shared" si="41"/>
        <v>0</v>
      </c>
      <c r="BB70" s="97">
        <f t="shared" si="42"/>
        <v>0</v>
      </c>
      <c r="BC70" s="93"/>
      <c r="BD70" s="93">
        <f t="shared" si="43"/>
        <v>0</v>
      </c>
      <c r="BE70" s="95">
        <f t="shared" si="44"/>
        <v>1</v>
      </c>
      <c r="BF70" s="58">
        <f t="shared" si="45"/>
        <v>0</v>
      </c>
      <c r="BG70" s="94">
        <f t="shared" si="46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0"/>
        <v>0</v>
      </c>
      <c r="BP70" s="92">
        <f t="shared" si="70"/>
        <v>0</v>
      </c>
      <c r="BQ70" s="96">
        <f t="shared" si="47"/>
        <v>0</v>
      </c>
      <c r="BR70" s="96">
        <f t="shared" si="48"/>
        <v>0</v>
      </c>
      <c r="BS70" s="96">
        <f t="shared" si="71"/>
        <v>0</v>
      </c>
      <c r="BT70" s="96">
        <f t="shared" si="49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0"/>
        <v>0</v>
      </c>
      <c r="BY70" s="61">
        <f t="shared" si="74"/>
        <v>0</v>
      </c>
      <c r="BZ70" s="62">
        <f t="shared" si="51"/>
        <v>0</v>
      </c>
      <c r="CA70" s="98">
        <f t="shared" si="52"/>
        <v>0</v>
      </c>
      <c r="CB70" s="92">
        <f t="shared" si="98"/>
        <v>0</v>
      </c>
      <c r="CC70" s="92">
        <f t="shared" si="98"/>
        <v>0</v>
      </c>
      <c r="CD70" s="92">
        <f t="shared" si="98"/>
        <v>0</v>
      </c>
      <c r="CE70" s="99"/>
      <c r="CF70" s="99"/>
      <c r="CG70" s="51">
        <f t="shared" si="53"/>
        <v>0</v>
      </c>
      <c r="CH70" s="62">
        <f t="shared" si="54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101"/>
        <v>0</v>
      </c>
      <c r="CR70" s="102">
        <f t="shared" si="101"/>
        <v>0</v>
      </c>
      <c r="CS70" s="102">
        <f t="shared" si="101"/>
        <v>0</v>
      </c>
      <c r="CT70" s="92">
        <f t="shared" si="56"/>
        <v>0</v>
      </c>
      <c r="CU70" s="92">
        <f t="shared" si="102"/>
        <v>0</v>
      </c>
      <c r="CV70" s="103">
        <f t="shared" si="102"/>
        <v>0</v>
      </c>
      <c r="CW70" s="104" t="s">
        <v>147</v>
      </c>
      <c r="CX70" s="105">
        <v>20</v>
      </c>
      <c r="CY70" s="106">
        <f t="shared" si="58"/>
        <v>2034</v>
      </c>
      <c r="CZ70" s="106">
        <f t="shared" si="59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7"/>
        <v>0</v>
      </c>
      <c r="DL70" s="108">
        <f t="shared" si="87"/>
        <v>0</v>
      </c>
      <c r="DM70" s="111">
        <f t="shared" si="87"/>
        <v>0</v>
      </c>
      <c r="DN70" s="76">
        <f t="shared" si="60"/>
        <v>0</v>
      </c>
      <c r="DO70" s="76">
        <f t="shared" si="72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1"/>
        <v>0</v>
      </c>
      <c r="DX70" s="81">
        <f t="shared" si="28"/>
        <v>0</v>
      </c>
      <c r="DY70" s="80">
        <f t="shared" si="62"/>
        <v>0</v>
      </c>
      <c r="DZ70" s="82">
        <f t="shared" si="63"/>
        <v>0</v>
      </c>
      <c r="EA70" s="82">
        <f t="shared" si="64"/>
        <v>0</v>
      </c>
      <c r="EB70" s="82">
        <f t="shared" si="65"/>
        <v>0</v>
      </c>
      <c r="EC70" s="82">
        <f>(BX70-CA70)+((AV70+BP70)/1000)</f>
        <v>0</v>
      </c>
      <c r="EF70" s="83">
        <f t="shared" si="107"/>
        <v>0</v>
      </c>
    </row>
    <row r="71" spans="1:136">
      <c r="A71" s="84">
        <v>64</v>
      </c>
      <c r="B71" s="85" t="s">
        <v>319</v>
      </c>
      <c r="C71" s="86"/>
      <c r="D71" s="119" t="s">
        <v>505</v>
      </c>
      <c r="E71" s="88">
        <v>92</v>
      </c>
      <c r="F71" s="89" t="s">
        <v>147</v>
      </c>
      <c r="G71" s="45" t="str">
        <f t="shared" si="30"/>
        <v>IBC3604-6.2x3-H9B14</v>
      </c>
      <c r="H71" s="46" t="str">
        <f t="shared" si="31"/>
        <v>C3604IB6.20DH9</v>
      </c>
      <c r="I71" s="46" t="str">
        <f t="shared" si="32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3"/>
        <v>38</v>
      </c>
      <c r="T71" s="51">
        <v>5</v>
      </c>
      <c r="U71" s="92">
        <v>13</v>
      </c>
      <c r="V71" s="100">
        <v>4.3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4"/>
        <v>0</v>
      </c>
      <c r="AF71" s="54">
        <f>AE71+'07.02'!AF71</f>
        <v>1223</v>
      </c>
      <c r="AG71" s="94">
        <f t="shared" si="66"/>
        <v>5</v>
      </c>
      <c r="AH71" s="56">
        <f t="shared" si="13"/>
        <v>0</v>
      </c>
      <c r="AI71" s="93">
        <v>17</v>
      </c>
      <c r="AJ71" s="93">
        <f t="shared" si="67"/>
        <v>0</v>
      </c>
      <c r="AK71" s="95">
        <f t="shared" si="35"/>
        <v>1</v>
      </c>
      <c r="AL71" s="58">
        <f t="shared" si="36"/>
        <v>17</v>
      </c>
      <c r="AM71" s="55">
        <f t="shared" si="68"/>
        <v>1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7"/>
        <v>0</v>
      </c>
      <c r="AV71" s="96">
        <f t="shared" si="37"/>
        <v>0</v>
      </c>
      <c r="AW71" s="96">
        <f t="shared" si="38"/>
        <v>0</v>
      </c>
      <c r="AX71" s="96">
        <f t="shared" si="39"/>
        <v>0</v>
      </c>
      <c r="AY71" s="94">
        <f t="shared" si="69"/>
        <v>-6725.2</v>
      </c>
      <c r="AZ71" s="94">
        <f t="shared" si="40"/>
        <v>-1564</v>
      </c>
      <c r="BA71" s="94">
        <f t="shared" si="41"/>
        <v>1</v>
      </c>
      <c r="BB71" s="97">
        <f t="shared" si="42"/>
        <v>0</v>
      </c>
      <c r="BC71" s="93"/>
      <c r="BD71" s="93">
        <f t="shared" si="43"/>
        <v>0</v>
      </c>
      <c r="BE71" s="95">
        <f t="shared" si="44"/>
        <v>1</v>
      </c>
      <c r="BF71" s="58">
        <f t="shared" si="45"/>
        <v>0</v>
      </c>
      <c r="BG71" s="94">
        <f t="shared" si="46"/>
        <v>1</v>
      </c>
      <c r="BH71" s="89"/>
      <c r="BI71" s="89"/>
      <c r="BJ71" s="92">
        <f>$CN71</f>
        <v>0</v>
      </c>
      <c r="BK71" s="89"/>
      <c r="BL71" s="89"/>
      <c r="BM71" s="89"/>
      <c r="BN71" s="89"/>
      <c r="BO71" s="92">
        <f t="shared" si="70"/>
        <v>0</v>
      </c>
      <c r="BP71" s="92">
        <f t="shared" si="70"/>
        <v>0</v>
      </c>
      <c r="BQ71" s="96">
        <f t="shared" si="47"/>
        <v>0</v>
      </c>
      <c r="BR71" s="96">
        <f t="shared" si="48"/>
        <v>0</v>
      </c>
      <c r="BS71" s="96">
        <f t="shared" si="71"/>
        <v>0</v>
      </c>
      <c r="BT71" s="96">
        <f t="shared" si="49"/>
        <v>0</v>
      </c>
      <c r="BU71" s="92">
        <f t="shared" si="16"/>
        <v>0</v>
      </c>
      <c r="BV71" s="98">
        <f t="shared" si="17"/>
        <v>17</v>
      </c>
      <c r="BW71" s="92">
        <f t="shared" si="18"/>
        <v>-1564</v>
      </c>
      <c r="BX71" s="98">
        <f t="shared" si="50"/>
        <v>12.988</v>
      </c>
      <c r="BY71" s="61">
        <f t="shared" si="74"/>
        <v>17</v>
      </c>
      <c r="BZ71" s="62">
        <f t="shared" si="51"/>
        <v>17</v>
      </c>
      <c r="CA71" s="98">
        <f t="shared" si="52"/>
        <v>0</v>
      </c>
      <c r="CB71" s="92">
        <f t="shared" si="98"/>
        <v>0</v>
      </c>
      <c r="CC71" s="92">
        <f t="shared" si="98"/>
        <v>-6725.2</v>
      </c>
      <c r="CD71" s="92">
        <f t="shared" si="98"/>
        <v>-1564</v>
      </c>
      <c r="CE71" s="99"/>
      <c r="CF71" s="99"/>
      <c r="CG71" s="51">
        <f t="shared" si="53"/>
        <v>12.988</v>
      </c>
      <c r="CH71" s="62">
        <f t="shared" si="54"/>
        <v>12.988</v>
      </c>
      <c r="CI71" s="89"/>
      <c r="CJ71" s="89"/>
      <c r="CK71" s="89"/>
      <c r="CL71" s="96"/>
      <c r="CM71" s="89"/>
      <c r="CN71" s="89"/>
      <c r="CO71" s="92"/>
      <c r="CP71" s="101"/>
      <c r="CQ71" s="102">
        <f t="shared" si="101"/>
        <v>0</v>
      </c>
      <c r="CR71" s="102">
        <f t="shared" si="101"/>
        <v>0</v>
      </c>
      <c r="CS71" s="102">
        <f t="shared" si="101"/>
        <v>0</v>
      </c>
      <c r="CT71" s="92">
        <f t="shared" si="56"/>
        <v>0</v>
      </c>
      <c r="CU71" s="92">
        <f t="shared" si="102"/>
        <v>0</v>
      </c>
      <c r="CV71" s="103">
        <f t="shared" si="102"/>
        <v>0</v>
      </c>
      <c r="CW71" s="104" t="s">
        <v>147</v>
      </c>
      <c r="CX71" s="105">
        <v>23</v>
      </c>
      <c r="CY71" s="106">
        <f t="shared" si="58"/>
        <v>1713</v>
      </c>
      <c r="CZ71" s="106">
        <f t="shared" si="59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17</v>
      </c>
      <c r="DG71" s="115">
        <f t="shared" si="23"/>
        <v>-1564</v>
      </c>
      <c r="DH71" s="110">
        <f t="shared" si="24"/>
        <v>0</v>
      </c>
      <c r="DI71" s="108">
        <f t="shared" si="25"/>
        <v>0</v>
      </c>
      <c r="DJ71" s="112">
        <f t="shared" si="26"/>
        <v>0</v>
      </c>
      <c r="DK71" s="110">
        <f t="shared" si="87"/>
        <v>0</v>
      </c>
      <c r="DL71" s="108">
        <f t="shared" si="87"/>
        <v>17</v>
      </c>
      <c r="DM71" s="111">
        <f t="shared" si="87"/>
        <v>-1564</v>
      </c>
      <c r="DN71" s="76">
        <f t="shared" si="60"/>
        <v>5</v>
      </c>
      <c r="DO71" s="76">
        <f t="shared" si="72"/>
        <v>13</v>
      </c>
      <c r="DP71" s="112"/>
      <c r="DQ71" s="112"/>
      <c r="DR71" s="113" t="s">
        <v>552</v>
      </c>
      <c r="DS71" s="112"/>
      <c r="DT71" s="112"/>
      <c r="DU71" s="111"/>
      <c r="DV71" s="114"/>
      <c r="DW71" s="80">
        <f t="shared" si="61"/>
        <v>17</v>
      </c>
      <c r="DX71" s="81">
        <f t="shared" si="28"/>
        <v>-1547</v>
      </c>
      <c r="DY71" s="80">
        <f t="shared" si="62"/>
        <v>0</v>
      </c>
      <c r="DZ71" s="82">
        <f t="shared" si="63"/>
        <v>0</v>
      </c>
      <c r="EA71" s="82">
        <f t="shared" si="64"/>
        <v>0</v>
      </c>
      <c r="EB71" s="82">
        <f t="shared" si="65"/>
        <v>12.988</v>
      </c>
      <c r="EC71" s="82">
        <f t="shared" si="76"/>
        <v>12.988</v>
      </c>
      <c r="EF71" s="83">
        <f t="shared" si="107"/>
        <v>-1564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0"/>
        <v>TVA2011-T3-7.5x3-H9B14</v>
      </c>
      <c r="H72" s="46" t="str">
        <f t="shared" si="31"/>
        <v>A2011-T3TV7.50DH9</v>
      </c>
      <c r="I72" s="46" t="str">
        <f t="shared" si="32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3"/>
        <v>24</v>
      </c>
      <c r="T72" s="51">
        <f>'07.02'!BG72</f>
        <v>30</v>
      </c>
      <c r="U72" s="92"/>
      <c r="V72" s="100">
        <v>0.58299999999999996</v>
      </c>
      <c r="W72" s="93">
        <f t="shared" ref="W72:W103" si="114">IF(V72="","",INT((AO72+BI72)/$V72))</f>
        <v>0</v>
      </c>
      <c r="X72" s="93">
        <f t="shared" ref="X72:X106" si="115">IF(V72="","",INT((AP72+BJ72)/$V72))</f>
        <v>0</v>
      </c>
      <c r="Y72" s="93">
        <f t="shared" ref="Y72:Y106" si="116">IF(V72="","",INT((AQ72+BK72)/$V72))</f>
        <v>0</v>
      </c>
      <c r="Z72" s="93">
        <f t="shared" ref="Z72:Z106" si="117">IF(V72="","",INT((AR72+BL72)/$V72))</f>
        <v>0</v>
      </c>
      <c r="AA72" s="93">
        <f t="shared" ref="AA72:AA106" si="118">IF(V72="","",INT((AS72+BM72)/$V72))</f>
        <v>0</v>
      </c>
      <c r="AB72" s="93">
        <f t="shared" ref="AB72:AB106" si="119">IF(V72="","",INT((AT72+BN72)/$V72))</f>
        <v>0</v>
      </c>
      <c r="AC72" s="93">
        <f t="shared" ref="AC72:AC106" si="120">IF(V72="","",INT((AU72+BO72)/$V72))</f>
        <v>0</v>
      </c>
      <c r="AD72" s="93">
        <f t="shared" ref="AD72:AD106" si="121">IF(V72="","",INT((AV72+BP72)/$V72))</f>
        <v>0</v>
      </c>
      <c r="AE72" s="93">
        <f t="shared" si="34"/>
        <v>0</v>
      </c>
      <c r="AF72" s="54">
        <f>AE72+'07.02'!AF72</f>
        <v>0</v>
      </c>
      <c r="AG72" s="94">
        <f t="shared" si="66"/>
        <v>30</v>
      </c>
      <c r="AH72" s="56">
        <f t="shared" si="13"/>
        <v>0</v>
      </c>
      <c r="AI72" s="93"/>
      <c r="AJ72" s="93">
        <f t="shared" si="67"/>
        <v>0</v>
      </c>
      <c r="AK72" s="95">
        <f t="shared" si="35"/>
        <v>1</v>
      </c>
      <c r="AL72" s="58">
        <f t="shared" si="36"/>
        <v>0</v>
      </c>
      <c r="AM72" s="55">
        <f t="shared" si="68"/>
        <v>30</v>
      </c>
      <c r="AN72" s="93"/>
      <c r="AO72" s="96"/>
      <c r="AP72" s="96"/>
      <c r="AQ72" s="96"/>
      <c r="AR72" s="96"/>
      <c r="AS72" s="96"/>
      <c r="AT72" s="96">
        <f t="shared" si="112"/>
        <v>0</v>
      </c>
      <c r="AU72" s="96">
        <f t="shared" si="37"/>
        <v>0</v>
      </c>
      <c r="AV72" s="96">
        <f t="shared" si="37"/>
        <v>0</v>
      </c>
      <c r="AW72" s="96">
        <f t="shared" si="38"/>
        <v>0</v>
      </c>
      <c r="AX72" s="96">
        <f t="shared" si="39"/>
        <v>0</v>
      </c>
      <c r="AY72" s="94">
        <f t="shared" si="69"/>
        <v>0</v>
      </c>
      <c r="AZ72" s="94">
        <f t="shared" si="40"/>
        <v>0</v>
      </c>
      <c r="BA72" s="94">
        <f t="shared" si="41"/>
        <v>30</v>
      </c>
      <c r="BB72" s="97">
        <f t="shared" si="42"/>
        <v>0</v>
      </c>
      <c r="BC72" s="93"/>
      <c r="BD72" s="93">
        <f t="shared" si="43"/>
        <v>0</v>
      </c>
      <c r="BE72" s="95">
        <f t="shared" si="44"/>
        <v>1</v>
      </c>
      <c r="BF72" s="58">
        <f t="shared" si="45"/>
        <v>0</v>
      </c>
      <c r="BG72" s="94">
        <f t="shared" si="46"/>
        <v>30</v>
      </c>
      <c r="BH72" s="89"/>
      <c r="BI72" s="89"/>
      <c r="BJ72" s="89"/>
      <c r="BK72" s="89"/>
      <c r="BL72" s="89"/>
      <c r="BM72" s="89"/>
      <c r="BN72" s="92">
        <f t="shared" si="113"/>
        <v>0</v>
      </c>
      <c r="BO72" s="92">
        <f t="shared" si="70"/>
        <v>0</v>
      </c>
      <c r="BP72" s="92">
        <f t="shared" si="70"/>
        <v>0</v>
      </c>
      <c r="BQ72" s="96">
        <f t="shared" si="47"/>
        <v>0</v>
      </c>
      <c r="BR72" s="96">
        <f t="shared" si="48"/>
        <v>0</v>
      </c>
      <c r="BS72" s="96">
        <f t="shared" si="71"/>
        <v>0</v>
      </c>
      <c r="BT72" s="96">
        <f t="shared" si="49"/>
        <v>0</v>
      </c>
      <c r="BU72" s="92">
        <f t="shared" ref="BU72:BU106" si="122">IFERROR(AE72,"")</f>
        <v>0</v>
      </c>
      <c r="BV72" s="98">
        <f t="shared" si="17"/>
        <v>0</v>
      </c>
      <c r="BW72" s="92">
        <f t="shared" ref="BW72:BW106" si="123">IFERROR(BT72+AZ72,"")</f>
        <v>0</v>
      </c>
      <c r="BX72" s="98">
        <f t="shared" si="50"/>
        <v>0</v>
      </c>
      <c r="BY72" s="61">
        <f t="shared" si="74"/>
        <v>0</v>
      </c>
      <c r="BZ72" s="62">
        <f t="shared" si="51"/>
        <v>0</v>
      </c>
      <c r="CA72" s="98">
        <f t="shared" si="52"/>
        <v>0</v>
      </c>
      <c r="CB72" s="92">
        <f t="shared" ref="CB72:CD106" si="124">IFERROR(BR72+AX72,"")</f>
        <v>0</v>
      </c>
      <c r="CC72" s="92">
        <f t="shared" si="124"/>
        <v>0</v>
      </c>
      <c r="CD72" s="92">
        <f t="shared" si="124"/>
        <v>0</v>
      </c>
      <c r="CE72" s="99"/>
      <c r="CF72" s="99"/>
      <c r="CG72" s="51">
        <f t="shared" si="53"/>
        <v>0</v>
      </c>
      <c r="CH72" s="62">
        <f t="shared" si="54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101"/>
        <v>0</v>
      </c>
      <c r="CR72" s="102">
        <f t="shared" si="101"/>
        <v>0</v>
      </c>
      <c r="CS72" s="102">
        <f t="shared" si="101"/>
        <v>0</v>
      </c>
      <c r="CT72" s="92">
        <f t="shared" si="56"/>
        <v>0</v>
      </c>
      <c r="CU72" s="92">
        <f t="shared" si="102"/>
        <v>0</v>
      </c>
      <c r="CV72" s="103">
        <f t="shared" si="102"/>
        <v>0</v>
      </c>
      <c r="CW72" s="104" t="s">
        <v>147</v>
      </c>
      <c r="CX72" s="105">
        <v>8</v>
      </c>
      <c r="CY72" s="106">
        <f t="shared" si="58"/>
        <v>5107</v>
      </c>
      <c r="CZ72" s="106">
        <f t="shared" si="59"/>
        <v>32.400000000000006</v>
      </c>
      <c r="DA72" s="106"/>
      <c r="DB72" s="106"/>
      <c r="DC72" s="105"/>
      <c r="DD72" s="107"/>
      <c r="DE72" s="92">
        <f t="shared" ref="DE72:DE106" si="125">IFERROR(CQ72+CR72,"")</f>
        <v>0</v>
      </c>
      <c r="DF72" s="108">
        <f t="shared" ref="DF72:DF106" si="126">IFERROR(AL72,"")</f>
        <v>0</v>
      </c>
      <c r="DG72" s="115">
        <f t="shared" ref="DG72:DG106" si="127">IFERROR(AZ72,"")</f>
        <v>0</v>
      </c>
      <c r="DH72" s="110">
        <f t="shared" ref="DH72:DH106" si="128">IFERROR(CT72+CU72,"")</f>
        <v>0</v>
      </c>
      <c r="DI72" s="108">
        <f t="shared" ref="DI72:DI106" si="129">IFERROR(BF72,"")</f>
        <v>0</v>
      </c>
      <c r="DJ72" s="112">
        <f t="shared" ref="DJ72:DJ106" si="130">IFERROR(BT72,"")</f>
        <v>0</v>
      </c>
      <c r="DK72" s="110">
        <f t="shared" si="87"/>
        <v>0</v>
      </c>
      <c r="DL72" s="108">
        <f t="shared" si="87"/>
        <v>0</v>
      </c>
      <c r="DM72" s="111">
        <f t="shared" si="87"/>
        <v>0</v>
      </c>
      <c r="DN72" s="76">
        <f t="shared" si="60"/>
        <v>30</v>
      </c>
      <c r="DO72" s="76">
        <f t="shared" si="72"/>
        <v>0</v>
      </c>
      <c r="DP72" s="112"/>
      <c r="DQ72" s="112"/>
      <c r="DR72" s="113" t="s">
        <v>553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31">IFERROR(DK72+DL72+DM72,"")</f>
        <v>0</v>
      </c>
      <c r="DY72" s="80">
        <f t="shared" si="62"/>
        <v>0</v>
      </c>
      <c r="DZ72" s="82">
        <f t="shared" si="63"/>
        <v>0</v>
      </c>
      <c r="EA72" s="82">
        <f t="shared" si="64"/>
        <v>0</v>
      </c>
      <c r="EB72" s="82">
        <f t="shared" si="65"/>
        <v>0</v>
      </c>
      <c r="EC72" s="82">
        <f t="shared" si="76"/>
        <v>0</v>
      </c>
      <c r="EF72" s="83">
        <f t="shared" si="107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2">CONCATENATE(K73,J73,"-",IF(N73="D",L73,IF(N73="H",CONCATENATE(N73,L73),CONCATENATE(N73,L73,"x",M73))),"x",P73,"-",O73,R73)</f>
        <v>GAA5052-5.7x3-H9A14</v>
      </c>
      <c r="H73" s="46" t="str">
        <f t="shared" ref="H73:H106" si="133">CONCATENATE(J73,,K73,L73,M73,N73,O73)</f>
        <v>A5052GA5.70DH9</v>
      </c>
      <c r="I73" s="46" t="str">
        <f t="shared" ref="I73:I106" si="134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5">ROUND(CY73/E73,0)*2</f>
        <v>14</v>
      </c>
      <c r="T73" s="51">
        <v>30</v>
      </c>
      <c r="U73" s="92"/>
      <c r="V73" s="100">
        <v>0.15</v>
      </c>
      <c r="W73" s="93">
        <f t="shared" si="114"/>
        <v>0</v>
      </c>
      <c r="X73" s="93">
        <f t="shared" si="115"/>
        <v>0</v>
      </c>
      <c r="Y73" s="93">
        <f t="shared" si="116"/>
        <v>0</v>
      </c>
      <c r="Z73" s="93">
        <f t="shared" si="117"/>
        <v>0</v>
      </c>
      <c r="AA73" s="93">
        <f t="shared" si="118"/>
        <v>0</v>
      </c>
      <c r="AB73" s="93">
        <f t="shared" si="119"/>
        <v>0</v>
      </c>
      <c r="AC73" s="93">
        <f t="shared" si="120"/>
        <v>0</v>
      </c>
      <c r="AD73" s="93">
        <f t="shared" si="121"/>
        <v>0</v>
      </c>
      <c r="AE73" s="93">
        <f t="shared" ref="AE73:AE106" si="136">IF(V73="","",SUM(W73:AC73))</f>
        <v>0</v>
      </c>
      <c r="AF73" s="54">
        <f>AE73+'07.02'!AF73</f>
        <v>18145</v>
      </c>
      <c r="AG73" s="94">
        <f t="shared" si="66"/>
        <v>30</v>
      </c>
      <c r="AH73" s="56">
        <f t="shared" ref="AH73:AH106" si="137">IFERROR(VALUE("0"&amp;RIGHT(AG73,(LEN(AG73)-LEN(TRUNC(AG73))))),"")</f>
        <v>0</v>
      </c>
      <c r="AI73" s="93">
        <v>6</v>
      </c>
      <c r="AJ73" s="93">
        <f t="shared" si="67"/>
        <v>0</v>
      </c>
      <c r="AK73" s="95">
        <f t="shared" ref="AK73:AK107" si="138">IF(V73="","",IF(AJ73=0,1,AJ73/$V73/$E73))</f>
        <v>1</v>
      </c>
      <c r="AL73" s="58">
        <f t="shared" si="36"/>
        <v>6</v>
      </c>
      <c r="AM73" s="55">
        <f t="shared" si="68"/>
        <v>24</v>
      </c>
      <c r="AN73" s="93"/>
      <c r="AO73" s="96"/>
      <c r="AP73" s="96"/>
      <c r="AQ73" s="96"/>
      <c r="AR73" s="96"/>
      <c r="AS73" s="96"/>
      <c r="AT73" s="96">
        <f t="shared" si="112"/>
        <v>0</v>
      </c>
      <c r="AU73" s="96">
        <f t="shared" ref="AU73:AV106" si="139">CK73</f>
        <v>0</v>
      </c>
      <c r="AV73" s="96">
        <f t="shared" si="139"/>
        <v>0</v>
      </c>
      <c r="AW73" s="96">
        <f t="shared" ref="AW73:AW106" si="140">SUM(AO73:AV73)</f>
        <v>0</v>
      </c>
      <c r="AX73" s="96">
        <f t="shared" ref="AX73:AX106" si="141">IF(V73="","",INT(AW73/$V73))</f>
        <v>0</v>
      </c>
      <c r="AY73" s="94">
        <f t="shared" si="69"/>
        <v>-221.4</v>
      </c>
      <c r="AZ73" s="94">
        <f t="shared" ref="AZ73:AZ106" si="142">IF($V73="","",AY73/$V73)</f>
        <v>-1476</v>
      </c>
      <c r="BA73" s="94">
        <f t="shared" si="41"/>
        <v>24</v>
      </c>
      <c r="BB73" s="97">
        <f t="shared" si="42"/>
        <v>0</v>
      </c>
      <c r="BC73" s="93">
        <v>5</v>
      </c>
      <c r="BD73" s="93">
        <f t="shared" ref="BD73:BD106" si="143">$CM73</f>
        <v>0</v>
      </c>
      <c r="BE73" s="95">
        <f t="shared" ref="BE73:BE106" si="144">IF(AA73="","",IF(BD73=0,1,BD73/$V73/$E73))</f>
        <v>1</v>
      </c>
      <c r="BF73" s="58">
        <f t="shared" si="45"/>
        <v>5</v>
      </c>
      <c r="BG73" s="94">
        <f t="shared" ref="BG73:BG106" si="145">IF(AA73="","",BA73-BF73)</f>
        <v>19</v>
      </c>
      <c r="BH73" s="89"/>
      <c r="BI73" s="89"/>
      <c r="BJ73" s="89"/>
      <c r="BK73" s="89"/>
      <c r="BL73" s="89"/>
      <c r="BM73" s="89"/>
      <c r="BN73" s="92">
        <f t="shared" si="113"/>
        <v>0</v>
      </c>
      <c r="BO73" s="92">
        <f t="shared" si="70"/>
        <v>0</v>
      </c>
      <c r="BP73" s="92">
        <f t="shared" si="70"/>
        <v>0</v>
      </c>
      <c r="BQ73" s="96">
        <f t="shared" ref="BQ73:BQ106" si="146">SUM(BI73:BP73)</f>
        <v>0</v>
      </c>
      <c r="BR73" s="96">
        <f t="shared" ref="BR73:BR106" si="147">IF(AA73="","",INT(BQ73/$V73))</f>
        <v>0</v>
      </c>
      <c r="BS73" s="96">
        <f t="shared" si="71"/>
        <v>-184.5</v>
      </c>
      <c r="BT73" s="96">
        <f t="shared" ref="BT73:BT106" si="148">IF($V73="","",BS73/$V73)</f>
        <v>-1230</v>
      </c>
      <c r="BU73" s="92">
        <f t="shared" si="122"/>
        <v>0</v>
      </c>
      <c r="BV73" s="98">
        <f t="shared" si="17"/>
        <v>11</v>
      </c>
      <c r="BW73" s="92">
        <f t="shared" si="123"/>
        <v>-2706</v>
      </c>
      <c r="BX73" s="98">
        <f t="shared" ref="BX73:BX106" si="149">IF($Q73="","",(BF73+AL73)*$Q73)</f>
        <v>2.2439999999999998</v>
      </c>
      <c r="BY73" s="61">
        <f t="shared" si="74"/>
        <v>11</v>
      </c>
      <c r="BZ73" s="62">
        <f t="shared" ref="BZ73:BZ108" si="150">BY73</f>
        <v>11</v>
      </c>
      <c r="CA73" s="98">
        <f t="shared" ref="CA73:CA106" si="151">IFERROR((BQ73+AW73)/1000,"")</f>
        <v>0</v>
      </c>
      <c r="CB73" s="92">
        <f t="shared" si="124"/>
        <v>0</v>
      </c>
      <c r="CC73" s="92">
        <f t="shared" si="124"/>
        <v>-405.9</v>
      </c>
      <c r="CD73" s="92">
        <f t="shared" si="124"/>
        <v>-2706</v>
      </c>
      <c r="CE73" s="99"/>
      <c r="CF73" s="99"/>
      <c r="CG73" s="51">
        <f t="shared" ref="CG73:CG106" si="152">IF(BX73="",0,(BX73-CA73)+((AV73+BP73)/1000))</f>
        <v>2.2439999999999998</v>
      </c>
      <c r="CH73" s="62">
        <f t="shared" ref="CH73:CH108" si="153">CG73</f>
        <v>2.2439999999999998</v>
      </c>
      <c r="CI73" s="89"/>
      <c r="CJ73" s="89"/>
      <c r="CK73" s="89"/>
      <c r="CL73" s="96"/>
      <c r="CM73" s="89"/>
      <c r="CN73" s="89"/>
      <c r="CO73" s="92"/>
      <c r="CP73" s="101"/>
      <c r="CQ73" s="102">
        <f t="shared" si="101"/>
        <v>0</v>
      </c>
      <c r="CR73" s="102">
        <f t="shared" si="101"/>
        <v>0</v>
      </c>
      <c r="CS73" s="102">
        <f t="shared" si="101"/>
        <v>0</v>
      </c>
      <c r="CT73" s="92">
        <f t="shared" ref="CT73:CT106" si="154">INT(IFERROR( AE73-CQ73-CU73-CR73,0))</f>
        <v>0</v>
      </c>
      <c r="CU73" s="92">
        <f t="shared" si="102"/>
        <v>0</v>
      </c>
      <c r="CV73" s="103">
        <f t="shared" si="102"/>
        <v>0</v>
      </c>
      <c r="CW73" s="104" t="s">
        <v>147</v>
      </c>
      <c r="CX73" s="105">
        <v>23.04</v>
      </c>
      <c r="CY73" s="106">
        <f t="shared" ref="CY73:CY106" si="155">INT(60/CX73*60*(12-(CEILING((60/CX73*60*12)/E73,1)*IF(CW73="T",0.45,IF(CW73="",5,3))/60)))</f>
        <v>1812</v>
      </c>
      <c r="CZ73" s="106">
        <f t="shared" ref="CZ73:CZ106" si="156">IF(CX73="",0,(IF(CW73="",360,180)/(60/CX73))*1.35)</f>
        <v>93.311999999999998</v>
      </c>
      <c r="DA73" s="106"/>
      <c r="DB73" s="106"/>
      <c r="DC73" s="105"/>
      <c r="DD73" s="107"/>
      <c r="DE73" s="92">
        <f t="shared" si="125"/>
        <v>0</v>
      </c>
      <c r="DF73" s="108">
        <f t="shared" si="126"/>
        <v>6</v>
      </c>
      <c r="DG73" s="115">
        <f t="shared" si="127"/>
        <v>-1476</v>
      </c>
      <c r="DH73" s="110">
        <f t="shared" si="128"/>
        <v>0</v>
      </c>
      <c r="DI73" s="108">
        <f t="shared" si="129"/>
        <v>5</v>
      </c>
      <c r="DJ73" s="112">
        <f t="shared" si="130"/>
        <v>-1230</v>
      </c>
      <c r="DK73" s="110">
        <f t="shared" si="87"/>
        <v>0</v>
      </c>
      <c r="DL73" s="108">
        <f t="shared" si="87"/>
        <v>11</v>
      </c>
      <c r="DM73" s="111">
        <f t="shared" si="87"/>
        <v>-2706</v>
      </c>
      <c r="DN73" s="76">
        <f t="shared" ref="DN73:DO104" si="157">T73</f>
        <v>30</v>
      </c>
      <c r="DO73" s="76">
        <f t="shared" si="72"/>
        <v>0</v>
      </c>
      <c r="DP73" s="112"/>
      <c r="DQ73" s="112"/>
      <c r="DR73" s="113" t="s">
        <v>554</v>
      </c>
      <c r="DS73" s="112"/>
      <c r="DT73" s="112"/>
      <c r="DU73" s="111"/>
      <c r="DV73" s="114"/>
      <c r="DW73" s="80">
        <f t="shared" ref="DW73:DW106" si="158">IFERROR(BU73+BV73,"")</f>
        <v>11</v>
      </c>
      <c r="DX73" s="81">
        <f t="shared" si="131"/>
        <v>-2695</v>
      </c>
      <c r="DY73" s="80">
        <f t="shared" ref="DY73:DY106" si="159">CQ73+CR73+CS73+CT73+CU73+CV73</f>
        <v>0</v>
      </c>
      <c r="DZ73" s="82">
        <f t="shared" ref="DZ73:DZ106" si="160">IFERROR((AD73*V73/1000),0)</f>
        <v>0</v>
      </c>
      <c r="EA73" s="82">
        <f t="shared" ref="EA73:EA106" si="161">IFERROR((AE73*V73/1000),0)</f>
        <v>0</v>
      </c>
      <c r="EB73" s="82">
        <f t="shared" ref="EB73:EB106" si="162">BX73-EA73</f>
        <v>2.2439999999999998</v>
      </c>
      <c r="EC73" s="82">
        <f t="shared" si="76"/>
        <v>2.2439999999999998</v>
      </c>
      <c r="EF73" s="83">
        <f t="shared" si="107"/>
        <v>-2706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2"/>
        <v>IBC3604-7x3-H9D14</v>
      </c>
      <c r="H74" s="46" t="str">
        <f t="shared" si="133"/>
        <v>C3604IB70DH9</v>
      </c>
      <c r="I74" s="46" t="str">
        <f t="shared" si="134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5"/>
        <v>28</v>
      </c>
      <c r="T74" s="51">
        <f>'07.02'!BG74</f>
        <v>25</v>
      </c>
      <c r="U74" s="92">
        <v>25</v>
      </c>
      <c r="V74" s="100">
        <v>3.3769999999999998</v>
      </c>
      <c r="W74" s="93">
        <f t="shared" si="114"/>
        <v>0</v>
      </c>
      <c r="X74" s="93">
        <f t="shared" si="115"/>
        <v>0</v>
      </c>
      <c r="Y74" s="93">
        <f t="shared" si="116"/>
        <v>0</v>
      </c>
      <c r="Z74" s="93">
        <f t="shared" si="117"/>
        <v>0</v>
      </c>
      <c r="AA74" s="93">
        <f t="shared" si="118"/>
        <v>0</v>
      </c>
      <c r="AB74" s="93">
        <f t="shared" si="119"/>
        <v>0</v>
      </c>
      <c r="AC74" s="93">
        <f t="shared" si="120"/>
        <v>0</v>
      </c>
      <c r="AD74" s="93">
        <f t="shared" si="121"/>
        <v>0</v>
      </c>
      <c r="AE74" s="93">
        <f t="shared" si="136"/>
        <v>0</v>
      </c>
      <c r="AF74" s="54">
        <f>AE74+'07.02'!AF74</f>
        <v>22678</v>
      </c>
      <c r="AG74" s="94">
        <f t="shared" ref="AG74:AG106" si="163">T74</f>
        <v>25</v>
      </c>
      <c r="AH74" s="56">
        <f t="shared" si="137"/>
        <v>0</v>
      </c>
      <c r="AI74" s="93">
        <v>13</v>
      </c>
      <c r="AJ74" s="93">
        <f t="shared" ref="AJ74:AJ106" si="164">$CI74</f>
        <v>0</v>
      </c>
      <c r="AK74" s="95">
        <f t="shared" si="138"/>
        <v>1</v>
      </c>
      <c r="AL74" s="58">
        <f t="shared" si="36"/>
        <v>13</v>
      </c>
      <c r="AM74" s="55">
        <f t="shared" ref="AM74:AM106" si="165">IF(V74="","",AG74+U74-AL74)</f>
        <v>37</v>
      </c>
      <c r="AN74" s="93"/>
      <c r="AO74" s="96"/>
      <c r="AP74" s="96">
        <f>$CJ74</f>
        <v>0</v>
      </c>
      <c r="AQ74" s="96"/>
      <c r="AR74" s="96"/>
      <c r="AS74" s="96"/>
      <c r="AT74" s="96"/>
      <c r="AU74" s="96">
        <f t="shared" si="139"/>
        <v>0</v>
      </c>
      <c r="AV74" s="96">
        <f t="shared" si="139"/>
        <v>0</v>
      </c>
      <c r="AW74" s="96">
        <f t="shared" si="140"/>
        <v>0</v>
      </c>
      <c r="AX74" s="96">
        <f t="shared" si="141"/>
        <v>0</v>
      </c>
      <c r="AY74" s="94">
        <f t="shared" ref="AY74:AY106" si="166">IF(V74="","",AW74-AL74*$E74*$V74)</f>
        <v>-5926.6349999999993</v>
      </c>
      <c r="AZ74" s="94">
        <f t="shared" si="142"/>
        <v>-1755</v>
      </c>
      <c r="BA74" s="94">
        <f t="shared" si="41"/>
        <v>37</v>
      </c>
      <c r="BB74" s="97">
        <f t="shared" si="42"/>
        <v>0</v>
      </c>
      <c r="BC74" s="93">
        <v>13</v>
      </c>
      <c r="BD74" s="93">
        <f t="shared" si="143"/>
        <v>0</v>
      </c>
      <c r="BE74" s="95">
        <f t="shared" si="144"/>
        <v>1</v>
      </c>
      <c r="BF74" s="58">
        <f t="shared" si="45"/>
        <v>13</v>
      </c>
      <c r="BG74" s="94">
        <f t="shared" si="145"/>
        <v>24</v>
      </c>
      <c r="BH74" s="89"/>
      <c r="BI74" s="89"/>
      <c r="BJ74" s="92">
        <f>$CN74</f>
        <v>0</v>
      </c>
      <c r="BK74" s="89"/>
      <c r="BL74" s="89"/>
      <c r="BM74" s="89"/>
      <c r="BN74" s="89"/>
      <c r="BO74" s="92">
        <f t="shared" ref="BO74:BP103" si="167">CO74</f>
        <v>0</v>
      </c>
      <c r="BP74" s="92">
        <f t="shared" si="167"/>
        <v>0</v>
      </c>
      <c r="BQ74" s="96">
        <f t="shared" si="146"/>
        <v>0</v>
      </c>
      <c r="BR74" s="96">
        <f t="shared" si="147"/>
        <v>0</v>
      </c>
      <c r="BS74" s="96">
        <f t="shared" ref="BS74:BS106" si="168">IF(AA74="","",-BF74*$E74*$V74+BQ74)</f>
        <v>-5926.6349999999993</v>
      </c>
      <c r="BT74" s="96">
        <f t="shared" si="148"/>
        <v>-1755</v>
      </c>
      <c r="BU74" s="92">
        <f t="shared" si="122"/>
        <v>0</v>
      </c>
      <c r="BV74" s="98">
        <f t="shared" ref="BV74:BV106" si="169">IFERROR(BF74+AL74,"")</f>
        <v>26</v>
      </c>
      <c r="BW74" s="92">
        <f t="shared" si="123"/>
        <v>-3510</v>
      </c>
      <c r="BX74" s="98">
        <f t="shared" si="149"/>
        <v>25.48</v>
      </c>
      <c r="BY74" s="61">
        <f>IFERROR(BF74+AL74,0)</f>
        <v>26</v>
      </c>
      <c r="BZ74" s="62">
        <f t="shared" si="150"/>
        <v>26</v>
      </c>
      <c r="CA74" s="98">
        <f t="shared" si="151"/>
        <v>0</v>
      </c>
      <c r="CB74" s="92">
        <f t="shared" si="124"/>
        <v>0</v>
      </c>
      <c r="CC74" s="92">
        <f t="shared" si="124"/>
        <v>-11853.269999999999</v>
      </c>
      <c r="CD74" s="92">
        <f t="shared" si="124"/>
        <v>-3510</v>
      </c>
      <c r="CE74" s="99"/>
      <c r="CF74" s="99"/>
      <c r="CG74" s="51">
        <f t="shared" si="152"/>
        <v>25.48</v>
      </c>
      <c r="CH74" s="62">
        <f t="shared" si="153"/>
        <v>25.48</v>
      </c>
      <c r="CI74" s="89"/>
      <c r="CJ74" s="89"/>
      <c r="CK74" s="89"/>
      <c r="CL74" s="96"/>
      <c r="CM74" s="89"/>
      <c r="CN74" s="89"/>
      <c r="CO74" s="92"/>
      <c r="CP74" s="101"/>
      <c r="CQ74" s="102">
        <f t="shared" si="101"/>
        <v>0</v>
      </c>
      <c r="CR74" s="102">
        <f t="shared" si="101"/>
        <v>0</v>
      </c>
      <c r="CS74" s="102">
        <f t="shared" si="101"/>
        <v>0</v>
      </c>
      <c r="CT74" s="92">
        <f t="shared" si="154"/>
        <v>0</v>
      </c>
      <c r="CU74" s="92">
        <f t="shared" si="102"/>
        <v>0</v>
      </c>
      <c r="CV74" s="103">
        <f t="shared" si="102"/>
        <v>0</v>
      </c>
      <c r="CW74" s="104" t="s">
        <v>147</v>
      </c>
      <c r="CX74" s="105">
        <v>22</v>
      </c>
      <c r="CY74" s="106">
        <f t="shared" si="155"/>
        <v>1840</v>
      </c>
      <c r="CZ74" s="106">
        <f t="shared" si="156"/>
        <v>89.100000000000009</v>
      </c>
      <c r="DA74" s="106"/>
      <c r="DB74" s="106"/>
      <c r="DC74" s="105"/>
      <c r="DD74" s="107"/>
      <c r="DE74" s="92">
        <f t="shared" si="125"/>
        <v>0</v>
      </c>
      <c r="DF74" s="108">
        <f t="shared" si="126"/>
        <v>13</v>
      </c>
      <c r="DG74" s="115">
        <f t="shared" si="127"/>
        <v>-1755</v>
      </c>
      <c r="DH74" s="110">
        <f t="shared" si="128"/>
        <v>0</v>
      </c>
      <c r="DI74" s="108">
        <f t="shared" si="129"/>
        <v>13</v>
      </c>
      <c r="DJ74" s="112">
        <f t="shared" si="130"/>
        <v>-1755</v>
      </c>
      <c r="DK74" s="110">
        <f t="shared" si="87"/>
        <v>0</v>
      </c>
      <c r="DL74" s="108">
        <f t="shared" si="87"/>
        <v>26</v>
      </c>
      <c r="DM74" s="111">
        <f t="shared" si="87"/>
        <v>-3510</v>
      </c>
      <c r="DN74" s="76">
        <f t="shared" si="157"/>
        <v>25</v>
      </c>
      <c r="DO74" s="76">
        <f t="shared" si="157"/>
        <v>25</v>
      </c>
      <c r="DP74" s="112"/>
      <c r="DQ74" s="112"/>
      <c r="DR74" s="113" t="s">
        <v>555</v>
      </c>
      <c r="DS74" s="112"/>
      <c r="DT74" s="112"/>
      <c r="DU74" s="111"/>
      <c r="DV74" s="114"/>
      <c r="DW74" s="80">
        <f t="shared" ref="DW74:DW76" si="170">IFERROR(AL74+BF74,"")</f>
        <v>26</v>
      </c>
      <c r="DX74" s="81">
        <f t="shared" si="131"/>
        <v>-3484</v>
      </c>
      <c r="DY74" s="80">
        <f t="shared" si="159"/>
        <v>0</v>
      </c>
      <c r="DZ74" s="82">
        <f t="shared" si="160"/>
        <v>0</v>
      </c>
      <c r="EA74" s="82">
        <f t="shared" si="161"/>
        <v>0</v>
      </c>
      <c r="EB74" s="82">
        <f t="shared" si="162"/>
        <v>25.48</v>
      </c>
      <c r="EC74" s="82">
        <f t="shared" ref="EC74:EC75" si="171">(BX74-CA74)+((AV74+BP74)/1000)</f>
        <v>25.48</v>
      </c>
      <c r="EF74" s="83">
        <f t="shared" si="107"/>
        <v>-3510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2"/>
        <v>IBC3604-5x3-H9B14</v>
      </c>
      <c r="H75" s="46" t="str">
        <f t="shared" si="133"/>
        <v>C3604IB50DH9</v>
      </c>
      <c r="I75" s="46" t="str">
        <f t="shared" si="134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5"/>
        <v>82</v>
      </c>
      <c r="T75" s="51">
        <f>'07.02'!BG75</f>
        <v>220</v>
      </c>
      <c r="U75" s="92"/>
      <c r="V75" s="100">
        <v>2.65</v>
      </c>
      <c r="W75" s="93">
        <f t="shared" si="114"/>
        <v>0</v>
      </c>
      <c r="X75" s="93">
        <f t="shared" si="115"/>
        <v>0</v>
      </c>
      <c r="Y75" s="93">
        <f t="shared" si="116"/>
        <v>0</v>
      </c>
      <c r="Z75" s="93">
        <f t="shared" si="117"/>
        <v>0</v>
      </c>
      <c r="AA75" s="93">
        <f t="shared" si="118"/>
        <v>0</v>
      </c>
      <c r="AB75" s="93">
        <f t="shared" si="119"/>
        <v>0</v>
      </c>
      <c r="AC75" s="93">
        <f t="shared" si="120"/>
        <v>0</v>
      </c>
      <c r="AD75" s="93">
        <f t="shared" si="121"/>
        <v>0</v>
      </c>
      <c r="AE75" s="93">
        <f t="shared" si="136"/>
        <v>0</v>
      </c>
      <c r="AF75" s="54">
        <f>AE75+'07.02'!AF75</f>
        <v>0</v>
      </c>
      <c r="AG75" s="94">
        <f t="shared" si="163"/>
        <v>220</v>
      </c>
      <c r="AH75" s="56">
        <f t="shared" si="137"/>
        <v>0</v>
      </c>
      <c r="AI75" s="93"/>
      <c r="AJ75" s="93">
        <f t="shared" si="164"/>
        <v>0</v>
      </c>
      <c r="AK75" s="95">
        <f t="shared" si="138"/>
        <v>1</v>
      </c>
      <c r="AL75" s="58">
        <f t="shared" si="36"/>
        <v>0</v>
      </c>
      <c r="AM75" s="55">
        <f t="shared" si="165"/>
        <v>220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39"/>
        <v>0</v>
      </c>
      <c r="AV75" s="96">
        <f t="shared" si="139"/>
        <v>0</v>
      </c>
      <c r="AW75" s="96">
        <f t="shared" si="140"/>
        <v>0</v>
      </c>
      <c r="AX75" s="96">
        <f t="shared" si="141"/>
        <v>0</v>
      </c>
      <c r="AY75" s="94">
        <f t="shared" si="166"/>
        <v>0</v>
      </c>
      <c r="AZ75" s="94">
        <f t="shared" si="142"/>
        <v>0</v>
      </c>
      <c r="BA75" s="94">
        <f t="shared" ref="BA75:BA106" si="172">AM75</f>
        <v>220</v>
      </c>
      <c r="BB75" s="97">
        <f t="shared" ref="BB75:BB106" si="173">VALUE("0"&amp;RIGHT(BA75,(LEN(BA75)-LEN(TRUNC(BA75)))))</f>
        <v>0</v>
      </c>
      <c r="BC75" s="93"/>
      <c r="BD75" s="93">
        <f t="shared" si="143"/>
        <v>0</v>
      </c>
      <c r="BE75" s="95">
        <f t="shared" si="144"/>
        <v>1</v>
      </c>
      <c r="BF75" s="58">
        <f t="shared" si="45"/>
        <v>0</v>
      </c>
      <c r="BG75" s="94">
        <f t="shared" si="145"/>
        <v>220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7"/>
        <v>0</v>
      </c>
      <c r="BP75" s="92">
        <f t="shared" si="167"/>
        <v>0</v>
      </c>
      <c r="BQ75" s="96">
        <f t="shared" si="146"/>
        <v>0</v>
      </c>
      <c r="BR75" s="96">
        <f t="shared" si="147"/>
        <v>0</v>
      </c>
      <c r="BS75" s="96">
        <f t="shared" si="168"/>
        <v>0</v>
      </c>
      <c r="BT75" s="96">
        <f t="shared" si="148"/>
        <v>0</v>
      </c>
      <c r="BU75" s="92">
        <f t="shared" si="122"/>
        <v>0</v>
      </c>
      <c r="BV75" s="98">
        <f t="shared" si="169"/>
        <v>0</v>
      </c>
      <c r="BW75" s="92">
        <f t="shared" si="123"/>
        <v>0</v>
      </c>
      <c r="BX75" s="98">
        <f t="shared" si="149"/>
        <v>0</v>
      </c>
      <c r="BY75" s="61">
        <f t="shared" ref="BY75:BY106" si="174">IFERROR(BF75+AL75,0)</f>
        <v>0</v>
      </c>
      <c r="BZ75" s="62">
        <f t="shared" si="150"/>
        <v>0</v>
      </c>
      <c r="CA75" s="98">
        <f t="shared" si="151"/>
        <v>0</v>
      </c>
      <c r="CB75" s="92">
        <f t="shared" si="124"/>
        <v>0</v>
      </c>
      <c r="CC75" s="92">
        <f t="shared" si="124"/>
        <v>0</v>
      </c>
      <c r="CD75" s="92">
        <f t="shared" si="124"/>
        <v>0</v>
      </c>
      <c r="CE75" s="99"/>
      <c r="CF75" s="99"/>
      <c r="CG75" s="51">
        <f t="shared" si="152"/>
        <v>0</v>
      </c>
      <c r="CH75" s="62">
        <f t="shared" si="153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101"/>
        <v>0</v>
      </c>
      <c r="CR75" s="102">
        <f t="shared" si="101"/>
        <v>0</v>
      </c>
      <c r="CS75" s="102">
        <f t="shared" si="101"/>
        <v>0</v>
      </c>
      <c r="CT75" s="92">
        <f t="shared" si="154"/>
        <v>0</v>
      </c>
      <c r="CU75" s="92">
        <f t="shared" si="102"/>
        <v>0</v>
      </c>
      <c r="CV75" s="103">
        <f t="shared" si="102"/>
        <v>0</v>
      </c>
      <c r="CW75" s="104" t="s">
        <v>147</v>
      </c>
      <c r="CX75" s="105">
        <v>11</v>
      </c>
      <c r="CY75" s="106">
        <f t="shared" si="155"/>
        <v>3043</v>
      </c>
      <c r="CZ75" s="106">
        <f t="shared" si="156"/>
        <v>44.550000000000004</v>
      </c>
      <c r="DA75" s="106"/>
      <c r="DB75" s="106"/>
      <c r="DC75" s="105"/>
      <c r="DD75" s="107"/>
      <c r="DE75" s="92">
        <f t="shared" si="125"/>
        <v>0</v>
      </c>
      <c r="DF75" s="108">
        <f t="shared" si="126"/>
        <v>0</v>
      </c>
      <c r="DG75" s="115">
        <f t="shared" si="127"/>
        <v>0</v>
      </c>
      <c r="DH75" s="110">
        <f t="shared" si="128"/>
        <v>0</v>
      </c>
      <c r="DI75" s="108">
        <f t="shared" si="129"/>
        <v>0</v>
      </c>
      <c r="DJ75" s="112">
        <f t="shared" si="130"/>
        <v>0</v>
      </c>
      <c r="DK75" s="110">
        <f t="shared" si="87"/>
        <v>0</v>
      </c>
      <c r="DL75" s="108">
        <f t="shared" si="87"/>
        <v>0</v>
      </c>
      <c r="DM75" s="111">
        <f t="shared" si="87"/>
        <v>0</v>
      </c>
      <c r="DN75" s="76">
        <f t="shared" si="157"/>
        <v>220</v>
      </c>
      <c r="DO75" s="76">
        <f t="shared" si="157"/>
        <v>0</v>
      </c>
      <c r="DP75" s="112"/>
      <c r="DQ75" s="112"/>
      <c r="DR75" s="113" t="s">
        <v>556</v>
      </c>
      <c r="DS75" s="112"/>
      <c r="DT75" s="112"/>
      <c r="DU75" s="111"/>
      <c r="DV75" s="114"/>
      <c r="DW75" s="80">
        <f t="shared" si="170"/>
        <v>0</v>
      </c>
      <c r="DX75" s="81">
        <f t="shared" si="131"/>
        <v>0</v>
      </c>
      <c r="DY75" s="80">
        <f t="shared" si="159"/>
        <v>0</v>
      </c>
      <c r="DZ75" s="82">
        <f t="shared" si="160"/>
        <v>0</v>
      </c>
      <c r="EA75" s="82">
        <f t="shared" si="161"/>
        <v>0</v>
      </c>
      <c r="EB75" s="82">
        <f t="shared" si="162"/>
        <v>0</v>
      </c>
      <c r="EC75" s="82">
        <f t="shared" si="171"/>
        <v>0</v>
      </c>
      <c r="EF75" s="83">
        <f t="shared" si="107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2"/>
        <v>GAA5052-5.7x3-H9A14</v>
      </c>
      <c r="H76" s="46" t="str">
        <f t="shared" si="133"/>
        <v>A5052GA5.70DH9</v>
      </c>
      <c r="I76" s="46" t="str">
        <f t="shared" si="134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5"/>
        <v>22</v>
      </c>
      <c r="T76" s="51">
        <f>'07.02'!BG76</f>
        <v>35</v>
      </c>
      <c r="U76" s="92"/>
      <c r="V76" s="100">
        <v>0.15</v>
      </c>
      <c r="W76" s="93">
        <f t="shared" si="114"/>
        <v>0</v>
      </c>
      <c r="X76" s="93">
        <f t="shared" si="115"/>
        <v>0</v>
      </c>
      <c r="Y76" s="93">
        <f t="shared" si="116"/>
        <v>0</v>
      </c>
      <c r="Z76" s="93">
        <f t="shared" si="117"/>
        <v>0</v>
      </c>
      <c r="AA76" s="93">
        <f t="shared" si="118"/>
        <v>0</v>
      </c>
      <c r="AB76" s="93">
        <f t="shared" si="119"/>
        <v>0</v>
      </c>
      <c r="AC76" s="93">
        <f t="shared" si="120"/>
        <v>0</v>
      </c>
      <c r="AD76" s="93">
        <f t="shared" si="121"/>
        <v>0</v>
      </c>
      <c r="AE76" s="93">
        <f t="shared" si="136"/>
        <v>0</v>
      </c>
      <c r="AF76" s="54">
        <f>AE76+'07.02'!AF76</f>
        <v>17678</v>
      </c>
      <c r="AG76" s="94">
        <f t="shared" si="163"/>
        <v>35</v>
      </c>
      <c r="AH76" s="56">
        <f t="shared" si="137"/>
        <v>0</v>
      </c>
      <c r="AI76" s="93">
        <v>7</v>
      </c>
      <c r="AJ76" s="93">
        <f t="shared" si="164"/>
        <v>0</v>
      </c>
      <c r="AK76" s="95">
        <f t="shared" si="138"/>
        <v>1</v>
      </c>
      <c r="AL76" s="58">
        <f t="shared" ref="AL76:AL108" si="175">IF(V76="","",MAX(ROUNDUP((IF(AI76+AJ76=0,0,AH76)+AI76+AK76-1),2),0))</f>
        <v>7</v>
      </c>
      <c r="AM76" s="55">
        <f t="shared" si="165"/>
        <v>28</v>
      </c>
      <c r="AN76" s="93"/>
      <c r="AO76" s="96"/>
      <c r="AP76" s="96"/>
      <c r="AQ76" s="96"/>
      <c r="AR76" s="96"/>
      <c r="AS76" s="96"/>
      <c r="AT76" s="96">
        <f>$CJ76</f>
        <v>0</v>
      </c>
      <c r="AU76" s="96">
        <f t="shared" si="139"/>
        <v>0</v>
      </c>
      <c r="AV76" s="96">
        <f t="shared" si="139"/>
        <v>0</v>
      </c>
      <c r="AW76" s="96">
        <f t="shared" si="140"/>
        <v>0</v>
      </c>
      <c r="AX76" s="96">
        <f t="shared" si="141"/>
        <v>0</v>
      </c>
      <c r="AY76" s="94">
        <f t="shared" si="166"/>
        <v>-252</v>
      </c>
      <c r="AZ76" s="94">
        <f t="shared" si="142"/>
        <v>-1680</v>
      </c>
      <c r="BA76" s="94">
        <f t="shared" si="172"/>
        <v>28</v>
      </c>
      <c r="BB76" s="97">
        <f t="shared" si="173"/>
        <v>0</v>
      </c>
      <c r="BC76" s="93">
        <v>7</v>
      </c>
      <c r="BD76" s="93">
        <f t="shared" si="143"/>
        <v>0</v>
      </c>
      <c r="BE76" s="95">
        <f t="shared" si="144"/>
        <v>1</v>
      </c>
      <c r="BF76" s="58">
        <f t="shared" si="45"/>
        <v>7</v>
      </c>
      <c r="BG76" s="94">
        <f t="shared" si="145"/>
        <v>21</v>
      </c>
      <c r="BH76" s="89"/>
      <c r="BI76" s="89"/>
      <c r="BJ76" s="92"/>
      <c r="BK76" s="89"/>
      <c r="BL76" s="89"/>
      <c r="BM76" s="89"/>
      <c r="BN76" s="92">
        <f>$CN76</f>
        <v>0</v>
      </c>
      <c r="BO76" s="92">
        <f t="shared" si="167"/>
        <v>0</v>
      </c>
      <c r="BP76" s="92">
        <f t="shared" si="167"/>
        <v>0</v>
      </c>
      <c r="BQ76" s="96">
        <f t="shared" si="146"/>
        <v>0</v>
      </c>
      <c r="BR76" s="96">
        <f t="shared" si="147"/>
        <v>0</v>
      </c>
      <c r="BS76" s="96">
        <f t="shared" si="168"/>
        <v>-252</v>
      </c>
      <c r="BT76" s="96">
        <f t="shared" si="148"/>
        <v>-1680</v>
      </c>
      <c r="BU76" s="92">
        <f t="shared" si="122"/>
        <v>0</v>
      </c>
      <c r="BV76" s="98">
        <f t="shared" si="169"/>
        <v>14</v>
      </c>
      <c r="BW76" s="92">
        <f t="shared" si="123"/>
        <v>-3360</v>
      </c>
      <c r="BX76" s="98">
        <f t="shared" si="149"/>
        <v>2.8559999999999999</v>
      </c>
      <c r="BY76" s="61">
        <f>IFERROR(BF76+AL76,0)</f>
        <v>14</v>
      </c>
      <c r="BZ76" s="62">
        <f t="shared" si="150"/>
        <v>14</v>
      </c>
      <c r="CA76" s="98">
        <f t="shared" si="151"/>
        <v>0</v>
      </c>
      <c r="CB76" s="92">
        <f t="shared" si="124"/>
        <v>0</v>
      </c>
      <c r="CC76" s="92">
        <f t="shared" si="124"/>
        <v>-504</v>
      </c>
      <c r="CD76" s="92">
        <f t="shared" si="124"/>
        <v>-3360</v>
      </c>
      <c r="CE76" s="99"/>
      <c r="CF76" s="99"/>
      <c r="CG76" s="51">
        <f t="shared" si="152"/>
        <v>2.8559999999999999</v>
      </c>
      <c r="CH76" s="62">
        <f t="shared" si="153"/>
        <v>2.8559999999999999</v>
      </c>
      <c r="CI76" s="89"/>
      <c r="CJ76" s="89"/>
      <c r="CK76" s="89"/>
      <c r="CL76" s="96"/>
      <c r="CM76" s="89"/>
      <c r="CN76" s="89"/>
      <c r="CO76" s="92"/>
      <c r="CP76" s="101"/>
      <c r="CQ76" s="102">
        <f t="shared" si="101"/>
        <v>0</v>
      </c>
      <c r="CR76" s="102">
        <f t="shared" si="101"/>
        <v>0</v>
      </c>
      <c r="CS76" s="102">
        <f t="shared" si="101"/>
        <v>0</v>
      </c>
      <c r="CT76" s="92">
        <f t="shared" si="154"/>
        <v>0</v>
      </c>
      <c r="CU76" s="92">
        <f t="shared" si="102"/>
        <v>0</v>
      </c>
      <c r="CV76" s="103">
        <f t="shared" si="102"/>
        <v>0</v>
      </c>
      <c r="CW76" s="104" t="s">
        <v>147</v>
      </c>
      <c r="CX76" s="105">
        <v>16</v>
      </c>
      <c r="CY76" s="106">
        <f t="shared" si="155"/>
        <v>2565</v>
      </c>
      <c r="CZ76" s="106">
        <f t="shared" si="156"/>
        <v>64.800000000000011</v>
      </c>
      <c r="DA76" s="106"/>
      <c r="DB76" s="106"/>
      <c r="DC76" s="105"/>
      <c r="DD76" s="107"/>
      <c r="DE76" s="92">
        <f t="shared" si="125"/>
        <v>0</v>
      </c>
      <c r="DF76" s="108">
        <f t="shared" si="126"/>
        <v>7</v>
      </c>
      <c r="DG76" s="115">
        <f t="shared" si="127"/>
        <v>-1680</v>
      </c>
      <c r="DH76" s="110">
        <f t="shared" si="128"/>
        <v>0</v>
      </c>
      <c r="DI76" s="108">
        <f t="shared" si="129"/>
        <v>7</v>
      </c>
      <c r="DJ76" s="112">
        <f t="shared" si="130"/>
        <v>-1680</v>
      </c>
      <c r="DK76" s="110">
        <f t="shared" si="87"/>
        <v>0</v>
      </c>
      <c r="DL76" s="108">
        <f t="shared" si="87"/>
        <v>14</v>
      </c>
      <c r="DM76" s="111">
        <f t="shared" si="87"/>
        <v>-3360</v>
      </c>
      <c r="DN76" s="76">
        <f t="shared" si="157"/>
        <v>35</v>
      </c>
      <c r="DO76" s="76">
        <f t="shared" si="157"/>
        <v>0</v>
      </c>
      <c r="DP76" s="112"/>
      <c r="DQ76" s="112"/>
      <c r="DR76" s="113" t="s">
        <v>557</v>
      </c>
      <c r="DS76" s="112"/>
      <c r="DT76" s="112"/>
      <c r="DU76" s="111"/>
      <c r="DV76" s="114"/>
      <c r="DW76" s="80">
        <f t="shared" si="170"/>
        <v>14</v>
      </c>
      <c r="DX76" s="81">
        <f t="shared" si="131"/>
        <v>-3346</v>
      </c>
      <c r="DY76" s="80">
        <f t="shared" si="159"/>
        <v>0</v>
      </c>
      <c r="DZ76" s="82">
        <f t="shared" si="160"/>
        <v>0</v>
      </c>
      <c r="EA76" s="82">
        <f t="shared" si="161"/>
        <v>0</v>
      </c>
      <c r="EB76" s="82">
        <f t="shared" si="162"/>
        <v>2.8559999999999999</v>
      </c>
      <c r="EC76" s="82">
        <f t="shared" si="76"/>
        <v>2.8559999999999999</v>
      </c>
      <c r="EF76" s="83">
        <f t="shared" si="107"/>
        <v>-3360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2"/>
        <v>GAA5052-5.7x3-H9A14</v>
      </c>
      <c r="H77" s="46" t="str">
        <f t="shared" si="133"/>
        <v>A5052GA5.70DH9</v>
      </c>
      <c r="I77" s="46" t="str">
        <f t="shared" si="134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5"/>
        <v>16</v>
      </c>
      <c r="T77" s="51">
        <f>'07.02'!BG77</f>
        <v>26</v>
      </c>
      <c r="U77" s="92"/>
      <c r="V77" s="100">
        <v>0.15</v>
      </c>
      <c r="W77" s="93">
        <f t="shared" si="114"/>
        <v>0</v>
      </c>
      <c r="X77" s="93">
        <f t="shared" si="115"/>
        <v>0</v>
      </c>
      <c r="Y77" s="93">
        <f t="shared" si="116"/>
        <v>0</v>
      </c>
      <c r="Z77" s="93">
        <f t="shared" si="117"/>
        <v>0</v>
      </c>
      <c r="AA77" s="93">
        <f t="shared" si="118"/>
        <v>0</v>
      </c>
      <c r="AB77" s="93">
        <f t="shared" si="119"/>
        <v>0</v>
      </c>
      <c r="AC77" s="93">
        <f t="shared" si="120"/>
        <v>0</v>
      </c>
      <c r="AD77" s="93">
        <f t="shared" si="121"/>
        <v>0</v>
      </c>
      <c r="AE77" s="93">
        <f t="shared" si="136"/>
        <v>0</v>
      </c>
      <c r="AF77" s="54">
        <f>AE77+'07.02'!AF77</f>
        <v>16232</v>
      </c>
      <c r="AG77" s="94">
        <f t="shared" si="163"/>
        <v>26</v>
      </c>
      <c r="AH77" s="56">
        <f t="shared" si="137"/>
        <v>0</v>
      </c>
      <c r="AI77" s="93">
        <v>7</v>
      </c>
      <c r="AJ77" s="93">
        <f t="shared" si="164"/>
        <v>0</v>
      </c>
      <c r="AK77" s="95">
        <f t="shared" si="138"/>
        <v>1</v>
      </c>
      <c r="AL77" s="58">
        <f t="shared" si="175"/>
        <v>7</v>
      </c>
      <c r="AM77" s="55">
        <f t="shared" si="165"/>
        <v>19</v>
      </c>
      <c r="AN77" s="93"/>
      <c r="AO77" s="96"/>
      <c r="AP77" s="96"/>
      <c r="AQ77" s="96"/>
      <c r="AR77" s="96"/>
      <c r="AS77" s="96"/>
      <c r="AT77" s="96">
        <f>$CJ77</f>
        <v>0</v>
      </c>
      <c r="AU77" s="96">
        <f t="shared" si="139"/>
        <v>0</v>
      </c>
      <c r="AV77" s="96">
        <f t="shared" si="139"/>
        <v>0</v>
      </c>
      <c r="AW77" s="96">
        <f t="shared" si="140"/>
        <v>0</v>
      </c>
      <c r="AX77" s="96">
        <f t="shared" si="141"/>
        <v>0</v>
      </c>
      <c r="AY77" s="94">
        <f t="shared" si="166"/>
        <v>-252</v>
      </c>
      <c r="AZ77" s="94">
        <f t="shared" si="142"/>
        <v>-1680</v>
      </c>
      <c r="BA77" s="94">
        <f t="shared" si="172"/>
        <v>19</v>
      </c>
      <c r="BB77" s="97">
        <f t="shared" si="173"/>
        <v>0</v>
      </c>
      <c r="BC77" s="93">
        <v>6</v>
      </c>
      <c r="BD77" s="93">
        <f t="shared" si="143"/>
        <v>0</v>
      </c>
      <c r="BE77" s="95">
        <f t="shared" si="144"/>
        <v>1</v>
      </c>
      <c r="BF77" s="58">
        <f t="shared" ref="BF77:BF106" si="176">IF(V77="","",MAX(ROUNDUP((IF(BC77+BD77=0,0,BB77)+BC77+BE77-1),2),0))</f>
        <v>6</v>
      </c>
      <c r="BG77" s="94">
        <f t="shared" si="145"/>
        <v>13</v>
      </c>
      <c r="BH77" s="89"/>
      <c r="BI77" s="89"/>
      <c r="BJ77" s="89"/>
      <c r="BK77" s="89"/>
      <c r="BL77" s="89"/>
      <c r="BM77" s="89"/>
      <c r="BN77" s="92">
        <f>$CN77</f>
        <v>0</v>
      </c>
      <c r="BO77" s="92">
        <f t="shared" si="167"/>
        <v>0</v>
      </c>
      <c r="BP77" s="92">
        <f t="shared" si="167"/>
        <v>0</v>
      </c>
      <c r="BQ77" s="96">
        <f t="shared" si="146"/>
        <v>0</v>
      </c>
      <c r="BR77" s="96">
        <f t="shared" si="147"/>
        <v>0</v>
      </c>
      <c r="BS77" s="96">
        <f t="shared" si="168"/>
        <v>-216</v>
      </c>
      <c r="BT77" s="96">
        <f t="shared" si="148"/>
        <v>-1440</v>
      </c>
      <c r="BU77" s="92">
        <f t="shared" si="122"/>
        <v>0</v>
      </c>
      <c r="BV77" s="98">
        <f t="shared" si="169"/>
        <v>13</v>
      </c>
      <c r="BW77" s="92">
        <f t="shared" si="123"/>
        <v>-3120</v>
      </c>
      <c r="BX77" s="98">
        <f t="shared" si="149"/>
        <v>2.6519999999999997</v>
      </c>
      <c r="BY77" s="61">
        <f t="shared" si="174"/>
        <v>13</v>
      </c>
      <c r="BZ77" s="62">
        <f t="shared" si="150"/>
        <v>13</v>
      </c>
      <c r="CA77" s="98">
        <f t="shared" si="151"/>
        <v>0</v>
      </c>
      <c r="CB77" s="92">
        <f t="shared" si="124"/>
        <v>0</v>
      </c>
      <c r="CC77" s="92">
        <f t="shared" si="124"/>
        <v>-468</v>
      </c>
      <c r="CD77" s="92">
        <f t="shared" si="124"/>
        <v>-3120</v>
      </c>
      <c r="CE77" s="99"/>
      <c r="CF77" s="99"/>
      <c r="CG77" s="51">
        <f t="shared" si="152"/>
        <v>2.6519999999999997</v>
      </c>
      <c r="CH77" s="62">
        <f t="shared" si="153"/>
        <v>2.6519999999999997</v>
      </c>
      <c r="CI77" s="89"/>
      <c r="CJ77" s="89"/>
      <c r="CK77" s="89"/>
      <c r="CL77" s="96"/>
      <c r="CM77" s="89"/>
      <c r="CN77" s="89"/>
      <c r="CO77" s="92"/>
      <c r="CP77" s="101"/>
      <c r="CQ77" s="102">
        <f t="shared" si="101"/>
        <v>0</v>
      </c>
      <c r="CR77" s="102">
        <f t="shared" si="101"/>
        <v>0</v>
      </c>
      <c r="CS77" s="102">
        <f t="shared" si="101"/>
        <v>0</v>
      </c>
      <c r="CT77" s="92">
        <f t="shared" si="154"/>
        <v>0</v>
      </c>
      <c r="CU77" s="92">
        <f t="shared" si="102"/>
        <v>0</v>
      </c>
      <c r="CV77" s="103">
        <f t="shared" si="102"/>
        <v>0</v>
      </c>
      <c r="CW77" s="104" t="s">
        <v>147</v>
      </c>
      <c r="CX77" s="105">
        <v>21.26</v>
      </c>
      <c r="CY77" s="106">
        <f t="shared" si="155"/>
        <v>1955</v>
      </c>
      <c r="CZ77" s="106">
        <f t="shared" si="156"/>
        <v>86.103000000000023</v>
      </c>
      <c r="DA77" s="106"/>
      <c r="DB77" s="106"/>
      <c r="DC77" s="105"/>
      <c r="DD77" s="107"/>
      <c r="DE77" s="92">
        <f t="shared" si="125"/>
        <v>0</v>
      </c>
      <c r="DF77" s="108">
        <f t="shared" si="126"/>
        <v>7</v>
      </c>
      <c r="DG77" s="115">
        <f t="shared" si="127"/>
        <v>-1680</v>
      </c>
      <c r="DH77" s="110">
        <f t="shared" si="128"/>
        <v>0</v>
      </c>
      <c r="DI77" s="108">
        <f t="shared" si="129"/>
        <v>6</v>
      </c>
      <c r="DJ77" s="112">
        <f t="shared" si="130"/>
        <v>-1440</v>
      </c>
      <c r="DK77" s="110">
        <f t="shared" si="87"/>
        <v>0</v>
      </c>
      <c r="DL77" s="108">
        <f t="shared" si="87"/>
        <v>13</v>
      </c>
      <c r="DM77" s="111">
        <f t="shared" si="87"/>
        <v>-3120</v>
      </c>
      <c r="DN77" s="76">
        <f t="shared" si="157"/>
        <v>26</v>
      </c>
      <c r="DO77" s="76">
        <f t="shared" si="157"/>
        <v>0</v>
      </c>
      <c r="DP77" s="112"/>
      <c r="DQ77" s="112"/>
      <c r="DR77" s="113" t="s">
        <v>558</v>
      </c>
      <c r="DS77" s="112"/>
      <c r="DT77" s="112"/>
      <c r="DU77" s="111"/>
      <c r="DV77" s="114"/>
      <c r="DW77" s="80">
        <f t="shared" si="158"/>
        <v>13</v>
      </c>
      <c r="DX77" s="81">
        <f t="shared" si="131"/>
        <v>-3107</v>
      </c>
      <c r="DY77" s="80">
        <f t="shared" si="159"/>
        <v>0</v>
      </c>
      <c r="DZ77" s="82">
        <f t="shared" si="160"/>
        <v>0</v>
      </c>
      <c r="EA77" s="82">
        <f t="shared" si="161"/>
        <v>0</v>
      </c>
      <c r="EB77" s="82">
        <f t="shared" si="162"/>
        <v>2.6519999999999997</v>
      </c>
      <c r="EC77" s="82">
        <f t="shared" si="76"/>
        <v>2.6519999999999997</v>
      </c>
      <c r="EF77" s="83">
        <f t="shared" si="107"/>
        <v>-3120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2"/>
        <v>TTS22C-2x2-H9A12</v>
      </c>
      <c r="H78" s="46" t="str">
        <f t="shared" si="133"/>
        <v>S22CTT20DH9</v>
      </c>
      <c r="I78" s="46" t="str">
        <f t="shared" si="134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5"/>
        <v>16</v>
      </c>
      <c r="T78" s="51">
        <f>'07.02'!BG78</f>
        <v>29</v>
      </c>
      <c r="U78" s="92"/>
      <c r="V78" s="100">
        <v>3.5000000000000003E-2</v>
      </c>
      <c r="W78" s="93">
        <f t="shared" si="114"/>
        <v>0</v>
      </c>
      <c r="X78" s="93">
        <f t="shared" si="115"/>
        <v>0</v>
      </c>
      <c r="Y78" s="93">
        <f t="shared" si="116"/>
        <v>0</v>
      </c>
      <c r="Z78" s="93">
        <f t="shared" si="117"/>
        <v>0</v>
      </c>
      <c r="AA78" s="93">
        <f t="shared" si="118"/>
        <v>0</v>
      </c>
      <c r="AB78" s="93">
        <f t="shared" si="119"/>
        <v>0</v>
      </c>
      <c r="AC78" s="93">
        <f t="shared" si="120"/>
        <v>0</v>
      </c>
      <c r="AD78" s="93">
        <f t="shared" si="121"/>
        <v>0</v>
      </c>
      <c r="AE78" s="93">
        <f t="shared" si="136"/>
        <v>0</v>
      </c>
      <c r="AF78" s="54">
        <f>AE78+'07.02'!AF78</f>
        <v>45710</v>
      </c>
      <c r="AG78" s="94">
        <f t="shared" si="163"/>
        <v>29</v>
      </c>
      <c r="AH78" s="56">
        <f t="shared" si="137"/>
        <v>0</v>
      </c>
      <c r="AI78" s="93"/>
      <c r="AJ78" s="93">
        <f t="shared" si="164"/>
        <v>0</v>
      </c>
      <c r="AK78" s="95">
        <f t="shared" si="138"/>
        <v>1</v>
      </c>
      <c r="AL78" s="58">
        <f t="shared" si="175"/>
        <v>0</v>
      </c>
      <c r="AM78" s="55">
        <f t="shared" si="165"/>
        <v>29</v>
      </c>
      <c r="AN78" s="93"/>
      <c r="AO78" s="96"/>
      <c r="AP78" s="96"/>
      <c r="AQ78" s="96"/>
      <c r="AR78" s="96">
        <f>$CJ78</f>
        <v>0</v>
      </c>
      <c r="AS78" s="96"/>
      <c r="AT78" s="96"/>
      <c r="AU78" s="96">
        <f t="shared" si="139"/>
        <v>0</v>
      </c>
      <c r="AV78" s="96">
        <f t="shared" si="139"/>
        <v>0</v>
      </c>
      <c r="AW78" s="96">
        <f t="shared" si="140"/>
        <v>0</v>
      </c>
      <c r="AX78" s="96">
        <f t="shared" si="141"/>
        <v>0</v>
      </c>
      <c r="AY78" s="94">
        <f t="shared" si="166"/>
        <v>0</v>
      </c>
      <c r="AZ78" s="94">
        <f t="shared" si="142"/>
        <v>0</v>
      </c>
      <c r="BA78" s="94">
        <f t="shared" si="172"/>
        <v>29</v>
      </c>
      <c r="BB78" s="97">
        <f t="shared" si="173"/>
        <v>0</v>
      </c>
      <c r="BC78" s="93"/>
      <c r="BD78" s="93">
        <f t="shared" si="143"/>
        <v>0</v>
      </c>
      <c r="BE78" s="95">
        <f t="shared" si="144"/>
        <v>1</v>
      </c>
      <c r="BF78" s="58">
        <f t="shared" si="176"/>
        <v>0</v>
      </c>
      <c r="BG78" s="94">
        <f t="shared" si="145"/>
        <v>29</v>
      </c>
      <c r="BH78" s="89"/>
      <c r="BI78" s="89"/>
      <c r="BJ78" s="89"/>
      <c r="BK78" s="89"/>
      <c r="BL78" s="92">
        <f>$CN78</f>
        <v>0</v>
      </c>
      <c r="BM78" s="89"/>
      <c r="BN78" s="89"/>
      <c r="BO78" s="92">
        <f t="shared" si="167"/>
        <v>0</v>
      </c>
      <c r="BP78" s="92">
        <f t="shared" si="167"/>
        <v>0</v>
      </c>
      <c r="BQ78" s="96">
        <f t="shared" si="146"/>
        <v>0</v>
      </c>
      <c r="BR78" s="96">
        <f t="shared" si="147"/>
        <v>0</v>
      </c>
      <c r="BS78" s="96">
        <f t="shared" si="168"/>
        <v>0</v>
      </c>
      <c r="BT78" s="96">
        <f t="shared" si="148"/>
        <v>0</v>
      </c>
      <c r="BU78" s="92">
        <f t="shared" si="122"/>
        <v>0</v>
      </c>
      <c r="BV78" s="98">
        <f t="shared" si="169"/>
        <v>0</v>
      </c>
      <c r="BW78" s="92">
        <f t="shared" si="123"/>
        <v>0</v>
      </c>
      <c r="BX78" s="98" t="str">
        <f t="shared" si="149"/>
        <v/>
      </c>
      <c r="BY78" s="61">
        <f t="shared" si="174"/>
        <v>0</v>
      </c>
      <c r="BZ78" s="62">
        <f t="shared" si="150"/>
        <v>0</v>
      </c>
      <c r="CA78" s="98">
        <f t="shared" si="151"/>
        <v>0</v>
      </c>
      <c r="CB78" s="92">
        <f t="shared" si="124"/>
        <v>0</v>
      </c>
      <c r="CC78" s="92">
        <f t="shared" si="124"/>
        <v>0</v>
      </c>
      <c r="CD78" s="92">
        <f t="shared" si="124"/>
        <v>0</v>
      </c>
      <c r="CE78" s="99"/>
      <c r="CF78" s="99"/>
      <c r="CG78" s="51">
        <f t="shared" si="152"/>
        <v>0</v>
      </c>
      <c r="CH78" s="62">
        <f t="shared" si="153"/>
        <v>0</v>
      </c>
      <c r="CI78" s="89"/>
      <c r="CJ78" s="89"/>
      <c r="CK78" s="89"/>
      <c r="CL78" s="96"/>
      <c r="CM78" s="89"/>
      <c r="CN78" s="89"/>
      <c r="CO78" s="92"/>
      <c r="CP78" s="101"/>
      <c r="CQ78" s="102">
        <f t="shared" si="101"/>
        <v>0</v>
      </c>
      <c r="CR78" s="102">
        <f t="shared" si="101"/>
        <v>0</v>
      </c>
      <c r="CS78" s="102">
        <f t="shared" si="101"/>
        <v>0</v>
      </c>
      <c r="CT78" s="92">
        <f t="shared" si="154"/>
        <v>0</v>
      </c>
      <c r="CU78" s="92">
        <f t="shared" si="102"/>
        <v>0</v>
      </c>
      <c r="CV78" s="103">
        <f t="shared" si="102"/>
        <v>0</v>
      </c>
      <c r="CW78" s="104" t="s">
        <v>147</v>
      </c>
      <c r="CX78" s="105">
        <v>9.85</v>
      </c>
      <c r="CY78" s="106">
        <f t="shared" si="155"/>
        <v>4221</v>
      </c>
      <c r="CZ78" s="106">
        <f t="shared" si="156"/>
        <v>39.892499999999998</v>
      </c>
      <c r="DA78" s="106"/>
      <c r="DB78" s="106"/>
      <c r="DC78" s="105"/>
      <c r="DD78" s="107"/>
      <c r="DE78" s="92">
        <f t="shared" si="125"/>
        <v>0</v>
      </c>
      <c r="DF78" s="108">
        <f t="shared" si="126"/>
        <v>0</v>
      </c>
      <c r="DG78" s="115">
        <f t="shared" si="127"/>
        <v>0</v>
      </c>
      <c r="DH78" s="110">
        <f t="shared" si="128"/>
        <v>0</v>
      </c>
      <c r="DI78" s="108">
        <f t="shared" si="129"/>
        <v>0</v>
      </c>
      <c r="DJ78" s="115">
        <f t="shared" si="130"/>
        <v>0</v>
      </c>
      <c r="DK78" s="110">
        <f t="shared" si="87"/>
        <v>0</v>
      </c>
      <c r="DL78" s="108">
        <f t="shared" si="87"/>
        <v>0</v>
      </c>
      <c r="DM78" s="111">
        <f t="shared" si="87"/>
        <v>0</v>
      </c>
      <c r="DN78" s="76">
        <f t="shared" si="157"/>
        <v>29</v>
      </c>
      <c r="DO78" s="76">
        <f t="shared" si="157"/>
        <v>0</v>
      </c>
      <c r="DP78" s="112"/>
      <c r="DQ78" s="112"/>
      <c r="DR78" s="113" t="s">
        <v>559</v>
      </c>
      <c r="DS78" s="112"/>
      <c r="DT78" s="112"/>
      <c r="DU78" s="111"/>
      <c r="DV78" s="114"/>
      <c r="DW78" s="80">
        <f t="shared" si="158"/>
        <v>0</v>
      </c>
      <c r="DX78" s="81">
        <f t="shared" si="131"/>
        <v>0</v>
      </c>
      <c r="DY78" s="80">
        <f t="shared" si="159"/>
        <v>0</v>
      </c>
      <c r="DZ78" s="82">
        <f t="shared" si="160"/>
        <v>0</v>
      </c>
      <c r="EA78" s="82">
        <f t="shared" si="161"/>
        <v>0</v>
      </c>
      <c r="EB78" s="82" t="e">
        <f t="shared" si="162"/>
        <v>#VALUE!</v>
      </c>
      <c r="EC78" s="82" t="e">
        <f t="shared" si="76"/>
        <v>#VALUE!</v>
      </c>
      <c r="EF78" s="83">
        <f t="shared" si="107"/>
        <v>0</v>
      </c>
    </row>
    <row r="79" spans="1:136" ht="15" hidden="1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2"/>
        <v>IBC3604-6x3-H9B13</v>
      </c>
      <c r="H79" s="46" t="str">
        <f t="shared" si="133"/>
        <v>C3604IB60DH9</v>
      </c>
      <c r="I79" s="46" t="str">
        <f t="shared" si="134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5"/>
        <v>10</v>
      </c>
      <c r="T79" s="51">
        <f>'07.02'!BG79</f>
        <v>0</v>
      </c>
      <c r="U79" s="92"/>
      <c r="V79" s="100">
        <v>0.67</v>
      </c>
      <c r="W79" s="93">
        <f t="shared" si="114"/>
        <v>0</v>
      </c>
      <c r="X79" s="93">
        <f t="shared" si="115"/>
        <v>0</v>
      </c>
      <c r="Y79" s="93">
        <f t="shared" si="116"/>
        <v>0</v>
      </c>
      <c r="Z79" s="93">
        <f t="shared" si="117"/>
        <v>0</v>
      </c>
      <c r="AA79" s="93">
        <f t="shared" si="118"/>
        <v>0</v>
      </c>
      <c r="AB79" s="93">
        <f t="shared" si="119"/>
        <v>0</v>
      </c>
      <c r="AC79" s="93">
        <f t="shared" si="120"/>
        <v>0</v>
      </c>
      <c r="AD79" s="93">
        <f t="shared" si="121"/>
        <v>0</v>
      </c>
      <c r="AE79" s="93">
        <f t="shared" si="136"/>
        <v>0</v>
      </c>
      <c r="AF79" s="54">
        <f>AE79+'07.02'!AF79</f>
        <v>0</v>
      </c>
      <c r="AG79" s="94">
        <f t="shared" si="163"/>
        <v>0</v>
      </c>
      <c r="AH79" s="56">
        <f t="shared" si="137"/>
        <v>0</v>
      </c>
      <c r="AI79" s="93"/>
      <c r="AJ79" s="93">
        <f t="shared" si="164"/>
        <v>0</v>
      </c>
      <c r="AK79" s="95">
        <f t="shared" si="138"/>
        <v>1</v>
      </c>
      <c r="AL79" s="58">
        <f t="shared" si="175"/>
        <v>0</v>
      </c>
      <c r="AM79" s="55">
        <f t="shared" si="165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39"/>
        <v>0</v>
      </c>
      <c r="AV79" s="96">
        <f t="shared" si="139"/>
        <v>0</v>
      </c>
      <c r="AW79" s="96">
        <f t="shared" si="140"/>
        <v>0</v>
      </c>
      <c r="AX79" s="96">
        <f t="shared" si="141"/>
        <v>0</v>
      </c>
      <c r="AY79" s="94">
        <f t="shared" si="166"/>
        <v>0</v>
      </c>
      <c r="AZ79" s="94">
        <f t="shared" si="142"/>
        <v>0</v>
      </c>
      <c r="BA79" s="94">
        <f t="shared" si="172"/>
        <v>0</v>
      </c>
      <c r="BB79" s="97">
        <f t="shared" si="173"/>
        <v>0</v>
      </c>
      <c r="BC79" s="93"/>
      <c r="BD79" s="93">
        <f t="shared" si="143"/>
        <v>0</v>
      </c>
      <c r="BE79" s="95">
        <f t="shared" si="144"/>
        <v>1</v>
      </c>
      <c r="BF79" s="58">
        <f t="shared" si="176"/>
        <v>0</v>
      </c>
      <c r="BG79" s="94">
        <f t="shared" si="145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7"/>
        <v>0</v>
      </c>
      <c r="BP79" s="92">
        <f t="shared" si="167"/>
        <v>0</v>
      </c>
      <c r="BQ79" s="96">
        <f t="shared" si="146"/>
        <v>0</v>
      </c>
      <c r="BR79" s="96">
        <f t="shared" si="147"/>
        <v>0</v>
      </c>
      <c r="BS79" s="96">
        <f t="shared" si="168"/>
        <v>0</v>
      </c>
      <c r="BT79" s="96">
        <f t="shared" si="148"/>
        <v>0</v>
      </c>
      <c r="BU79" s="92">
        <f t="shared" si="122"/>
        <v>0</v>
      </c>
      <c r="BV79" s="98">
        <f t="shared" si="169"/>
        <v>0</v>
      </c>
      <c r="BW79" s="92">
        <f t="shared" si="123"/>
        <v>0</v>
      </c>
      <c r="BX79" s="98">
        <f t="shared" si="149"/>
        <v>0</v>
      </c>
      <c r="BY79" s="61">
        <f t="shared" si="174"/>
        <v>0</v>
      </c>
      <c r="BZ79" s="62">
        <f t="shared" si="150"/>
        <v>0</v>
      </c>
      <c r="CA79" s="98">
        <f t="shared" si="151"/>
        <v>0</v>
      </c>
      <c r="CB79" s="92">
        <f t="shared" si="124"/>
        <v>0</v>
      </c>
      <c r="CC79" s="92">
        <f t="shared" si="124"/>
        <v>0</v>
      </c>
      <c r="CD79" s="92">
        <f t="shared" si="124"/>
        <v>0</v>
      </c>
      <c r="CE79" s="99"/>
      <c r="CF79" s="99"/>
      <c r="CG79" s="51">
        <f t="shared" si="152"/>
        <v>0</v>
      </c>
      <c r="CH79" s="62">
        <f t="shared" si="153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101"/>
        <v>0</v>
      </c>
      <c r="CR79" s="102">
        <f t="shared" si="101"/>
        <v>0</v>
      </c>
      <c r="CS79" s="102">
        <f t="shared" si="101"/>
        <v>0</v>
      </c>
      <c r="CT79" s="92">
        <f t="shared" si="154"/>
        <v>0</v>
      </c>
      <c r="CU79" s="92">
        <f t="shared" si="102"/>
        <v>0</v>
      </c>
      <c r="CV79" s="103">
        <f t="shared" si="102"/>
        <v>0</v>
      </c>
      <c r="CW79" s="104" t="s">
        <v>147</v>
      </c>
      <c r="CX79" s="105">
        <v>20</v>
      </c>
      <c r="CY79" s="106">
        <f t="shared" si="155"/>
        <v>2106</v>
      </c>
      <c r="CZ79" s="106">
        <f t="shared" si="156"/>
        <v>81</v>
      </c>
      <c r="DA79" s="106"/>
      <c r="DB79" s="106"/>
      <c r="DC79" s="105"/>
      <c r="DD79" s="107"/>
      <c r="DE79" s="92">
        <f t="shared" si="125"/>
        <v>0</v>
      </c>
      <c r="DF79" s="108">
        <f t="shared" si="126"/>
        <v>0</v>
      </c>
      <c r="DG79" s="115">
        <f t="shared" si="127"/>
        <v>0</v>
      </c>
      <c r="DH79" s="110">
        <f t="shared" si="128"/>
        <v>0</v>
      </c>
      <c r="DI79" s="108">
        <f t="shared" si="129"/>
        <v>0</v>
      </c>
      <c r="DJ79" s="112">
        <f t="shared" si="130"/>
        <v>0</v>
      </c>
      <c r="DK79" s="110">
        <f t="shared" si="87"/>
        <v>0</v>
      </c>
      <c r="DL79" s="108">
        <f t="shared" si="87"/>
        <v>0</v>
      </c>
      <c r="DM79" s="111">
        <f t="shared" si="87"/>
        <v>0</v>
      </c>
      <c r="DN79" s="76">
        <f t="shared" si="157"/>
        <v>0</v>
      </c>
      <c r="DO79" s="76">
        <f t="shared" si="157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8"/>
        <v>0</v>
      </c>
      <c r="DX79" s="81">
        <f t="shared" si="131"/>
        <v>0</v>
      </c>
      <c r="DY79" s="80">
        <f t="shared" si="159"/>
        <v>0</v>
      </c>
      <c r="DZ79" s="82">
        <f t="shared" si="160"/>
        <v>0</v>
      </c>
      <c r="EA79" s="82">
        <f t="shared" si="161"/>
        <v>0</v>
      </c>
      <c r="EB79" s="82">
        <f t="shared" si="162"/>
        <v>0</v>
      </c>
      <c r="EC79" s="82">
        <f t="shared" ref="EC79:EC82" si="177">(BX79-CA79)+((AV79+BP79)/1000)</f>
        <v>0</v>
      </c>
      <c r="EF79" s="83">
        <f t="shared" si="107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2"/>
        <v>YHC2700-5.5x3-H9A14</v>
      </c>
      <c r="H80" s="46" t="str">
        <f t="shared" si="133"/>
        <v>C2700YH5.50DH9</v>
      </c>
      <c r="I80" s="46" t="str">
        <f t="shared" si="134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5"/>
        <v>46</v>
      </c>
      <c r="T80" s="51">
        <f>'07.02'!BG80</f>
        <v>34</v>
      </c>
      <c r="U80" s="92"/>
      <c r="V80" s="100">
        <v>1.1000000000000001</v>
      </c>
      <c r="W80" s="93">
        <f t="shared" si="114"/>
        <v>0</v>
      </c>
      <c r="X80" s="93">
        <f t="shared" si="115"/>
        <v>0</v>
      </c>
      <c r="Y80" s="93">
        <f t="shared" si="116"/>
        <v>0</v>
      </c>
      <c r="Z80" s="93">
        <f t="shared" si="117"/>
        <v>0</v>
      </c>
      <c r="AA80" s="93">
        <f t="shared" si="118"/>
        <v>0</v>
      </c>
      <c r="AB80" s="93">
        <f t="shared" si="119"/>
        <v>0</v>
      </c>
      <c r="AC80" s="93">
        <f t="shared" si="120"/>
        <v>0</v>
      </c>
      <c r="AD80" s="93">
        <f t="shared" si="121"/>
        <v>0</v>
      </c>
      <c r="AE80" s="93">
        <f t="shared" si="136"/>
        <v>0</v>
      </c>
      <c r="AF80" s="54">
        <f>AE80+'07.02'!AF80</f>
        <v>17558</v>
      </c>
      <c r="AG80" s="94">
        <f t="shared" si="163"/>
        <v>34</v>
      </c>
      <c r="AH80" s="56">
        <f t="shared" si="137"/>
        <v>0</v>
      </c>
      <c r="AI80" s="93">
        <v>9</v>
      </c>
      <c r="AJ80" s="93">
        <f t="shared" si="164"/>
        <v>0</v>
      </c>
      <c r="AK80" s="95">
        <f t="shared" si="138"/>
        <v>1</v>
      </c>
      <c r="AL80" s="58">
        <f t="shared" si="175"/>
        <v>9</v>
      </c>
      <c r="AM80" s="55">
        <f t="shared" si="165"/>
        <v>25</v>
      </c>
      <c r="AN80" s="93"/>
      <c r="AO80" s="96"/>
      <c r="AP80" s="96">
        <f>$CJ80</f>
        <v>0</v>
      </c>
      <c r="AQ80" s="96"/>
      <c r="AR80" s="96"/>
      <c r="AS80" s="96"/>
      <c r="AT80" s="96"/>
      <c r="AU80" s="96">
        <f t="shared" si="139"/>
        <v>0</v>
      </c>
      <c r="AV80" s="96">
        <f t="shared" si="139"/>
        <v>0</v>
      </c>
      <c r="AW80" s="96">
        <f t="shared" si="140"/>
        <v>0</v>
      </c>
      <c r="AX80" s="96">
        <f t="shared" si="141"/>
        <v>0</v>
      </c>
      <c r="AY80" s="94">
        <f t="shared" si="166"/>
        <v>-1633.5000000000002</v>
      </c>
      <c r="AZ80" s="94">
        <f t="shared" si="142"/>
        <v>-1485</v>
      </c>
      <c r="BA80" s="94">
        <f t="shared" si="172"/>
        <v>25</v>
      </c>
      <c r="BB80" s="97">
        <f t="shared" si="173"/>
        <v>0</v>
      </c>
      <c r="BC80" s="93">
        <v>8</v>
      </c>
      <c r="BD80" s="93">
        <f t="shared" si="143"/>
        <v>0</v>
      </c>
      <c r="BE80" s="95">
        <f t="shared" si="144"/>
        <v>1</v>
      </c>
      <c r="BF80" s="58">
        <f t="shared" si="176"/>
        <v>8</v>
      </c>
      <c r="BG80" s="94">
        <f t="shared" si="145"/>
        <v>17</v>
      </c>
      <c r="BH80" s="89"/>
      <c r="BI80" s="89"/>
      <c r="BJ80" s="92">
        <f>$CN80</f>
        <v>0</v>
      </c>
      <c r="BK80" s="89"/>
      <c r="BL80" s="89"/>
      <c r="BM80" s="89"/>
      <c r="BN80" s="92"/>
      <c r="BO80" s="92">
        <f t="shared" si="167"/>
        <v>0</v>
      </c>
      <c r="BP80" s="92">
        <f t="shared" si="167"/>
        <v>0</v>
      </c>
      <c r="BQ80" s="96">
        <f t="shared" si="146"/>
        <v>0</v>
      </c>
      <c r="BR80" s="96">
        <f t="shared" si="147"/>
        <v>0</v>
      </c>
      <c r="BS80" s="96">
        <f t="shared" si="168"/>
        <v>-1452.0000000000002</v>
      </c>
      <c r="BT80" s="96">
        <f t="shared" si="148"/>
        <v>-1320</v>
      </c>
      <c r="BU80" s="92">
        <f t="shared" si="122"/>
        <v>0</v>
      </c>
      <c r="BV80" s="98">
        <f t="shared" si="169"/>
        <v>17</v>
      </c>
      <c r="BW80" s="92">
        <f t="shared" si="123"/>
        <v>-2805</v>
      </c>
      <c r="BX80" s="98">
        <f t="shared" si="149"/>
        <v>10.183</v>
      </c>
      <c r="BY80" s="61">
        <f t="shared" si="174"/>
        <v>17</v>
      </c>
      <c r="BZ80" s="62">
        <f t="shared" si="150"/>
        <v>17</v>
      </c>
      <c r="CA80" s="98">
        <f t="shared" si="151"/>
        <v>0</v>
      </c>
      <c r="CB80" s="92">
        <f>IFERROR(BR80+AX80,"")</f>
        <v>0</v>
      </c>
      <c r="CC80" s="92">
        <f t="shared" si="124"/>
        <v>-3085.5000000000005</v>
      </c>
      <c r="CD80" s="92">
        <f t="shared" si="124"/>
        <v>-2805</v>
      </c>
      <c r="CE80" s="99"/>
      <c r="CF80" s="99"/>
      <c r="CG80" s="51">
        <f t="shared" si="152"/>
        <v>10.183</v>
      </c>
      <c r="CH80" s="62">
        <f t="shared" si="153"/>
        <v>10.183</v>
      </c>
      <c r="CI80" s="89"/>
      <c r="CJ80" s="89"/>
      <c r="CK80" s="89"/>
      <c r="CL80" s="96"/>
      <c r="CM80" s="89"/>
      <c r="CN80" s="89"/>
      <c r="CO80" s="92"/>
      <c r="CP80" s="101"/>
      <c r="CQ80" s="102">
        <f t="shared" si="101"/>
        <v>0</v>
      </c>
      <c r="CR80" s="102">
        <f t="shared" si="101"/>
        <v>0</v>
      </c>
      <c r="CS80" s="102">
        <f t="shared" si="101"/>
        <v>0</v>
      </c>
      <c r="CT80" s="92">
        <f t="shared" si="154"/>
        <v>0</v>
      </c>
      <c r="CU80" s="92">
        <f t="shared" si="102"/>
        <v>0</v>
      </c>
      <c r="CV80" s="103">
        <f t="shared" si="102"/>
        <v>0</v>
      </c>
      <c r="CW80" s="104" t="s">
        <v>147</v>
      </c>
      <c r="CX80" s="105">
        <v>10</v>
      </c>
      <c r="CY80" s="106">
        <f t="shared" si="155"/>
        <v>3834</v>
      </c>
      <c r="CZ80" s="106">
        <f t="shared" si="156"/>
        <v>40.5</v>
      </c>
      <c r="DA80" s="106"/>
      <c r="DB80" s="106"/>
      <c r="DC80" s="105"/>
      <c r="DD80" s="107"/>
      <c r="DE80" s="92">
        <f t="shared" si="125"/>
        <v>0</v>
      </c>
      <c r="DF80" s="108">
        <f t="shared" si="126"/>
        <v>9</v>
      </c>
      <c r="DG80" s="115">
        <f t="shared" si="127"/>
        <v>-1485</v>
      </c>
      <c r="DH80" s="110">
        <f t="shared" si="128"/>
        <v>0</v>
      </c>
      <c r="DI80" s="108">
        <f t="shared" si="129"/>
        <v>8</v>
      </c>
      <c r="DJ80" s="112">
        <f t="shared" si="130"/>
        <v>-1320</v>
      </c>
      <c r="DK80" s="110">
        <f t="shared" si="87"/>
        <v>0</v>
      </c>
      <c r="DL80" s="108">
        <f t="shared" si="87"/>
        <v>17</v>
      </c>
      <c r="DM80" s="111">
        <f t="shared" si="87"/>
        <v>-2805</v>
      </c>
      <c r="DN80" s="76">
        <f t="shared" si="157"/>
        <v>34</v>
      </c>
      <c r="DO80" s="76">
        <f t="shared" si="157"/>
        <v>0</v>
      </c>
      <c r="DP80" s="112"/>
      <c r="DQ80" s="112"/>
      <c r="DR80" s="113" t="s">
        <v>560</v>
      </c>
      <c r="DS80" s="112"/>
      <c r="DT80" s="112"/>
      <c r="DU80" s="111"/>
      <c r="DV80" s="114"/>
      <c r="DW80" s="80">
        <f t="shared" si="158"/>
        <v>17</v>
      </c>
      <c r="DX80" s="81">
        <f t="shared" si="131"/>
        <v>-2788</v>
      </c>
      <c r="DY80" s="80">
        <f t="shared" si="159"/>
        <v>0</v>
      </c>
      <c r="DZ80" s="82">
        <f t="shared" si="160"/>
        <v>0</v>
      </c>
      <c r="EA80" s="82">
        <f t="shared" si="161"/>
        <v>0</v>
      </c>
      <c r="EB80" s="82">
        <f t="shared" si="162"/>
        <v>10.183</v>
      </c>
      <c r="EC80" s="82">
        <f t="shared" si="177"/>
        <v>10.183</v>
      </c>
      <c r="EF80" s="83">
        <f t="shared" si="107"/>
        <v>-2805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2"/>
        <v>IBC3604-7x3-H9D14</v>
      </c>
      <c r="H81" s="46" t="str">
        <f t="shared" si="133"/>
        <v>C3604IB70DH9</v>
      </c>
      <c r="I81" s="46" t="str">
        <f t="shared" si="134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5"/>
        <v>34</v>
      </c>
      <c r="T81" s="51">
        <v>26</v>
      </c>
      <c r="U81" s="92">
        <v>24</v>
      </c>
      <c r="V81" s="100">
        <v>2.12</v>
      </c>
      <c r="W81" s="93">
        <f t="shared" si="114"/>
        <v>0</v>
      </c>
      <c r="X81" s="93">
        <f t="shared" si="115"/>
        <v>0</v>
      </c>
      <c r="Y81" s="93">
        <f t="shared" si="116"/>
        <v>0</v>
      </c>
      <c r="Z81" s="93">
        <f t="shared" si="117"/>
        <v>0</v>
      </c>
      <c r="AA81" s="93">
        <f t="shared" si="118"/>
        <v>0</v>
      </c>
      <c r="AB81" s="93">
        <f t="shared" si="119"/>
        <v>0</v>
      </c>
      <c r="AC81" s="93">
        <f t="shared" si="120"/>
        <v>0</v>
      </c>
      <c r="AD81" s="93">
        <f t="shared" si="121"/>
        <v>0</v>
      </c>
      <c r="AE81" s="93">
        <f t="shared" si="136"/>
        <v>0</v>
      </c>
      <c r="AF81" s="54">
        <f>AE81+'07.02'!AF81</f>
        <v>36662</v>
      </c>
      <c r="AG81" s="94">
        <f t="shared" si="163"/>
        <v>26</v>
      </c>
      <c r="AH81" s="56">
        <f t="shared" si="137"/>
        <v>0</v>
      </c>
      <c r="AI81" s="93">
        <v>16</v>
      </c>
      <c r="AJ81" s="93">
        <f t="shared" si="164"/>
        <v>0</v>
      </c>
      <c r="AK81" s="95">
        <f t="shared" si="138"/>
        <v>1</v>
      </c>
      <c r="AL81" s="58">
        <f t="shared" si="175"/>
        <v>16</v>
      </c>
      <c r="AM81" s="55">
        <f t="shared" si="165"/>
        <v>34</v>
      </c>
      <c r="AN81" s="93"/>
      <c r="AO81" s="96"/>
      <c r="AP81" s="96">
        <f>$CJ81</f>
        <v>0</v>
      </c>
      <c r="AQ81" s="96"/>
      <c r="AR81" s="96"/>
      <c r="AS81" s="96"/>
      <c r="AT81" s="96"/>
      <c r="AU81" s="96">
        <f t="shared" si="139"/>
        <v>0</v>
      </c>
      <c r="AV81" s="96">
        <f t="shared" si="139"/>
        <v>0</v>
      </c>
      <c r="AW81" s="96">
        <f t="shared" si="140"/>
        <v>0</v>
      </c>
      <c r="AX81" s="96">
        <f t="shared" si="141"/>
        <v>0</v>
      </c>
      <c r="AY81" s="94">
        <f t="shared" si="166"/>
        <v>-5868.16</v>
      </c>
      <c r="AZ81" s="94">
        <f t="shared" si="142"/>
        <v>-2768</v>
      </c>
      <c r="BA81" s="94">
        <f t="shared" si="172"/>
        <v>34</v>
      </c>
      <c r="BB81" s="97">
        <f t="shared" si="173"/>
        <v>0</v>
      </c>
      <c r="BC81" s="93">
        <v>16</v>
      </c>
      <c r="BD81" s="93">
        <f t="shared" si="143"/>
        <v>0</v>
      </c>
      <c r="BE81" s="95">
        <f t="shared" si="144"/>
        <v>1</v>
      </c>
      <c r="BF81" s="58">
        <f t="shared" si="176"/>
        <v>16</v>
      </c>
      <c r="BG81" s="94">
        <f t="shared" si="145"/>
        <v>18</v>
      </c>
      <c r="BH81" s="89"/>
      <c r="BI81" s="89"/>
      <c r="BJ81" s="92">
        <f>$CN81</f>
        <v>0</v>
      </c>
      <c r="BK81" s="89"/>
      <c r="BL81" s="89"/>
      <c r="BM81" s="89"/>
      <c r="BN81" s="89"/>
      <c r="BO81" s="92">
        <f t="shared" si="167"/>
        <v>0</v>
      </c>
      <c r="BP81" s="92">
        <f t="shared" si="167"/>
        <v>0</v>
      </c>
      <c r="BQ81" s="96">
        <f t="shared" si="146"/>
        <v>0</v>
      </c>
      <c r="BR81" s="96">
        <f t="shared" si="147"/>
        <v>0</v>
      </c>
      <c r="BS81" s="96">
        <f t="shared" si="168"/>
        <v>-5868.16</v>
      </c>
      <c r="BT81" s="96">
        <f t="shared" si="148"/>
        <v>-2768</v>
      </c>
      <c r="BU81" s="92">
        <f t="shared" si="122"/>
        <v>0</v>
      </c>
      <c r="BV81" s="98">
        <f t="shared" si="169"/>
        <v>32</v>
      </c>
      <c r="BW81" s="92">
        <f t="shared" si="123"/>
        <v>-5536</v>
      </c>
      <c r="BX81" s="98">
        <f t="shared" si="149"/>
        <v>31.36</v>
      </c>
      <c r="BY81" s="61">
        <f t="shared" si="174"/>
        <v>32</v>
      </c>
      <c r="BZ81" s="62">
        <f t="shared" si="150"/>
        <v>32</v>
      </c>
      <c r="CA81" s="98">
        <f t="shared" si="151"/>
        <v>0</v>
      </c>
      <c r="CB81" s="92">
        <f t="shared" si="124"/>
        <v>0</v>
      </c>
      <c r="CC81" s="92">
        <f t="shared" si="124"/>
        <v>-11736.32</v>
      </c>
      <c r="CD81" s="92">
        <f t="shared" si="124"/>
        <v>-5536</v>
      </c>
      <c r="CE81" s="99"/>
      <c r="CF81" s="99"/>
      <c r="CG81" s="51">
        <f t="shared" si="152"/>
        <v>31.36</v>
      </c>
      <c r="CH81" s="62">
        <f t="shared" si="153"/>
        <v>31.36</v>
      </c>
      <c r="CI81" s="89"/>
      <c r="CJ81" s="89"/>
      <c r="CK81" s="89"/>
      <c r="CL81" s="96"/>
      <c r="CM81" s="89"/>
      <c r="CN81" s="89"/>
      <c r="CO81" s="92"/>
      <c r="CP81" s="101"/>
      <c r="CQ81" s="102">
        <f t="shared" si="101"/>
        <v>0</v>
      </c>
      <c r="CR81" s="102">
        <f t="shared" si="101"/>
        <v>0</v>
      </c>
      <c r="CS81" s="102">
        <f t="shared" si="101"/>
        <v>0</v>
      </c>
      <c r="CT81" s="92">
        <f t="shared" si="154"/>
        <v>0</v>
      </c>
      <c r="CU81" s="92">
        <f t="shared" si="102"/>
        <v>0</v>
      </c>
      <c r="CV81" s="103">
        <f t="shared" si="102"/>
        <v>0</v>
      </c>
      <c r="CW81" s="104" t="s">
        <v>147</v>
      </c>
      <c r="CX81" s="105">
        <v>13.35</v>
      </c>
      <c r="CY81" s="106">
        <f t="shared" si="155"/>
        <v>2979</v>
      </c>
      <c r="CZ81" s="106">
        <f t="shared" si="156"/>
        <v>54.067500000000003</v>
      </c>
      <c r="DA81" s="106"/>
      <c r="DB81" s="106"/>
      <c r="DC81" s="105"/>
      <c r="DD81" s="107"/>
      <c r="DE81" s="92">
        <f t="shared" si="125"/>
        <v>0</v>
      </c>
      <c r="DF81" s="108">
        <f t="shared" si="126"/>
        <v>16</v>
      </c>
      <c r="DG81" s="115">
        <f t="shared" si="127"/>
        <v>-2768</v>
      </c>
      <c r="DH81" s="110">
        <f t="shared" si="128"/>
        <v>0</v>
      </c>
      <c r="DI81" s="108">
        <f t="shared" si="129"/>
        <v>16</v>
      </c>
      <c r="DJ81" s="112">
        <f t="shared" si="130"/>
        <v>-2768</v>
      </c>
      <c r="DK81" s="110">
        <f t="shared" si="87"/>
        <v>0</v>
      </c>
      <c r="DL81" s="108">
        <f t="shared" si="87"/>
        <v>32</v>
      </c>
      <c r="DM81" s="111">
        <f t="shared" si="87"/>
        <v>-5536</v>
      </c>
      <c r="DN81" s="76">
        <f t="shared" si="157"/>
        <v>26</v>
      </c>
      <c r="DO81" s="76">
        <f t="shared" si="157"/>
        <v>24</v>
      </c>
      <c r="DP81" s="112"/>
      <c r="DQ81" s="112"/>
      <c r="DR81" s="113" t="s">
        <v>561</v>
      </c>
      <c r="DS81" s="112"/>
      <c r="DT81" s="112"/>
      <c r="DU81" s="111"/>
      <c r="DV81" s="114"/>
      <c r="DW81" s="80">
        <f t="shared" ref="DW81:DW82" si="178">IFERROR(AL81+BF81,"")</f>
        <v>32</v>
      </c>
      <c r="DX81" s="81">
        <f t="shared" si="131"/>
        <v>-5504</v>
      </c>
      <c r="DY81" s="80">
        <f t="shared" si="159"/>
        <v>0</v>
      </c>
      <c r="DZ81" s="82">
        <f t="shared" si="160"/>
        <v>0</v>
      </c>
      <c r="EA81" s="82">
        <f t="shared" si="161"/>
        <v>0</v>
      </c>
      <c r="EB81" s="82">
        <f t="shared" si="162"/>
        <v>31.36</v>
      </c>
      <c r="EC81" s="82">
        <f t="shared" si="177"/>
        <v>31.36</v>
      </c>
      <c r="EF81" s="83">
        <f t="shared" si="107"/>
        <v>-5536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2"/>
        <v>IBC3602-7.5x3-H9B14</v>
      </c>
      <c r="H82" s="46" t="str">
        <f t="shared" si="133"/>
        <v>C3602IB7.50DH9</v>
      </c>
      <c r="I82" s="46" t="str">
        <f t="shared" si="134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5"/>
        <v>34</v>
      </c>
      <c r="T82" s="51">
        <v>14</v>
      </c>
      <c r="U82" s="92">
        <v>36</v>
      </c>
      <c r="V82" s="174">
        <v>1.23</v>
      </c>
      <c r="W82" s="93">
        <f t="shared" si="114"/>
        <v>0</v>
      </c>
      <c r="X82" s="93">
        <f t="shared" si="115"/>
        <v>0</v>
      </c>
      <c r="Y82" s="93">
        <f t="shared" si="116"/>
        <v>0</v>
      </c>
      <c r="Z82" s="93">
        <f t="shared" si="117"/>
        <v>0</v>
      </c>
      <c r="AA82" s="93">
        <f t="shared" si="118"/>
        <v>0</v>
      </c>
      <c r="AB82" s="93">
        <f t="shared" si="119"/>
        <v>0</v>
      </c>
      <c r="AC82" s="93">
        <f t="shared" si="120"/>
        <v>0</v>
      </c>
      <c r="AD82" s="93">
        <f t="shared" si="121"/>
        <v>0</v>
      </c>
      <c r="AE82" s="93">
        <f t="shared" si="136"/>
        <v>0</v>
      </c>
      <c r="AF82" s="54">
        <f>AE82+'07.02'!AF82</f>
        <v>41587</v>
      </c>
      <c r="AG82" s="94">
        <f t="shared" si="163"/>
        <v>14</v>
      </c>
      <c r="AH82" s="56">
        <f t="shared" si="137"/>
        <v>0</v>
      </c>
      <c r="AI82" s="93">
        <v>19</v>
      </c>
      <c r="AJ82" s="93">
        <f t="shared" si="164"/>
        <v>0</v>
      </c>
      <c r="AK82" s="95">
        <f t="shared" si="138"/>
        <v>1</v>
      </c>
      <c r="AL82" s="58">
        <f t="shared" si="175"/>
        <v>19</v>
      </c>
      <c r="AM82" s="55">
        <f t="shared" si="165"/>
        <v>31</v>
      </c>
      <c r="AN82" s="93"/>
      <c r="AO82" s="96"/>
      <c r="AP82" s="96"/>
      <c r="AQ82" s="96">
        <f>$CJ82</f>
        <v>0</v>
      </c>
      <c r="AR82" s="96"/>
      <c r="AS82" s="96"/>
      <c r="AT82" s="96"/>
      <c r="AU82" s="96">
        <f t="shared" si="139"/>
        <v>0</v>
      </c>
      <c r="AV82" s="96">
        <f t="shared" si="139"/>
        <v>0</v>
      </c>
      <c r="AW82" s="96">
        <f t="shared" si="140"/>
        <v>0</v>
      </c>
      <c r="AX82" s="96">
        <f t="shared" si="141"/>
        <v>0</v>
      </c>
      <c r="AY82" s="94">
        <f t="shared" si="166"/>
        <v>-3762.57</v>
      </c>
      <c r="AZ82" s="94">
        <f t="shared" si="142"/>
        <v>-3059</v>
      </c>
      <c r="BA82" s="94">
        <f t="shared" si="172"/>
        <v>31</v>
      </c>
      <c r="BB82" s="97">
        <f t="shared" si="173"/>
        <v>0</v>
      </c>
      <c r="BC82" s="93">
        <v>19</v>
      </c>
      <c r="BD82" s="93">
        <f t="shared" si="143"/>
        <v>0</v>
      </c>
      <c r="BE82" s="95">
        <f t="shared" si="144"/>
        <v>1</v>
      </c>
      <c r="BF82" s="58">
        <f t="shared" si="176"/>
        <v>19</v>
      </c>
      <c r="BG82" s="94">
        <f t="shared" si="145"/>
        <v>12</v>
      </c>
      <c r="BH82" s="89"/>
      <c r="BI82" s="89"/>
      <c r="BJ82" s="89"/>
      <c r="BK82" s="92">
        <f>$CN82</f>
        <v>0</v>
      </c>
      <c r="BL82" s="89"/>
      <c r="BM82" s="89"/>
      <c r="BN82" s="89"/>
      <c r="BO82" s="92">
        <f t="shared" si="167"/>
        <v>0</v>
      </c>
      <c r="BP82" s="92">
        <f t="shared" si="167"/>
        <v>0</v>
      </c>
      <c r="BQ82" s="96">
        <f t="shared" si="146"/>
        <v>0</v>
      </c>
      <c r="BR82" s="96">
        <f t="shared" si="147"/>
        <v>0</v>
      </c>
      <c r="BS82" s="96">
        <f t="shared" si="168"/>
        <v>-3762.57</v>
      </c>
      <c r="BT82" s="96">
        <f t="shared" si="148"/>
        <v>-3059</v>
      </c>
      <c r="BU82" s="92">
        <f t="shared" si="122"/>
        <v>0</v>
      </c>
      <c r="BV82" s="98">
        <f t="shared" si="169"/>
        <v>38</v>
      </c>
      <c r="BW82" s="92">
        <f t="shared" si="123"/>
        <v>-6118</v>
      </c>
      <c r="BX82" s="98">
        <f t="shared" si="149"/>
        <v>42.597999999999999</v>
      </c>
      <c r="BY82" s="61">
        <f t="shared" si="174"/>
        <v>38</v>
      </c>
      <c r="BZ82" s="62">
        <f t="shared" si="150"/>
        <v>38</v>
      </c>
      <c r="CA82" s="98">
        <f t="shared" si="151"/>
        <v>0</v>
      </c>
      <c r="CB82" s="92">
        <f t="shared" si="124"/>
        <v>0</v>
      </c>
      <c r="CC82" s="92">
        <f t="shared" si="124"/>
        <v>-7525.14</v>
      </c>
      <c r="CD82" s="92">
        <f t="shared" si="124"/>
        <v>-6118</v>
      </c>
      <c r="CE82" s="99"/>
      <c r="CF82" s="99"/>
      <c r="CG82" s="51">
        <f t="shared" si="152"/>
        <v>42.597999999999999</v>
      </c>
      <c r="CH82" s="62">
        <f t="shared" si="153"/>
        <v>42.597999999999999</v>
      </c>
      <c r="CI82" s="89"/>
      <c r="CJ82" s="89"/>
      <c r="CK82" s="89"/>
      <c r="CL82" s="96"/>
      <c r="CM82" s="89"/>
      <c r="CN82" s="89"/>
      <c r="CO82" s="92"/>
      <c r="CP82" s="101"/>
      <c r="CQ82" s="102">
        <f t="shared" si="101"/>
        <v>0</v>
      </c>
      <c r="CR82" s="102">
        <f t="shared" si="101"/>
        <v>0</v>
      </c>
      <c r="CS82" s="102">
        <f t="shared" si="101"/>
        <v>0</v>
      </c>
      <c r="CT82" s="92">
        <f t="shared" si="154"/>
        <v>0</v>
      </c>
      <c r="CU82" s="92">
        <f t="shared" si="102"/>
        <v>0</v>
      </c>
      <c r="CV82" s="103">
        <f t="shared" si="102"/>
        <v>0</v>
      </c>
      <c r="CW82" s="104" t="s">
        <v>147</v>
      </c>
      <c r="CX82" s="105">
        <v>15</v>
      </c>
      <c r="CY82" s="106">
        <f t="shared" si="155"/>
        <v>2664</v>
      </c>
      <c r="CZ82" s="106">
        <f t="shared" si="156"/>
        <v>60.750000000000007</v>
      </c>
      <c r="DA82" s="106"/>
      <c r="DB82" s="106"/>
      <c r="DC82" s="105"/>
      <c r="DD82" s="107"/>
      <c r="DE82" s="92">
        <f t="shared" si="125"/>
        <v>0</v>
      </c>
      <c r="DF82" s="108">
        <f t="shared" si="126"/>
        <v>19</v>
      </c>
      <c r="DG82" s="115">
        <f t="shared" si="127"/>
        <v>-3059</v>
      </c>
      <c r="DH82" s="110">
        <f t="shared" si="128"/>
        <v>0</v>
      </c>
      <c r="DI82" s="108">
        <f t="shared" si="129"/>
        <v>19</v>
      </c>
      <c r="DJ82" s="112">
        <f t="shared" si="130"/>
        <v>-3059</v>
      </c>
      <c r="DK82" s="110">
        <f t="shared" si="87"/>
        <v>0</v>
      </c>
      <c r="DL82" s="108">
        <f t="shared" si="87"/>
        <v>38</v>
      </c>
      <c r="DM82" s="111">
        <f t="shared" si="87"/>
        <v>-6118</v>
      </c>
      <c r="DN82" s="76">
        <f t="shared" si="157"/>
        <v>14</v>
      </c>
      <c r="DO82" s="76">
        <f t="shared" si="157"/>
        <v>36</v>
      </c>
      <c r="DP82" s="112"/>
      <c r="DQ82" s="112"/>
      <c r="DR82" s="113" t="s">
        <v>562</v>
      </c>
      <c r="DS82" s="112"/>
      <c r="DT82" s="112"/>
      <c r="DU82" s="111"/>
      <c r="DV82" s="114"/>
      <c r="DW82" s="80">
        <f t="shared" si="178"/>
        <v>38</v>
      </c>
      <c r="DX82" s="81">
        <f t="shared" si="131"/>
        <v>-6080</v>
      </c>
      <c r="DY82" s="80">
        <f t="shared" si="159"/>
        <v>0</v>
      </c>
      <c r="DZ82" s="82">
        <f t="shared" si="160"/>
        <v>0</v>
      </c>
      <c r="EA82" s="82">
        <f t="shared" si="161"/>
        <v>0</v>
      </c>
      <c r="EB82" s="82">
        <f t="shared" si="162"/>
        <v>42.597999999999999</v>
      </c>
      <c r="EC82" s="82">
        <f t="shared" si="177"/>
        <v>42.597999999999999</v>
      </c>
      <c r="EF82" s="83">
        <f t="shared" si="107"/>
        <v>-6118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2"/>
        <v>GWA6063-T5-7.5x3-H9B14</v>
      </c>
      <c r="H83" s="46" t="str">
        <f t="shared" si="133"/>
        <v>A6063-T5GW7.50DH9</v>
      </c>
      <c r="I83" s="46" t="str">
        <f t="shared" si="134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5"/>
        <v>18</v>
      </c>
      <c r="T83" s="51">
        <f>'07.02'!BG83</f>
        <v>46</v>
      </c>
      <c r="U83" s="92"/>
      <c r="V83" s="100">
        <v>0.70299999999999996</v>
      </c>
      <c r="W83" s="93">
        <f t="shared" si="114"/>
        <v>0</v>
      </c>
      <c r="X83" s="93">
        <f t="shared" si="115"/>
        <v>0</v>
      </c>
      <c r="Y83" s="93">
        <f t="shared" si="116"/>
        <v>0</v>
      </c>
      <c r="Z83" s="93">
        <f t="shared" si="117"/>
        <v>0</v>
      </c>
      <c r="AA83" s="93">
        <f t="shared" si="118"/>
        <v>0</v>
      </c>
      <c r="AB83" s="93">
        <f t="shared" si="119"/>
        <v>0</v>
      </c>
      <c r="AC83" s="93">
        <f t="shared" si="120"/>
        <v>0</v>
      </c>
      <c r="AD83" s="93">
        <f t="shared" si="121"/>
        <v>0</v>
      </c>
      <c r="AE83" s="93">
        <f t="shared" si="136"/>
        <v>0</v>
      </c>
      <c r="AF83" s="54">
        <f>AE83+'07.02'!AF83</f>
        <v>0</v>
      </c>
      <c r="AG83" s="94">
        <f t="shared" si="163"/>
        <v>46</v>
      </c>
      <c r="AH83" s="56">
        <f t="shared" si="137"/>
        <v>0</v>
      </c>
      <c r="AI83" s="93"/>
      <c r="AJ83" s="93">
        <f t="shared" si="164"/>
        <v>0</v>
      </c>
      <c r="AK83" s="95">
        <f t="shared" si="138"/>
        <v>1</v>
      </c>
      <c r="AL83" s="58">
        <f t="shared" si="175"/>
        <v>0</v>
      </c>
      <c r="AM83" s="55">
        <f t="shared" si="165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39"/>
        <v>0</v>
      </c>
      <c r="AV83" s="96">
        <f t="shared" si="139"/>
        <v>0</v>
      </c>
      <c r="AW83" s="96">
        <f t="shared" si="140"/>
        <v>0</v>
      </c>
      <c r="AX83" s="96">
        <f t="shared" si="141"/>
        <v>0</v>
      </c>
      <c r="AY83" s="94">
        <f t="shared" si="166"/>
        <v>0</v>
      </c>
      <c r="AZ83" s="94">
        <f t="shared" si="142"/>
        <v>0</v>
      </c>
      <c r="BA83" s="94">
        <f t="shared" si="172"/>
        <v>46</v>
      </c>
      <c r="BB83" s="97">
        <f t="shared" si="173"/>
        <v>0</v>
      </c>
      <c r="BC83" s="93"/>
      <c r="BD83" s="93">
        <f t="shared" si="143"/>
        <v>0</v>
      </c>
      <c r="BE83" s="95">
        <f t="shared" si="144"/>
        <v>1</v>
      </c>
      <c r="BF83" s="58">
        <f t="shared" si="176"/>
        <v>0</v>
      </c>
      <c r="BG83" s="94">
        <f t="shared" si="145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7"/>
        <v>0</v>
      </c>
      <c r="BP83" s="92">
        <f t="shared" si="167"/>
        <v>0</v>
      </c>
      <c r="BQ83" s="96">
        <f t="shared" si="146"/>
        <v>0</v>
      </c>
      <c r="BR83" s="96">
        <f t="shared" si="147"/>
        <v>0</v>
      </c>
      <c r="BS83" s="96">
        <f t="shared" si="168"/>
        <v>0</v>
      </c>
      <c r="BT83" s="96">
        <f t="shared" si="148"/>
        <v>0</v>
      </c>
      <c r="BU83" s="92">
        <f t="shared" si="122"/>
        <v>0</v>
      </c>
      <c r="BV83" s="98">
        <f t="shared" si="169"/>
        <v>0</v>
      </c>
      <c r="BW83" s="92">
        <f t="shared" si="123"/>
        <v>0</v>
      </c>
      <c r="BX83" s="98">
        <f t="shared" si="149"/>
        <v>0</v>
      </c>
      <c r="BY83" s="61">
        <f t="shared" si="174"/>
        <v>0</v>
      </c>
      <c r="BZ83" s="62">
        <f t="shared" si="150"/>
        <v>0</v>
      </c>
      <c r="CA83" s="98">
        <f t="shared" si="151"/>
        <v>0</v>
      </c>
      <c r="CB83" s="92">
        <f t="shared" si="124"/>
        <v>0</v>
      </c>
      <c r="CC83" s="92">
        <f t="shared" si="124"/>
        <v>0</v>
      </c>
      <c r="CD83" s="92">
        <f t="shared" si="124"/>
        <v>0</v>
      </c>
      <c r="CE83" s="99"/>
      <c r="CF83" s="99"/>
      <c r="CG83" s="51">
        <f t="shared" si="152"/>
        <v>0</v>
      </c>
      <c r="CH83" s="62">
        <f t="shared" si="153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101"/>
        <v>0</v>
      </c>
      <c r="CR83" s="102">
        <f t="shared" si="101"/>
        <v>0</v>
      </c>
      <c r="CS83" s="102">
        <f t="shared" si="101"/>
        <v>0</v>
      </c>
      <c r="CT83" s="92">
        <f t="shared" si="154"/>
        <v>0</v>
      </c>
      <c r="CU83" s="92">
        <f t="shared" si="102"/>
        <v>0</v>
      </c>
      <c r="CV83" s="103">
        <f t="shared" si="102"/>
        <v>0</v>
      </c>
      <c r="CW83" s="104" t="s">
        <v>147</v>
      </c>
      <c r="CX83" s="105">
        <v>18.5</v>
      </c>
      <c r="CY83" s="106">
        <f t="shared" si="155"/>
        <v>2237</v>
      </c>
      <c r="CZ83" s="106">
        <f t="shared" si="156"/>
        <v>74.925000000000011</v>
      </c>
      <c r="DA83" s="106"/>
      <c r="DB83" s="106"/>
      <c r="DC83" s="105"/>
      <c r="DD83" s="107"/>
      <c r="DE83" s="92">
        <f t="shared" si="125"/>
        <v>0</v>
      </c>
      <c r="DF83" s="108">
        <f t="shared" si="126"/>
        <v>0</v>
      </c>
      <c r="DG83" s="115">
        <f t="shared" si="127"/>
        <v>0</v>
      </c>
      <c r="DH83" s="110">
        <f t="shared" si="128"/>
        <v>0</v>
      </c>
      <c r="DI83" s="108">
        <f t="shared" si="129"/>
        <v>0</v>
      </c>
      <c r="DJ83" s="112">
        <f t="shared" si="130"/>
        <v>0</v>
      </c>
      <c r="DK83" s="110">
        <f t="shared" si="87"/>
        <v>0</v>
      </c>
      <c r="DL83" s="108">
        <f t="shared" si="87"/>
        <v>0</v>
      </c>
      <c r="DM83" s="111">
        <f t="shared" si="87"/>
        <v>0</v>
      </c>
      <c r="DN83" s="76">
        <f t="shared" si="157"/>
        <v>46</v>
      </c>
      <c r="DO83" s="76">
        <f t="shared" si="157"/>
        <v>0</v>
      </c>
      <c r="DP83" s="112"/>
      <c r="DQ83" s="112"/>
      <c r="DR83" s="113" t="s">
        <v>563</v>
      </c>
      <c r="DS83" s="112"/>
      <c r="DT83" s="112"/>
      <c r="DU83" s="111"/>
      <c r="DV83" s="114"/>
      <c r="DW83" s="80">
        <f t="shared" si="158"/>
        <v>0</v>
      </c>
      <c r="DX83" s="81">
        <f t="shared" si="131"/>
        <v>0</v>
      </c>
      <c r="DY83" s="80">
        <f t="shared" si="159"/>
        <v>0</v>
      </c>
      <c r="DZ83" s="82">
        <f t="shared" si="160"/>
        <v>0</v>
      </c>
      <c r="EA83" s="82">
        <f t="shared" si="161"/>
        <v>0</v>
      </c>
      <c r="EB83" s="82">
        <f t="shared" si="162"/>
        <v>0</v>
      </c>
      <c r="EC83" s="82">
        <f t="shared" ref="EC83:EC106" si="179">EB83+DZ83</f>
        <v>0</v>
      </c>
      <c r="EF83" s="83">
        <f t="shared" si="107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2"/>
        <v>GAA5052-5.7x3-H9A14</v>
      </c>
      <c r="H84" s="46" t="str">
        <f t="shared" si="133"/>
        <v>A5052GA5.70DH9</v>
      </c>
      <c r="I84" s="46" t="str">
        <f t="shared" si="134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5"/>
        <v>30</v>
      </c>
      <c r="T84" s="51">
        <f>'07.02'!BG84</f>
        <v>22</v>
      </c>
      <c r="U84" s="92"/>
      <c r="V84" s="100">
        <v>0.15</v>
      </c>
      <c r="W84" s="93">
        <f t="shared" si="114"/>
        <v>0</v>
      </c>
      <c r="X84" s="93">
        <f t="shared" si="115"/>
        <v>0</v>
      </c>
      <c r="Y84" s="93">
        <f t="shared" si="116"/>
        <v>0</v>
      </c>
      <c r="Z84" s="93">
        <f t="shared" si="117"/>
        <v>0</v>
      </c>
      <c r="AA84" s="93">
        <f t="shared" si="118"/>
        <v>0</v>
      </c>
      <c r="AB84" s="93">
        <f t="shared" si="119"/>
        <v>0</v>
      </c>
      <c r="AC84" s="93">
        <f t="shared" si="120"/>
        <v>0</v>
      </c>
      <c r="AD84" s="93">
        <f t="shared" si="121"/>
        <v>0</v>
      </c>
      <c r="AE84" s="93">
        <f t="shared" si="136"/>
        <v>0</v>
      </c>
      <c r="AF84" s="54">
        <f>AE84+'07.02'!AF84</f>
        <v>21638</v>
      </c>
      <c r="AG84" s="94">
        <f t="shared" si="163"/>
        <v>22</v>
      </c>
      <c r="AH84" s="56">
        <f t="shared" si="137"/>
        <v>0</v>
      </c>
      <c r="AI84" s="93">
        <v>7</v>
      </c>
      <c r="AJ84" s="93">
        <f t="shared" si="164"/>
        <v>0</v>
      </c>
      <c r="AK84" s="95">
        <f t="shared" si="138"/>
        <v>1</v>
      </c>
      <c r="AL84" s="58">
        <f t="shared" si="175"/>
        <v>7</v>
      </c>
      <c r="AM84" s="55">
        <f t="shared" si="165"/>
        <v>15</v>
      </c>
      <c r="AN84" s="93"/>
      <c r="AO84" s="96"/>
      <c r="AP84" s="96"/>
      <c r="AQ84" s="96"/>
      <c r="AR84" s="96"/>
      <c r="AS84" s="96"/>
      <c r="AT84" s="96">
        <f>$CJ84</f>
        <v>0</v>
      </c>
      <c r="AU84" s="96">
        <f t="shared" si="139"/>
        <v>0</v>
      </c>
      <c r="AV84" s="96">
        <f t="shared" si="139"/>
        <v>0</v>
      </c>
      <c r="AW84" s="96">
        <f t="shared" ref="AW84" si="180">SUM(AO84:AV84)</f>
        <v>0</v>
      </c>
      <c r="AX84" s="96">
        <f t="shared" si="141"/>
        <v>0</v>
      </c>
      <c r="AY84" s="94">
        <f t="shared" si="166"/>
        <v>-252</v>
      </c>
      <c r="AZ84" s="94">
        <f t="shared" si="142"/>
        <v>-1680</v>
      </c>
      <c r="BA84" s="94">
        <f t="shared" si="172"/>
        <v>15</v>
      </c>
      <c r="BB84" s="97">
        <f t="shared" si="173"/>
        <v>0</v>
      </c>
      <c r="BC84" s="93">
        <v>6</v>
      </c>
      <c r="BD84" s="93">
        <f t="shared" si="143"/>
        <v>0</v>
      </c>
      <c r="BE84" s="95">
        <f t="shared" si="144"/>
        <v>1</v>
      </c>
      <c r="BF84" s="58">
        <f t="shared" si="176"/>
        <v>6</v>
      </c>
      <c r="BG84" s="94">
        <f t="shared" si="145"/>
        <v>9</v>
      </c>
      <c r="BH84" s="89"/>
      <c r="BI84" s="89"/>
      <c r="BJ84" s="92"/>
      <c r="BK84" s="89"/>
      <c r="BL84" s="89"/>
      <c r="BM84" s="89"/>
      <c r="BN84" s="92">
        <f>$CN84</f>
        <v>0</v>
      </c>
      <c r="BO84" s="92">
        <f t="shared" si="167"/>
        <v>0</v>
      </c>
      <c r="BP84" s="92">
        <f t="shared" si="167"/>
        <v>0</v>
      </c>
      <c r="BQ84" s="96">
        <f t="shared" si="146"/>
        <v>0</v>
      </c>
      <c r="BR84" s="96">
        <f t="shared" si="147"/>
        <v>0</v>
      </c>
      <c r="BS84" s="96">
        <f t="shared" si="168"/>
        <v>-216</v>
      </c>
      <c r="BT84" s="96">
        <f t="shared" si="148"/>
        <v>-1440</v>
      </c>
      <c r="BU84" s="92">
        <f t="shared" si="122"/>
        <v>0</v>
      </c>
      <c r="BV84" s="98">
        <f t="shared" si="169"/>
        <v>13</v>
      </c>
      <c r="BW84" s="92">
        <f t="shared" si="123"/>
        <v>-3120</v>
      </c>
      <c r="BX84" s="98">
        <f t="shared" si="149"/>
        <v>2.6519999999999997</v>
      </c>
      <c r="BY84" s="61">
        <f t="shared" si="174"/>
        <v>13</v>
      </c>
      <c r="BZ84" s="62">
        <f t="shared" si="150"/>
        <v>13</v>
      </c>
      <c r="CA84" s="98">
        <f t="shared" si="151"/>
        <v>0</v>
      </c>
      <c r="CB84" s="92">
        <f t="shared" si="124"/>
        <v>0</v>
      </c>
      <c r="CC84" s="92">
        <f t="shared" si="124"/>
        <v>-468</v>
      </c>
      <c r="CD84" s="92">
        <f t="shared" si="124"/>
        <v>-3120</v>
      </c>
      <c r="CE84" s="99"/>
      <c r="CF84" s="99"/>
      <c r="CG84" s="51">
        <f t="shared" si="152"/>
        <v>2.6519999999999997</v>
      </c>
      <c r="CH84" s="62">
        <f t="shared" si="153"/>
        <v>2.6519999999999997</v>
      </c>
      <c r="CI84" s="89"/>
      <c r="CJ84" s="89"/>
      <c r="CK84" s="89"/>
      <c r="CL84" s="96"/>
      <c r="CM84" s="89"/>
      <c r="CN84" s="89"/>
      <c r="CO84" s="92"/>
      <c r="CP84" s="101"/>
      <c r="CQ84" s="102">
        <f t="shared" si="101"/>
        <v>0</v>
      </c>
      <c r="CR84" s="102">
        <f t="shared" si="101"/>
        <v>0</v>
      </c>
      <c r="CS84" s="102">
        <f t="shared" si="101"/>
        <v>0</v>
      </c>
      <c r="CT84" s="92">
        <f t="shared" si="154"/>
        <v>0</v>
      </c>
      <c r="CU84" s="92">
        <f t="shared" si="102"/>
        <v>0</v>
      </c>
      <c r="CV84" s="103">
        <f t="shared" si="102"/>
        <v>0</v>
      </c>
      <c r="CW84" s="104" t="s">
        <v>147</v>
      </c>
      <c r="CX84" s="105">
        <v>11</v>
      </c>
      <c r="CY84" s="106">
        <f t="shared" si="155"/>
        <v>3649</v>
      </c>
      <c r="CZ84" s="106">
        <f t="shared" si="156"/>
        <v>44.550000000000004</v>
      </c>
      <c r="DA84" s="106"/>
      <c r="DB84" s="106"/>
      <c r="DC84" s="105"/>
      <c r="DD84" s="107"/>
      <c r="DE84" s="92">
        <f t="shared" si="125"/>
        <v>0</v>
      </c>
      <c r="DF84" s="108">
        <f t="shared" si="126"/>
        <v>7</v>
      </c>
      <c r="DG84" s="115">
        <f t="shared" si="127"/>
        <v>-1680</v>
      </c>
      <c r="DH84" s="110">
        <f t="shared" si="128"/>
        <v>0</v>
      </c>
      <c r="DI84" s="108">
        <f t="shared" si="129"/>
        <v>6</v>
      </c>
      <c r="DJ84" s="112">
        <f t="shared" si="130"/>
        <v>-1440</v>
      </c>
      <c r="DK84" s="110">
        <f t="shared" si="87"/>
        <v>0</v>
      </c>
      <c r="DL84" s="108">
        <f t="shared" si="87"/>
        <v>13</v>
      </c>
      <c r="DM84" s="111">
        <f t="shared" si="87"/>
        <v>-3120</v>
      </c>
      <c r="DN84" s="76">
        <f t="shared" si="157"/>
        <v>22</v>
      </c>
      <c r="DO84" s="76">
        <f t="shared" si="157"/>
        <v>0</v>
      </c>
      <c r="DP84" s="112"/>
      <c r="DQ84" s="112"/>
      <c r="DR84" s="113" t="s">
        <v>564</v>
      </c>
      <c r="DS84" s="112"/>
      <c r="DT84" s="112"/>
      <c r="DU84" s="111"/>
      <c r="DV84" s="114"/>
      <c r="DW84" s="80">
        <f t="shared" si="158"/>
        <v>13</v>
      </c>
      <c r="DX84" s="81">
        <f t="shared" si="131"/>
        <v>-3107</v>
      </c>
      <c r="DY84" s="80">
        <f t="shared" si="159"/>
        <v>0</v>
      </c>
      <c r="DZ84" s="82">
        <f t="shared" si="160"/>
        <v>0</v>
      </c>
      <c r="EA84" s="82">
        <f t="shared" si="161"/>
        <v>0</v>
      </c>
      <c r="EB84" s="82">
        <f t="shared" si="162"/>
        <v>2.6519999999999997</v>
      </c>
      <c r="EC84" s="82">
        <f t="shared" si="179"/>
        <v>2.6519999999999997</v>
      </c>
      <c r="EF84" s="83">
        <f t="shared" si="107"/>
        <v>-3120</v>
      </c>
    </row>
    <row r="85" spans="1:136" ht="15" hidden="1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2"/>
        <v>TVSUS303Cu-H15.87x2.5-H11B14</v>
      </c>
      <c r="H85" s="46" t="str">
        <f t="shared" si="133"/>
        <v>SUS303CuTV15.870HH11</v>
      </c>
      <c r="I85" s="46" t="str">
        <f t="shared" si="134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f>'07.02'!BG85</f>
        <v>0</v>
      </c>
      <c r="U85" s="92"/>
      <c r="V85" s="100">
        <v>27.35</v>
      </c>
      <c r="W85" s="93">
        <f t="shared" si="114"/>
        <v>0</v>
      </c>
      <c r="X85" s="93">
        <f t="shared" si="115"/>
        <v>0</v>
      </c>
      <c r="Y85" s="93">
        <f t="shared" si="116"/>
        <v>0</v>
      </c>
      <c r="Z85" s="93">
        <f t="shared" si="117"/>
        <v>0</v>
      </c>
      <c r="AA85" s="93">
        <f t="shared" si="118"/>
        <v>0</v>
      </c>
      <c r="AB85" s="93">
        <f t="shared" si="119"/>
        <v>0</v>
      </c>
      <c r="AC85" s="93">
        <f t="shared" si="120"/>
        <v>0</v>
      </c>
      <c r="AD85" s="93">
        <f t="shared" si="121"/>
        <v>0</v>
      </c>
      <c r="AE85" s="93">
        <f t="shared" si="136"/>
        <v>0</v>
      </c>
      <c r="AF85" s="54">
        <f>AE85+'07.02'!AF85</f>
        <v>0</v>
      </c>
      <c r="AG85" s="94">
        <f t="shared" si="163"/>
        <v>0</v>
      </c>
      <c r="AH85" s="56">
        <f t="shared" si="137"/>
        <v>0</v>
      </c>
      <c r="AI85" s="93"/>
      <c r="AJ85" s="93">
        <f t="shared" si="164"/>
        <v>0</v>
      </c>
      <c r="AK85" s="95">
        <f t="shared" si="138"/>
        <v>1</v>
      </c>
      <c r="AL85" s="58">
        <f t="shared" si="175"/>
        <v>0</v>
      </c>
      <c r="AM85" s="55">
        <f t="shared" si="165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39"/>
        <v>0</v>
      </c>
      <c r="AV85" s="96">
        <f t="shared" si="139"/>
        <v>0</v>
      </c>
      <c r="AW85" s="96">
        <f t="shared" si="140"/>
        <v>0</v>
      </c>
      <c r="AX85" s="96">
        <f t="shared" si="141"/>
        <v>0</v>
      </c>
      <c r="AY85" s="94">
        <f t="shared" si="166"/>
        <v>0</v>
      </c>
      <c r="AZ85" s="94">
        <f t="shared" si="142"/>
        <v>0</v>
      </c>
      <c r="BA85" s="94">
        <f t="shared" si="172"/>
        <v>0</v>
      </c>
      <c r="BB85" s="97">
        <f t="shared" si="173"/>
        <v>0</v>
      </c>
      <c r="BC85" s="93"/>
      <c r="BD85" s="93">
        <f t="shared" si="143"/>
        <v>0</v>
      </c>
      <c r="BE85" s="95">
        <f t="shared" si="144"/>
        <v>1</v>
      </c>
      <c r="BF85" s="58">
        <f t="shared" si="176"/>
        <v>0</v>
      </c>
      <c r="BG85" s="94">
        <f t="shared" si="145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7"/>
        <v>0</v>
      </c>
      <c r="BP85" s="92">
        <f t="shared" si="167"/>
        <v>0</v>
      </c>
      <c r="BQ85" s="96">
        <f t="shared" si="146"/>
        <v>0</v>
      </c>
      <c r="BR85" s="96">
        <f t="shared" si="147"/>
        <v>0</v>
      </c>
      <c r="BS85" s="96">
        <f t="shared" si="168"/>
        <v>0</v>
      </c>
      <c r="BT85" s="96">
        <f t="shared" si="148"/>
        <v>0</v>
      </c>
      <c r="BU85" s="92">
        <f t="shared" si="122"/>
        <v>0</v>
      </c>
      <c r="BV85" s="98">
        <f t="shared" si="169"/>
        <v>0</v>
      </c>
      <c r="BW85" s="92">
        <f t="shared" si="123"/>
        <v>0</v>
      </c>
      <c r="BX85" s="98">
        <f t="shared" si="149"/>
        <v>0</v>
      </c>
      <c r="BY85" s="61">
        <f t="shared" si="174"/>
        <v>0</v>
      </c>
      <c r="BZ85" s="62">
        <f t="shared" si="150"/>
        <v>0</v>
      </c>
      <c r="CA85" s="98">
        <f t="shared" si="151"/>
        <v>0</v>
      </c>
      <c r="CB85" s="92">
        <f t="shared" si="124"/>
        <v>0</v>
      </c>
      <c r="CC85" s="92">
        <f t="shared" si="124"/>
        <v>0</v>
      </c>
      <c r="CD85" s="92">
        <f t="shared" si="124"/>
        <v>0</v>
      </c>
      <c r="CE85" s="99"/>
      <c r="CF85" s="99"/>
      <c r="CG85" s="51">
        <f t="shared" si="152"/>
        <v>0</v>
      </c>
      <c r="CH85" s="62">
        <f t="shared" si="153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101"/>
        <v>0</v>
      </c>
      <c r="CR85" s="102">
        <f t="shared" si="101"/>
        <v>0</v>
      </c>
      <c r="CS85" s="102">
        <f t="shared" si="101"/>
        <v>0</v>
      </c>
      <c r="CT85" s="92">
        <f t="shared" si="154"/>
        <v>0</v>
      </c>
      <c r="CU85" s="92">
        <f t="shared" si="102"/>
        <v>0</v>
      </c>
      <c r="CV85" s="103">
        <f t="shared" si="102"/>
        <v>0</v>
      </c>
      <c r="CW85" s="104"/>
      <c r="CX85" s="105">
        <v>100</v>
      </c>
      <c r="CY85" s="106">
        <f t="shared" si="155"/>
        <v>414</v>
      </c>
      <c r="CZ85" s="106">
        <f t="shared" si="156"/>
        <v>810</v>
      </c>
      <c r="DA85" s="106"/>
      <c r="DB85" s="106"/>
      <c r="DC85" s="105"/>
      <c r="DD85" s="107"/>
      <c r="DE85" s="92">
        <f t="shared" si="125"/>
        <v>0</v>
      </c>
      <c r="DF85" s="108">
        <f t="shared" si="126"/>
        <v>0</v>
      </c>
      <c r="DG85" s="115">
        <f t="shared" si="127"/>
        <v>0</v>
      </c>
      <c r="DH85" s="110">
        <f t="shared" si="128"/>
        <v>0</v>
      </c>
      <c r="DI85" s="108">
        <f t="shared" si="129"/>
        <v>0</v>
      </c>
      <c r="DJ85" s="112">
        <f t="shared" si="130"/>
        <v>0</v>
      </c>
      <c r="DK85" s="110">
        <f t="shared" si="87"/>
        <v>0</v>
      </c>
      <c r="DL85" s="108">
        <f t="shared" si="87"/>
        <v>0</v>
      </c>
      <c r="DM85" s="111">
        <f t="shared" si="87"/>
        <v>0</v>
      </c>
      <c r="DN85" s="76">
        <f t="shared" si="157"/>
        <v>0</v>
      </c>
      <c r="DO85" s="76">
        <f t="shared" si="157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8"/>
        <v>0</v>
      </c>
      <c r="DX85" s="81">
        <f t="shared" si="131"/>
        <v>0</v>
      </c>
      <c r="DY85" s="80">
        <f t="shared" si="159"/>
        <v>0</v>
      </c>
      <c r="DZ85" s="82">
        <f t="shared" si="160"/>
        <v>0</v>
      </c>
      <c r="EA85" s="82">
        <f t="shared" si="161"/>
        <v>0</v>
      </c>
      <c r="EB85" s="82">
        <f t="shared" si="162"/>
        <v>0</v>
      </c>
      <c r="EC85" s="82">
        <f t="shared" ref="EC85:EC86" si="181">(BX85-CA85)+((AV85+BP85)/1000)</f>
        <v>0</v>
      </c>
      <c r="EF85" s="83">
        <f t="shared" si="107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2"/>
        <v>TVSUS303Cu-24x2.5-H9A15</v>
      </c>
      <c r="H86" s="46" t="str">
        <f t="shared" si="133"/>
        <v>SUS303CuTV240DH9</v>
      </c>
      <c r="I86" s="46" t="str">
        <f t="shared" si="134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5"/>
        <v>16</v>
      </c>
      <c r="T86" s="51">
        <f>'07.02'!BG86</f>
        <v>5</v>
      </c>
      <c r="U86" s="92"/>
      <c r="V86" s="100">
        <v>59.75</v>
      </c>
      <c r="W86" s="93">
        <f t="shared" si="114"/>
        <v>0</v>
      </c>
      <c r="X86" s="93">
        <f t="shared" si="115"/>
        <v>0</v>
      </c>
      <c r="Y86" s="93">
        <f t="shared" si="116"/>
        <v>0</v>
      </c>
      <c r="Z86" s="93">
        <f t="shared" si="117"/>
        <v>0</v>
      </c>
      <c r="AA86" s="93">
        <f t="shared" si="118"/>
        <v>0</v>
      </c>
      <c r="AB86" s="93">
        <f t="shared" si="119"/>
        <v>0</v>
      </c>
      <c r="AC86" s="93">
        <f t="shared" si="120"/>
        <v>0</v>
      </c>
      <c r="AD86" s="93">
        <f t="shared" si="121"/>
        <v>0</v>
      </c>
      <c r="AE86" s="93">
        <f t="shared" si="136"/>
        <v>0</v>
      </c>
      <c r="AF86" s="54">
        <f>AE86+'07.02'!AF86</f>
        <v>1019</v>
      </c>
      <c r="AG86" s="94">
        <f t="shared" si="163"/>
        <v>5</v>
      </c>
      <c r="AH86" s="56">
        <f t="shared" si="137"/>
        <v>0</v>
      </c>
      <c r="AI86" s="93">
        <v>2</v>
      </c>
      <c r="AJ86" s="93">
        <f t="shared" si="164"/>
        <v>0</v>
      </c>
      <c r="AK86" s="95">
        <f t="shared" si="138"/>
        <v>1</v>
      </c>
      <c r="AL86" s="58">
        <f t="shared" si="175"/>
        <v>2</v>
      </c>
      <c r="AM86" s="55">
        <f t="shared" si="165"/>
        <v>3</v>
      </c>
      <c r="AN86" s="93"/>
      <c r="AO86" s="96">
        <f>$CJ86</f>
        <v>0</v>
      </c>
      <c r="AP86" s="96"/>
      <c r="AQ86" s="96"/>
      <c r="AR86" s="96"/>
      <c r="AS86" s="96"/>
      <c r="AT86" s="96"/>
      <c r="AU86" s="96">
        <f t="shared" si="139"/>
        <v>0</v>
      </c>
      <c r="AV86" s="96">
        <f t="shared" si="139"/>
        <v>0</v>
      </c>
      <c r="AW86" s="96">
        <f t="shared" si="140"/>
        <v>0</v>
      </c>
      <c r="AX86" s="96">
        <f t="shared" si="141"/>
        <v>0</v>
      </c>
      <c r="AY86" s="94">
        <f t="shared" si="166"/>
        <v>-7648</v>
      </c>
      <c r="AZ86" s="94">
        <f t="shared" si="142"/>
        <v>-128</v>
      </c>
      <c r="BA86" s="94">
        <f t="shared" si="172"/>
        <v>3</v>
      </c>
      <c r="BB86" s="97">
        <f t="shared" si="173"/>
        <v>0</v>
      </c>
      <c r="BC86" s="93"/>
      <c r="BD86" s="93">
        <f t="shared" si="143"/>
        <v>0</v>
      </c>
      <c r="BE86" s="95">
        <f t="shared" si="144"/>
        <v>1</v>
      </c>
      <c r="BF86" s="58">
        <f t="shared" si="176"/>
        <v>0</v>
      </c>
      <c r="BG86" s="94">
        <f t="shared" si="145"/>
        <v>3</v>
      </c>
      <c r="BH86" s="89"/>
      <c r="BI86" s="92">
        <f>$CN86</f>
        <v>0</v>
      </c>
      <c r="BJ86" s="92"/>
      <c r="BK86" s="89"/>
      <c r="BL86" s="89"/>
      <c r="BM86" s="89"/>
      <c r="BN86" s="89"/>
      <c r="BO86" s="92">
        <f t="shared" si="167"/>
        <v>0</v>
      </c>
      <c r="BP86" s="92">
        <f t="shared" si="167"/>
        <v>0</v>
      </c>
      <c r="BQ86" s="96">
        <f t="shared" si="146"/>
        <v>0</v>
      </c>
      <c r="BR86" s="96">
        <f t="shared" si="147"/>
        <v>0</v>
      </c>
      <c r="BS86" s="96">
        <f t="shared" si="168"/>
        <v>0</v>
      </c>
      <c r="BT86" s="96">
        <f t="shared" si="148"/>
        <v>0</v>
      </c>
      <c r="BU86" s="92">
        <f t="shared" si="122"/>
        <v>0</v>
      </c>
      <c r="BV86" s="98">
        <f t="shared" si="169"/>
        <v>2</v>
      </c>
      <c r="BW86" s="92">
        <f t="shared" si="123"/>
        <v>-128</v>
      </c>
      <c r="BX86" s="98">
        <f t="shared" si="149"/>
        <v>18.100000000000001</v>
      </c>
      <c r="BY86" s="61">
        <f t="shared" si="174"/>
        <v>2</v>
      </c>
      <c r="BZ86" s="62">
        <f t="shared" si="150"/>
        <v>2</v>
      </c>
      <c r="CA86" s="98">
        <f t="shared" si="151"/>
        <v>0</v>
      </c>
      <c r="CB86" s="92">
        <f t="shared" si="124"/>
        <v>0</v>
      </c>
      <c r="CC86" s="92">
        <f t="shared" si="124"/>
        <v>-7648</v>
      </c>
      <c r="CD86" s="92">
        <f t="shared" si="124"/>
        <v>-128</v>
      </c>
      <c r="CE86" s="99"/>
      <c r="CF86" s="99"/>
      <c r="CG86" s="51">
        <f t="shared" si="152"/>
        <v>18.100000000000001</v>
      </c>
      <c r="CH86" s="62">
        <f t="shared" si="153"/>
        <v>18.100000000000001</v>
      </c>
      <c r="CI86" s="89"/>
      <c r="CJ86" s="89"/>
      <c r="CK86" s="89"/>
      <c r="CL86" s="96"/>
      <c r="CM86" s="89"/>
      <c r="CN86" s="89"/>
      <c r="CO86" s="92"/>
      <c r="CP86" s="101"/>
      <c r="CQ86" s="102">
        <f t="shared" si="101"/>
        <v>0</v>
      </c>
      <c r="CR86" s="102">
        <f t="shared" si="101"/>
        <v>0</v>
      </c>
      <c r="CS86" s="102">
        <f t="shared" si="101"/>
        <v>0</v>
      </c>
      <c r="CT86" s="92">
        <f t="shared" si="154"/>
        <v>0</v>
      </c>
      <c r="CU86" s="92">
        <f t="shared" si="102"/>
        <v>0</v>
      </c>
      <c r="CV86" s="103">
        <f t="shared" si="102"/>
        <v>0</v>
      </c>
      <c r="CW86" s="104"/>
      <c r="CX86" s="105">
        <v>80</v>
      </c>
      <c r="CY86" s="106">
        <f t="shared" si="155"/>
        <v>506</v>
      </c>
      <c r="CZ86" s="106">
        <f t="shared" si="156"/>
        <v>648</v>
      </c>
      <c r="DA86" s="106"/>
      <c r="DB86" s="106"/>
      <c r="DC86" s="105"/>
      <c r="DD86" s="107"/>
      <c r="DE86" s="92">
        <f t="shared" si="125"/>
        <v>0</v>
      </c>
      <c r="DF86" s="108">
        <f t="shared" si="126"/>
        <v>2</v>
      </c>
      <c r="DG86" s="115">
        <f t="shared" si="127"/>
        <v>-128</v>
      </c>
      <c r="DH86" s="110">
        <f t="shared" si="128"/>
        <v>0</v>
      </c>
      <c r="DI86" s="108">
        <f t="shared" si="129"/>
        <v>0</v>
      </c>
      <c r="DJ86" s="112">
        <f t="shared" si="130"/>
        <v>0</v>
      </c>
      <c r="DK86" s="110">
        <f t="shared" si="87"/>
        <v>0</v>
      </c>
      <c r="DL86" s="108">
        <f t="shared" si="87"/>
        <v>2</v>
      </c>
      <c r="DM86" s="111">
        <f t="shared" si="87"/>
        <v>-128</v>
      </c>
      <c r="DN86" s="76">
        <f t="shared" si="157"/>
        <v>5</v>
      </c>
      <c r="DO86" s="76">
        <f t="shared" si="157"/>
        <v>0</v>
      </c>
      <c r="DP86" s="112"/>
      <c r="DQ86" s="112"/>
      <c r="DR86" s="113" t="s">
        <v>565</v>
      </c>
      <c r="DS86" s="112"/>
      <c r="DT86" s="112"/>
      <c r="DU86" s="111"/>
      <c r="DV86" s="114"/>
      <c r="DW86" s="80">
        <f>IFERROR(AL86+BF86,"")</f>
        <v>2</v>
      </c>
      <c r="DX86" s="81">
        <f t="shared" si="131"/>
        <v>-126</v>
      </c>
      <c r="DY86" s="80">
        <f t="shared" si="159"/>
        <v>0</v>
      </c>
      <c r="DZ86" s="82">
        <f t="shared" si="160"/>
        <v>0</v>
      </c>
      <c r="EA86" s="82">
        <f t="shared" si="161"/>
        <v>0</v>
      </c>
      <c r="EB86" s="82">
        <f t="shared" si="162"/>
        <v>18.100000000000001</v>
      </c>
      <c r="EC86" s="82">
        <f t="shared" si="181"/>
        <v>18.100000000000001</v>
      </c>
      <c r="EF86" s="83">
        <f t="shared" si="107"/>
        <v>-128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2"/>
        <v>TVSUS303-7.5x2.5-H9A14</v>
      </c>
      <c r="H87" s="46" t="str">
        <f t="shared" si="133"/>
        <v>SUS303TV7.50DH9</v>
      </c>
      <c r="I87" s="46" t="str">
        <f t="shared" si="134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5"/>
        <v>2</v>
      </c>
      <c r="T87" s="51">
        <f>'07.02'!BG87</f>
        <v>7</v>
      </c>
      <c r="U87" s="92"/>
      <c r="V87" s="100">
        <v>0.7</v>
      </c>
      <c r="W87" s="93">
        <f t="shared" si="114"/>
        <v>0</v>
      </c>
      <c r="X87" s="93">
        <f t="shared" si="115"/>
        <v>0</v>
      </c>
      <c r="Y87" s="93">
        <f t="shared" si="116"/>
        <v>0</v>
      </c>
      <c r="Z87" s="93">
        <f t="shared" si="117"/>
        <v>0</v>
      </c>
      <c r="AA87" s="93">
        <f t="shared" si="118"/>
        <v>0</v>
      </c>
      <c r="AB87" s="93">
        <f t="shared" si="119"/>
        <v>0</v>
      </c>
      <c r="AC87" s="93">
        <f t="shared" si="120"/>
        <v>0</v>
      </c>
      <c r="AD87" s="93">
        <f t="shared" si="121"/>
        <v>0</v>
      </c>
      <c r="AE87" s="93">
        <f t="shared" si="136"/>
        <v>0</v>
      </c>
      <c r="AF87" s="54">
        <f>AE87+'07.02'!AF87</f>
        <v>5658</v>
      </c>
      <c r="AG87" s="94">
        <f t="shared" si="163"/>
        <v>7</v>
      </c>
      <c r="AH87" s="56">
        <f t="shared" si="137"/>
        <v>0</v>
      </c>
      <c r="AI87" s="93">
        <v>2</v>
      </c>
      <c r="AJ87" s="93">
        <f t="shared" si="164"/>
        <v>0</v>
      </c>
      <c r="AK87" s="95">
        <f t="shared" si="138"/>
        <v>1</v>
      </c>
      <c r="AL87" s="58">
        <f t="shared" si="175"/>
        <v>2</v>
      </c>
      <c r="AM87" s="55">
        <f t="shared" si="165"/>
        <v>5</v>
      </c>
      <c r="AN87" s="93"/>
      <c r="AO87" s="96"/>
      <c r="AP87" s="96"/>
      <c r="AQ87" s="96"/>
      <c r="AR87" s="96"/>
      <c r="AS87" s="96"/>
      <c r="AT87" s="96">
        <f>$CJ87</f>
        <v>0</v>
      </c>
      <c r="AU87" s="96">
        <f t="shared" si="139"/>
        <v>0</v>
      </c>
      <c r="AV87" s="96">
        <f t="shared" si="139"/>
        <v>0</v>
      </c>
      <c r="AW87" s="96">
        <f t="shared" si="140"/>
        <v>0</v>
      </c>
      <c r="AX87" s="96">
        <f t="shared" si="141"/>
        <v>0</v>
      </c>
      <c r="AY87" s="94">
        <f t="shared" si="166"/>
        <v>-313.59999999999997</v>
      </c>
      <c r="AZ87" s="94">
        <f t="shared" si="142"/>
        <v>-448</v>
      </c>
      <c r="BA87" s="94">
        <f t="shared" si="172"/>
        <v>5</v>
      </c>
      <c r="BB87" s="97">
        <f t="shared" si="173"/>
        <v>0</v>
      </c>
      <c r="BC87" s="93">
        <v>2</v>
      </c>
      <c r="BD87" s="93">
        <f t="shared" si="143"/>
        <v>0</v>
      </c>
      <c r="BE87" s="95">
        <f t="shared" si="144"/>
        <v>1</v>
      </c>
      <c r="BF87" s="58">
        <f t="shared" si="176"/>
        <v>2</v>
      </c>
      <c r="BG87" s="94">
        <f t="shared" si="145"/>
        <v>3</v>
      </c>
      <c r="BH87" s="89"/>
      <c r="BI87" s="89"/>
      <c r="BJ87" s="92"/>
      <c r="BK87" s="89"/>
      <c r="BL87" s="89"/>
      <c r="BM87" s="89"/>
      <c r="BN87" s="92">
        <f>$CN87</f>
        <v>0</v>
      </c>
      <c r="BO87" s="92">
        <f t="shared" si="167"/>
        <v>0</v>
      </c>
      <c r="BP87" s="92">
        <f t="shared" si="167"/>
        <v>0</v>
      </c>
      <c r="BQ87" s="96">
        <f t="shared" si="146"/>
        <v>0</v>
      </c>
      <c r="BR87" s="96">
        <f t="shared" si="147"/>
        <v>0</v>
      </c>
      <c r="BS87" s="96">
        <f t="shared" si="168"/>
        <v>-313.59999999999997</v>
      </c>
      <c r="BT87" s="96">
        <f t="shared" si="148"/>
        <v>-448</v>
      </c>
      <c r="BU87" s="92">
        <f t="shared" si="122"/>
        <v>0</v>
      </c>
      <c r="BV87" s="98">
        <f t="shared" si="169"/>
        <v>4</v>
      </c>
      <c r="BW87" s="92">
        <f t="shared" si="123"/>
        <v>-896</v>
      </c>
      <c r="BX87" s="98">
        <f t="shared" si="149"/>
        <v>2.2160000000000002</v>
      </c>
      <c r="BY87" s="61">
        <f t="shared" si="174"/>
        <v>4</v>
      </c>
      <c r="BZ87" s="62">
        <f t="shared" si="150"/>
        <v>4</v>
      </c>
      <c r="CA87" s="98">
        <f t="shared" si="151"/>
        <v>0</v>
      </c>
      <c r="CB87" s="92">
        <f t="shared" si="124"/>
        <v>0</v>
      </c>
      <c r="CC87" s="92">
        <f t="shared" si="124"/>
        <v>-627.19999999999993</v>
      </c>
      <c r="CD87" s="92">
        <f t="shared" si="124"/>
        <v>-896</v>
      </c>
      <c r="CE87" s="99"/>
      <c r="CF87" s="99"/>
      <c r="CG87" s="51">
        <f t="shared" si="152"/>
        <v>2.2160000000000002</v>
      </c>
      <c r="CH87" s="62">
        <f t="shared" si="153"/>
        <v>2.2160000000000002</v>
      </c>
      <c r="CI87" s="89"/>
      <c r="CJ87" s="89"/>
      <c r="CK87" s="89"/>
      <c r="CL87" s="96"/>
      <c r="CM87" s="89"/>
      <c r="CN87" s="89"/>
      <c r="CO87" s="92"/>
      <c r="CP87" s="101"/>
      <c r="CQ87" s="102">
        <f t="shared" si="101"/>
        <v>0</v>
      </c>
      <c r="CR87" s="102">
        <f t="shared" si="101"/>
        <v>0</v>
      </c>
      <c r="CS87" s="102">
        <f t="shared" si="101"/>
        <v>0</v>
      </c>
      <c r="CT87" s="92">
        <f t="shared" si="154"/>
        <v>0</v>
      </c>
      <c r="CU87" s="92">
        <f t="shared" si="102"/>
        <v>0</v>
      </c>
      <c r="CV87" s="103">
        <f t="shared" si="102"/>
        <v>0</v>
      </c>
      <c r="CW87" s="104"/>
      <c r="CX87" s="105">
        <v>134</v>
      </c>
      <c r="CY87" s="106">
        <f t="shared" si="155"/>
        <v>317</v>
      </c>
      <c r="CZ87" s="106">
        <f t="shared" si="156"/>
        <v>1085.4000000000001</v>
      </c>
      <c r="DA87" s="106"/>
      <c r="DB87" s="106"/>
      <c r="DC87" s="105"/>
      <c r="DD87" s="107"/>
      <c r="DE87" s="92">
        <f t="shared" si="125"/>
        <v>0</v>
      </c>
      <c r="DF87" s="108">
        <f t="shared" si="126"/>
        <v>2</v>
      </c>
      <c r="DG87" s="115">
        <f t="shared" si="127"/>
        <v>-448</v>
      </c>
      <c r="DH87" s="110">
        <f t="shared" si="128"/>
        <v>0</v>
      </c>
      <c r="DI87" s="108">
        <f t="shared" si="129"/>
        <v>2</v>
      </c>
      <c r="DJ87" s="112">
        <f t="shared" si="130"/>
        <v>-448</v>
      </c>
      <c r="DK87" s="110">
        <f t="shared" si="87"/>
        <v>0</v>
      </c>
      <c r="DL87" s="108">
        <f t="shared" si="87"/>
        <v>4</v>
      </c>
      <c r="DM87" s="111">
        <f t="shared" si="87"/>
        <v>-896</v>
      </c>
      <c r="DN87" s="76">
        <f t="shared" si="157"/>
        <v>7</v>
      </c>
      <c r="DO87" s="76">
        <f t="shared" si="157"/>
        <v>0</v>
      </c>
      <c r="DP87" s="112"/>
      <c r="DQ87" s="112"/>
      <c r="DR87" s="113" t="s">
        <v>566</v>
      </c>
      <c r="DS87" s="112"/>
      <c r="DT87" s="112"/>
      <c r="DU87" s="111"/>
      <c r="DV87" s="114"/>
      <c r="DW87" s="80">
        <f t="shared" si="158"/>
        <v>4</v>
      </c>
      <c r="DX87" s="81">
        <f t="shared" si="131"/>
        <v>-892</v>
      </c>
      <c r="DY87" s="80">
        <f t="shared" si="159"/>
        <v>0</v>
      </c>
      <c r="DZ87" s="82">
        <f t="shared" si="160"/>
        <v>0</v>
      </c>
      <c r="EA87" s="82">
        <f t="shared" si="161"/>
        <v>0</v>
      </c>
      <c r="EB87" s="82">
        <f t="shared" si="162"/>
        <v>2.2160000000000002</v>
      </c>
      <c r="EC87" s="82">
        <f t="shared" si="179"/>
        <v>2.2160000000000002</v>
      </c>
      <c r="EF87" s="83">
        <f t="shared" si="107"/>
        <v>-896</v>
      </c>
    </row>
    <row r="88" spans="1:136" ht="15" hidden="1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2"/>
        <v>MESUS303-8x3-H7C14</v>
      </c>
      <c r="H88" s="46" t="str">
        <f t="shared" si="133"/>
        <v>SUS303ME80DH7</v>
      </c>
      <c r="I88" s="46" t="str">
        <f t="shared" si="134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5"/>
        <v>22</v>
      </c>
      <c r="T88" s="51">
        <f>'07.02'!BG88</f>
        <v>0</v>
      </c>
      <c r="U88" s="92"/>
      <c r="V88" s="100">
        <v>15.11</v>
      </c>
      <c r="W88" s="93">
        <f t="shared" si="114"/>
        <v>0</v>
      </c>
      <c r="X88" s="93">
        <f t="shared" si="115"/>
        <v>0</v>
      </c>
      <c r="Y88" s="93">
        <f t="shared" si="116"/>
        <v>0</v>
      </c>
      <c r="Z88" s="93">
        <f t="shared" si="117"/>
        <v>0</v>
      </c>
      <c r="AA88" s="93">
        <f t="shared" si="118"/>
        <v>0</v>
      </c>
      <c r="AB88" s="93">
        <f t="shared" si="119"/>
        <v>0</v>
      </c>
      <c r="AC88" s="93">
        <f t="shared" si="120"/>
        <v>0</v>
      </c>
      <c r="AD88" s="93">
        <f t="shared" si="121"/>
        <v>0</v>
      </c>
      <c r="AE88" s="93">
        <f t="shared" si="136"/>
        <v>0</v>
      </c>
      <c r="AF88" s="54">
        <f>AE88+'07.02'!AF88</f>
        <v>0</v>
      </c>
      <c r="AG88" s="94">
        <f t="shared" si="163"/>
        <v>0</v>
      </c>
      <c r="AH88" s="56">
        <f t="shared" si="137"/>
        <v>0</v>
      </c>
      <c r="AI88" s="93"/>
      <c r="AJ88" s="93">
        <f t="shared" si="164"/>
        <v>0</v>
      </c>
      <c r="AK88" s="95">
        <f t="shared" si="138"/>
        <v>1</v>
      </c>
      <c r="AL88" s="58">
        <f t="shared" si="175"/>
        <v>0</v>
      </c>
      <c r="AM88" s="55">
        <f t="shared" si="165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39"/>
        <v>0</v>
      </c>
      <c r="AV88" s="96">
        <f t="shared" si="139"/>
        <v>0</v>
      </c>
      <c r="AW88" s="96">
        <f t="shared" si="140"/>
        <v>0</v>
      </c>
      <c r="AX88" s="96">
        <f t="shared" si="141"/>
        <v>0</v>
      </c>
      <c r="AY88" s="94">
        <f t="shared" si="166"/>
        <v>0</v>
      </c>
      <c r="AZ88" s="94">
        <f t="shared" si="142"/>
        <v>0</v>
      </c>
      <c r="BA88" s="94">
        <f t="shared" si="172"/>
        <v>0</v>
      </c>
      <c r="BB88" s="97">
        <f t="shared" si="173"/>
        <v>0</v>
      </c>
      <c r="BC88" s="93"/>
      <c r="BD88" s="93">
        <f t="shared" si="143"/>
        <v>0</v>
      </c>
      <c r="BE88" s="95">
        <f t="shared" si="144"/>
        <v>1</v>
      </c>
      <c r="BF88" s="58">
        <f t="shared" si="176"/>
        <v>0</v>
      </c>
      <c r="BG88" s="94">
        <f t="shared" si="145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7"/>
        <v>0</v>
      </c>
      <c r="BP88" s="92">
        <f t="shared" si="167"/>
        <v>0</v>
      </c>
      <c r="BQ88" s="96">
        <f t="shared" si="146"/>
        <v>0</v>
      </c>
      <c r="BR88" s="96">
        <f t="shared" si="147"/>
        <v>0</v>
      </c>
      <c r="BS88" s="96">
        <f t="shared" si="168"/>
        <v>0</v>
      </c>
      <c r="BT88" s="96">
        <f t="shared" si="148"/>
        <v>0</v>
      </c>
      <c r="BU88" s="92">
        <f t="shared" si="122"/>
        <v>0</v>
      </c>
      <c r="BV88" s="98">
        <f t="shared" si="169"/>
        <v>0</v>
      </c>
      <c r="BW88" s="92">
        <f t="shared" si="123"/>
        <v>0</v>
      </c>
      <c r="BX88" s="98">
        <f t="shared" si="149"/>
        <v>0</v>
      </c>
      <c r="BY88" s="61">
        <f t="shared" si="174"/>
        <v>0</v>
      </c>
      <c r="BZ88" s="62">
        <f t="shared" si="150"/>
        <v>0</v>
      </c>
      <c r="CA88" s="98">
        <f t="shared" si="151"/>
        <v>0</v>
      </c>
      <c r="CB88" s="92">
        <f t="shared" si="124"/>
        <v>0</v>
      </c>
      <c r="CC88" s="92">
        <f t="shared" si="124"/>
        <v>0</v>
      </c>
      <c r="CD88" s="92">
        <f t="shared" si="124"/>
        <v>0</v>
      </c>
      <c r="CE88" s="99"/>
      <c r="CF88" s="99"/>
      <c r="CG88" s="51">
        <f t="shared" si="152"/>
        <v>0</v>
      </c>
      <c r="CH88" s="62">
        <f t="shared" si="153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101"/>
        <v>0</v>
      </c>
      <c r="CR88" s="102">
        <f t="shared" si="101"/>
        <v>0</v>
      </c>
      <c r="CS88" s="102">
        <f t="shared" si="101"/>
        <v>0</v>
      </c>
      <c r="CT88" s="92">
        <f t="shared" si="154"/>
        <v>0</v>
      </c>
      <c r="CU88" s="92">
        <f t="shared" si="102"/>
        <v>0</v>
      </c>
      <c r="CV88" s="103">
        <f t="shared" si="102"/>
        <v>0</v>
      </c>
      <c r="CW88" s="104"/>
      <c r="CX88" s="105">
        <v>61</v>
      </c>
      <c r="CY88" s="106">
        <f t="shared" si="155"/>
        <v>649</v>
      </c>
      <c r="CZ88" s="106">
        <f t="shared" si="156"/>
        <v>494.1</v>
      </c>
      <c r="DA88" s="106"/>
      <c r="DB88" s="106"/>
      <c r="DC88" s="105"/>
      <c r="DD88" s="107"/>
      <c r="DE88" s="92">
        <f t="shared" si="125"/>
        <v>0</v>
      </c>
      <c r="DF88" s="108">
        <f t="shared" si="126"/>
        <v>0</v>
      </c>
      <c r="DG88" s="115">
        <f t="shared" si="127"/>
        <v>0</v>
      </c>
      <c r="DH88" s="110">
        <f t="shared" si="128"/>
        <v>0</v>
      </c>
      <c r="DI88" s="108">
        <f t="shared" si="129"/>
        <v>0</v>
      </c>
      <c r="DJ88" s="112">
        <f t="shared" si="130"/>
        <v>0</v>
      </c>
      <c r="DK88" s="110">
        <f t="shared" ref="DK88:DM106" si="182">IFERROR(DE88+DH88,"")</f>
        <v>0</v>
      </c>
      <c r="DL88" s="108">
        <f t="shared" si="182"/>
        <v>0</v>
      </c>
      <c r="DM88" s="111">
        <f t="shared" si="182"/>
        <v>0</v>
      </c>
      <c r="DN88" s="76">
        <f t="shared" si="157"/>
        <v>0</v>
      </c>
      <c r="DO88" s="76">
        <f t="shared" si="157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8"/>
        <v>0</v>
      </c>
      <c r="DX88" s="81">
        <f t="shared" si="131"/>
        <v>0</v>
      </c>
      <c r="DY88" s="80">
        <f t="shared" si="159"/>
        <v>0</v>
      </c>
      <c r="DZ88" s="82">
        <f t="shared" si="160"/>
        <v>0</v>
      </c>
      <c r="EA88" s="82">
        <f t="shared" si="161"/>
        <v>0</v>
      </c>
      <c r="EB88" s="82">
        <f t="shared" si="162"/>
        <v>0</v>
      </c>
      <c r="EC88" s="82">
        <f t="shared" si="179"/>
        <v>0</v>
      </c>
      <c r="EF88" s="83">
        <f t="shared" si="107"/>
        <v>0</v>
      </c>
    </row>
    <row r="89" spans="1:136" ht="15" hidden="1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2"/>
        <v>-xx-</v>
      </c>
      <c r="H89" s="46" t="str">
        <f t="shared" si="133"/>
        <v/>
      </c>
      <c r="I89" s="46" t="str">
        <f t="shared" si="134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5"/>
        <v>#DIV/0!</v>
      </c>
      <c r="T89" s="51">
        <f>'07.02'!BG89</f>
        <v>0</v>
      </c>
      <c r="U89" s="92"/>
      <c r="V89" s="100">
        <v>1</v>
      </c>
      <c r="W89" s="93">
        <f t="shared" si="114"/>
        <v>0</v>
      </c>
      <c r="X89" s="93">
        <f t="shared" si="115"/>
        <v>0</v>
      </c>
      <c r="Y89" s="93">
        <f t="shared" si="116"/>
        <v>0</v>
      </c>
      <c r="Z89" s="93">
        <f t="shared" si="117"/>
        <v>0</v>
      </c>
      <c r="AA89" s="93">
        <f t="shared" si="118"/>
        <v>0</v>
      </c>
      <c r="AB89" s="93">
        <f t="shared" si="119"/>
        <v>0</v>
      </c>
      <c r="AC89" s="93">
        <f t="shared" si="120"/>
        <v>0</v>
      </c>
      <c r="AD89" s="93">
        <f t="shared" si="121"/>
        <v>0</v>
      </c>
      <c r="AE89" s="93">
        <f t="shared" si="136"/>
        <v>0</v>
      </c>
      <c r="AF89" s="54">
        <f>AE89+'07.02'!AF89</f>
        <v>0</v>
      </c>
      <c r="AG89" s="94">
        <f t="shared" si="163"/>
        <v>0</v>
      </c>
      <c r="AH89" s="56">
        <f t="shared" si="137"/>
        <v>0</v>
      </c>
      <c r="AI89" s="93"/>
      <c r="AJ89" s="93">
        <f t="shared" si="164"/>
        <v>0</v>
      </c>
      <c r="AK89" s="95">
        <f t="shared" si="138"/>
        <v>1</v>
      </c>
      <c r="AL89" s="58">
        <f t="shared" si="175"/>
        <v>0</v>
      </c>
      <c r="AM89" s="55">
        <f t="shared" si="165"/>
        <v>0</v>
      </c>
      <c r="AN89" s="93"/>
      <c r="AO89" s="96"/>
      <c r="AP89" s="96"/>
      <c r="AQ89" s="96"/>
      <c r="AR89" s="96"/>
      <c r="AS89" s="96"/>
      <c r="AT89" s="96"/>
      <c r="AU89" s="96">
        <f t="shared" si="139"/>
        <v>0</v>
      </c>
      <c r="AV89" s="96">
        <f t="shared" si="139"/>
        <v>0</v>
      </c>
      <c r="AW89" s="96">
        <f t="shared" si="140"/>
        <v>0</v>
      </c>
      <c r="AX89" s="96">
        <f t="shared" si="141"/>
        <v>0</v>
      </c>
      <c r="AY89" s="94">
        <f t="shared" si="166"/>
        <v>0</v>
      </c>
      <c r="AZ89" s="94">
        <f t="shared" si="142"/>
        <v>0</v>
      </c>
      <c r="BA89" s="94">
        <f t="shared" si="172"/>
        <v>0</v>
      </c>
      <c r="BB89" s="97">
        <f t="shared" si="173"/>
        <v>0</v>
      </c>
      <c r="BC89" s="93"/>
      <c r="BD89" s="93">
        <f t="shared" si="143"/>
        <v>0</v>
      </c>
      <c r="BE89" s="95">
        <f t="shared" si="144"/>
        <v>1</v>
      </c>
      <c r="BF89" s="58">
        <f t="shared" si="176"/>
        <v>0</v>
      </c>
      <c r="BG89" s="94">
        <f t="shared" si="145"/>
        <v>0</v>
      </c>
      <c r="BH89" s="89"/>
      <c r="BI89" s="89"/>
      <c r="BJ89" s="89"/>
      <c r="BK89" s="89"/>
      <c r="BL89" s="89"/>
      <c r="BM89" s="89"/>
      <c r="BN89" s="89"/>
      <c r="BO89" s="92">
        <f t="shared" si="167"/>
        <v>0</v>
      </c>
      <c r="BP89" s="92">
        <f t="shared" si="167"/>
        <v>0</v>
      </c>
      <c r="BQ89" s="96">
        <f t="shared" si="146"/>
        <v>0</v>
      </c>
      <c r="BR89" s="96">
        <f>IF(AA89="","",INT(BQ89/$V89))</f>
        <v>0</v>
      </c>
      <c r="BS89" s="96">
        <f t="shared" si="168"/>
        <v>0</v>
      </c>
      <c r="BT89" s="96">
        <f t="shared" si="148"/>
        <v>0</v>
      </c>
      <c r="BU89" s="92">
        <f t="shared" si="122"/>
        <v>0</v>
      </c>
      <c r="BV89" s="98">
        <f t="shared" si="169"/>
        <v>0</v>
      </c>
      <c r="BW89" s="92">
        <f t="shared" si="123"/>
        <v>0</v>
      </c>
      <c r="BX89" s="98" t="str">
        <f t="shared" si="149"/>
        <v/>
      </c>
      <c r="BY89" s="61">
        <f t="shared" si="174"/>
        <v>0</v>
      </c>
      <c r="BZ89" s="62">
        <f t="shared" si="150"/>
        <v>0</v>
      </c>
      <c r="CA89" s="98">
        <f t="shared" si="151"/>
        <v>0</v>
      </c>
      <c r="CB89" s="92">
        <f t="shared" si="124"/>
        <v>0</v>
      </c>
      <c r="CC89" s="92">
        <f t="shared" si="124"/>
        <v>0</v>
      </c>
      <c r="CD89" s="92">
        <f t="shared" si="124"/>
        <v>0</v>
      </c>
      <c r="CE89" s="99"/>
      <c r="CF89" s="99"/>
      <c r="CG89" s="51">
        <f t="shared" si="152"/>
        <v>0</v>
      </c>
      <c r="CH89" s="62">
        <f t="shared" si="153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101"/>
        <v>0</v>
      </c>
      <c r="CR89" s="102">
        <f t="shared" si="101"/>
        <v>0</v>
      </c>
      <c r="CS89" s="102">
        <f t="shared" si="101"/>
        <v>0</v>
      </c>
      <c r="CT89" s="92">
        <f t="shared" si="154"/>
        <v>0</v>
      </c>
      <c r="CU89" s="92">
        <f t="shared" si="102"/>
        <v>0</v>
      </c>
      <c r="CV89" s="103">
        <f t="shared" si="102"/>
        <v>0</v>
      </c>
      <c r="CW89" s="104"/>
      <c r="CX89" s="105"/>
      <c r="CY89" s="106" t="e">
        <f t="shared" si="155"/>
        <v>#DIV/0!</v>
      </c>
      <c r="CZ89" s="106">
        <f t="shared" si="156"/>
        <v>0</v>
      </c>
      <c r="DA89" s="106"/>
      <c r="DB89" s="106"/>
      <c r="DC89" s="105"/>
      <c r="DD89" s="107"/>
      <c r="DE89" s="92">
        <f t="shared" si="125"/>
        <v>0</v>
      </c>
      <c r="DF89" s="108">
        <f t="shared" si="126"/>
        <v>0</v>
      </c>
      <c r="DG89" s="115">
        <f t="shared" si="127"/>
        <v>0</v>
      </c>
      <c r="DH89" s="110">
        <f t="shared" si="128"/>
        <v>0</v>
      </c>
      <c r="DI89" s="108">
        <f t="shared" si="129"/>
        <v>0</v>
      </c>
      <c r="DJ89" s="112">
        <f t="shared" si="130"/>
        <v>0</v>
      </c>
      <c r="DK89" s="110">
        <f t="shared" si="182"/>
        <v>0</v>
      </c>
      <c r="DL89" s="108">
        <f t="shared" si="182"/>
        <v>0</v>
      </c>
      <c r="DM89" s="111">
        <f t="shared" si="182"/>
        <v>0</v>
      </c>
      <c r="DN89" s="76">
        <f t="shared" si="157"/>
        <v>0</v>
      </c>
      <c r="DO89" s="76">
        <f t="shared" si="157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8"/>
        <v>0</v>
      </c>
      <c r="DX89" s="81">
        <f t="shared" si="131"/>
        <v>0</v>
      </c>
      <c r="DY89" s="80">
        <f t="shared" si="159"/>
        <v>0</v>
      </c>
      <c r="DZ89" s="82">
        <f t="shared" si="160"/>
        <v>0</v>
      </c>
      <c r="EA89" s="82">
        <f t="shared" si="161"/>
        <v>0</v>
      </c>
      <c r="EB89" s="82" t="e">
        <f t="shared" si="162"/>
        <v>#VALUE!</v>
      </c>
      <c r="EC89" s="82" t="e">
        <f t="shared" si="179"/>
        <v>#VALUE!</v>
      </c>
    </row>
    <row r="90" spans="1:136" ht="15" hidden="1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2"/>
        <v>-xx-</v>
      </c>
      <c r="H90" s="46" t="str">
        <f t="shared" si="133"/>
        <v/>
      </c>
      <c r="I90" s="46" t="str">
        <f t="shared" si="134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5"/>
        <v>#DIV/0!</v>
      </c>
      <c r="T90" s="51">
        <f>'07.02'!BG90</f>
        <v>0</v>
      </c>
      <c r="U90" s="92"/>
      <c r="V90" s="100">
        <v>1</v>
      </c>
      <c r="W90" s="93">
        <f t="shared" si="114"/>
        <v>0</v>
      </c>
      <c r="X90" s="93">
        <f t="shared" si="115"/>
        <v>0</v>
      </c>
      <c r="Y90" s="93">
        <f t="shared" si="116"/>
        <v>0</v>
      </c>
      <c r="Z90" s="93">
        <f t="shared" si="117"/>
        <v>0</v>
      </c>
      <c r="AA90" s="93">
        <f t="shared" si="118"/>
        <v>0</v>
      </c>
      <c r="AB90" s="93">
        <f t="shared" si="119"/>
        <v>0</v>
      </c>
      <c r="AC90" s="93">
        <f t="shared" si="120"/>
        <v>0</v>
      </c>
      <c r="AD90" s="93">
        <f t="shared" si="121"/>
        <v>0</v>
      </c>
      <c r="AE90" s="93">
        <f t="shared" si="136"/>
        <v>0</v>
      </c>
      <c r="AF90" s="54">
        <f>AE90+'07.02'!AF90</f>
        <v>0</v>
      </c>
      <c r="AG90" s="94">
        <f t="shared" si="163"/>
        <v>0</v>
      </c>
      <c r="AH90" s="56">
        <f t="shared" si="137"/>
        <v>0</v>
      </c>
      <c r="AI90" s="93"/>
      <c r="AJ90" s="93">
        <f t="shared" si="164"/>
        <v>0</v>
      </c>
      <c r="AK90" s="95">
        <f t="shared" si="138"/>
        <v>1</v>
      </c>
      <c r="AL90" s="58">
        <f t="shared" si="175"/>
        <v>0</v>
      </c>
      <c r="AM90" s="55">
        <f t="shared" si="165"/>
        <v>0</v>
      </c>
      <c r="AN90" s="93"/>
      <c r="AO90" s="96"/>
      <c r="AP90" s="96"/>
      <c r="AQ90" s="96"/>
      <c r="AR90" s="96"/>
      <c r="AS90" s="96"/>
      <c r="AT90" s="96"/>
      <c r="AU90" s="96">
        <f t="shared" si="139"/>
        <v>0</v>
      </c>
      <c r="AV90" s="96">
        <f t="shared" si="139"/>
        <v>0</v>
      </c>
      <c r="AW90" s="96">
        <f t="shared" si="140"/>
        <v>0</v>
      </c>
      <c r="AX90" s="96">
        <f t="shared" si="141"/>
        <v>0</v>
      </c>
      <c r="AY90" s="94">
        <f t="shared" si="166"/>
        <v>0</v>
      </c>
      <c r="AZ90" s="94">
        <f t="shared" si="142"/>
        <v>0</v>
      </c>
      <c r="BA90" s="94">
        <f t="shared" si="172"/>
        <v>0</v>
      </c>
      <c r="BB90" s="97">
        <f t="shared" si="173"/>
        <v>0</v>
      </c>
      <c r="BC90" s="93"/>
      <c r="BD90" s="93">
        <f t="shared" si="143"/>
        <v>0</v>
      </c>
      <c r="BE90" s="95">
        <f t="shared" si="144"/>
        <v>1</v>
      </c>
      <c r="BF90" s="58">
        <f t="shared" si="176"/>
        <v>0</v>
      </c>
      <c r="BG90" s="94">
        <f t="shared" si="145"/>
        <v>0</v>
      </c>
      <c r="BH90" s="89"/>
      <c r="BI90" s="89"/>
      <c r="BJ90" s="89"/>
      <c r="BK90" s="89"/>
      <c r="BL90" s="89"/>
      <c r="BM90" s="89"/>
      <c r="BN90" s="89"/>
      <c r="BO90" s="92">
        <f t="shared" si="167"/>
        <v>0</v>
      </c>
      <c r="BP90" s="92">
        <f t="shared" si="167"/>
        <v>0</v>
      </c>
      <c r="BQ90" s="96">
        <f t="shared" si="146"/>
        <v>0</v>
      </c>
      <c r="BR90" s="96">
        <f t="shared" si="147"/>
        <v>0</v>
      </c>
      <c r="BS90" s="96">
        <f t="shared" si="168"/>
        <v>0</v>
      </c>
      <c r="BT90" s="96">
        <f t="shared" si="148"/>
        <v>0</v>
      </c>
      <c r="BU90" s="92">
        <f t="shared" si="122"/>
        <v>0</v>
      </c>
      <c r="BV90" s="98">
        <f t="shared" si="169"/>
        <v>0</v>
      </c>
      <c r="BW90" s="92">
        <f t="shared" si="123"/>
        <v>0</v>
      </c>
      <c r="BX90" s="98" t="str">
        <f t="shared" si="149"/>
        <v/>
      </c>
      <c r="BY90" s="61">
        <f t="shared" si="174"/>
        <v>0</v>
      </c>
      <c r="BZ90" s="62">
        <f t="shared" si="150"/>
        <v>0</v>
      </c>
      <c r="CA90" s="98">
        <f t="shared" si="151"/>
        <v>0</v>
      </c>
      <c r="CB90" s="92">
        <f t="shared" si="124"/>
        <v>0</v>
      </c>
      <c r="CC90" s="92">
        <f t="shared" si="124"/>
        <v>0</v>
      </c>
      <c r="CD90" s="92">
        <f t="shared" si="124"/>
        <v>0</v>
      </c>
      <c r="CE90" s="99"/>
      <c r="CF90" s="99"/>
      <c r="CG90" s="51">
        <f t="shared" si="152"/>
        <v>0</v>
      </c>
      <c r="CH90" s="62">
        <f t="shared" si="153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101"/>
        <v>0</v>
      </c>
      <c r="CR90" s="102">
        <f t="shared" si="101"/>
        <v>0</v>
      </c>
      <c r="CS90" s="102">
        <f t="shared" si="101"/>
        <v>0</v>
      </c>
      <c r="CT90" s="92">
        <f t="shared" si="154"/>
        <v>0</v>
      </c>
      <c r="CU90" s="92">
        <f t="shared" si="102"/>
        <v>0</v>
      </c>
      <c r="CV90" s="103">
        <f t="shared" si="102"/>
        <v>0</v>
      </c>
      <c r="CW90" s="104"/>
      <c r="CX90" s="105"/>
      <c r="CY90" s="106" t="e">
        <f t="shared" si="155"/>
        <v>#DIV/0!</v>
      </c>
      <c r="CZ90" s="106">
        <f t="shared" si="156"/>
        <v>0</v>
      </c>
      <c r="DA90" s="106"/>
      <c r="DB90" s="106"/>
      <c r="DC90" s="105"/>
      <c r="DD90" s="107"/>
      <c r="DE90" s="92">
        <f t="shared" si="125"/>
        <v>0</v>
      </c>
      <c r="DF90" s="108">
        <f t="shared" si="126"/>
        <v>0</v>
      </c>
      <c r="DG90" s="115">
        <f t="shared" si="127"/>
        <v>0</v>
      </c>
      <c r="DH90" s="110">
        <f t="shared" si="128"/>
        <v>0</v>
      </c>
      <c r="DI90" s="108">
        <f t="shared" si="129"/>
        <v>0</v>
      </c>
      <c r="DJ90" s="112">
        <f t="shared" si="130"/>
        <v>0</v>
      </c>
      <c r="DK90" s="110">
        <f t="shared" si="182"/>
        <v>0</v>
      </c>
      <c r="DL90" s="108">
        <f t="shared" si="182"/>
        <v>0</v>
      </c>
      <c r="DM90" s="111">
        <f t="shared" si="182"/>
        <v>0</v>
      </c>
      <c r="DN90" s="76">
        <f t="shared" si="157"/>
        <v>0</v>
      </c>
      <c r="DO90" s="76">
        <f t="shared" si="157"/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8"/>
        <v>0</v>
      </c>
      <c r="DX90" s="81">
        <f t="shared" si="131"/>
        <v>0</v>
      </c>
      <c r="DY90" s="80">
        <f t="shared" si="159"/>
        <v>0</v>
      </c>
      <c r="DZ90" s="82">
        <f t="shared" si="160"/>
        <v>0</v>
      </c>
      <c r="EA90" s="82">
        <f t="shared" si="161"/>
        <v>0</v>
      </c>
      <c r="EB90" s="82" t="e">
        <f t="shared" si="162"/>
        <v>#VALUE!</v>
      </c>
      <c r="EC90" s="82" t="e">
        <f t="shared" si="179"/>
        <v>#VALUE!</v>
      </c>
    </row>
    <row r="91" spans="1:136" ht="15" hidden="1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2"/>
        <v>GWA6063-T5-17x3-H9I14</v>
      </c>
      <c r="H91" s="46" t="str">
        <f t="shared" si="133"/>
        <v>A6063-T5GW170DH9</v>
      </c>
      <c r="I91" s="46" t="str">
        <f t="shared" si="134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5"/>
        <v>8</v>
      </c>
      <c r="T91" s="51">
        <f>'07.02'!BG91</f>
        <v>0</v>
      </c>
      <c r="U91" s="92"/>
      <c r="V91" s="100">
        <v>5.133</v>
      </c>
      <c r="W91" s="93">
        <f t="shared" si="114"/>
        <v>0</v>
      </c>
      <c r="X91" s="93">
        <f t="shared" si="115"/>
        <v>0</v>
      </c>
      <c r="Y91" s="93">
        <f t="shared" si="116"/>
        <v>0</v>
      </c>
      <c r="Z91" s="93">
        <f t="shared" si="117"/>
        <v>0</v>
      </c>
      <c r="AA91" s="93">
        <f t="shared" si="118"/>
        <v>0</v>
      </c>
      <c r="AB91" s="93">
        <f t="shared" si="119"/>
        <v>0</v>
      </c>
      <c r="AC91" s="93">
        <f t="shared" si="120"/>
        <v>0</v>
      </c>
      <c r="AD91" s="93">
        <f t="shared" si="121"/>
        <v>0</v>
      </c>
      <c r="AE91" s="93">
        <f t="shared" si="136"/>
        <v>0</v>
      </c>
      <c r="AF91" s="54">
        <f>AE91+'07.02'!AF91</f>
        <v>0</v>
      </c>
      <c r="AG91" s="94">
        <f t="shared" si="163"/>
        <v>0</v>
      </c>
      <c r="AH91" s="56">
        <f t="shared" si="137"/>
        <v>0</v>
      </c>
      <c r="AI91" s="93"/>
      <c r="AJ91" s="93">
        <f t="shared" si="164"/>
        <v>0</v>
      </c>
      <c r="AK91" s="95">
        <f t="shared" si="138"/>
        <v>1</v>
      </c>
      <c r="AL91" s="58">
        <f t="shared" si="175"/>
        <v>0</v>
      </c>
      <c r="AM91" s="55">
        <f t="shared" si="165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39"/>
        <v>0</v>
      </c>
      <c r="AV91" s="96">
        <f t="shared" si="139"/>
        <v>0</v>
      </c>
      <c r="AW91" s="96">
        <f t="shared" si="140"/>
        <v>0</v>
      </c>
      <c r="AX91" s="96">
        <f t="shared" si="141"/>
        <v>0</v>
      </c>
      <c r="AY91" s="94">
        <f t="shared" si="166"/>
        <v>0</v>
      </c>
      <c r="AZ91" s="94">
        <f t="shared" si="142"/>
        <v>0</v>
      </c>
      <c r="BA91" s="94">
        <f t="shared" si="172"/>
        <v>0</v>
      </c>
      <c r="BB91" s="97">
        <f t="shared" si="173"/>
        <v>0</v>
      </c>
      <c r="BC91" s="93"/>
      <c r="BD91" s="93">
        <f t="shared" si="143"/>
        <v>0</v>
      </c>
      <c r="BE91" s="95">
        <f t="shared" si="144"/>
        <v>1</v>
      </c>
      <c r="BF91" s="58">
        <f t="shared" si="176"/>
        <v>0</v>
      </c>
      <c r="BG91" s="94">
        <f t="shared" si="145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7"/>
        <v>0</v>
      </c>
      <c r="BP91" s="92">
        <f t="shared" si="167"/>
        <v>0</v>
      </c>
      <c r="BQ91" s="96">
        <f t="shared" si="146"/>
        <v>0</v>
      </c>
      <c r="BR91" s="96">
        <f t="shared" si="147"/>
        <v>0</v>
      </c>
      <c r="BS91" s="96">
        <f t="shared" si="168"/>
        <v>0</v>
      </c>
      <c r="BT91" s="96">
        <f t="shared" si="148"/>
        <v>0</v>
      </c>
      <c r="BU91" s="92">
        <f t="shared" si="122"/>
        <v>0</v>
      </c>
      <c r="BV91" s="98">
        <f t="shared" si="169"/>
        <v>0</v>
      </c>
      <c r="BW91" s="92">
        <f t="shared" si="123"/>
        <v>0</v>
      </c>
      <c r="BX91" s="98">
        <f t="shared" si="149"/>
        <v>0</v>
      </c>
      <c r="BY91" s="61">
        <f t="shared" si="174"/>
        <v>0</v>
      </c>
      <c r="BZ91" s="62">
        <f t="shared" si="150"/>
        <v>0</v>
      </c>
      <c r="CA91" s="98">
        <f t="shared" si="151"/>
        <v>0</v>
      </c>
      <c r="CB91" s="92">
        <f t="shared" si="124"/>
        <v>0</v>
      </c>
      <c r="CC91" s="92">
        <f t="shared" si="124"/>
        <v>0</v>
      </c>
      <c r="CD91" s="92">
        <f t="shared" si="124"/>
        <v>0</v>
      </c>
      <c r="CE91" s="99"/>
      <c r="CF91" s="99"/>
      <c r="CG91" s="51">
        <f t="shared" si="152"/>
        <v>0</v>
      </c>
      <c r="CH91" s="62">
        <f t="shared" si="153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101"/>
        <v>0</v>
      </c>
      <c r="CR91" s="102">
        <f t="shared" si="101"/>
        <v>0</v>
      </c>
      <c r="CS91" s="102">
        <f t="shared" si="101"/>
        <v>0</v>
      </c>
      <c r="CT91" s="92">
        <f t="shared" si="154"/>
        <v>0</v>
      </c>
      <c r="CU91" s="92">
        <f t="shared" si="102"/>
        <v>0</v>
      </c>
      <c r="CV91" s="103">
        <f t="shared" si="102"/>
        <v>0</v>
      </c>
      <c r="CW91" s="104"/>
      <c r="CX91" s="105">
        <v>56</v>
      </c>
      <c r="CY91" s="106">
        <f t="shared" si="155"/>
        <v>744</v>
      </c>
      <c r="CZ91" s="106">
        <f t="shared" si="156"/>
        <v>453.6</v>
      </c>
      <c r="DA91" s="106"/>
      <c r="DB91" s="106"/>
      <c r="DC91" s="105"/>
      <c r="DD91" s="107"/>
      <c r="DE91" s="92">
        <f t="shared" si="125"/>
        <v>0</v>
      </c>
      <c r="DF91" s="108">
        <f t="shared" si="126"/>
        <v>0</v>
      </c>
      <c r="DG91" s="115">
        <f t="shared" si="127"/>
        <v>0</v>
      </c>
      <c r="DH91" s="110">
        <f t="shared" si="128"/>
        <v>0</v>
      </c>
      <c r="DI91" s="108">
        <f t="shared" si="129"/>
        <v>0</v>
      </c>
      <c r="DJ91" s="112">
        <f t="shared" si="130"/>
        <v>0</v>
      </c>
      <c r="DK91" s="110">
        <f t="shared" si="182"/>
        <v>0</v>
      </c>
      <c r="DL91" s="108">
        <f t="shared" si="182"/>
        <v>0</v>
      </c>
      <c r="DM91" s="111">
        <f t="shared" si="182"/>
        <v>0</v>
      </c>
      <c r="DN91" s="76">
        <f t="shared" si="157"/>
        <v>0</v>
      </c>
      <c r="DO91" s="76">
        <f t="shared" si="157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8"/>
        <v>0</v>
      </c>
      <c r="DX91" s="81">
        <f t="shared" si="131"/>
        <v>0</v>
      </c>
      <c r="DY91" s="80">
        <f t="shared" si="159"/>
        <v>0</v>
      </c>
      <c r="DZ91" s="82">
        <f t="shared" si="160"/>
        <v>0</v>
      </c>
      <c r="EA91" s="82">
        <f t="shared" si="161"/>
        <v>0</v>
      </c>
      <c r="EB91" s="82">
        <f t="shared" si="162"/>
        <v>0</v>
      </c>
      <c r="EC91" s="82">
        <f t="shared" si="179"/>
        <v>0</v>
      </c>
      <c r="EF91" s="83">
        <f t="shared" ref="EF91:EF101" si="183">DG91+DJ91</f>
        <v>0</v>
      </c>
    </row>
    <row r="92" spans="1:136" ht="15" hidden="1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2"/>
        <v>TVSUS303Cu-H15.87x2.5-H11B14</v>
      </c>
      <c r="H92" s="46" t="str">
        <f t="shared" si="133"/>
        <v>SUS303CuTV15.870HH11</v>
      </c>
      <c r="I92" s="46" t="str">
        <f t="shared" si="134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5"/>
        <v>18</v>
      </c>
      <c r="T92" s="51">
        <f>'07.02'!BG92</f>
        <v>0</v>
      </c>
      <c r="U92" s="92"/>
      <c r="V92" s="100">
        <v>27.35</v>
      </c>
      <c r="W92" s="93">
        <f t="shared" si="114"/>
        <v>0</v>
      </c>
      <c r="X92" s="93">
        <f t="shared" si="115"/>
        <v>0</v>
      </c>
      <c r="Y92" s="93">
        <f t="shared" si="116"/>
        <v>0</v>
      </c>
      <c r="Z92" s="93">
        <f t="shared" si="117"/>
        <v>0</v>
      </c>
      <c r="AA92" s="93">
        <f t="shared" si="118"/>
        <v>0</v>
      </c>
      <c r="AB92" s="93">
        <f t="shared" si="119"/>
        <v>0</v>
      </c>
      <c r="AC92" s="93">
        <f t="shared" si="120"/>
        <v>0</v>
      </c>
      <c r="AD92" s="93">
        <f t="shared" si="121"/>
        <v>0</v>
      </c>
      <c r="AE92" s="93">
        <f t="shared" si="136"/>
        <v>0</v>
      </c>
      <c r="AF92" s="54">
        <f>AE92+'07.02'!AF92</f>
        <v>0</v>
      </c>
      <c r="AG92" s="94">
        <f t="shared" si="163"/>
        <v>0</v>
      </c>
      <c r="AH92" s="56">
        <f t="shared" si="137"/>
        <v>0</v>
      </c>
      <c r="AI92" s="93"/>
      <c r="AJ92" s="93">
        <f t="shared" si="164"/>
        <v>0</v>
      </c>
      <c r="AK92" s="95">
        <f t="shared" si="138"/>
        <v>1</v>
      </c>
      <c r="AL92" s="58">
        <f t="shared" si="175"/>
        <v>0</v>
      </c>
      <c r="AM92" s="55">
        <f t="shared" si="165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39"/>
        <v>0</v>
      </c>
      <c r="AV92" s="96">
        <f t="shared" si="139"/>
        <v>0</v>
      </c>
      <c r="AW92" s="96">
        <f t="shared" si="140"/>
        <v>0</v>
      </c>
      <c r="AX92" s="96">
        <f t="shared" si="141"/>
        <v>0</v>
      </c>
      <c r="AY92" s="94">
        <f t="shared" si="166"/>
        <v>0</v>
      </c>
      <c r="AZ92" s="94">
        <f t="shared" si="142"/>
        <v>0</v>
      </c>
      <c r="BA92" s="94">
        <f t="shared" si="172"/>
        <v>0</v>
      </c>
      <c r="BB92" s="97">
        <f t="shared" si="173"/>
        <v>0</v>
      </c>
      <c r="BC92" s="93"/>
      <c r="BD92" s="93">
        <f t="shared" si="143"/>
        <v>0</v>
      </c>
      <c r="BE92" s="95">
        <f t="shared" si="144"/>
        <v>1</v>
      </c>
      <c r="BF92" s="58">
        <f t="shared" si="176"/>
        <v>0</v>
      </c>
      <c r="BG92" s="94">
        <f t="shared" si="145"/>
        <v>0</v>
      </c>
      <c r="BH92" s="89"/>
      <c r="BI92" s="92">
        <f t="shared" ref="BI92:BJ97" si="184">$CN92</f>
        <v>0</v>
      </c>
      <c r="BJ92" s="92"/>
      <c r="BK92" s="89"/>
      <c r="BL92" s="89"/>
      <c r="BM92" s="89"/>
      <c r="BN92" s="92"/>
      <c r="BO92" s="92">
        <f t="shared" si="167"/>
        <v>0</v>
      </c>
      <c r="BP92" s="92">
        <f t="shared" si="167"/>
        <v>0</v>
      </c>
      <c r="BQ92" s="96">
        <f t="shared" si="146"/>
        <v>0</v>
      </c>
      <c r="BR92" s="96">
        <f t="shared" si="147"/>
        <v>0</v>
      </c>
      <c r="BS92" s="96">
        <f t="shared" si="168"/>
        <v>0</v>
      </c>
      <c r="BT92" s="96">
        <f t="shared" si="148"/>
        <v>0</v>
      </c>
      <c r="BU92" s="92">
        <f t="shared" si="122"/>
        <v>0</v>
      </c>
      <c r="BV92" s="98">
        <f t="shared" si="169"/>
        <v>0</v>
      </c>
      <c r="BW92" s="92">
        <f t="shared" si="123"/>
        <v>0</v>
      </c>
      <c r="BX92" s="98">
        <f t="shared" si="149"/>
        <v>0</v>
      </c>
      <c r="BY92" s="61">
        <f t="shared" si="174"/>
        <v>0</v>
      </c>
      <c r="BZ92" s="62">
        <f t="shared" si="150"/>
        <v>0</v>
      </c>
      <c r="CA92" s="98">
        <f t="shared" si="151"/>
        <v>0</v>
      </c>
      <c r="CB92" s="92">
        <f t="shared" si="124"/>
        <v>0</v>
      </c>
      <c r="CC92" s="92">
        <f t="shared" si="124"/>
        <v>0</v>
      </c>
      <c r="CD92" s="92">
        <f t="shared" si="124"/>
        <v>0</v>
      </c>
      <c r="CE92" s="99"/>
      <c r="CF92" s="99"/>
      <c r="CG92" s="51">
        <f t="shared" si="152"/>
        <v>0</v>
      </c>
      <c r="CH92" s="62">
        <f t="shared" si="153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101"/>
        <v>0</v>
      </c>
      <c r="CR92" s="102">
        <f t="shared" si="101"/>
        <v>0</v>
      </c>
      <c r="CS92" s="102">
        <f t="shared" si="101"/>
        <v>0</v>
      </c>
      <c r="CT92" s="92">
        <f t="shared" si="154"/>
        <v>0</v>
      </c>
      <c r="CU92" s="92">
        <f t="shared" si="102"/>
        <v>0</v>
      </c>
      <c r="CV92" s="103">
        <f t="shared" si="102"/>
        <v>0</v>
      </c>
      <c r="CW92" s="104"/>
      <c r="CX92" s="105">
        <v>60</v>
      </c>
      <c r="CY92" s="106">
        <f t="shared" si="155"/>
        <v>670</v>
      </c>
      <c r="CZ92" s="106">
        <f t="shared" si="156"/>
        <v>486.00000000000006</v>
      </c>
      <c r="DA92" s="106"/>
      <c r="DB92" s="106"/>
      <c r="DC92" s="105"/>
      <c r="DD92" s="107"/>
      <c r="DE92" s="92">
        <f t="shared" si="125"/>
        <v>0</v>
      </c>
      <c r="DF92" s="108">
        <f t="shared" si="126"/>
        <v>0</v>
      </c>
      <c r="DG92" s="115">
        <f t="shared" si="127"/>
        <v>0</v>
      </c>
      <c r="DH92" s="110">
        <f t="shared" si="128"/>
        <v>0</v>
      </c>
      <c r="DI92" s="108">
        <f t="shared" si="129"/>
        <v>0</v>
      </c>
      <c r="DJ92" s="112">
        <f t="shared" si="130"/>
        <v>0</v>
      </c>
      <c r="DK92" s="110">
        <f t="shared" si="182"/>
        <v>0</v>
      </c>
      <c r="DL92" s="108">
        <f t="shared" si="182"/>
        <v>0</v>
      </c>
      <c r="DM92" s="111">
        <f t="shared" si="182"/>
        <v>0</v>
      </c>
      <c r="DN92" s="76">
        <f t="shared" si="157"/>
        <v>0</v>
      </c>
      <c r="DO92" s="76">
        <f t="shared" si="157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8"/>
        <v>0</v>
      </c>
      <c r="DX92" s="81">
        <f t="shared" si="131"/>
        <v>0</v>
      </c>
      <c r="DY92" s="80">
        <f t="shared" si="159"/>
        <v>0</v>
      </c>
      <c r="DZ92" s="82">
        <f t="shared" si="160"/>
        <v>0</v>
      </c>
      <c r="EA92" s="82">
        <f t="shared" si="161"/>
        <v>0</v>
      </c>
      <c r="EB92" s="82">
        <f t="shared" si="162"/>
        <v>0</v>
      </c>
      <c r="EC92" s="82">
        <f t="shared" si="179"/>
        <v>0</v>
      </c>
      <c r="EF92" s="83">
        <f t="shared" si="183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2"/>
        <v>GWA6061-T6-16x3-H9A15</v>
      </c>
      <c r="H93" s="46" t="str">
        <f t="shared" si="133"/>
        <v>A6061-T6GW160DH9</v>
      </c>
      <c r="I93" s="46" t="str">
        <f t="shared" si="134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5"/>
        <v>22</v>
      </c>
      <c r="T93" s="51">
        <f>'07.02'!BG93</f>
        <v>17</v>
      </c>
      <c r="U93" s="92"/>
      <c r="V93" s="100">
        <v>14.1</v>
      </c>
      <c r="W93" s="93">
        <f t="shared" si="114"/>
        <v>0</v>
      </c>
      <c r="X93" s="93">
        <f t="shared" si="115"/>
        <v>0</v>
      </c>
      <c r="Y93" s="93">
        <f t="shared" si="116"/>
        <v>0</v>
      </c>
      <c r="Z93" s="93">
        <f t="shared" si="117"/>
        <v>0</v>
      </c>
      <c r="AA93" s="93">
        <f t="shared" si="118"/>
        <v>0</v>
      </c>
      <c r="AB93" s="93">
        <f t="shared" si="119"/>
        <v>0</v>
      </c>
      <c r="AC93" s="93">
        <f t="shared" si="120"/>
        <v>0</v>
      </c>
      <c r="AD93" s="93">
        <f t="shared" si="121"/>
        <v>0</v>
      </c>
      <c r="AE93" s="93">
        <f t="shared" si="136"/>
        <v>0</v>
      </c>
      <c r="AF93" s="54">
        <f>AE93+'07.02'!AF93</f>
        <v>2660</v>
      </c>
      <c r="AG93" s="94">
        <f t="shared" si="163"/>
        <v>17</v>
      </c>
      <c r="AH93" s="56">
        <f t="shared" si="137"/>
        <v>0</v>
      </c>
      <c r="AI93" s="93">
        <v>8</v>
      </c>
      <c r="AJ93" s="93">
        <f t="shared" si="164"/>
        <v>0</v>
      </c>
      <c r="AK93" s="95">
        <f t="shared" si="138"/>
        <v>1</v>
      </c>
      <c r="AL93" s="58">
        <f t="shared" si="175"/>
        <v>8</v>
      </c>
      <c r="AM93" s="55">
        <f t="shared" si="165"/>
        <v>9</v>
      </c>
      <c r="AN93" s="93"/>
      <c r="AO93" s="96">
        <f>$CJ93</f>
        <v>0</v>
      </c>
      <c r="AP93" s="96"/>
      <c r="AQ93" s="96"/>
      <c r="AR93" s="96"/>
      <c r="AS93" s="96"/>
      <c r="AT93" s="96"/>
      <c r="AU93" s="96">
        <f t="shared" si="139"/>
        <v>0</v>
      </c>
      <c r="AV93" s="96">
        <f t="shared" si="139"/>
        <v>0</v>
      </c>
      <c r="AW93" s="96">
        <f t="shared" si="140"/>
        <v>0</v>
      </c>
      <c r="AX93" s="96">
        <f t="shared" si="141"/>
        <v>0</v>
      </c>
      <c r="AY93" s="94">
        <f t="shared" si="166"/>
        <v>-3722.4</v>
      </c>
      <c r="AZ93" s="94">
        <f t="shared" si="142"/>
        <v>-264</v>
      </c>
      <c r="BA93" s="94">
        <f t="shared" si="172"/>
        <v>9</v>
      </c>
      <c r="BB93" s="97">
        <f t="shared" si="173"/>
        <v>0</v>
      </c>
      <c r="BC93" s="93">
        <v>7</v>
      </c>
      <c r="BD93" s="93">
        <f t="shared" si="143"/>
        <v>0</v>
      </c>
      <c r="BE93" s="95">
        <f t="shared" si="144"/>
        <v>1</v>
      </c>
      <c r="BF93" s="58">
        <f t="shared" si="176"/>
        <v>7</v>
      </c>
      <c r="BG93" s="94">
        <f t="shared" si="145"/>
        <v>2</v>
      </c>
      <c r="BH93" s="89"/>
      <c r="BI93" s="92">
        <f t="shared" si="184"/>
        <v>0</v>
      </c>
      <c r="BJ93" s="92"/>
      <c r="BK93" s="89"/>
      <c r="BL93" s="89"/>
      <c r="BM93" s="89"/>
      <c r="BN93" s="89"/>
      <c r="BO93" s="92">
        <f t="shared" si="167"/>
        <v>0</v>
      </c>
      <c r="BP93" s="92">
        <f t="shared" si="167"/>
        <v>0</v>
      </c>
      <c r="BQ93" s="96">
        <f t="shared" si="146"/>
        <v>0</v>
      </c>
      <c r="BR93" s="96">
        <f t="shared" si="147"/>
        <v>0</v>
      </c>
      <c r="BS93" s="96">
        <f t="shared" si="168"/>
        <v>-3257.1</v>
      </c>
      <c r="BT93" s="96">
        <f t="shared" si="148"/>
        <v>-231</v>
      </c>
      <c r="BU93" s="92">
        <f t="shared" si="122"/>
        <v>0</v>
      </c>
      <c r="BV93" s="98">
        <f t="shared" si="169"/>
        <v>15</v>
      </c>
      <c r="BW93" s="92">
        <f t="shared" si="123"/>
        <v>-495</v>
      </c>
      <c r="BX93" s="98">
        <f t="shared" si="149"/>
        <v>24.3</v>
      </c>
      <c r="BY93" s="61">
        <f>IFERROR(BF93+AL93,0)</f>
        <v>15</v>
      </c>
      <c r="BZ93" s="62">
        <f t="shared" si="150"/>
        <v>15</v>
      </c>
      <c r="CA93" s="98">
        <f t="shared" si="151"/>
        <v>0</v>
      </c>
      <c r="CB93" s="92">
        <f t="shared" si="124"/>
        <v>0</v>
      </c>
      <c r="CC93" s="92">
        <f t="shared" si="124"/>
        <v>-6979.5</v>
      </c>
      <c r="CD93" s="92">
        <f t="shared" si="124"/>
        <v>-495</v>
      </c>
      <c r="CE93" s="99"/>
      <c r="CF93" s="99"/>
      <c r="CG93" s="51">
        <f t="shared" si="152"/>
        <v>24.3</v>
      </c>
      <c r="CH93" s="62">
        <f t="shared" si="153"/>
        <v>24.3</v>
      </c>
      <c r="CI93" s="89"/>
      <c r="CJ93" s="89"/>
      <c r="CK93" s="89"/>
      <c r="CL93" s="96"/>
      <c r="CM93" s="89"/>
      <c r="CN93" s="89"/>
      <c r="CO93" s="92"/>
      <c r="CP93" s="101"/>
      <c r="CQ93" s="102">
        <f t="shared" si="101"/>
        <v>0</v>
      </c>
      <c r="CR93" s="102">
        <f t="shared" si="101"/>
        <v>0</v>
      </c>
      <c r="CS93" s="102">
        <f t="shared" si="101"/>
        <v>0</v>
      </c>
      <c r="CT93" s="92">
        <f t="shared" si="154"/>
        <v>0</v>
      </c>
      <c r="CU93" s="92">
        <f t="shared" si="102"/>
        <v>0</v>
      </c>
      <c r="CV93" s="103">
        <f t="shared" si="102"/>
        <v>0</v>
      </c>
      <c r="CW93" s="104"/>
      <c r="CX93" s="105">
        <v>110</v>
      </c>
      <c r="CY93" s="106">
        <f t="shared" si="155"/>
        <v>360</v>
      </c>
      <c r="CZ93" s="106">
        <f t="shared" si="156"/>
        <v>891.00000000000011</v>
      </c>
      <c r="DA93" s="106"/>
      <c r="DB93" s="106"/>
      <c r="DC93" s="105"/>
      <c r="DD93" s="107"/>
      <c r="DE93" s="92">
        <f t="shared" si="125"/>
        <v>0</v>
      </c>
      <c r="DF93" s="108">
        <f t="shared" si="126"/>
        <v>8</v>
      </c>
      <c r="DG93" s="115">
        <f t="shared" si="127"/>
        <v>-264</v>
      </c>
      <c r="DH93" s="110">
        <f t="shared" si="128"/>
        <v>0</v>
      </c>
      <c r="DI93" s="108">
        <f t="shared" si="129"/>
        <v>7</v>
      </c>
      <c r="DJ93" s="115">
        <f t="shared" si="130"/>
        <v>-231</v>
      </c>
      <c r="DK93" s="110">
        <f t="shared" si="182"/>
        <v>0</v>
      </c>
      <c r="DL93" s="108">
        <f t="shared" si="182"/>
        <v>15</v>
      </c>
      <c r="DM93" s="111">
        <f t="shared" si="182"/>
        <v>-495</v>
      </c>
      <c r="DN93" s="76">
        <f t="shared" si="157"/>
        <v>17</v>
      </c>
      <c r="DO93" s="76">
        <f t="shared" si="157"/>
        <v>0</v>
      </c>
      <c r="DP93" s="112"/>
      <c r="DQ93" s="112"/>
      <c r="DR93" s="113" t="s">
        <v>567</v>
      </c>
      <c r="DS93" s="112"/>
      <c r="DT93" s="112"/>
      <c r="DU93" s="111"/>
      <c r="DV93" s="114"/>
      <c r="DW93" s="80">
        <f t="shared" ref="DW93:DW94" si="185">IFERROR(AL93+BF93,"")</f>
        <v>15</v>
      </c>
      <c r="DX93" s="81">
        <f t="shared" si="131"/>
        <v>-480</v>
      </c>
      <c r="DY93" s="80">
        <f t="shared" si="159"/>
        <v>0</v>
      </c>
      <c r="DZ93" s="82">
        <f t="shared" si="160"/>
        <v>0</v>
      </c>
      <c r="EA93" s="82">
        <f t="shared" si="161"/>
        <v>0</v>
      </c>
      <c r="EB93" s="82">
        <f t="shared" si="162"/>
        <v>24.3</v>
      </c>
      <c r="EC93" s="82">
        <f>(BX93-CA93)+((AV93+BP93)/1000)</f>
        <v>24.3</v>
      </c>
      <c r="EF93" s="83">
        <f t="shared" si="183"/>
        <v>-495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2"/>
        <v>GWA6061-T6-19.1x3-H9A14</v>
      </c>
      <c r="H94" s="46" t="str">
        <f t="shared" si="133"/>
        <v>A6061-T6GW19.10DH9</v>
      </c>
      <c r="I94" s="46" t="str">
        <f t="shared" si="134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5"/>
        <v>22</v>
      </c>
      <c r="T94" s="51">
        <f>'07.02'!BG94</f>
        <v>11</v>
      </c>
      <c r="U94" s="92"/>
      <c r="V94" s="100">
        <v>20.25</v>
      </c>
      <c r="W94" s="93">
        <f t="shared" si="114"/>
        <v>0</v>
      </c>
      <c r="X94" s="93">
        <f t="shared" si="115"/>
        <v>0</v>
      </c>
      <c r="Y94" s="93">
        <f t="shared" si="116"/>
        <v>0</v>
      </c>
      <c r="Z94" s="93">
        <f t="shared" si="117"/>
        <v>0</v>
      </c>
      <c r="AA94" s="93">
        <f t="shared" si="118"/>
        <v>0</v>
      </c>
      <c r="AB94" s="93">
        <f t="shared" si="119"/>
        <v>0</v>
      </c>
      <c r="AC94" s="93">
        <f t="shared" si="120"/>
        <v>0</v>
      </c>
      <c r="AD94" s="93">
        <f t="shared" si="121"/>
        <v>0</v>
      </c>
      <c r="AE94" s="93">
        <f t="shared" si="136"/>
        <v>0</v>
      </c>
      <c r="AF94" s="54">
        <f>AE94+'07.02'!AF94</f>
        <v>1735</v>
      </c>
      <c r="AG94" s="94">
        <f t="shared" si="163"/>
        <v>11</v>
      </c>
      <c r="AH94" s="56">
        <f t="shared" si="137"/>
        <v>0</v>
      </c>
      <c r="AI94" s="93"/>
      <c r="AJ94" s="93">
        <f t="shared" si="164"/>
        <v>0</v>
      </c>
      <c r="AK94" s="95">
        <f t="shared" si="138"/>
        <v>1</v>
      </c>
      <c r="AL94" s="58">
        <f t="shared" si="175"/>
        <v>0</v>
      </c>
      <c r="AM94" s="55">
        <f t="shared" si="165"/>
        <v>11</v>
      </c>
      <c r="AN94" s="93"/>
      <c r="AO94" s="96">
        <f>$CJ94</f>
        <v>0</v>
      </c>
      <c r="AP94" s="96"/>
      <c r="AQ94" s="96"/>
      <c r="AR94" s="96"/>
      <c r="AS94" s="96"/>
      <c r="AT94" s="96"/>
      <c r="AU94" s="96">
        <f t="shared" si="139"/>
        <v>0</v>
      </c>
      <c r="AV94" s="96">
        <f t="shared" si="139"/>
        <v>0</v>
      </c>
      <c r="AW94" s="96">
        <f t="shared" si="140"/>
        <v>0</v>
      </c>
      <c r="AX94" s="96">
        <f t="shared" si="141"/>
        <v>0</v>
      </c>
      <c r="AY94" s="94">
        <f t="shared" si="166"/>
        <v>0</v>
      </c>
      <c r="AZ94" s="94">
        <f t="shared" si="142"/>
        <v>0</v>
      </c>
      <c r="BA94" s="94">
        <f t="shared" si="172"/>
        <v>11</v>
      </c>
      <c r="BB94" s="97">
        <f t="shared" si="173"/>
        <v>0</v>
      </c>
      <c r="BC94" s="93"/>
      <c r="BD94" s="93">
        <f t="shared" si="143"/>
        <v>0</v>
      </c>
      <c r="BE94" s="95">
        <f t="shared" si="144"/>
        <v>1</v>
      </c>
      <c r="BF94" s="58">
        <f t="shared" si="176"/>
        <v>0</v>
      </c>
      <c r="BG94" s="94">
        <f t="shared" si="145"/>
        <v>11</v>
      </c>
      <c r="BH94" s="89"/>
      <c r="BI94" s="92">
        <f t="shared" si="184"/>
        <v>0</v>
      </c>
      <c r="BJ94" s="92"/>
      <c r="BK94" s="89"/>
      <c r="BL94" s="89"/>
      <c r="BM94" s="89"/>
      <c r="BN94" s="89"/>
      <c r="BO94" s="92">
        <f t="shared" si="167"/>
        <v>0</v>
      </c>
      <c r="BP94" s="92">
        <f t="shared" si="167"/>
        <v>0</v>
      </c>
      <c r="BQ94" s="96">
        <f t="shared" si="146"/>
        <v>0</v>
      </c>
      <c r="BR94" s="96">
        <f t="shared" si="147"/>
        <v>0</v>
      </c>
      <c r="BS94" s="96">
        <f t="shared" si="168"/>
        <v>0</v>
      </c>
      <c r="BT94" s="96">
        <f t="shared" si="148"/>
        <v>0</v>
      </c>
      <c r="BU94" s="92">
        <f t="shared" si="122"/>
        <v>0</v>
      </c>
      <c r="BV94" s="98">
        <f t="shared" si="169"/>
        <v>0</v>
      </c>
      <c r="BW94" s="92">
        <f t="shared" si="123"/>
        <v>0</v>
      </c>
      <c r="BX94" s="98">
        <f t="shared" si="149"/>
        <v>0</v>
      </c>
      <c r="BY94" s="61">
        <f t="shared" si="174"/>
        <v>0</v>
      </c>
      <c r="BZ94" s="62">
        <f t="shared" si="150"/>
        <v>0</v>
      </c>
      <c r="CA94" s="98">
        <f t="shared" si="151"/>
        <v>0</v>
      </c>
      <c r="CB94" s="92">
        <f t="shared" si="124"/>
        <v>0</v>
      </c>
      <c r="CC94" s="92">
        <f t="shared" si="124"/>
        <v>0</v>
      </c>
      <c r="CD94" s="92">
        <f t="shared" si="124"/>
        <v>0</v>
      </c>
      <c r="CE94" s="99"/>
      <c r="CF94" s="99"/>
      <c r="CG94" s="51">
        <f t="shared" si="152"/>
        <v>0</v>
      </c>
      <c r="CH94" s="62">
        <f t="shared" si="153"/>
        <v>0</v>
      </c>
      <c r="CI94" s="89"/>
      <c r="CJ94" s="89"/>
      <c r="CK94" s="89"/>
      <c r="CL94" s="96"/>
      <c r="CM94" s="89"/>
      <c r="CN94" s="89"/>
      <c r="CO94" s="92"/>
      <c r="CP94" s="101"/>
      <c r="CQ94" s="102">
        <f t="shared" si="101"/>
        <v>0</v>
      </c>
      <c r="CR94" s="102">
        <f t="shared" si="101"/>
        <v>0</v>
      </c>
      <c r="CS94" s="102">
        <f t="shared" si="101"/>
        <v>0</v>
      </c>
      <c r="CT94" s="92">
        <f t="shared" si="154"/>
        <v>0</v>
      </c>
      <c r="CU94" s="92">
        <f t="shared" si="102"/>
        <v>0</v>
      </c>
      <c r="CV94" s="103">
        <f t="shared" si="102"/>
        <v>0</v>
      </c>
      <c r="CW94" s="104"/>
      <c r="CX94" s="105">
        <v>150</v>
      </c>
      <c r="CY94" s="106">
        <f t="shared" si="155"/>
        <v>264</v>
      </c>
      <c r="CZ94" s="106">
        <f t="shared" si="156"/>
        <v>1215</v>
      </c>
      <c r="DA94" s="106"/>
      <c r="DB94" s="106"/>
      <c r="DC94" s="105"/>
      <c r="DD94" s="107"/>
      <c r="DE94" s="92">
        <f t="shared" si="125"/>
        <v>0</v>
      </c>
      <c r="DF94" s="108">
        <f t="shared" si="126"/>
        <v>0</v>
      </c>
      <c r="DG94" s="115">
        <f t="shared" si="127"/>
        <v>0</v>
      </c>
      <c r="DH94" s="110">
        <f t="shared" si="128"/>
        <v>0</v>
      </c>
      <c r="DI94" s="108">
        <f t="shared" si="129"/>
        <v>0</v>
      </c>
      <c r="DJ94" s="115">
        <f t="shared" si="130"/>
        <v>0</v>
      </c>
      <c r="DK94" s="110">
        <f t="shared" si="182"/>
        <v>0</v>
      </c>
      <c r="DL94" s="108">
        <f t="shared" si="182"/>
        <v>0</v>
      </c>
      <c r="DM94" s="111">
        <f t="shared" si="182"/>
        <v>0</v>
      </c>
      <c r="DN94" s="76">
        <f t="shared" si="157"/>
        <v>11</v>
      </c>
      <c r="DO94" s="76">
        <f t="shared" si="157"/>
        <v>0</v>
      </c>
      <c r="DP94" s="112"/>
      <c r="DQ94" s="112"/>
      <c r="DR94" s="113" t="s">
        <v>568</v>
      </c>
      <c r="DS94" s="112"/>
      <c r="DT94" s="112"/>
      <c r="DU94" s="111"/>
      <c r="DV94" s="114"/>
      <c r="DW94" s="80">
        <f t="shared" si="185"/>
        <v>0</v>
      </c>
      <c r="DX94" s="81">
        <f t="shared" si="131"/>
        <v>0</v>
      </c>
      <c r="DY94" s="80">
        <f t="shared" si="159"/>
        <v>0</v>
      </c>
      <c r="DZ94" s="82">
        <f t="shared" si="160"/>
        <v>0</v>
      </c>
      <c r="EA94" s="82">
        <f t="shared" si="161"/>
        <v>0</v>
      </c>
      <c r="EB94" s="82">
        <f t="shared" si="162"/>
        <v>0</v>
      </c>
      <c r="EC94" s="82">
        <f t="shared" si="179"/>
        <v>0</v>
      </c>
      <c r="EF94" s="83">
        <f t="shared" si="183"/>
        <v>0</v>
      </c>
    </row>
    <row r="95" spans="1:136" ht="15" hidden="1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2"/>
        <v>TVSUS303-10x2.5-H7A14</v>
      </c>
      <c r="H95" s="46" t="str">
        <f t="shared" si="133"/>
        <v>SUS303TV100DH7</v>
      </c>
      <c r="I95" s="46" t="str">
        <f t="shared" si="134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5"/>
        <v>42</v>
      </c>
      <c r="T95" s="51">
        <f>'07.02'!BG95</f>
        <v>0</v>
      </c>
      <c r="U95" s="92"/>
      <c r="V95" s="100">
        <v>67.7</v>
      </c>
      <c r="W95" s="93">
        <f t="shared" si="114"/>
        <v>0</v>
      </c>
      <c r="X95" s="93">
        <f t="shared" si="115"/>
        <v>0</v>
      </c>
      <c r="Y95" s="93">
        <f t="shared" si="116"/>
        <v>0</v>
      </c>
      <c r="Z95" s="93">
        <f t="shared" si="117"/>
        <v>0</v>
      </c>
      <c r="AA95" s="93">
        <f t="shared" si="118"/>
        <v>0</v>
      </c>
      <c r="AB95" s="93">
        <f t="shared" si="119"/>
        <v>0</v>
      </c>
      <c r="AC95" s="93">
        <f t="shared" si="120"/>
        <v>0</v>
      </c>
      <c r="AD95" s="93">
        <f t="shared" si="121"/>
        <v>0</v>
      </c>
      <c r="AE95" s="93">
        <f t="shared" si="136"/>
        <v>0</v>
      </c>
      <c r="AF95" s="54">
        <f>AE95+'07.02'!AF95</f>
        <v>0</v>
      </c>
      <c r="AG95" s="94">
        <f t="shared" si="163"/>
        <v>0</v>
      </c>
      <c r="AH95" s="56">
        <f t="shared" si="137"/>
        <v>0</v>
      </c>
      <c r="AI95" s="93"/>
      <c r="AJ95" s="93">
        <f t="shared" si="164"/>
        <v>0</v>
      </c>
      <c r="AK95" s="95">
        <f t="shared" si="138"/>
        <v>1</v>
      </c>
      <c r="AL95" s="58">
        <f t="shared" si="175"/>
        <v>0</v>
      </c>
      <c r="AM95" s="55">
        <f t="shared" si="165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39"/>
        <v>0</v>
      </c>
      <c r="AV95" s="96">
        <f t="shared" si="139"/>
        <v>0</v>
      </c>
      <c r="AW95" s="96">
        <f t="shared" si="140"/>
        <v>0</v>
      </c>
      <c r="AX95" s="96">
        <f t="shared" si="141"/>
        <v>0</v>
      </c>
      <c r="AY95" s="94">
        <f t="shared" si="166"/>
        <v>0</v>
      </c>
      <c r="AZ95" s="94">
        <f t="shared" si="142"/>
        <v>0</v>
      </c>
      <c r="BA95" s="94">
        <f t="shared" si="172"/>
        <v>0</v>
      </c>
      <c r="BB95" s="97">
        <f t="shared" si="173"/>
        <v>0</v>
      </c>
      <c r="BC95" s="93"/>
      <c r="BD95" s="93">
        <f t="shared" si="143"/>
        <v>0</v>
      </c>
      <c r="BE95" s="95">
        <f t="shared" si="144"/>
        <v>1</v>
      </c>
      <c r="BF95" s="58">
        <f t="shared" si="176"/>
        <v>0</v>
      </c>
      <c r="BG95" s="94">
        <f t="shared" si="145"/>
        <v>0</v>
      </c>
      <c r="BH95" s="89"/>
      <c r="BI95" s="92">
        <f t="shared" si="184"/>
        <v>0</v>
      </c>
      <c r="BJ95" s="89"/>
      <c r="BK95" s="89"/>
      <c r="BL95" s="89"/>
      <c r="BM95" s="89"/>
      <c r="BN95" s="89"/>
      <c r="BO95" s="92">
        <f t="shared" si="167"/>
        <v>0</v>
      </c>
      <c r="BP95" s="92">
        <f t="shared" si="167"/>
        <v>0</v>
      </c>
      <c r="BQ95" s="96">
        <f t="shared" si="146"/>
        <v>0</v>
      </c>
      <c r="BR95" s="96">
        <f t="shared" si="147"/>
        <v>0</v>
      </c>
      <c r="BS95" s="96">
        <f t="shared" si="168"/>
        <v>0</v>
      </c>
      <c r="BT95" s="96">
        <f t="shared" si="148"/>
        <v>0</v>
      </c>
      <c r="BU95" s="92">
        <f t="shared" si="122"/>
        <v>0</v>
      </c>
      <c r="BV95" s="98">
        <f t="shared" si="169"/>
        <v>0</v>
      </c>
      <c r="BW95" s="92">
        <f t="shared" si="123"/>
        <v>0</v>
      </c>
      <c r="BX95" s="98">
        <f t="shared" si="149"/>
        <v>0</v>
      </c>
      <c r="BY95" s="61">
        <f t="shared" si="174"/>
        <v>0</v>
      </c>
      <c r="BZ95" s="62">
        <f t="shared" si="150"/>
        <v>0</v>
      </c>
      <c r="CA95" s="98">
        <f t="shared" si="151"/>
        <v>0</v>
      </c>
      <c r="CB95" s="92">
        <f t="shared" si="124"/>
        <v>0</v>
      </c>
      <c r="CC95" s="92">
        <f t="shared" si="124"/>
        <v>0</v>
      </c>
      <c r="CD95" s="92">
        <f t="shared" si="124"/>
        <v>0</v>
      </c>
      <c r="CE95" s="99"/>
      <c r="CF95" s="99"/>
      <c r="CG95" s="51">
        <f t="shared" si="152"/>
        <v>0</v>
      </c>
      <c r="CH95" s="62">
        <f t="shared" si="153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101"/>
        <v>0</v>
      </c>
      <c r="CR95" s="102">
        <f t="shared" si="101"/>
        <v>0</v>
      </c>
      <c r="CS95" s="102">
        <f t="shared" si="101"/>
        <v>0</v>
      </c>
      <c r="CT95" s="92">
        <f t="shared" si="154"/>
        <v>0</v>
      </c>
      <c r="CU95" s="92">
        <f t="shared" si="102"/>
        <v>0</v>
      </c>
      <c r="CV95" s="103">
        <f t="shared" si="102"/>
        <v>0</v>
      </c>
      <c r="CW95" s="104"/>
      <c r="CX95" s="105">
        <v>90</v>
      </c>
      <c r="CY95" s="106">
        <f t="shared" si="155"/>
        <v>393</v>
      </c>
      <c r="CZ95" s="106">
        <f t="shared" si="156"/>
        <v>729</v>
      </c>
      <c r="DA95" s="106"/>
      <c r="DB95" s="106"/>
      <c r="DC95" s="105"/>
      <c r="DD95" s="107"/>
      <c r="DE95" s="92">
        <f t="shared" si="125"/>
        <v>0</v>
      </c>
      <c r="DF95" s="108">
        <f t="shared" si="126"/>
        <v>0</v>
      </c>
      <c r="DG95" s="115">
        <f t="shared" si="127"/>
        <v>0</v>
      </c>
      <c r="DH95" s="110">
        <f t="shared" si="128"/>
        <v>0</v>
      </c>
      <c r="DI95" s="108">
        <f t="shared" si="129"/>
        <v>0</v>
      </c>
      <c r="DJ95" s="112">
        <f t="shared" si="130"/>
        <v>0</v>
      </c>
      <c r="DK95" s="110">
        <f t="shared" si="182"/>
        <v>0</v>
      </c>
      <c r="DL95" s="108">
        <f t="shared" si="182"/>
        <v>0</v>
      </c>
      <c r="DM95" s="111">
        <f t="shared" si="182"/>
        <v>0</v>
      </c>
      <c r="DN95" s="76">
        <f t="shared" si="157"/>
        <v>0</v>
      </c>
      <c r="DO95" s="76">
        <f t="shared" si="157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8"/>
        <v>0</v>
      </c>
      <c r="DX95" s="81">
        <f t="shared" si="131"/>
        <v>0</v>
      </c>
      <c r="DY95" s="80">
        <f t="shared" si="159"/>
        <v>0</v>
      </c>
      <c r="DZ95" s="82">
        <f t="shared" si="160"/>
        <v>0</v>
      </c>
      <c r="EA95" s="82">
        <f t="shared" si="161"/>
        <v>0</v>
      </c>
      <c r="EB95" s="82">
        <f t="shared" si="162"/>
        <v>0</v>
      </c>
      <c r="EC95" s="82">
        <f t="shared" si="179"/>
        <v>0</v>
      </c>
      <c r="EF95" s="83">
        <f t="shared" si="183"/>
        <v>0</v>
      </c>
    </row>
    <row r="96" spans="1:136" hidden="1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2"/>
        <v>TVSUS303-6x2.5-H9A14</v>
      </c>
      <c r="H96" s="46" t="str">
        <f t="shared" si="133"/>
        <v>SUS303TV60DH9</v>
      </c>
      <c r="I96" s="46" t="str">
        <f t="shared" si="134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5"/>
        <v>8</v>
      </c>
      <c r="T96" s="51">
        <f>'07.02'!BG96</f>
        <v>0</v>
      </c>
      <c r="U96" s="92"/>
      <c r="V96" s="100">
        <v>1.875</v>
      </c>
      <c r="W96" s="93">
        <f t="shared" si="114"/>
        <v>0</v>
      </c>
      <c r="X96" s="93">
        <f t="shared" si="115"/>
        <v>0</v>
      </c>
      <c r="Y96" s="93">
        <f t="shared" si="116"/>
        <v>0</v>
      </c>
      <c r="Z96" s="93">
        <f t="shared" si="117"/>
        <v>0</v>
      </c>
      <c r="AA96" s="93">
        <f t="shared" si="118"/>
        <v>0</v>
      </c>
      <c r="AB96" s="93">
        <f t="shared" si="119"/>
        <v>0</v>
      </c>
      <c r="AC96" s="93">
        <f t="shared" si="120"/>
        <v>0</v>
      </c>
      <c r="AD96" s="93">
        <f t="shared" si="121"/>
        <v>0</v>
      </c>
      <c r="AE96" s="93">
        <f t="shared" si="136"/>
        <v>0</v>
      </c>
      <c r="AF96" s="54">
        <f>AE96+'07.02'!AF96</f>
        <v>0</v>
      </c>
      <c r="AG96" s="94">
        <f t="shared" si="163"/>
        <v>0</v>
      </c>
      <c r="AH96" s="56">
        <f t="shared" si="137"/>
        <v>0</v>
      </c>
      <c r="AI96" s="93"/>
      <c r="AJ96" s="93">
        <f t="shared" si="164"/>
        <v>0</v>
      </c>
      <c r="AK96" s="95">
        <f t="shared" si="138"/>
        <v>1</v>
      </c>
      <c r="AL96" s="58">
        <f t="shared" si="175"/>
        <v>0</v>
      </c>
      <c r="AM96" s="55">
        <f t="shared" si="165"/>
        <v>0</v>
      </c>
      <c r="AN96" s="93"/>
      <c r="AO96" s="96"/>
      <c r="AP96" s="96">
        <f t="shared" ref="AP96" si="186">$CJ96</f>
        <v>0</v>
      </c>
      <c r="AQ96" s="96"/>
      <c r="AR96" s="96"/>
      <c r="AS96" s="96"/>
      <c r="AT96" s="96"/>
      <c r="AU96" s="96">
        <f t="shared" si="139"/>
        <v>0</v>
      </c>
      <c r="AV96" s="96">
        <f t="shared" si="139"/>
        <v>0</v>
      </c>
      <c r="AW96" s="96">
        <f t="shared" si="140"/>
        <v>0</v>
      </c>
      <c r="AX96" s="96">
        <f t="shared" si="141"/>
        <v>0</v>
      </c>
      <c r="AY96" s="94">
        <f t="shared" si="166"/>
        <v>0</v>
      </c>
      <c r="AZ96" s="94">
        <f t="shared" si="142"/>
        <v>0</v>
      </c>
      <c r="BA96" s="94">
        <f t="shared" si="172"/>
        <v>0</v>
      </c>
      <c r="BB96" s="97">
        <f t="shared" si="173"/>
        <v>0</v>
      </c>
      <c r="BC96" s="93"/>
      <c r="BD96" s="93">
        <f t="shared" si="143"/>
        <v>0</v>
      </c>
      <c r="BE96" s="95">
        <f t="shared" si="144"/>
        <v>1</v>
      </c>
      <c r="BF96" s="58">
        <f t="shared" si="176"/>
        <v>0</v>
      </c>
      <c r="BG96" s="94">
        <f t="shared" si="145"/>
        <v>0</v>
      </c>
      <c r="BH96" s="89"/>
      <c r="BI96" s="92"/>
      <c r="BJ96" s="92">
        <f t="shared" si="184"/>
        <v>0</v>
      </c>
      <c r="BK96" s="89"/>
      <c r="BL96" s="89"/>
      <c r="BM96" s="89"/>
      <c r="BN96" s="92"/>
      <c r="BO96" s="92">
        <f t="shared" si="167"/>
        <v>0</v>
      </c>
      <c r="BP96" s="92">
        <f t="shared" si="167"/>
        <v>0</v>
      </c>
      <c r="BQ96" s="96">
        <f t="shared" si="146"/>
        <v>0</v>
      </c>
      <c r="BR96" s="96">
        <f t="shared" si="147"/>
        <v>0</v>
      </c>
      <c r="BS96" s="96">
        <f t="shared" si="168"/>
        <v>0</v>
      </c>
      <c r="BT96" s="96">
        <f t="shared" si="148"/>
        <v>0</v>
      </c>
      <c r="BU96" s="92">
        <f t="shared" si="122"/>
        <v>0</v>
      </c>
      <c r="BV96" s="98">
        <f t="shared" si="169"/>
        <v>0</v>
      </c>
      <c r="BW96" s="92">
        <f t="shared" si="123"/>
        <v>0</v>
      </c>
      <c r="BX96" s="98">
        <f t="shared" si="149"/>
        <v>0</v>
      </c>
      <c r="BY96" s="61">
        <f t="shared" si="174"/>
        <v>0</v>
      </c>
      <c r="BZ96" s="62">
        <f t="shared" si="150"/>
        <v>0</v>
      </c>
      <c r="CA96" s="98">
        <f t="shared" si="151"/>
        <v>0</v>
      </c>
      <c r="CB96" s="92">
        <f t="shared" si="124"/>
        <v>0</v>
      </c>
      <c r="CC96" s="92">
        <f t="shared" si="124"/>
        <v>0</v>
      </c>
      <c r="CD96" s="92">
        <f t="shared" si="124"/>
        <v>0</v>
      </c>
      <c r="CE96" s="99"/>
      <c r="CF96" s="99"/>
      <c r="CG96" s="51">
        <f t="shared" si="152"/>
        <v>0</v>
      </c>
      <c r="CH96" s="62">
        <f t="shared" si="153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101"/>
        <v>0</v>
      </c>
      <c r="CR96" s="102">
        <f t="shared" si="101"/>
        <v>0</v>
      </c>
      <c r="CS96" s="102">
        <f t="shared" si="101"/>
        <v>0</v>
      </c>
      <c r="CT96" s="92">
        <f t="shared" si="154"/>
        <v>0</v>
      </c>
      <c r="CU96" s="92">
        <f t="shared" si="102"/>
        <v>0</v>
      </c>
      <c r="CV96" s="103">
        <f t="shared" si="102"/>
        <v>0</v>
      </c>
      <c r="CW96" s="104"/>
      <c r="CX96" s="105">
        <v>56</v>
      </c>
      <c r="CY96" s="106">
        <f t="shared" si="155"/>
        <v>744</v>
      </c>
      <c r="CZ96" s="106">
        <f t="shared" si="156"/>
        <v>453.6</v>
      </c>
      <c r="DA96" s="106"/>
      <c r="DB96" s="106"/>
      <c r="DC96" s="105"/>
      <c r="DD96" s="107"/>
      <c r="DE96" s="92">
        <f t="shared" si="125"/>
        <v>0</v>
      </c>
      <c r="DF96" s="108">
        <f t="shared" si="126"/>
        <v>0</v>
      </c>
      <c r="DG96" s="115">
        <f t="shared" si="127"/>
        <v>0</v>
      </c>
      <c r="DH96" s="110">
        <f t="shared" si="128"/>
        <v>0</v>
      </c>
      <c r="DI96" s="108">
        <f t="shared" si="129"/>
        <v>0</v>
      </c>
      <c r="DJ96" s="112">
        <f t="shared" si="130"/>
        <v>0</v>
      </c>
      <c r="DK96" s="110">
        <f t="shared" si="182"/>
        <v>0</v>
      </c>
      <c r="DL96" s="108">
        <f t="shared" si="182"/>
        <v>0</v>
      </c>
      <c r="DM96" s="111">
        <f t="shared" si="182"/>
        <v>0</v>
      </c>
      <c r="DN96" s="76">
        <f t="shared" si="157"/>
        <v>0</v>
      </c>
      <c r="DO96" s="76">
        <f t="shared" si="157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8"/>
        <v>0</v>
      </c>
      <c r="DX96" s="81">
        <f t="shared" si="131"/>
        <v>0</v>
      </c>
      <c r="DY96" s="80">
        <f t="shared" si="159"/>
        <v>0</v>
      </c>
      <c r="DZ96" s="82">
        <f t="shared" si="160"/>
        <v>0</v>
      </c>
      <c r="EA96" s="82">
        <f t="shared" si="161"/>
        <v>0</v>
      </c>
      <c r="EB96" s="82">
        <f t="shared" si="162"/>
        <v>0</v>
      </c>
      <c r="EC96" s="82">
        <f>(BX96-CA96)+((AV96+BP96)/1000)</f>
        <v>0</v>
      </c>
      <c r="EF96" s="83">
        <f t="shared" si="183"/>
        <v>0</v>
      </c>
    </row>
    <row r="97" spans="1:136" ht="15" hidden="1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2"/>
        <v>MESUS304-10x3-H7C14</v>
      </c>
      <c r="H97" s="46" t="str">
        <f t="shared" si="133"/>
        <v>SUS304ME100DH7</v>
      </c>
      <c r="I97" s="46" t="str">
        <f t="shared" si="134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5"/>
        <v>24</v>
      </c>
      <c r="T97" s="51">
        <f>'07.02'!BG97</f>
        <v>0</v>
      </c>
      <c r="U97" s="92"/>
      <c r="V97" s="100">
        <v>54.7</v>
      </c>
      <c r="W97" s="93">
        <f t="shared" si="114"/>
        <v>0</v>
      </c>
      <c r="X97" s="93">
        <f t="shared" si="115"/>
        <v>0</v>
      </c>
      <c r="Y97" s="93">
        <f t="shared" si="116"/>
        <v>0</v>
      </c>
      <c r="Z97" s="93">
        <f t="shared" si="117"/>
        <v>0</v>
      </c>
      <c r="AA97" s="93">
        <f t="shared" si="118"/>
        <v>0</v>
      </c>
      <c r="AB97" s="93">
        <f t="shared" si="119"/>
        <v>0</v>
      </c>
      <c r="AC97" s="93">
        <f t="shared" si="120"/>
        <v>0</v>
      </c>
      <c r="AD97" s="93">
        <f t="shared" si="121"/>
        <v>0</v>
      </c>
      <c r="AE97" s="93">
        <f t="shared" si="136"/>
        <v>0</v>
      </c>
      <c r="AF97" s="54">
        <f>AE97+'07.02'!AF97</f>
        <v>0</v>
      </c>
      <c r="AG97" s="94">
        <f t="shared" si="163"/>
        <v>0</v>
      </c>
      <c r="AH97" s="56">
        <f t="shared" si="137"/>
        <v>0</v>
      </c>
      <c r="AI97" s="93"/>
      <c r="AJ97" s="93">
        <f t="shared" si="164"/>
        <v>0</v>
      </c>
      <c r="AK97" s="95">
        <f t="shared" si="138"/>
        <v>1</v>
      </c>
      <c r="AL97" s="58">
        <f t="shared" si="175"/>
        <v>0</v>
      </c>
      <c r="AM97" s="55">
        <f t="shared" si="165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39"/>
        <v>0</v>
      </c>
      <c r="AV97" s="96">
        <f t="shared" si="139"/>
        <v>0</v>
      </c>
      <c r="AW97" s="96">
        <f t="shared" si="140"/>
        <v>0</v>
      </c>
      <c r="AX97" s="96">
        <f t="shared" si="141"/>
        <v>0</v>
      </c>
      <c r="AY97" s="94">
        <f t="shared" si="166"/>
        <v>0</v>
      </c>
      <c r="AZ97" s="94">
        <f t="shared" si="142"/>
        <v>0</v>
      </c>
      <c r="BA97" s="94">
        <f t="shared" si="172"/>
        <v>0</v>
      </c>
      <c r="BB97" s="97">
        <f t="shared" si="173"/>
        <v>0</v>
      </c>
      <c r="BC97" s="93"/>
      <c r="BD97" s="93">
        <f t="shared" si="143"/>
        <v>0</v>
      </c>
      <c r="BE97" s="95">
        <f t="shared" si="144"/>
        <v>1</v>
      </c>
      <c r="BF97" s="58">
        <f t="shared" si="176"/>
        <v>0</v>
      </c>
      <c r="BG97" s="94">
        <f t="shared" si="145"/>
        <v>0</v>
      </c>
      <c r="BH97" s="89"/>
      <c r="BI97" s="92">
        <f t="shared" si="184"/>
        <v>0</v>
      </c>
      <c r="BJ97" s="89"/>
      <c r="BK97" s="89"/>
      <c r="BL97" s="89"/>
      <c r="BM97" s="89"/>
      <c r="BN97" s="89"/>
      <c r="BO97" s="92">
        <f t="shared" si="167"/>
        <v>0</v>
      </c>
      <c r="BP97" s="92">
        <f t="shared" si="167"/>
        <v>0</v>
      </c>
      <c r="BQ97" s="96">
        <f t="shared" si="146"/>
        <v>0</v>
      </c>
      <c r="BR97" s="96">
        <f t="shared" si="147"/>
        <v>0</v>
      </c>
      <c r="BS97" s="96">
        <f t="shared" si="168"/>
        <v>0</v>
      </c>
      <c r="BT97" s="96">
        <f t="shared" si="148"/>
        <v>0</v>
      </c>
      <c r="BU97" s="92">
        <f t="shared" si="122"/>
        <v>0</v>
      </c>
      <c r="BV97" s="98">
        <f t="shared" si="169"/>
        <v>0</v>
      </c>
      <c r="BW97" s="92">
        <f t="shared" si="123"/>
        <v>0</v>
      </c>
      <c r="BX97" s="98">
        <f t="shared" si="149"/>
        <v>0</v>
      </c>
      <c r="BY97" s="61">
        <f t="shared" si="174"/>
        <v>0</v>
      </c>
      <c r="BZ97" s="62">
        <f t="shared" si="150"/>
        <v>0</v>
      </c>
      <c r="CA97" s="98">
        <f t="shared" si="151"/>
        <v>0</v>
      </c>
      <c r="CB97" s="92">
        <f t="shared" si="124"/>
        <v>0</v>
      </c>
      <c r="CC97" s="92">
        <f t="shared" si="124"/>
        <v>0</v>
      </c>
      <c r="CD97" s="92">
        <f t="shared" si="124"/>
        <v>0</v>
      </c>
      <c r="CE97" s="99"/>
      <c r="CF97" s="99"/>
      <c r="CG97" s="51">
        <f t="shared" si="152"/>
        <v>0</v>
      </c>
      <c r="CH97" s="62">
        <f t="shared" si="153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101"/>
        <v>0</v>
      </c>
      <c r="CR97" s="102">
        <f t="shared" si="101"/>
        <v>0</v>
      </c>
      <c r="CS97" s="102">
        <f t="shared" si="101"/>
        <v>0</v>
      </c>
      <c r="CT97" s="92">
        <f t="shared" si="154"/>
        <v>0</v>
      </c>
      <c r="CU97" s="92">
        <f t="shared" si="102"/>
        <v>0</v>
      </c>
      <c r="CV97" s="103">
        <f t="shared" si="102"/>
        <v>0</v>
      </c>
      <c r="CW97" s="104"/>
      <c r="CX97" s="105">
        <v>120</v>
      </c>
      <c r="CY97" s="106">
        <f t="shared" si="155"/>
        <v>325</v>
      </c>
      <c r="CZ97" s="106">
        <f t="shared" si="156"/>
        <v>972.00000000000011</v>
      </c>
      <c r="DA97" s="106"/>
      <c r="DB97" s="106"/>
      <c r="DC97" s="105"/>
      <c r="DD97" s="107"/>
      <c r="DE97" s="92">
        <f t="shared" si="125"/>
        <v>0</v>
      </c>
      <c r="DF97" s="108">
        <f t="shared" si="126"/>
        <v>0</v>
      </c>
      <c r="DG97" s="115">
        <f t="shared" si="127"/>
        <v>0</v>
      </c>
      <c r="DH97" s="110">
        <f t="shared" si="128"/>
        <v>0</v>
      </c>
      <c r="DI97" s="108">
        <f t="shared" si="129"/>
        <v>0</v>
      </c>
      <c r="DJ97" s="112">
        <f t="shared" si="130"/>
        <v>0</v>
      </c>
      <c r="DK97" s="110">
        <f t="shared" si="182"/>
        <v>0</v>
      </c>
      <c r="DL97" s="108">
        <f t="shared" si="182"/>
        <v>0</v>
      </c>
      <c r="DM97" s="111">
        <f t="shared" si="182"/>
        <v>0</v>
      </c>
      <c r="DN97" s="76">
        <f t="shared" si="157"/>
        <v>0</v>
      </c>
      <c r="DO97" s="76">
        <f t="shared" si="157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8"/>
        <v>0</v>
      </c>
      <c r="DX97" s="81">
        <f t="shared" si="131"/>
        <v>0</v>
      </c>
      <c r="DY97" s="80">
        <f t="shared" si="159"/>
        <v>0</v>
      </c>
      <c r="DZ97" s="82">
        <f t="shared" si="160"/>
        <v>0</v>
      </c>
      <c r="EA97" s="82">
        <f t="shared" si="161"/>
        <v>0</v>
      </c>
      <c r="EB97" s="82">
        <f t="shared" si="162"/>
        <v>0</v>
      </c>
      <c r="EC97" s="82">
        <f t="shared" si="179"/>
        <v>0</v>
      </c>
      <c r="EF97" s="83">
        <f t="shared" si="183"/>
        <v>0</v>
      </c>
    </row>
    <row r="98" spans="1:136" ht="15" hidden="1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2"/>
        <v>ORC17300-3.5x3-H9A14</v>
      </c>
      <c r="H98" s="46" t="str">
        <f t="shared" si="133"/>
        <v>C17300OR3.50DH9</v>
      </c>
      <c r="I98" s="46" t="str">
        <f t="shared" si="134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5"/>
        <v>4</v>
      </c>
      <c r="T98" s="51">
        <f>'07.02'!BG98</f>
        <v>0</v>
      </c>
      <c r="U98" s="92"/>
      <c r="V98" s="100">
        <v>0.06</v>
      </c>
      <c r="W98" s="93">
        <f t="shared" si="114"/>
        <v>0</v>
      </c>
      <c r="X98" s="93">
        <f t="shared" si="115"/>
        <v>0</v>
      </c>
      <c r="Y98" s="93">
        <f t="shared" si="116"/>
        <v>0</v>
      </c>
      <c r="Z98" s="93">
        <f t="shared" si="117"/>
        <v>0</v>
      </c>
      <c r="AA98" s="93">
        <f t="shared" si="118"/>
        <v>0</v>
      </c>
      <c r="AB98" s="93">
        <f t="shared" si="119"/>
        <v>0</v>
      </c>
      <c r="AC98" s="93">
        <f t="shared" si="120"/>
        <v>0</v>
      </c>
      <c r="AD98" s="93">
        <f t="shared" si="121"/>
        <v>0</v>
      </c>
      <c r="AE98" s="93">
        <f t="shared" si="136"/>
        <v>0</v>
      </c>
      <c r="AF98" s="54">
        <f>AE98+'07.02'!AF98</f>
        <v>0</v>
      </c>
      <c r="AG98" s="94">
        <f t="shared" si="163"/>
        <v>0</v>
      </c>
      <c r="AH98" s="56">
        <f t="shared" si="137"/>
        <v>0</v>
      </c>
      <c r="AI98" s="93"/>
      <c r="AJ98" s="93">
        <f t="shared" si="164"/>
        <v>0</v>
      </c>
      <c r="AK98" s="95">
        <f t="shared" si="138"/>
        <v>1</v>
      </c>
      <c r="AL98" s="58">
        <f t="shared" si="175"/>
        <v>0</v>
      </c>
      <c r="AM98" s="55">
        <f t="shared" si="165"/>
        <v>0</v>
      </c>
      <c r="AN98" s="93"/>
      <c r="AO98" s="96"/>
      <c r="AP98" s="96"/>
      <c r="AQ98" s="96"/>
      <c r="AR98" s="96"/>
      <c r="AS98" s="96"/>
      <c r="AT98" s="96">
        <f t="shared" ref="AT98:AT100" si="187">$CJ98</f>
        <v>0</v>
      </c>
      <c r="AU98" s="96">
        <f t="shared" si="139"/>
        <v>0</v>
      </c>
      <c r="AV98" s="96">
        <f t="shared" si="139"/>
        <v>0</v>
      </c>
      <c r="AW98" s="96">
        <f t="shared" si="140"/>
        <v>0</v>
      </c>
      <c r="AX98" s="96">
        <f t="shared" si="141"/>
        <v>0</v>
      </c>
      <c r="AY98" s="94">
        <f t="shared" si="166"/>
        <v>0</v>
      </c>
      <c r="AZ98" s="94">
        <f t="shared" si="142"/>
        <v>0</v>
      </c>
      <c r="BA98" s="94">
        <f t="shared" si="172"/>
        <v>0</v>
      </c>
      <c r="BB98" s="97">
        <f t="shared" si="173"/>
        <v>0</v>
      </c>
      <c r="BC98" s="93"/>
      <c r="BD98" s="93">
        <f t="shared" si="143"/>
        <v>0</v>
      </c>
      <c r="BE98" s="95">
        <f t="shared" si="144"/>
        <v>1</v>
      </c>
      <c r="BF98" s="58">
        <f t="shared" si="176"/>
        <v>0</v>
      </c>
      <c r="BG98" s="94">
        <f t="shared" si="145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7"/>
        <v>0</v>
      </c>
      <c r="BP98" s="92">
        <f t="shared" si="167"/>
        <v>0</v>
      </c>
      <c r="BQ98" s="96">
        <f t="shared" si="146"/>
        <v>0</v>
      </c>
      <c r="BR98" s="96">
        <f t="shared" si="147"/>
        <v>0</v>
      </c>
      <c r="BS98" s="96">
        <f t="shared" si="168"/>
        <v>0</v>
      </c>
      <c r="BT98" s="96">
        <f t="shared" si="148"/>
        <v>0</v>
      </c>
      <c r="BU98" s="92">
        <f t="shared" si="122"/>
        <v>0</v>
      </c>
      <c r="BV98" s="98">
        <f t="shared" si="169"/>
        <v>0</v>
      </c>
      <c r="BW98" s="92">
        <f t="shared" si="123"/>
        <v>0</v>
      </c>
      <c r="BX98" s="98">
        <f t="shared" si="149"/>
        <v>0</v>
      </c>
      <c r="BY98" s="61">
        <f>IFERROR(BF98+AL98,0)</f>
        <v>0</v>
      </c>
      <c r="BZ98" s="62">
        <f t="shared" si="150"/>
        <v>0</v>
      </c>
      <c r="CA98" s="98">
        <f t="shared" si="151"/>
        <v>0</v>
      </c>
      <c r="CB98" s="92">
        <f t="shared" si="124"/>
        <v>0</v>
      </c>
      <c r="CC98" s="92">
        <f t="shared" si="124"/>
        <v>0</v>
      </c>
      <c r="CD98" s="92">
        <f t="shared" si="124"/>
        <v>0</v>
      </c>
      <c r="CE98" s="99"/>
      <c r="CF98" s="99"/>
      <c r="CG98" s="51">
        <f t="shared" si="152"/>
        <v>0</v>
      </c>
      <c r="CH98" s="62">
        <f t="shared" si="153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101"/>
        <v>0</v>
      </c>
      <c r="CR98" s="102">
        <f t="shared" si="101"/>
        <v>0</v>
      </c>
      <c r="CS98" s="102">
        <f t="shared" si="101"/>
        <v>0</v>
      </c>
      <c r="CT98" s="92">
        <f t="shared" si="154"/>
        <v>0</v>
      </c>
      <c r="CU98" s="92">
        <f t="shared" si="102"/>
        <v>0</v>
      </c>
      <c r="CV98" s="103">
        <f t="shared" si="102"/>
        <v>0</v>
      </c>
      <c r="CW98" s="104"/>
      <c r="CX98" s="105">
        <v>60</v>
      </c>
      <c r="CY98" s="106">
        <f t="shared" si="155"/>
        <v>710</v>
      </c>
      <c r="CZ98" s="106">
        <f t="shared" si="156"/>
        <v>486.00000000000006</v>
      </c>
      <c r="DA98" s="106"/>
      <c r="DB98" s="106"/>
      <c r="DC98" s="105"/>
      <c r="DD98" s="107"/>
      <c r="DE98" s="92">
        <f t="shared" si="125"/>
        <v>0</v>
      </c>
      <c r="DF98" s="108">
        <f t="shared" si="126"/>
        <v>0</v>
      </c>
      <c r="DG98" s="115">
        <f t="shared" si="127"/>
        <v>0</v>
      </c>
      <c r="DH98" s="110">
        <f t="shared" si="128"/>
        <v>0</v>
      </c>
      <c r="DI98" s="108">
        <f t="shared" si="129"/>
        <v>0</v>
      </c>
      <c r="DJ98" s="112">
        <f t="shared" si="130"/>
        <v>0</v>
      </c>
      <c r="DK98" s="110">
        <f t="shared" si="182"/>
        <v>0</v>
      </c>
      <c r="DL98" s="108">
        <f t="shared" si="182"/>
        <v>0</v>
      </c>
      <c r="DM98" s="111">
        <f t="shared" si="182"/>
        <v>0</v>
      </c>
      <c r="DN98" s="76">
        <f t="shared" si="157"/>
        <v>0</v>
      </c>
      <c r="DO98" s="76">
        <f t="shared" si="157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31"/>
        <v>0</v>
      </c>
      <c r="DY98" s="80">
        <f t="shared" si="159"/>
        <v>0</v>
      </c>
      <c r="DZ98" s="82">
        <f t="shared" si="160"/>
        <v>0</v>
      </c>
      <c r="EA98" s="82">
        <f t="shared" si="161"/>
        <v>0</v>
      </c>
      <c r="EB98" s="82">
        <f t="shared" si="162"/>
        <v>0</v>
      </c>
      <c r="EC98" s="82">
        <f t="shared" si="179"/>
        <v>0</v>
      </c>
      <c r="EF98" s="83">
        <f t="shared" si="183"/>
        <v>0</v>
      </c>
    </row>
    <row r="99" spans="1:136" ht="14.1" hidden="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2"/>
        <v>TVSUS303-6x2.5-H9A14</v>
      </c>
      <c r="H99" s="46" t="str">
        <f t="shared" si="133"/>
        <v>SUS303TV60DH9</v>
      </c>
      <c r="I99" s="46" t="str">
        <f t="shared" si="134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5"/>
        <v>12</v>
      </c>
      <c r="T99" s="51">
        <f>'07.02'!BG99</f>
        <v>0</v>
      </c>
      <c r="U99" s="92"/>
      <c r="V99" s="100">
        <v>3.0150000000000001</v>
      </c>
      <c r="W99" s="93">
        <f t="shared" si="114"/>
        <v>0</v>
      </c>
      <c r="X99" s="93">
        <f t="shared" si="115"/>
        <v>0</v>
      </c>
      <c r="Y99" s="93">
        <f t="shared" si="116"/>
        <v>0</v>
      </c>
      <c r="Z99" s="93">
        <f t="shared" si="117"/>
        <v>0</v>
      </c>
      <c r="AA99" s="93">
        <f t="shared" si="118"/>
        <v>0</v>
      </c>
      <c r="AB99" s="93">
        <f t="shared" si="119"/>
        <v>0</v>
      </c>
      <c r="AC99" s="93">
        <f t="shared" si="120"/>
        <v>0</v>
      </c>
      <c r="AD99" s="93">
        <f t="shared" si="121"/>
        <v>0</v>
      </c>
      <c r="AE99" s="93">
        <f t="shared" si="136"/>
        <v>0</v>
      </c>
      <c r="AF99" s="54">
        <f>AE99+'07.02'!AF99</f>
        <v>0</v>
      </c>
      <c r="AG99" s="94">
        <f t="shared" si="163"/>
        <v>0</v>
      </c>
      <c r="AH99" s="56">
        <f t="shared" si="137"/>
        <v>0</v>
      </c>
      <c r="AI99" s="93"/>
      <c r="AJ99" s="93">
        <f t="shared" si="164"/>
        <v>0</v>
      </c>
      <c r="AK99" s="95">
        <f t="shared" si="138"/>
        <v>1</v>
      </c>
      <c r="AL99" s="58">
        <f t="shared" si="175"/>
        <v>0</v>
      </c>
      <c r="AM99" s="55">
        <f t="shared" si="165"/>
        <v>0</v>
      </c>
      <c r="AN99" s="93"/>
      <c r="AO99" s="96"/>
      <c r="AP99" s="96"/>
      <c r="AQ99" s="96"/>
      <c r="AR99" s="96"/>
      <c r="AS99" s="96"/>
      <c r="AT99" s="96">
        <f t="shared" si="187"/>
        <v>0</v>
      </c>
      <c r="AU99" s="96">
        <f t="shared" si="139"/>
        <v>0</v>
      </c>
      <c r="AV99" s="96">
        <f t="shared" si="139"/>
        <v>0</v>
      </c>
      <c r="AW99" s="96">
        <f t="shared" si="140"/>
        <v>0</v>
      </c>
      <c r="AX99" s="96">
        <f t="shared" si="141"/>
        <v>0</v>
      </c>
      <c r="AY99" s="94">
        <f t="shared" si="166"/>
        <v>0</v>
      </c>
      <c r="AZ99" s="94">
        <f t="shared" si="142"/>
        <v>0</v>
      </c>
      <c r="BA99" s="94">
        <f t="shared" si="172"/>
        <v>0</v>
      </c>
      <c r="BB99" s="97">
        <f t="shared" si="173"/>
        <v>0</v>
      </c>
      <c r="BC99" s="93"/>
      <c r="BD99" s="93">
        <f t="shared" si="143"/>
        <v>0</v>
      </c>
      <c r="BE99" s="95">
        <f t="shared" si="144"/>
        <v>1</v>
      </c>
      <c r="BF99" s="58">
        <f t="shared" si="176"/>
        <v>0</v>
      </c>
      <c r="BG99" s="94">
        <f t="shared" si="145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7"/>
        <v>0</v>
      </c>
      <c r="BP99" s="92">
        <f t="shared" si="167"/>
        <v>0</v>
      </c>
      <c r="BQ99" s="96">
        <f t="shared" si="146"/>
        <v>0</v>
      </c>
      <c r="BR99" s="96">
        <f t="shared" si="147"/>
        <v>0</v>
      </c>
      <c r="BS99" s="96">
        <f t="shared" si="168"/>
        <v>0</v>
      </c>
      <c r="BT99" s="96">
        <f t="shared" si="148"/>
        <v>0</v>
      </c>
      <c r="BU99" s="92">
        <f t="shared" si="122"/>
        <v>0</v>
      </c>
      <c r="BV99" s="98">
        <f t="shared" si="169"/>
        <v>0</v>
      </c>
      <c r="BW99" s="92">
        <f t="shared" si="123"/>
        <v>0</v>
      </c>
      <c r="BX99" s="98">
        <f t="shared" si="149"/>
        <v>0</v>
      </c>
      <c r="BY99" s="61">
        <f t="shared" si="174"/>
        <v>0</v>
      </c>
      <c r="BZ99" s="62">
        <f t="shared" si="150"/>
        <v>0</v>
      </c>
      <c r="CA99" s="98">
        <f t="shared" si="151"/>
        <v>0</v>
      </c>
      <c r="CB99" s="92">
        <f t="shared" si="124"/>
        <v>0</v>
      </c>
      <c r="CC99" s="92">
        <f t="shared" si="124"/>
        <v>0</v>
      </c>
      <c r="CD99" s="92">
        <f t="shared" si="124"/>
        <v>0</v>
      </c>
      <c r="CE99" s="99"/>
      <c r="CF99" s="99"/>
      <c r="CG99" s="51">
        <f t="shared" si="152"/>
        <v>0</v>
      </c>
      <c r="CH99" s="62">
        <f t="shared" si="153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88">INT(IFERROR( CJ99/$V99,0))</f>
        <v>0</v>
      </c>
      <c r="CR99" s="102">
        <f t="shared" si="188"/>
        <v>0</v>
      </c>
      <c r="CS99" s="102">
        <f t="shared" si="188"/>
        <v>0</v>
      </c>
      <c r="CT99" s="92">
        <f t="shared" si="154"/>
        <v>0</v>
      </c>
      <c r="CU99" s="92">
        <f t="shared" si="102"/>
        <v>0</v>
      </c>
      <c r="CV99" s="103">
        <f t="shared" si="102"/>
        <v>0</v>
      </c>
      <c r="CW99" s="104"/>
      <c r="CX99" s="105">
        <v>123</v>
      </c>
      <c r="CY99" s="106">
        <f t="shared" si="155"/>
        <v>336</v>
      </c>
      <c r="CZ99" s="106">
        <f t="shared" si="156"/>
        <v>996.30000000000007</v>
      </c>
      <c r="DA99" s="106"/>
      <c r="DB99" s="106"/>
      <c r="DC99" s="105"/>
      <c r="DD99" s="107"/>
      <c r="DE99" s="92">
        <f t="shared" si="125"/>
        <v>0</v>
      </c>
      <c r="DF99" s="108">
        <f t="shared" si="126"/>
        <v>0</v>
      </c>
      <c r="DG99" s="115">
        <f t="shared" si="127"/>
        <v>0</v>
      </c>
      <c r="DH99" s="110">
        <f t="shared" si="128"/>
        <v>0</v>
      </c>
      <c r="DI99" s="108">
        <f t="shared" si="129"/>
        <v>0</v>
      </c>
      <c r="DJ99" s="112">
        <f t="shared" si="130"/>
        <v>0</v>
      </c>
      <c r="DK99" s="110">
        <f t="shared" si="182"/>
        <v>0</v>
      </c>
      <c r="DL99" s="108">
        <f t="shared" si="182"/>
        <v>0</v>
      </c>
      <c r="DM99" s="111">
        <f t="shared" si="182"/>
        <v>0</v>
      </c>
      <c r="DN99" s="76">
        <f t="shared" si="157"/>
        <v>0</v>
      </c>
      <c r="DO99" s="76">
        <f t="shared" si="157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8"/>
        <v>0</v>
      </c>
      <c r="DX99" s="81">
        <f t="shared" si="131"/>
        <v>0</v>
      </c>
      <c r="DY99" s="80">
        <f t="shared" si="159"/>
        <v>0</v>
      </c>
      <c r="DZ99" s="82">
        <f t="shared" si="160"/>
        <v>0</v>
      </c>
      <c r="EA99" s="82">
        <f t="shared" si="161"/>
        <v>0</v>
      </c>
      <c r="EB99" s="82">
        <f t="shared" si="162"/>
        <v>0</v>
      </c>
      <c r="EC99" s="82">
        <f t="shared" si="179"/>
        <v>0</v>
      </c>
      <c r="EF99" s="83">
        <f t="shared" si="183"/>
        <v>0</v>
      </c>
    </row>
    <row r="100" spans="1:136" ht="14.1" customHeight="1">
      <c r="A100" s="84">
        <v>93</v>
      </c>
      <c r="B100" s="85" t="s">
        <v>391</v>
      </c>
      <c r="C100" s="86"/>
      <c r="D100" s="116" t="s">
        <v>509</v>
      </c>
      <c r="E100" s="88">
        <v>550</v>
      </c>
      <c r="F100" s="89" t="s">
        <v>128</v>
      </c>
      <c r="G100" s="45" t="str">
        <f t="shared" si="132"/>
        <v>GWA6061-T6-25x3-H9B14</v>
      </c>
      <c r="H100" s="46" t="str">
        <f t="shared" si="133"/>
        <v>A6061-T6GW250DH9</v>
      </c>
      <c r="I100" s="46" t="str">
        <f t="shared" si="134"/>
        <v>A6061-T6GW250DH93B14</v>
      </c>
      <c r="J100" s="90" t="s">
        <v>374</v>
      </c>
      <c r="K100" s="90" t="s">
        <v>130</v>
      </c>
      <c r="L100" s="90">
        <v>25</v>
      </c>
      <c r="M100" s="90">
        <v>0</v>
      </c>
      <c r="N100" s="90" t="s">
        <v>128</v>
      </c>
      <c r="O100" s="90" t="s">
        <v>131</v>
      </c>
      <c r="P100" s="90">
        <v>3</v>
      </c>
      <c r="Q100" s="91">
        <v>1.522</v>
      </c>
      <c r="R100" s="49" t="s">
        <v>171</v>
      </c>
      <c r="S100" s="89">
        <f t="shared" si="135"/>
        <v>2</v>
      </c>
      <c r="T100" s="51">
        <v>1</v>
      </c>
      <c r="U100" s="92"/>
      <c r="V100" s="100">
        <v>0.75</v>
      </c>
      <c r="W100" s="93">
        <f t="shared" si="114"/>
        <v>0</v>
      </c>
      <c r="X100" s="93">
        <f t="shared" si="115"/>
        <v>0</v>
      </c>
      <c r="Y100" s="93">
        <f t="shared" si="116"/>
        <v>0</v>
      </c>
      <c r="Z100" s="93">
        <f t="shared" si="117"/>
        <v>0</v>
      </c>
      <c r="AA100" s="93">
        <f t="shared" si="118"/>
        <v>0</v>
      </c>
      <c r="AB100" s="93">
        <f t="shared" si="119"/>
        <v>0</v>
      </c>
      <c r="AC100" s="93">
        <f t="shared" si="120"/>
        <v>0</v>
      </c>
      <c r="AD100" s="93">
        <f t="shared" si="121"/>
        <v>0</v>
      </c>
      <c r="AE100" s="93">
        <f t="shared" si="136"/>
        <v>0</v>
      </c>
      <c r="AF100" s="54">
        <f>AE100+'07.02'!AF100</f>
        <v>539</v>
      </c>
      <c r="AG100" s="94">
        <f t="shared" si="163"/>
        <v>1</v>
      </c>
      <c r="AH100" s="56">
        <f t="shared" si="137"/>
        <v>0</v>
      </c>
      <c r="AI100" s="93">
        <v>1</v>
      </c>
      <c r="AJ100" s="93">
        <f t="shared" si="164"/>
        <v>0</v>
      </c>
      <c r="AK100" s="95">
        <f t="shared" si="138"/>
        <v>1</v>
      </c>
      <c r="AL100" s="58">
        <f t="shared" si="175"/>
        <v>1</v>
      </c>
      <c r="AM100" s="55">
        <f t="shared" si="165"/>
        <v>0</v>
      </c>
      <c r="AN100" s="93"/>
      <c r="AO100" s="96"/>
      <c r="AP100" s="96"/>
      <c r="AQ100" s="96"/>
      <c r="AR100" s="96"/>
      <c r="AS100" s="96"/>
      <c r="AT100" s="96">
        <f t="shared" si="187"/>
        <v>0</v>
      </c>
      <c r="AU100" s="96">
        <f t="shared" si="139"/>
        <v>0</v>
      </c>
      <c r="AV100" s="96">
        <f t="shared" si="139"/>
        <v>0</v>
      </c>
      <c r="AW100" s="96">
        <f t="shared" si="140"/>
        <v>0</v>
      </c>
      <c r="AX100" s="96">
        <f t="shared" si="141"/>
        <v>0</v>
      </c>
      <c r="AY100" s="94">
        <f t="shared" si="166"/>
        <v>-412.5</v>
      </c>
      <c r="AZ100" s="94">
        <f t="shared" si="142"/>
        <v>-550</v>
      </c>
      <c r="BA100" s="94">
        <f t="shared" si="172"/>
        <v>0</v>
      </c>
      <c r="BB100" s="97">
        <f t="shared" si="173"/>
        <v>0</v>
      </c>
      <c r="BC100" s="93"/>
      <c r="BD100" s="93">
        <f t="shared" si="143"/>
        <v>0</v>
      </c>
      <c r="BE100" s="95">
        <f t="shared" si="144"/>
        <v>1</v>
      </c>
      <c r="BF100" s="58">
        <f t="shared" si="176"/>
        <v>0</v>
      </c>
      <c r="BG100" s="94">
        <f t="shared" si="145"/>
        <v>0</v>
      </c>
      <c r="BH100" s="89"/>
      <c r="BI100" s="89"/>
      <c r="BJ100" s="89"/>
      <c r="BK100" s="89"/>
      <c r="BL100" s="89"/>
      <c r="BM100" s="89"/>
      <c r="BN100" s="92">
        <f>$CN100</f>
        <v>0</v>
      </c>
      <c r="BO100" s="92">
        <f t="shared" si="167"/>
        <v>0</v>
      </c>
      <c r="BP100" s="92">
        <f t="shared" si="167"/>
        <v>0</v>
      </c>
      <c r="BQ100" s="96">
        <f t="shared" si="146"/>
        <v>0</v>
      </c>
      <c r="BR100" s="96">
        <f t="shared" si="147"/>
        <v>0</v>
      </c>
      <c r="BS100" s="96">
        <f t="shared" si="168"/>
        <v>0</v>
      </c>
      <c r="BT100" s="96">
        <f t="shared" si="148"/>
        <v>0</v>
      </c>
      <c r="BU100" s="92">
        <f t="shared" si="122"/>
        <v>0</v>
      </c>
      <c r="BV100" s="98">
        <f t="shared" si="169"/>
        <v>1</v>
      </c>
      <c r="BW100" s="92">
        <f t="shared" si="123"/>
        <v>-550</v>
      </c>
      <c r="BX100" s="98">
        <f t="shared" si="149"/>
        <v>1.522</v>
      </c>
      <c r="BY100" s="61">
        <f>IFERROR(BF100+AL100,0)</f>
        <v>1</v>
      </c>
      <c r="BZ100" s="62">
        <f t="shared" si="150"/>
        <v>1</v>
      </c>
      <c r="CA100" s="98">
        <f t="shared" si="151"/>
        <v>0</v>
      </c>
      <c r="CB100" s="92">
        <f t="shared" si="124"/>
        <v>0</v>
      </c>
      <c r="CC100" s="92">
        <f t="shared" si="124"/>
        <v>-412.5</v>
      </c>
      <c r="CD100" s="92">
        <f t="shared" si="124"/>
        <v>-550</v>
      </c>
      <c r="CE100" s="99"/>
      <c r="CF100" s="99"/>
      <c r="CG100" s="51">
        <f t="shared" si="152"/>
        <v>1.522</v>
      </c>
      <c r="CH100" s="62">
        <f t="shared" si="153"/>
        <v>1.522</v>
      </c>
      <c r="CI100" s="89"/>
      <c r="CJ100" s="89"/>
      <c r="CK100" s="89"/>
      <c r="CL100" s="96"/>
      <c r="CM100" s="89"/>
      <c r="CN100" s="89"/>
      <c r="CO100" s="92"/>
      <c r="CP100" s="101"/>
      <c r="CQ100" s="102">
        <f t="shared" si="188"/>
        <v>0</v>
      </c>
      <c r="CR100" s="102">
        <f t="shared" si="188"/>
        <v>0</v>
      </c>
      <c r="CS100" s="102">
        <f t="shared" si="188"/>
        <v>0</v>
      </c>
      <c r="CT100" s="92">
        <f t="shared" si="154"/>
        <v>0</v>
      </c>
      <c r="CU100" s="92">
        <f t="shared" si="102"/>
        <v>0</v>
      </c>
      <c r="CV100" s="103">
        <f t="shared" si="102"/>
        <v>0</v>
      </c>
      <c r="CW100" s="104"/>
      <c r="CX100" s="105">
        <v>60</v>
      </c>
      <c r="CY100" s="106">
        <f t="shared" si="155"/>
        <v>710</v>
      </c>
      <c r="CZ100" s="106">
        <f t="shared" si="156"/>
        <v>486.00000000000006</v>
      </c>
      <c r="DA100" s="106"/>
      <c r="DB100" s="106"/>
      <c r="DC100" s="105"/>
      <c r="DD100" s="107"/>
      <c r="DE100" s="92">
        <f t="shared" si="125"/>
        <v>0</v>
      </c>
      <c r="DF100" s="108">
        <f t="shared" si="126"/>
        <v>1</v>
      </c>
      <c r="DG100" s="115">
        <f t="shared" si="127"/>
        <v>-550</v>
      </c>
      <c r="DH100" s="110">
        <f t="shared" si="128"/>
        <v>0</v>
      </c>
      <c r="DI100" s="108">
        <f t="shared" si="129"/>
        <v>0</v>
      </c>
      <c r="DJ100" s="112">
        <f t="shared" si="130"/>
        <v>0</v>
      </c>
      <c r="DK100" s="110">
        <f t="shared" si="182"/>
        <v>0</v>
      </c>
      <c r="DL100" s="108">
        <f t="shared" si="182"/>
        <v>1</v>
      </c>
      <c r="DM100" s="111">
        <f t="shared" si="182"/>
        <v>-550</v>
      </c>
      <c r="DN100" s="76">
        <f t="shared" si="157"/>
        <v>1</v>
      </c>
      <c r="DO100" s="76">
        <f t="shared" si="157"/>
        <v>0</v>
      </c>
      <c r="DP100" s="112"/>
      <c r="DQ100" s="112"/>
      <c r="DR100" s="113" t="s">
        <v>510</v>
      </c>
      <c r="DS100" s="112"/>
      <c r="DT100" s="112"/>
      <c r="DU100" s="111"/>
      <c r="DV100" s="114"/>
      <c r="DW100" s="80">
        <f t="shared" si="158"/>
        <v>1</v>
      </c>
      <c r="DX100" s="81">
        <f t="shared" si="131"/>
        <v>-549</v>
      </c>
      <c r="DY100" s="80">
        <f t="shared" si="159"/>
        <v>0</v>
      </c>
      <c r="DZ100" s="82">
        <f t="shared" si="160"/>
        <v>0</v>
      </c>
      <c r="EA100" s="82">
        <f t="shared" si="161"/>
        <v>0</v>
      </c>
      <c r="EB100" s="82">
        <f t="shared" si="162"/>
        <v>1.522</v>
      </c>
      <c r="EC100" s="82">
        <f t="shared" si="179"/>
        <v>1.522</v>
      </c>
      <c r="EF100" s="83">
        <f t="shared" si="183"/>
        <v>-550</v>
      </c>
    </row>
    <row r="101" spans="1:136" ht="15" hidden="1" customHeight="1">
      <c r="A101" s="84">
        <v>94</v>
      </c>
      <c r="B101" s="85" t="s">
        <v>395</v>
      </c>
      <c r="C101" s="86"/>
      <c r="D101" s="119" t="s">
        <v>488</v>
      </c>
      <c r="E101" s="88">
        <v>101</v>
      </c>
      <c r="F101" s="89" t="s">
        <v>136</v>
      </c>
      <c r="G101" s="45" t="str">
        <f t="shared" si="132"/>
        <v>IBC3604-H7x3-H11C14</v>
      </c>
      <c r="H101" s="46" t="str">
        <f t="shared" si="133"/>
        <v>C3604IB70HH11</v>
      </c>
      <c r="I101" s="46" t="str">
        <f t="shared" si="134"/>
        <v>C3604IB70HH113C14</v>
      </c>
      <c r="J101" s="90" t="s">
        <v>148</v>
      </c>
      <c r="K101" s="90" t="s">
        <v>156</v>
      </c>
      <c r="L101" s="90">
        <v>7</v>
      </c>
      <c r="M101" s="90">
        <v>0</v>
      </c>
      <c r="N101" s="90" t="s">
        <v>160</v>
      </c>
      <c r="O101" s="90" t="s">
        <v>161</v>
      </c>
      <c r="P101" s="90">
        <v>3</v>
      </c>
      <c r="Q101" s="91">
        <v>1.08</v>
      </c>
      <c r="R101" s="90" t="s">
        <v>144</v>
      </c>
      <c r="S101" s="89">
        <f t="shared" si="135"/>
        <v>6</v>
      </c>
      <c r="T101" s="51">
        <f>'07.02'!BG101</f>
        <v>0</v>
      </c>
      <c r="U101" s="92"/>
      <c r="V101" s="100">
        <v>5.33</v>
      </c>
      <c r="W101" s="93">
        <f t="shared" si="114"/>
        <v>0</v>
      </c>
      <c r="X101" s="93">
        <f t="shared" si="115"/>
        <v>0</v>
      </c>
      <c r="Y101" s="93">
        <f t="shared" si="116"/>
        <v>0</v>
      </c>
      <c r="Z101" s="93">
        <f t="shared" si="117"/>
        <v>0</v>
      </c>
      <c r="AA101" s="93">
        <f t="shared" si="118"/>
        <v>0</v>
      </c>
      <c r="AB101" s="93">
        <f t="shared" si="119"/>
        <v>0</v>
      </c>
      <c r="AC101" s="93">
        <f t="shared" si="120"/>
        <v>0</v>
      </c>
      <c r="AD101" s="93">
        <f t="shared" si="121"/>
        <v>0</v>
      </c>
      <c r="AE101" s="93">
        <f t="shared" si="136"/>
        <v>0</v>
      </c>
      <c r="AF101" s="54">
        <f>AE101+'07.02'!AF101</f>
        <v>163</v>
      </c>
      <c r="AG101" s="94">
        <f t="shared" si="163"/>
        <v>0</v>
      </c>
      <c r="AH101" s="56">
        <f t="shared" si="137"/>
        <v>0</v>
      </c>
      <c r="AI101" s="93"/>
      <c r="AJ101" s="93">
        <f t="shared" si="164"/>
        <v>0</v>
      </c>
      <c r="AK101" s="95">
        <f t="shared" si="138"/>
        <v>1</v>
      </c>
      <c r="AL101" s="58">
        <f t="shared" si="175"/>
        <v>0</v>
      </c>
      <c r="AM101" s="55">
        <f t="shared" si="165"/>
        <v>0</v>
      </c>
      <c r="AN101" s="93"/>
      <c r="AO101" s="96"/>
      <c r="AP101" s="96"/>
      <c r="AQ101" s="96"/>
      <c r="AR101" s="96"/>
      <c r="AS101" s="96"/>
      <c r="AT101" s="96">
        <f>$CJ101</f>
        <v>0</v>
      </c>
      <c r="AU101" s="96">
        <f t="shared" si="139"/>
        <v>0</v>
      </c>
      <c r="AV101" s="96">
        <f t="shared" si="139"/>
        <v>0</v>
      </c>
      <c r="AW101" s="96">
        <f t="shared" si="140"/>
        <v>0</v>
      </c>
      <c r="AX101" s="96">
        <f t="shared" si="141"/>
        <v>0</v>
      </c>
      <c r="AY101" s="94">
        <f t="shared" si="166"/>
        <v>0</v>
      </c>
      <c r="AZ101" s="94">
        <f t="shared" si="142"/>
        <v>0</v>
      </c>
      <c r="BA101" s="94">
        <f t="shared" si="172"/>
        <v>0</v>
      </c>
      <c r="BB101" s="97">
        <f t="shared" si="173"/>
        <v>0</v>
      </c>
      <c r="BC101" s="93"/>
      <c r="BD101" s="93">
        <f t="shared" si="143"/>
        <v>0</v>
      </c>
      <c r="BE101" s="95">
        <f t="shared" si="144"/>
        <v>1</v>
      </c>
      <c r="BF101" s="58">
        <f t="shared" si="176"/>
        <v>0</v>
      </c>
      <c r="BG101" s="94">
        <f t="shared" si="145"/>
        <v>0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7"/>
        <v>0</v>
      </c>
      <c r="BP101" s="92">
        <f t="shared" si="167"/>
        <v>0</v>
      </c>
      <c r="BQ101" s="96">
        <f t="shared" si="146"/>
        <v>0</v>
      </c>
      <c r="BR101" s="96">
        <f t="shared" si="147"/>
        <v>0</v>
      </c>
      <c r="BS101" s="96">
        <f t="shared" si="168"/>
        <v>0</v>
      </c>
      <c r="BT101" s="96">
        <f t="shared" si="148"/>
        <v>0</v>
      </c>
      <c r="BU101" s="92">
        <f t="shared" si="122"/>
        <v>0</v>
      </c>
      <c r="BV101" s="98">
        <f t="shared" si="169"/>
        <v>0</v>
      </c>
      <c r="BW101" s="92">
        <f t="shared" si="123"/>
        <v>0</v>
      </c>
      <c r="BX101" s="98">
        <f t="shared" si="149"/>
        <v>0</v>
      </c>
      <c r="BY101" s="61">
        <f t="shared" si="174"/>
        <v>0</v>
      </c>
      <c r="BZ101" s="62">
        <f t="shared" si="150"/>
        <v>0</v>
      </c>
      <c r="CA101" s="98">
        <f t="shared" si="151"/>
        <v>0</v>
      </c>
      <c r="CB101" s="92">
        <f t="shared" si="124"/>
        <v>0</v>
      </c>
      <c r="CC101" s="92">
        <f t="shared" si="124"/>
        <v>0</v>
      </c>
      <c r="CD101" s="92">
        <f t="shared" si="124"/>
        <v>0</v>
      </c>
      <c r="CE101" s="99"/>
      <c r="CF101" s="99"/>
      <c r="CG101" s="51">
        <f t="shared" si="152"/>
        <v>0</v>
      </c>
      <c r="CH101" s="62">
        <f t="shared" si="153"/>
        <v>0</v>
      </c>
      <c r="CI101" s="89"/>
      <c r="CJ101" s="89"/>
      <c r="CK101" s="89"/>
      <c r="CL101" s="96"/>
      <c r="CM101" s="89"/>
      <c r="CN101" s="89"/>
      <c r="CO101" s="92"/>
      <c r="CP101" s="101"/>
      <c r="CQ101" s="102">
        <f t="shared" si="188"/>
        <v>0</v>
      </c>
      <c r="CR101" s="102">
        <f t="shared" si="188"/>
        <v>0</v>
      </c>
      <c r="CS101" s="102">
        <f t="shared" si="188"/>
        <v>0</v>
      </c>
      <c r="CT101" s="92">
        <f t="shared" si="154"/>
        <v>0</v>
      </c>
      <c r="CU101" s="92">
        <f t="shared" si="102"/>
        <v>0</v>
      </c>
      <c r="CV101" s="103">
        <f t="shared" si="102"/>
        <v>0</v>
      </c>
      <c r="CW101" s="104"/>
      <c r="CX101" s="105">
        <v>128</v>
      </c>
      <c r="CY101" s="106">
        <f t="shared" si="155"/>
        <v>328</v>
      </c>
      <c r="CZ101" s="106">
        <f t="shared" si="156"/>
        <v>1036.8000000000002</v>
      </c>
      <c r="DA101" s="106"/>
      <c r="DB101" s="106"/>
      <c r="DC101" s="105"/>
      <c r="DD101" s="107"/>
      <c r="DE101" s="92">
        <f t="shared" si="125"/>
        <v>0</v>
      </c>
      <c r="DF101" s="108">
        <f t="shared" si="126"/>
        <v>0</v>
      </c>
      <c r="DG101" s="115">
        <f t="shared" si="127"/>
        <v>0</v>
      </c>
      <c r="DH101" s="110">
        <f t="shared" si="128"/>
        <v>0</v>
      </c>
      <c r="DI101" s="108">
        <f t="shared" si="129"/>
        <v>0</v>
      </c>
      <c r="DJ101" s="112">
        <f t="shared" si="130"/>
        <v>0</v>
      </c>
      <c r="DK101" s="110">
        <f t="shared" si="182"/>
        <v>0</v>
      </c>
      <c r="DL101" s="108">
        <f t="shared" si="182"/>
        <v>0</v>
      </c>
      <c r="DM101" s="111">
        <f t="shared" si="182"/>
        <v>0</v>
      </c>
      <c r="DN101" s="76">
        <f t="shared" si="157"/>
        <v>0</v>
      </c>
      <c r="DO101" s="76">
        <f t="shared" si="157"/>
        <v>0</v>
      </c>
      <c r="DP101" s="112"/>
      <c r="DQ101" s="112"/>
      <c r="DR101" s="113"/>
      <c r="DS101" s="112"/>
      <c r="DT101" s="112"/>
      <c r="DU101" s="111"/>
      <c r="DV101" s="114"/>
      <c r="DW101" s="80">
        <f t="shared" si="158"/>
        <v>0</v>
      </c>
      <c r="DX101" s="81">
        <f t="shared" si="131"/>
        <v>0</v>
      </c>
      <c r="DY101" s="80">
        <f t="shared" si="159"/>
        <v>0</v>
      </c>
      <c r="DZ101" s="82">
        <f t="shared" si="160"/>
        <v>0</v>
      </c>
      <c r="EA101" s="82">
        <f t="shared" si="161"/>
        <v>0</v>
      </c>
      <c r="EB101" s="82">
        <f t="shared" si="162"/>
        <v>0</v>
      </c>
      <c r="EC101" s="82">
        <f t="shared" si="179"/>
        <v>0</v>
      </c>
      <c r="EF101" s="83">
        <f t="shared" si="183"/>
        <v>0</v>
      </c>
    </row>
    <row r="102" spans="1:136" ht="15" hidden="1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2"/>
        <v>-xx-</v>
      </c>
      <c r="H102" s="46" t="str">
        <f t="shared" si="133"/>
        <v/>
      </c>
      <c r="I102" s="46" t="str">
        <f t="shared" si="134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5"/>
        <v>#DIV/0!</v>
      </c>
      <c r="T102" s="51">
        <f>'07.02'!BG102</f>
        <v>0</v>
      </c>
      <c r="U102" s="92"/>
      <c r="V102" s="100">
        <v>1</v>
      </c>
      <c r="W102" s="93">
        <f t="shared" si="114"/>
        <v>0</v>
      </c>
      <c r="X102" s="93">
        <f t="shared" si="115"/>
        <v>0</v>
      </c>
      <c r="Y102" s="93">
        <f t="shared" si="116"/>
        <v>0</v>
      </c>
      <c r="Z102" s="93">
        <f t="shared" si="117"/>
        <v>0</v>
      </c>
      <c r="AA102" s="93">
        <f t="shared" si="118"/>
        <v>0</v>
      </c>
      <c r="AB102" s="93">
        <f t="shared" si="119"/>
        <v>0</v>
      </c>
      <c r="AC102" s="93">
        <f t="shared" si="120"/>
        <v>0</v>
      </c>
      <c r="AD102" s="93">
        <f t="shared" si="121"/>
        <v>0</v>
      </c>
      <c r="AE102" s="93">
        <f t="shared" si="136"/>
        <v>0</v>
      </c>
      <c r="AF102" s="54">
        <f>AE102+'07.02'!AF102</f>
        <v>0</v>
      </c>
      <c r="AG102" s="94">
        <f t="shared" si="163"/>
        <v>0</v>
      </c>
      <c r="AH102" s="56">
        <f t="shared" si="137"/>
        <v>0</v>
      </c>
      <c r="AI102" s="93"/>
      <c r="AJ102" s="93">
        <f t="shared" si="164"/>
        <v>0</v>
      </c>
      <c r="AK102" s="95">
        <f>IF(V102="","",IF(AJ102=0,1,AJ102/$V102/$E102))</f>
        <v>1</v>
      </c>
      <c r="AL102" s="58">
        <f t="shared" si="175"/>
        <v>0</v>
      </c>
      <c r="AM102" s="55">
        <f t="shared" si="165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39"/>
        <v>0</v>
      </c>
      <c r="AV102" s="96">
        <f t="shared" si="139"/>
        <v>0</v>
      </c>
      <c r="AW102" s="96">
        <f t="shared" si="140"/>
        <v>0</v>
      </c>
      <c r="AX102" s="96">
        <f t="shared" si="141"/>
        <v>0</v>
      </c>
      <c r="AY102" s="94">
        <f t="shared" si="166"/>
        <v>0</v>
      </c>
      <c r="AZ102" s="94">
        <f t="shared" si="142"/>
        <v>0</v>
      </c>
      <c r="BA102" s="94">
        <f t="shared" si="172"/>
        <v>0</v>
      </c>
      <c r="BB102" s="97">
        <f t="shared" si="173"/>
        <v>0</v>
      </c>
      <c r="BC102" s="93"/>
      <c r="BD102" s="93">
        <f t="shared" si="143"/>
        <v>0</v>
      </c>
      <c r="BE102" s="95">
        <f t="shared" si="144"/>
        <v>1</v>
      </c>
      <c r="BF102" s="58">
        <f t="shared" si="176"/>
        <v>0</v>
      </c>
      <c r="BG102" s="94">
        <f t="shared" si="145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7"/>
        <v>0</v>
      </c>
      <c r="BP102" s="92">
        <f t="shared" si="167"/>
        <v>0</v>
      </c>
      <c r="BQ102" s="96">
        <f t="shared" si="146"/>
        <v>0</v>
      </c>
      <c r="BR102" s="96">
        <f t="shared" si="147"/>
        <v>0</v>
      </c>
      <c r="BS102" s="96">
        <f t="shared" si="168"/>
        <v>0</v>
      </c>
      <c r="BT102" s="96">
        <f t="shared" si="148"/>
        <v>0</v>
      </c>
      <c r="BU102" s="92">
        <f t="shared" si="122"/>
        <v>0</v>
      </c>
      <c r="BV102" s="98">
        <f t="shared" si="169"/>
        <v>0</v>
      </c>
      <c r="BW102" s="92">
        <f t="shared" si="123"/>
        <v>0</v>
      </c>
      <c r="BX102" s="98" t="str">
        <f t="shared" si="149"/>
        <v/>
      </c>
      <c r="BY102" s="61">
        <f t="shared" si="174"/>
        <v>0</v>
      </c>
      <c r="BZ102" s="62">
        <f t="shared" si="150"/>
        <v>0</v>
      </c>
      <c r="CA102" s="98">
        <f t="shared" si="151"/>
        <v>0</v>
      </c>
      <c r="CB102" s="92">
        <f t="shared" si="124"/>
        <v>0</v>
      </c>
      <c r="CC102" s="92">
        <f t="shared" si="124"/>
        <v>0</v>
      </c>
      <c r="CD102" s="92">
        <f t="shared" si="124"/>
        <v>0</v>
      </c>
      <c r="CE102" s="99"/>
      <c r="CF102" s="99"/>
      <c r="CG102" s="51">
        <f t="shared" si="152"/>
        <v>0</v>
      </c>
      <c r="CH102" s="62">
        <f t="shared" si="153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88"/>
        <v>0</v>
      </c>
      <c r="CR102" s="102">
        <f t="shared" si="188"/>
        <v>0</v>
      </c>
      <c r="CS102" s="102">
        <f t="shared" si="188"/>
        <v>0</v>
      </c>
      <c r="CT102" s="92">
        <f t="shared" si="154"/>
        <v>0</v>
      </c>
      <c r="CU102" s="92">
        <f t="shared" si="102"/>
        <v>0</v>
      </c>
      <c r="CV102" s="103">
        <f t="shared" si="102"/>
        <v>0</v>
      </c>
      <c r="CW102" s="104"/>
      <c r="CX102" s="105"/>
      <c r="CY102" s="106" t="e">
        <f t="shared" si="155"/>
        <v>#DIV/0!</v>
      </c>
      <c r="CZ102" s="106">
        <f t="shared" si="156"/>
        <v>0</v>
      </c>
      <c r="DA102" s="106"/>
      <c r="DB102" s="106"/>
      <c r="DC102" s="105"/>
      <c r="DD102" s="107"/>
      <c r="DE102" s="92">
        <f t="shared" si="125"/>
        <v>0</v>
      </c>
      <c r="DF102" s="108">
        <f t="shared" si="126"/>
        <v>0</v>
      </c>
      <c r="DG102" s="115">
        <f t="shared" si="127"/>
        <v>0</v>
      </c>
      <c r="DH102" s="110">
        <f t="shared" si="128"/>
        <v>0</v>
      </c>
      <c r="DI102" s="108">
        <f t="shared" si="129"/>
        <v>0</v>
      </c>
      <c r="DJ102" s="112">
        <f t="shared" si="130"/>
        <v>0</v>
      </c>
      <c r="DK102" s="110">
        <f t="shared" si="182"/>
        <v>0</v>
      </c>
      <c r="DL102" s="108">
        <f t="shared" si="182"/>
        <v>0</v>
      </c>
      <c r="DM102" s="111">
        <f t="shared" si="182"/>
        <v>0</v>
      </c>
      <c r="DN102" s="76">
        <f t="shared" si="157"/>
        <v>0</v>
      </c>
      <c r="DO102" s="76">
        <f t="shared" si="157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8"/>
        <v>0</v>
      </c>
      <c r="DX102" s="81">
        <f t="shared" si="131"/>
        <v>0</v>
      </c>
      <c r="DY102" s="80">
        <f t="shared" si="159"/>
        <v>0</v>
      </c>
      <c r="DZ102" s="82">
        <f t="shared" si="160"/>
        <v>0</v>
      </c>
      <c r="EA102" s="82">
        <f t="shared" si="161"/>
        <v>0</v>
      </c>
      <c r="EB102" s="82" t="e">
        <f t="shared" si="162"/>
        <v>#VALUE!</v>
      </c>
      <c r="EC102" s="82" t="e">
        <f t="shared" si="179"/>
        <v>#VALUE!</v>
      </c>
    </row>
    <row r="103" spans="1:136" ht="15" hidden="1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2"/>
        <v>TVSUS303-5x3-H7B13</v>
      </c>
      <c r="H103" s="46" t="str">
        <f t="shared" si="133"/>
        <v>SUS303TV50DH7</v>
      </c>
      <c r="I103" s="46" t="str">
        <f t="shared" si="134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5"/>
        <v>2</v>
      </c>
      <c r="T103" s="51">
        <f>'07.02'!BG103</f>
        <v>0</v>
      </c>
      <c r="U103" s="92"/>
      <c r="V103" s="100">
        <v>0.1</v>
      </c>
      <c r="W103" s="93">
        <f t="shared" si="114"/>
        <v>0</v>
      </c>
      <c r="X103" s="93">
        <f t="shared" si="115"/>
        <v>0</v>
      </c>
      <c r="Y103" s="93">
        <f t="shared" si="116"/>
        <v>0</v>
      </c>
      <c r="Z103" s="93">
        <f t="shared" si="117"/>
        <v>0</v>
      </c>
      <c r="AA103" s="93">
        <f t="shared" si="118"/>
        <v>0</v>
      </c>
      <c r="AB103" s="93">
        <f t="shared" si="119"/>
        <v>0</v>
      </c>
      <c r="AC103" s="93">
        <f t="shared" si="120"/>
        <v>0</v>
      </c>
      <c r="AD103" s="93">
        <f t="shared" si="121"/>
        <v>0</v>
      </c>
      <c r="AE103" s="93">
        <f t="shared" si="136"/>
        <v>0</v>
      </c>
      <c r="AF103" s="54">
        <f>AE103+'07.02'!AF103</f>
        <v>0</v>
      </c>
      <c r="AG103" s="94">
        <f t="shared" si="163"/>
        <v>0</v>
      </c>
      <c r="AH103" s="56">
        <f t="shared" si="137"/>
        <v>0</v>
      </c>
      <c r="AI103" s="93"/>
      <c r="AJ103" s="93">
        <f t="shared" si="164"/>
        <v>0</v>
      </c>
      <c r="AK103" s="95">
        <f t="shared" ref="AK103:AK106" si="189">IF(V103="","",IF(AJ103=0,1,AJ103/$V103/$E103))</f>
        <v>1</v>
      </c>
      <c r="AL103" s="58">
        <f t="shared" si="175"/>
        <v>0</v>
      </c>
      <c r="AM103" s="55">
        <f t="shared" si="165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39"/>
        <v>0</v>
      </c>
      <c r="AV103" s="96">
        <f t="shared" si="139"/>
        <v>0</v>
      </c>
      <c r="AW103" s="96">
        <f t="shared" si="140"/>
        <v>0</v>
      </c>
      <c r="AX103" s="96">
        <f t="shared" si="141"/>
        <v>0</v>
      </c>
      <c r="AY103" s="94">
        <f t="shared" si="166"/>
        <v>0</v>
      </c>
      <c r="AZ103" s="94">
        <f t="shared" si="142"/>
        <v>0</v>
      </c>
      <c r="BA103" s="94">
        <f t="shared" si="172"/>
        <v>0</v>
      </c>
      <c r="BB103" s="97">
        <f t="shared" si="173"/>
        <v>0</v>
      </c>
      <c r="BC103" s="93"/>
      <c r="BD103" s="93">
        <f t="shared" si="143"/>
        <v>0</v>
      </c>
      <c r="BE103" s="95">
        <f t="shared" si="144"/>
        <v>1</v>
      </c>
      <c r="BF103" s="58">
        <f t="shared" si="176"/>
        <v>0</v>
      </c>
      <c r="BG103" s="94">
        <f t="shared" si="145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7"/>
        <v>0</v>
      </c>
      <c r="BP103" s="92">
        <f t="shared" si="167"/>
        <v>0</v>
      </c>
      <c r="BQ103" s="96">
        <f t="shared" si="146"/>
        <v>0</v>
      </c>
      <c r="BR103" s="96">
        <f t="shared" si="147"/>
        <v>0</v>
      </c>
      <c r="BS103" s="96">
        <f t="shared" si="168"/>
        <v>0</v>
      </c>
      <c r="BT103" s="96">
        <f t="shared" si="148"/>
        <v>0</v>
      </c>
      <c r="BU103" s="92">
        <f t="shared" si="122"/>
        <v>0</v>
      </c>
      <c r="BV103" s="98">
        <f t="shared" si="169"/>
        <v>0</v>
      </c>
      <c r="BW103" s="92">
        <f t="shared" si="123"/>
        <v>0</v>
      </c>
      <c r="BX103" s="98">
        <f t="shared" si="149"/>
        <v>0</v>
      </c>
      <c r="BY103" s="61">
        <f t="shared" si="174"/>
        <v>0</v>
      </c>
      <c r="BZ103" s="62">
        <f t="shared" si="150"/>
        <v>0</v>
      </c>
      <c r="CA103" s="98">
        <f t="shared" si="151"/>
        <v>0</v>
      </c>
      <c r="CB103" s="92">
        <f t="shared" si="124"/>
        <v>0</v>
      </c>
      <c r="CC103" s="92">
        <f t="shared" si="124"/>
        <v>0</v>
      </c>
      <c r="CD103" s="92">
        <f t="shared" si="124"/>
        <v>0</v>
      </c>
      <c r="CE103" s="99"/>
      <c r="CF103" s="99"/>
      <c r="CG103" s="51">
        <f t="shared" si="152"/>
        <v>0</v>
      </c>
      <c r="CH103" s="62">
        <f t="shared" si="153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88"/>
        <v>0</v>
      </c>
      <c r="CR103" s="102">
        <f t="shared" si="188"/>
        <v>0</v>
      </c>
      <c r="CS103" s="102">
        <f t="shared" si="188"/>
        <v>0</v>
      </c>
      <c r="CT103" s="92">
        <f t="shared" si="154"/>
        <v>0</v>
      </c>
      <c r="CU103" s="92">
        <f t="shared" si="102"/>
        <v>0</v>
      </c>
      <c r="CV103" s="103">
        <f t="shared" si="102"/>
        <v>0</v>
      </c>
      <c r="CW103" s="104"/>
      <c r="CX103" s="105">
        <v>90</v>
      </c>
      <c r="CY103" s="106">
        <f t="shared" si="155"/>
        <v>476</v>
      </c>
      <c r="CZ103" s="106">
        <f t="shared" si="156"/>
        <v>729</v>
      </c>
      <c r="DA103" s="106"/>
      <c r="DB103" s="106"/>
      <c r="DC103" s="105"/>
      <c r="DD103" s="107"/>
      <c r="DE103" s="92">
        <f t="shared" si="125"/>
        <v>0</v>
      </c>
      <c r="DF103" s="108">
        <f t="shared" si="126"/>
        <v>0</v>
      </c>
      <c r="DG103" s="115">
        <f t="shared" si="127"/>
        <v>0</v>
      </c>
      <c r="DH103" s="110">
        <f t="shared" si="128"/>
        <v>0</v>
      </c>
      <c r="DI103" s="108">
        <f t="shared" si="129"/>
        <v>0</v>
      </c>
      <c r="DJ103" s="112">
        <f t="shared" si="130"/>
        <v>0</v>
      </c>
      <c r="DK103" s="110">
        <f t="shared" si="182"/>
        <v>0</v>
      </c>
      <c r="DL103" s="108">
        <f t="shared" si="182"/>
        <v>0</v>
      </c>
      <c r="DM103" s="111">
        <f t="shared" si="182"/>
        <v>0</v>
      </c>
      <c r="DN103" s="76">
        <f t="shared" si="157"/>
        <v>0</v>
      </c>
      <c r="DO103" s="76">
        <f t="shared" si="157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8"/>
        <v>0</v>
      </c>
      <c r="DX103" s="81">
        <f t="shared" si="131"/>
        <v>0</v>
      </c>
      <c r="DY103" s="80">
        <f t="shared" si="159"/>
        <v>0</v>
      </c>
      <c r="DZ103" s="82">
        <f t="shared" si="160"/>
        <v>0</v>
      </c>
      <c r="EA103" s="82">
        <f t="shared" si="161"/>
        <v>0</v>
      </c>
      <c r="EB103" s="82">
        <f t="shared" si="162"/>
        <v>0</v>
      </c>
      <c r="EC103" s="82">
        <f t="shared" si="179"/>
        <v>0</v>
      </c>
      <c r="EF103" s="83">
        <f t="shared" ref="EF103:EF106" si="190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2"/>
        <v>TVSUS303-6x2.5-H9A14</v>
      </c>
      <c r="H104" s="46" t="str">
        <f t="shared" si="133"/>
        <v>SUS303TV60DH9</v>
      </c>
      <c r="I104" s="46" t="str">
        <f t="shared" si="134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5"/>
        <v>20</v>
      </c>
      <c r="T104" s="51">
        <f>'07.02'!BG104</f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5"/>
        <v>0</v>
      </c>
      <c r="Y104" s="93">
        <f t="shared" si="116"/>
        <v>0</v>
      </c>
      <c r="Z104" s="93">
        <f t="shared" si="117"/>
        <v>0</v>
      </c>
      <c r="AA104" s="93">
        <f t="shared" si="118"/>
        <v>0</v>
      </c>
      <c r="AB104" s="93">
        <f t="shared" si="119"/>
        <v>0</v>
      </c>
      <c r="AC104" s="93">
        <f t="shared" si="120"/>
        <v>0</v>
      </c>
      <c r="AD104" s="93">
        <f t="shared" si="121"/>
        <v>0</v>
      </c>
      <c r="AE104" s="93">
        <f t="shared" si="136"/>
        <v>0</v>
      </c>
      <c r="AF104" s="54">
        <f>AE104+'07.02'!AF104</f>
        <v>0</v>
      </c>
      <c r="AG104" s="94">
        <f t="shared" si="163"/>
        <v>18</v>
      </c>
      <c r="AH104" s="56">
        <f t="shared" si="137"/>
        <v>0</v>
      </c>
      <c r="AI104" s="93"/>
      <c r="AJ104" s="93">
        <f t="shared" si="164"/>
        <v>0</v>
      </c>
      <c r="AK104" s="95">
        <f t="shared" si="189"/>
        <v>1</v>
      </c>
      <c r="AL104" s="58">
        <f t="shared" si="175"/>
        <v>0</v>
      </c>
      <c r="AM104" s="55">
        <f t="shared" si="165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39"/>
        <v>0</v>
      </c>
      <c r="AV104" s="96">
        <f t="shared" si="139"/>
        <v>0</v>
      </c>
      <c r="AW104" s="96">
        <f t="shared" si="140"/>
        <v>0</v>
      </c>
      <c r="AX104" s="96">
        <f t="shared" si="141"/>
        <v>0</v>
      </c>
      <c r="AY104" s="94">
        <f t="shared" si="166"/>
        <v>0</v>
      </c>
      <c r="AZ104" s="94">
        <f t="shared" si="142"/>
        <v>0</v>
      </c>
      <c r="BA104" s="94">
        <f t="shared" si="172"/>
        <v>18</v>
      </c>
      <c r="BB104" s="97">
        <f t="shared" si="173"/>
        <v>0</v>
      </c>
      <c r="BC104" s="93"/>
      <c r="BD104" s="93">
        <f t="shared" si="143"/>
        <v>0</v>
      </c>
      <c r="BE104" s="95">
        <f t="shared" si="144"/>
        <v>1</v>
      </c>
      <c r="BF104" s="58">
        <f t="shared" si="176"/>
        <v>0</v>
      </c>
      <c r="BG104" s="94">
        <f t="shared" si="145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91">CO104</f>
        <v>0</v>
      </c>
      <c r="BP104" s="92">
        <f t="shared" si="191"/>
        <v>0</v>
      </c>
      <c r="BQ104" s="96">
        <f t="shared" si="146"/>
        <v>0</v>
      </c>
      <c r="BR104" s="96">
        <f t="shared" si="147"/>
        <v>0</v>
      </c>
      <c r="BS104" s="96">
        <f t="shared" si="168"/>
        <v>0</v>
      </c>
      <c r="BT104" s="96">
        <f t="shared" si="148"/>
        <v>0</v>
      </c>
      <c r="BU104" s="92">
        <f t="shared" si="122"/>
        <v>0</v>
      </c>
      <c r="BV104" s="98">
        <f t="shared" si="169"/>
        <v>0</v>
      </c>
      <c r="BW104" s="92">
        <f t="shared" si="123"/>
        <v>0</v>
      </c>
      <c r="BX104" s="98">
        <f t="shared" si="149"/>
        <v>0</v>
      </c>
      <c r="BY104" s="61">
        <f t="shared" si="174"/>
        <v>0</v>
      </c>
      <c r="BZ104" s="62">
        <f t="shared" si="150"/>
        <v>0</v>
      </c>
      <c r="CA104" s="98">
        <f t="shared" si="151"/>
        <v>0</v>
      </c>
      <c r="CB104" s="92">
        <f t="shared" si="124"/>
        <v>0</v>
      </c>
      <c r="CC104" s="92">
        <f t="shared" si="124"/>
        <v>0</v>
      </c>
      <c r="CD104" s="92">
        <f t="shared" si="124"/>
        <v>0</v>
      </c>
      <c r="CE104" s="99"/>
      <c r="CF104" s="99"/>
      <c r="CG104" s="51">
        <f t="shared" si="152"/>
        <v>0</v>
      </c>
      <c r="CH104" s="62">
        <f t="shared" si="153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88"/>
        <v>0</v>
      </c>
      <c r="CR104" s="102">
        <f t="shared" si="188"/>
        <v>0</v>
      </c>
      <c r="CS104" s="102">
        <f t="shared" si="188"/>
        <v>0</v>
      </c>
      <c r="CT104" s="92">
        <f t="shared" si="154"/>
        <v>0</v>
      </c>
      <c r="CU104" s="92">
        <f t="shared" ref="CU104:CV106" si="192">INT(IFERROR( AC104-CR104,0))</f>
        <v>0</v>
      </c>
      <c r="CV104" s="103">
        <f t="shared" si="192"/>
        <v>0</v>
      </c>
      <c r="CW104" s="178"/>
      <c r="CX104" s="179">
        <v>70</v>
      </c>
      <c r="CY104" s="180">
        <f t="shared" si="155"/>
        <v>570</v>
      </c>
      <c r="CZ104" s="180">
        <f t="shared" si="156"/>
        <v>567</v>
      </c>
      <c r="DA104" s="181"/>
      <c r="DB104" s="181"/>
      <c r="DC104" s="179"/>
      <c r="DD104" s="182"/>
      <c r="DE104" s="92">
        <f t="shared" si="125"/>
        <v>0</v>
      </c>
      <c r="DF104" s="108">
        <f t="shared" si="126"/>
        <v>0</v>
      </c>
      <c r="DG104" s="115">
        <f t="shared" si="127"/>
        <v>0</v>
      </c>
      <c r="DH104" s="110">
        <f t="shared" si="128"/>
        <v>0</v>
      </c>
      <c r="DI104" s="108">
        <f t="shared" si="129"/>
        <v>0</v>
      </c>
      <c r="DJ104" s="112">
        <f t="shared" si="130"/>
        <v>0</v>
      </c>
      <c r="DK104" s="110">
        <f t="shared" si="182"/>
        <v>0</v>
      </c>
      <c r="DL104" s="108">
        <f t="shared" si="182"/>
        <v>0</v>
      </c>
      <c r="DM104" s="111">
        <f t="shared" si="182"/>
        <v>0</v>
      </c>
      <c r="DN104" s="76">
        <f t="shared" si="157"/>
        <v>18</v>
      </c>
      <c r="DO104" s="76">
        <f t="shared" si="157"/>
        <v>0</v>
      </c>
      <c r="DP104" s="183"/>
      <c r="DQ104" s="183"/>
      <c r="DR104" s="184" t="s">
        <v>569</v>
      </c>
      <c r="DS104" s="183"/>
      <c r="DT104" s="183"/>
      <c r="DU104" s="185"/>
      <c r="DV104" s="186"/>
      <c r="DW104" s="80">
        <f t="shared" si="158"/>
        <v>0</v>
      </c>
      <c r="DX104" s="81">
        <f t="shared" si="131"/>
        <v>0</v>
      </c>
      <c r="DY104" s="80">
        <f t="shared" si="159"/>
        <v>0</v>
      </c>
      <c r="DZ104" s="82">
        <f t="shared" si="160"/>
        <v>0</v>
      </c>
      <c r="EA104" s="82">
        <f t="shared" si="161"/>
        <v>0</v>
      </c>
      <c r="EB104" s="82">
        <f t="shared" si="162"/>
        <v>0</v>
      </c>
      <c r="EC104" s="82">
        <f t="shared" si="179"/>
        <v>0</v>
      </c>
      <c r="EF104" s="83">
        <f t="shared" si="190"/>
        <v>0</v>
      </c>
    </row>
    <row r="105" spans="1:136" ht="14.1" customHeight="1">
      <c r="A105" s="84">
        <v>98</v>
      </c>
      <c r="B105" s="187" t="s">
        <v>402</v>
      </c>
      <c r="C105" s="86"/>
      <c r="D105" s="244" t="s">
        <v>403</v>
      </c>
      <c r="E105" s="189">
        <v>66</v>
      </c>
      <c r="F105" s="190" t="s">
        <v>147</v>
      </c>
      <c r="G105" s="191" t="str">
        <f t="shared" si="132"/>
        <v>TV12L14-H17x3-H11A14</v>
      </c>
      <c r="H105" s="191" t="str">
        <f t="shared" si="133"/>
        <v>12L14TV170HH11</v>
      </c>
      <c r="I105" s="191" t="str">
        <f t="shared" si="134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5"/>
        <v>16</v>
      </c>
      <c r="T105" s="51">
        <f>'07.02'!BG105</f>
        <v>0</v>
      </c>
      <c r="U105" s="194"/>
      <c r="V105" s="195">
        <v>60.8</v>
      </c>
      <c r="W105" s="196">
        <f>IF(V105="","",INT((AO105+BI105)/$V105))</f>
        <v>0</v>
      </c>
      <c r="X105" s="196">
        <f t="shared" si="115"/>
        <v>0</v>
      </c>
      <c r="Y105" s="196">
        <f t="shared" si="116"/>
        <v>0</v>
      </c>
      <c r="Z105" s="196">
        <f t="shared" si="117"/>
        <v>0</v>
      </c>
      <c r="AA105" s="196">
        <f t="shared" si="118"/>
        <v>0</v>
      </c>
      <c r="AB105" s="196">
        <f t="shared" si="119"/>
        <v>0</v>
      </c>
      <c r="AC105" s="196">
        <f t="shared" si="120"/>
        <v>0</v>
      </c>
      <c r="AD105" s="196">
        <f t="shared" si="121"/>
        <v>0</v>
      </c>
      <c r="AE105" s="196">
        <f t="shared" si="136"/>
        <v>0</v>
      </c>
      <c r="AF105" s="54">
        <f>AE105+'07.02'!AF105</f>
        <v>1356</v>
      </c>
      <c r="AG105" s="94">
        <f t="shared" si="163"/>
        <v>0</v>
      </c>
      <c r="AH105" s="56">
        <f t="shared" si="137"/>
        <v>0</v>
      </c>
      <c r="AI105" s="196"/>
      <c r="AJ105" s="93">
        <f t="shared" si="164"/>
        <v>0</v>
      </c>
      <c r="AK105" s="197">
        <f t="shared" si="189"/>
        <v>1</v>
      </c>
      <c r="AL105" s="58">
        <f t="shared" si="175"/>
        <v>0</v>
      </c>
      <c r="AM105" s="55">
        <f t="shared" si="165"/>
        <v>0</v>
      </c>
      <c r="AN105" s="196"/>
      <c r="AO105" s="198"/>
      <c r="AP105" s="198"/>
      <c r="AQ105" s="198"/>
      <c r="AR105" s="198"/>
      <c r="AS105" s="198"/>
      <c r="AT105" s="198">
        <f>$CJ105</f>
        <v>0</v>
      </c>
      <c r="AU105" s="198">
        <f t="shared" si="139"/>
        <v>0</v>
      </c>
      <c r="AV105" s="198">
        <f t="shared" si="139"/>
        <v>0</v>
      </c>
      <c r="AW105" s="198">
        <f t="shared" si="140"/>
        <v>0</v>
      </c>
      <c r="AX105" s="198">
        <f t="shared" si="141"/>
        <v>0</v>
      </c>
      <c r="AY105" s="199">
        <f t="shared" si="166"/>
        <v>0</v>
      </c>
      <c r="AZ105" s="199">
        <f t="shared" si="142"/>
        <v>0</v>
      </c>
      <c r="BA105" s="94">
        <f t="shared" si="172"/>
        <v>0</v>
      </c>
      <c r="BB105" s="200">
        <f t="shared" si="173"/>
        <v>0</v>
      </c>
      <c r="BC105" s="196"/>
      <c r="BD105" s="93">
        <f t="shared" si="143"/>
        <v>0</v>
      </c>
      <c r="BE105" s="197">
        <f t="shared" si="144"/>
        <v>1</v>
      </c>
      <c r="BF105" s="58">
        <f t="shared" si="176"/>
        <v>0</v>
      </c>
      <c r="BG105" s="94">
        <f t="shared" si="145"/>
        <v>0</v>
      </c>
      <c r="BH105" s="190"/>
      <c r="BI105" s="194"/>
      <c r="BJ105" s="194"/>
      <c r="BK105" s="190"/>
      <c r="BL105" s="190"/>
      <c r="BM105" s="190"/>
      <c r="BN105" s="194">
        <f>$CN105</f>
        <v>0</v>
      </c>
      <c r="BO105" s="194">
        <f t="shared" si="191"/>
        <v>0</v>
      </c>
      <c r="BP105" s="194">
        <f t="shared" si="191"/>
        <v>0</v>
      </c>
      <c r="BQ105" s="198">
        <f t="shared" si="146"/>
        <v>0</v>
      </c>
      <c r="BR105" s="198">
        <f t="shared" si="147"/>
        <v>0</v>
      </c>
      <c r="BS105" s="198">
        <f t="shared" si="168"/>
        <v>0</v>
      </c>
      <c r="BT105" s="198">
        <f t="shared" si="148"/>
        <v>0</v>
      </c>
      <c r="BU105" s="194">
        <f t="shared" si="122"/>
        <v>0</v>
      </c>
      <c r="BV105" s="201">
        <f t="shared" si="169"/>
        <v>0</v>
      </c>
      <c r="BW105" s="194">
        <f t="shared" si="123"/>
        <v>0</v>
      </c>
      <c r="BX105" s="201">
        <f t="shared" si="149"/>
        <v>0</v>
      </c>
      <c r="BY105" s="51">
        <f t="shared" si="174"/>
        <v>0</v>
      </c>
      <c r="BZ105" s="62">
        <f t="shared" si="150"/>
        <v>0</v>
      </c>
      <c r="CA105" s="201">
        <f t="shared" si="151"/>
        <v>0</v>
      </c>
      <c r="CB105" s="194">
        <f t="shared" si="124"/>
        <v>0</v>
      </c>
      <c r="CC105" s="194">
        <f t="shared" si="124"/>
        <v>0</v>
      </c>
      <c r="CD105" s="194">
        <f t="shared" si="124"/>
        <v>0</v>
      </c>
      <c r="CE105" s="202"/>
      <c r="CF105" s="202"/>
      <c r="CG105" s="51">
        <f t="shared" si="152"/>
        <v>0</v>
      </c>
      <c r="CH105" s="62">
        <f t="shared" si="153"/>
        <v>0</v>
      </c>
      <c r="CI105" s="190"/>
      <c r="CJ105" s="190"/>
      <c r="CK105" s="190"/>
      <c r="CL105" s="198"/>
      <c r="CM105" s="190"/>
      <c r="CN105" s="190"/>
      <c r="CO105" s="190"/>
      <c r="CP105" s="190"/>
      <c r="CQ105" s="203">
        <f t="shared" si="188"/>
        <v>0</v>
      </c>
      <c r="CR105" s="203">
        <f t="shared" si="188"/>
        <v>0</v>
      </c>
      <c r="CS105" s="203">
        <f t="shared" si="188"/>
        <v>0</v>
      </c>
      <c r="CT105" s="194">
        <f t="shared" si="154"/>
        <v>0</v>
      </c>
      <c r="CU105" s="194">
        <f t="shared" si="192"/>
        <v>0</v>
      </c>
      <c r="CV105" s="204">
        <f t="shared" si="192"/>
        <v>0</v>
      </c>
      <c r="CW105" s="205"/>
      <c r="CX105" s="206">
        <v>81</v>
      </c>
      <c r="CY105" s="207">
        <f t="shared" si="155"/>
        <v>500</v>
      </c>
      <c r="CZ105" s="207">
        <f t="shared" si="156"/>
        <v>656.1</v>
      </c>
      <c r="DA105" s="207"/>
      <c r="DB105" s="207"/>
      <c r="DC105" s="206"/>
      <c r="DD105" s="208"/>
      <c r="DE105" s="194">
        <f t="shared" si="125"/>
        <v>0</v>
      </c>
      <c r="DF105" s="209">
        <f t="shared" si="126"/>
        <v>0</v>
      </c>
      <c r="DG105" s="115">
        <f t="shared" si="127"/>
        <v>0</v>
      </c>
      <c r="DH105" s="210">
        <f t="shared" si="128"/>
        <v>0</v>
      </c>
      <c r="DI105" s="209">
        <f t="shared" si="129"/>
        <v>0</v>
      </c>
      <c r="DJ105" s="76">
        <f t="shared" si="130"/>
        <v>0</v>
      </c>
      <c r="DK105" s="210">
        <f t="shared" si="182"/>
        <v>0</v>
      </c>
      <c r="DL105" s="209">
        <f t="shared" si="182"/>
        <v>0</v>
      </c>
      <c r="DM105" s="211">
        <f t="shared" si="182"/>
        <v>0</v>
      </c>
      <c r="DN105" s="76"/>
      <c r="DO105" s="76">
        <f t="shared" ref="DO105:DO106" si="193">U105</f>
        <v>0</v>
      </c>
      <c r="DP105" s="212"/>
      <c r="DQ105" s="212"/>
      <c r="DR105" s="213" t="s">
        <v>570</v>
      </c>
      <c r="DS105" s="212"/>
      <c r="DT105" s="212"/>
      <c r="DU105" s="214"/>
      <c r="DV105" s="215"/>
      <c r="DW105" s="80">
        <f t="shared" si="158"/>
        <v>0</v>
      </c>
      <c r="DX105" s="81">
        <f t="shared" si="131"/>
        <v>0</v>
      </c>
      <c r="DY105" s="80">
        <f t="shared" si="159"/>
        <v>0</v>
      </c>
      <c r="DZ105" s="82">
        <f t="shared" si="160"/>
        <v>0</v>
      </c>
      <c r="EA105" s="82">
        <f t="shared" si="161"/>
        <v>0</v>
      </c>
      <c r="EB105" s="82">
        <f t="shared" si="162"/>
        <v>0</v>
      </c>
      <c r="EC105" s="82">
        <f t="shared" si="179"/>
        <v>0</v>
      </c>
      <c r="EF105" s="83">
        <f t="shared" si="190"/>
        <v>0</v>
      </c>
    </row>
    <row r="106" spans="1:136" ht="14.1" hidden="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2"/>
        <v>SSSUS316L-T2.2x0.78x2.5-H9A08</v>
      </c>
      <c r="H106" s="219" t="str">
        <f t="shared" si="133"/>
        <v>SUS316LSS2.20.78TH9</v>
      </c>
      <c r="I106" s="219" t="str">
        <f t="shared" si="134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5"/>
        <v>10</v>
      </c>
      <c r="T106" s="51">
        <f>'07.02'!BG106</f>
        <v>0</v>
      </c>
      <c r="U106" s="222"/>
      <c r="V106" s="223">
        <v>7.2999999999999995E-2</v>
      </c>
      <c r="W106" s="224">
        <f>IF(V106="","",INT((AO106+BI106)/$V106))</f>
        <v>0</v>
      </c>
      <c r="X106" s="224">
        <f t="shared" si="115"/>
        <v>0</v>
      </c>
      <c r="Y106" s="224">
        <f t="shared" si="116"/>
        <v>0</v>
      </c>
      <c r="Z106" s="224">
        <f t="shared" si="117"/>
        <v>0</v>
      </c>
      <c r="AA106" s="224">
        <f t="shared" si="118"/>
        <v>0</v>
      </c>
      <c r="AB106" s="224">
        <f t="shared" si="119"/>
        <v>0</v>
      </c>
      <c r="AC106" s="224">
        <f t="shared" si="120"/>
        <v>0</v>
      </c>
      <c r="AD106" s="224">
        <f t="shared" si="121"/>
        <v>0</v>
      </c>
      <c r="AE106" s="224">
        <f t="shared" si="136"/>
        <v>0</v>
      </c>
      <c r="AF106" s="54">
        <f>AE106+'07.02'!AF106</f>
        <v>0</v>
      </c>
      <c r="AG106" s="94">
        <f t="shared" si="163"/>
        <v>0</v>
      </c>
      <c r="AH106" s="56">
        <f t="shared" si="137"/>
        <v>0</v>
      </c>
      <c r="AI106" s="224"/>
      <c r="AJ106" s="93">
        <f t="shared" si="164"/>
        <v>0</v>
      </c>
      <c r="AK106" s="225">
        <f t="shared" si="189"/>
        <v>1</v>
      </c>
      <c r="AL106" s="58">
        <f t="shared" si="175"/>
        <v>0</v>
      </c>
      <c r="AM106" s="55">
        <f t="shared" si="165"/>
        <v>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39"/>
        <v>0</v>
      </c>
      <c r="AV106" s="226">
        <f t="shared" si="139"/>
        <v>0</v>
      </c>
      <c r="AW106" s="226">
        <f t="shared" si="140"/>
        <v>0</v>
      </c>
      <c r="AX106" s="226">
        <f t="shared" si="141"/>
        <v>0</v>
      </c>
      <c r="AY106" s="227">
        <f t="shared" si="166"/>
        <v>0</v>
      </c>
      <c r="AZ106" s="227">
        <f t="shared" si="142"/>
        <v>0</v>
      </c>
      <c r="BA106" s="94">
        <f t="shared" si="172"/>
        <v>0</v>
      </c>
      <c r="BB106" s="228">
        <f t="shared" si="173"/>
        <v>0</v>
      </c>
      <c r="BC106" s="224"/>
      <c r="BD106" s="93">
        <f t="shared" si="143"/>
        <v>0</v>
      </c>
      <c r="BE106" s="225">
        <f t="shared" si="144"/>
        <v>1</v>
      </c>
      <c r="BF106" s="58">
        <f t="shared" si="176"/>
        <v>0</v>
      </c>
      <c r="BG106" s="94">
        <f t="shared" si="145"/>
        <v>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91"/>
        <v>0</v>
      </c>
      <c r="BP106" s="222">
        <f t="shared" si="191"/>
        <v>0</v>
      </c>
      <c r="BQ106" s="226">
        <f t="shared" si="146"/>
        <v>0</v>
      </c>
      <c r="BR106" s="226">
        <f t="shared" si="147"/>
        <v>0</v>
      </c>
      <c r="BS106" s="226">
        <f t="shared" si="168"/>
        <v>0</v>
      </c>
      <c r="BT106" s="226">
        <f t="shared" si="148"/>
        <v>0</v>
      </c>
      <c r="BU106" s="222">
        <f t="shared" si="122"/>
        <v>0</v>
      </c>
      <c r="BV106" s="229">
        <f t="shared" si="169"/>
        <v>0</v>
      </c>
      <c r="BW106" s="222">
        <f t="shared" si="123"/>
        <v>0</v>
      </c>
      <c r="BX106" s="229" t="str">
        <f t="shared" si="149"/>
        <v/>
      </c>
      <c r="BY106" s="229">
        <f t="shared" si="174"/>
        <v>0</v>
      </c>
      <c r="BZ106" s="62">
        <f t="shared" si="150"/>
        <v>0</v>
      </c>
      <c r="CA106" s="229">
        <f t="shared" si="151"/>
        <v>0</v>
      </c>
      <c r="CB106" s="222">
        <f t="shared" si="124"/>
        <v>0</v>
      </c>
      <c r="CC106" s="222">
        <f t="shared" si="124"/>
        <v>0</v>
      </c>
      <c r="CD106" s="222">
        <f t="shared" si="124"/>
        <v>0</v>
      </c>
      <c r="CE106" s="230"/>
      <c r="CF106" s="230"/>
      <c r="CG106" s="229">
        <f t="shared" si="152"/>
        <v>0</v>
      </c>
      <c r="CH106" s="62">
        <f t="shared" si="153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88"/>
        <v>0</v>
      </c>
      <c r="CR106" s="222">
        <f t="shared" si="188"/>
        <v>0</v>
      </c>
      <c r="CS106" s="222">
        <f t="shared" si="188"/>
        <v>0</v>
      </c>
      <c r="CT106" s="222">
        <f t="shared" si="154"/>
        <v>0</v>
      </c>
      <c r="CU106" s="222">
        <f t="shared" si="192"/>
        <v>0</v>
      </c>
      <c r="CV106" s="222">
        <f t="shared" si="192"/>
        <v>0</v>
      </c>
      <c r="CW106" s="218"/>
      <c r="CX106" s="218">
        <v>43</v>
      </c>
      <c r="CY106" s="222">
        <f t="shared" si="155"/>
        <v>962</v>
      </c>
      <c r="CZ106" s="222">
        <f t="shared" si="156"/>
        <v>348.3</v>
      </c>
      <c r="DA106" s="222"/>
      <c r="DB106" s="222"/>
      <c r="DC106" s="218"/>
      <c r="DD106" s="218"/>
      <c r="DE106" s="222">
        <f t="shared" si="125"/>
        <v>0</v>
      </c>
      <c r="DF106" s="231">
        <f t="shared" si="126"/>
        <v>0</v>
      </c>
      <c r="DG106" s="115">
        <f t="shared" si="127"/>
        <v>0</v>
      </c>
      <c r="DH106" s="232">
        <f t="shared" si="128"/>
        <v>0</v>
      </c>
      <c r="DI106" s="231">
        <f t="shared" si="129"/>
        <v>0</v>
      </c>
      <c r="DJ106" s="183">
        <f t="shared" si="130"/>
        <v>0</v>
      </c>
      <c r="DK106" s="232">
        <f t="shared" si="182"/>
        <v>0</v>
      </c>
      <c r="DL106" s="231">
        <f t="shared" si="182"/>
        <v>0</v>
      </c>
      <c r="DM106" s="183">
        <f t="shared" si="182"/>
        <v>0</v>
      </c>
      <c r="DN106" s="76">
        <f t="shared" ref="DN106" si="194">T106</f>
        <v>0</v>
      </c>
      <c r="DO106" s="76">
        <f t="shared" si="193"/>
        <v>0</v>
      </c>
      <c r="DP106" s="183"/>
      <c r="DQ106" s="183"/>
      <c r="DR106" s="184"/>
      <c r="DS106" s="183"/>
      <c r="DT106" s="183"/>
      <c r="DU106" s="183"/>
      <c r="DV106" s="186"/>
      <c r="DW106" s="80">
        <f t="shared" si="158"/>
        <v>0</v>
      </c>
      <c r="DX106" s="81">
        <f t="shared" si="131"/>
        <v>0</v>
      </c>
      <c r="DY106" s="80">
        <f t="shared" si="159"/>
        <v>0</v>
      </c>
      <c r="DZ106" s="82">
        <f t="shared" si="160"/>
        <v>0</v>
      </c>
      <c r="EA106" s="82">
        <f t="shared" si="161"/>
        <v>0</v>
      </c>
      <c r="EB106" s="82" t="e">
        <f t="shared" si="162"/>
        <v>#VALUE!</v>
      </c>
      <c r="EC106" s="82" t="e">
        <f t="shared" si="179"/>
        <v>#VALUE!</v>
      </c>
      <c r="EF106" s="83">
        <f t="shared" si="190"/>
        <v>0</v>
      </c>
    </row>
    <row r="107" spans="1:136" ht="15" hidden="1" customHeight="1">
      <c r="A107" s="301" t="s">
        <v>407</v>
      </c>
      <c r="B107" s="301"/>
      <c r="C107" s="301"/>
      <c r="D107" s="302"/>
      <c r="AF107" s="54">
        <f>AE107+'07.02'!AF107</f>
        <v>0</v>
      </c>
      <c r="AK107" s="233" t="str">
        <f t="shared" si="138"/>
        <v/>
      </c>
      <c r="AL107" s="58" t="str">
        <f t="shared" si="175"/>
        <v/>
      </c>
      <c r="BZ107" s="62">
        <f t="shared" si="150"/>
        <v>0</v>
      </c>
      <c r="CH107" s="62">
        <f t="shared" si="153"/>
        <v>0</v>
      </c>
    </row>
    <row r="108" spans="1:136" ht="0.75" hidden="1" customHeight="1">
      <c r="X108" s="234"/>
      <c r="AF108" s="54">
        <f>AE108+'07.02'!AF108</f>
        <v>0</v>
      </c>
      <c r="AL108" s="58" t="str">
        <f t="shared" si="175"/>
        <v/>
      </c>
      <c r="BZ108" s="62">
        <f t="shared" si="150"/>
        <v>0</v>
      </c>
      <c r="CH108" s="62">
        <f t="shared" si="153"/>
        <v>0</v>
      </c>
    </row>
    <row r="109" spans="1:136" hidden="1">
      <c r="AF109" s="235"/>
      <c r="BZ109" s="62"/>
      <c r="CH109" s="62"/>
    </row>
    <row r="110" spans="1:136" hidden="1">
      <c r="A110">
        <v>37</v>
      </c>
      <c r="B110" t="s">
        <v>244</v>
      </c>
      <c r="D110" s="143" t="s">
        <v>245</v>
      </c>
      <c r="E110">
        <v>172</v>
      </c>
      <c r="F110" t="s">
        <v>136</v>
      </c>
      <c r="G110" t="s">
        <v>482</v>
      </c>
      <c r="H110" t="s">
        <v>483</v>
      </c>
      <c r="I110" t="s">
        <v>484</v>
      </c>
      <c r="J110" t="s">
        <v>226</v>
      </c>
      <c r="K110" t="s">
        <v>227</v>
      </c>
      <c r="L110">
        <v>4</v>
      </c>
      <c r="M110">
        <v>0</v>
      </c>
      <c r="N110" t="s">
        <v>128</v>
      </c>
      <c r="O110" t="s">
        <v>131</v>
      </c>
      <c r="P110">
        <v>3</v>
      </c>
      <c r="Q110">
        <v>0.29599999999999999</v>
      </c>
      <c r="R110" t="s">
        <v>246</v>
      </c>
      <c r="S110">
        <v>38</v>
      </c>
      <c r="T110">
        <v>24</v>
      </c>
      <c r="V110">
        <v>0.82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s="54">
        <v>4849</v>
      </c>
      <c r="AG110">
        <v>24</v>
      </c>
      <c r="AH110">
        <v>0</v>
      </c>
      <c r="AJ110">
        <v>0</v>
      </c>
      <c r="AK110">
        <v>1</v>
      </c>
      <c r="AL110">
        <v>0</v>
      </c>
      <c r="AM110">
        <v>24</v>
      </c>
      <c r="AP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24</v>
      </c>
      <c r="BB110">
        <v>0</v>
      </c>
      <c r="BD110">
        <v>0</v>
      </c>
      <c r="BE110">
        <v>1</v>
      </c>
      <c r="BF110">
        <v>0</v>
      </c>
      <c r="BG110">
        <v>24</v>
      </c>
      <c r="BJ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H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147</v>
      </c>
      <c r="CX110">
        <v>12</v>
      </c>
      <c r="CY110">
        <v>3285</v>
      </c>
      <c r="CZ110">
        <v>48.6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24</v>
      </c>
      <c r="DO110">
        <v>0</v>
      </c>
      <c r="DR110" t="s">
        <v>441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F110">
        <v>0</v>
      </c>
    </row>
    <row r="111" spans="1:136" hidden="1">
      <c r="A111">
        <v>37</v>
      </c>
      <c r="B111" t="s">
        <v>244</v>
      </c>
      <c r="D111" s="143" t="s">
        <v>213</v>
      </c>
      <c r="E111">
        <v>189</v>
      </c>
      <c r="F111" t="s">
        <v>136</v>
      </c>
      <c r="G111" t="s">
        <v>492</v>
      </c>
      <c r="H111" t="s">
        <v>493</v>
      </c>
      <c r="I111" t="s">
        <v>494</v>
      </c>
      <c r="J111" t="s">
        <v>214</v>
      </c>
      <c r="K111" t="s">
        <v>215</v>
      </c>
      <c r="L111">
        <v>4</v>
      </c>
      <c r="M111">
        <v>0</v>
      </c>
      <c r="N111" t="s">
        <v>128</v>
      </c>
      <c r="O111" t="s">
        <v>131</v>
      </c>
      <c r="P111">
        <v>3</v>
      </c>
      <c r="Q111">
        <v>0.29599999999999999</v>
      </c>
      <c r="R111" t="s">
        <v>246</v>
      </c>
      <c r="S111">
        <v>34</v>
      </c>
      <c r="T111">
        <v>0</v>
      </c>
      <c r="U111">
        <v>15</v>
      </c>
      <c r="V111">
        <v>0.45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s="54">
        <v>235</v>
      </c>
      <c r="AG111">
        <v>0</v>
      </c>
      <c r="AH111">
        <v>0</v>
      </c>
      <c r="AJ111">
        <v>0</v>
      </c>
      <c r="AK111">
        <v>1</v>
      </c>
      <c r="AL111">
        <v>0</v>
      </c>
      <c r="AM111">
        <v>15</v>
      </c>
      <c r="AP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</v>
      </c>
      <c r="BB111">
        <v>0</v>
      </c>
      <c r="BD111">
        <v>0</v>
      </c>
      <c r="BE111">
        <v>1</v>
      </c>
      <c r="BF111">
        <v>0</v>
      </c>
      <c r="BG111">
        <v>15</v>
      </c>
      <c r="BJ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G111">
        <v>0</v>
      </c>
      <c r="CH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B111">
        <v>0</v>
      </c>
    </row>
    <row r="112" spans="1:136" hidden="1">
      <c r="A112">
        <v>93</v>
      </c>
      <c r="B112" t="s">
        <v>391</v>
      </c>
      <c r="D112" s="143" t="s">
        <v>478</v>
      </c>
      <c r="E112">
        <v>388</v>
      </c>
      <c r="F112" s="218" t="s">
        <v>128</v>
      </c>
      <c r="G112" s="219" t="s">
        <v>506</v>
      </c>
      <c r="H112" s="219" t="s">
        <v>507</v>
      </c>
      <c r="I112" s="219" t="s">
        <v>508</v>
      </c>
      <c r="J112" s="220" t="s">
        <v>374</v>
      </c>
      <c r="K112" s="220" t="s">
        <v>393</v>
      </c>
      <c r="L112" s="220">
        <v>17</v>
      </c>
      <c r="M112" s="220">
        <v>7</v>
      </c>
      <c r="N112" s="220" t="s">
        <v>157</v>
      </c>
      <c r="O112" s="220" t="s">
        <v>131</v>
      </c>
      <c r="P112" s="220">
        <v>3</v>
      </c>
      <c r="Q112" s="221">
        <v>1.522</v>
      </c>
      <c r="R112" s="220" t="s">
        <v>228</v>
      </c>
      <c r="S112">
        <v>4</v>
      </c>
      <c r="T112">
        <v>0</v>
      </c>
      <c r="V112">
        <v>0.71699999999999997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286</v>
      </c>
      <c r="AG112">
        <v>0</v>
      </c>
      <c r="AH112">
        <v>0</v>
      </c>
      <c r="AJ112">
        <v>0</v>
      </c>
      <c r="AK112">
        <v>1</v>
      </c>
      <c r="AL112">
        <v>0</v>
      </c>
      <c r="AM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0</v>
      </c>
      <c r="BE112">
        <v>1</v>
      </c>
      <c r="BF112">
        <v>0</v>
      </c>
      <c r="BG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G112">
        <v>0</v>
      </c>
      <c r="CH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X112">
        <v>60</v>
      </c>
      <c r="CY112">
        <v>710</v>
      </c>
      <c r="CZ112">
        <v>486.00000000000006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F112">
        <v>0</v>
      </c>
    </row>
    <row r="113" spans="6:18" hidden="1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 hidden="1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 hidden="1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 hidden="1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 hidden="1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 hidden="1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 hidden="1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20" spans="6:18" hidden="1"/>
    <row r="121" spans="6:18" hidden="1"/>
    <row r="122" spans="6:18" hidden="1"/>
    <row r="123" spans="6:18" hidden="1"/>
    <row r="124" spans="6:18" hidden="1"/>
    <row r="125" spans="6:18" hidden="1"/>
    <row r="126" spans="6:18" hidden="1"/>
    <row r="127" spans="6:18" hidden="1"/>
    <row r="128" spans="6:1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spans="2:126" hidden="1"/>
    <row r="146" spans="2:126" hidden="1"/>
    <row r="147" spans="2:126" hidden="1"/>
    <row r="148" spans="2:126" hidden="1"/>
    <row r="149" spans="2:126" hidden="1"/>
    <row r="150" spans="2:126" hidden="1"/>
    <row r="151" spans="2:126" hidden="1"/>
    <row r="152" spans="2:126" hidden="1"/>
    <row r="153" spans="2:126" hidden="1"/>
    <row r="154" spans="2:126" hidden="1"/>
    <row r="155" spans="2:126" hidden="1"/>
    <row r="156" spans="2:126" hidden="1"/>
    <row r="157" spans="2:126" hidden="1"/>
    <row r="158" spans="2:126" hidden="1"/>
    <row r="159" spans="2:126" hidden="1"/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2390</v>
      </c>
      <c r="DO160" s="83">
        <f>SUM(DO8:DO106)</f>
        <v>440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8">
      <customFilters>
        <customFilter operator="notEqual" val=" "/>
      </customFilters>
    </filterColumn>
    <filterColumn colId="123"/>
    <filterColumn colId="132"/>
  </autoFilter>
  <mergeCells count="162">
    <mergeCell ref="A1:D1"/>
    <mergeCell ref="J1:DT1"/>
    <mergeCell ref="DU1:DV1"/>
    <mergeCell ref="A2:D2"/>
    <mergeCell ref="E2:U2"/>
    <mergeCell ref="CW2:DD2"/>
    <mergeCell ref="DE2:DG2"/>
    <mergeCell ref="DH2:DJ2"/>
    <mergeCell ref="DK2:DM2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</mergeCells>
  <conditionalFormatting sqref="AL8:AL985">
    <cfRule type="cellIs" dxfId="10" priority="3" operator="greaterThan">
      <formula>0</formula>
    </cfRule>
  </conditionalFormatting>
  <conditionalFormatting sqref="BF8:BF985">
    <cfRule type="cellIs" dxfId="9" priority="2" operator="greaterThan">
      <formula>0</formula>
    </cfRule>
  </conditionalFormatting>
  <conditionalFormatting sqref="CI8:CP985">
    <cfRule type="cellIs" dxfId="8" priority="1" operator="greaterThan">
      <formula>0</formula>
    </cfRule>
  </conditionalFormatting>
  <pageMargins left="0.31496062992125984" right="0.23622047244094491" top="0.39370078740157483" bottom="0.39370078740157483" header="0.31496062992125984" footer="0.31496062992125984"/>
  <pageSetup paperSize="9" orientation="portrait" verticalDpi="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1"/>
  <dimension ref="A1:EF16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Q64" sqref="Q64"/>
    </sheetView>
  </sheetViews>
  <sheetFormatPr defaultRowHeight="15"/>
  <cols>
    <col min="1" max="1" width="4.140625" customWidth="1"/>
    <col min="2" max="2" width="6.5703125" customWidth="1"/>
    <col min="3" max="3" width="9.140625" hidden="1" customWidth="1"/>
    <col min="4" max="4" width="7.85546875" style="143" customWidth="1"/>
    <col min="5" max="9" width="9.140625" customWidth="1"/>
    <col min="10" max="10" width="8.28515625" customWidth="1"/>
    <col min="11" max="11" width="5.7109375" customWidth="1"/>
    <col min="12" max="12" width="4.140625" customWidth="1"/>
    <col min="13" max="13" width="3.28515625" customWidth="1"/>
    <col min="14" max="15" width="4.28515625" customWidth="1"/>
    <col min="16" max="16" width="3.5703125" customWidth="1"/>
    <col min="17" max="17" width="9.140625" customWidth="1"/>
    <col min="18" max="18" width="4.5703125" customWidth="1"/>
    <col min="19" max="36" width="9.140625" customWidth="1"/>
    <col min="37" max="37" width="10.5703125" customWidth="1"/>
    <col min="38" max="61" width="9.140625" customWidth="1"/>
    <col min="62" max="62" width="9.7109375" customWidth="1"/>
    <col min="63" max="108" width="9.140625" customWidth="1"/>
    <col min="109" max="117" width="9" customWidth="1"/>
    <col min="118" max="118" width="7" customWidth="1"/>
    <col min="119" max="120" width="6.7109375" customWidth="1"/>
    <col min="121" max="121" width="7.42578125" customWidth="1"/>
    <col min="122" max="122" width="12.28515625" customWidth="1"/>
    <col min="123" max="123" width="6.7109375" customWidth="1"/>
    <col min="124" max="124" width="9.140625" customWidth="1"/>
    <col min="125" max="125" width="13.7109375" customWidth="1"/>
    <col min="126" max="126" width="10.7109375" customWidth="1"/>
    <col min="127" max="152" width="9.140625" customWidth="1"/>
  </cols>
  <sheetData>
    <row r="1" spans="1:136" s="3" customFormat="1" ht="27" customHeight="1" thickBot="1">
      <c r="A1" s="402" t="s">
        <v>571</v>
      </c>
      <c r="B1" s="402"/>
      <c r="C1" s="402"/>
      <c r="D1" s="402"/>
      <c r="E1" s="258"/>
      <c r="F1" s="258"/>
      <c r="G1" s="258"/>
      <c r="H1" s="258"/>
      <c r="I1" s="258"/>
      <c r="J1" s="403" t="s">
        <v>0</v>
      </c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  <c r="CJ1" s="403"/>
      <c r="CK1" s="403"/>
      <c r="CL1" s="403"/>
      <c r="CM1" s="403"/>
      <c r="CN1" s="403"/>
      <c r="CO1" s="403"/>
      <c r="CP1" s="403"/>
      <c r="CQ1" s="403"/>
      <c r="CR1" s="403"/>
      <c r="CS1" s="403"/>
      <c r="CT1" s="403"/>
      <c r="CU1" s="403"/>
      <c r="CV1" s="403"/>
      <c r="CW1" s="403"/>
      <c r="CX1" s="403"/>
      <c r="CY1" s="403"/>
      <c r="CZ1" s="403"/>
      <c r="DA1" s="403"/>
      <c r="DB1" s="403"/>
      <c r="DC1" s="403"/>
      <c r="DD1" s="403"/>
      <c r="DE1" s="403"/>
      <c r="DF1" s="403"/>
      <c r="DG1" s="403"/>
      <c r="DH1" s="403"/>
      <c r="DI1" s="403"/>
      <c r="DJ1" s="403"/>
      <c r="DK1" s="403"/>
      <c r="DL1" s="403"/>
      <c r="DM1" s="403"/>
      <c r="DN1" s="403"/>
      <c r="DO1" s="403"/>
      <c r="DP1" s="403"/>
      <c r="DQ1" s="403"/>
      <c r="DR1" s="403"/>
      <c r="DS1" s="403"/>
      <c r="DT1" s="403"/>
      <c r="DU1" s="404" t="s">
        <v>1</v>
      </c>
      <c r="DV1" s="404"/>
      <c r="DW1" s="3" t="s">
        <v>2</v>
      </c>
    </row>
    <row r="2" spans="1:136" s="16" customFormat="1" ht="24.75" hidden="1" customHeight="1">
      <c r="A2" s="405"/>
      <c r="B2" s="406"/>
      <c r="C2" s="406"/>
      <c r="D2" s="406"/>
      <c r="E2" s="405" t="s">
        <v>3</v>
      </c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7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 t="s">
        <v>4</v>
      </c>
      <c r="AH2" s="7"/>
      <c r="AI2" s="7"/>
      <c r="AJ2" s="7"/>
      <c r="AK2" s="7"/>
      <c r="AL2" s="7"/>
      <c r="AM2" s="7"/>
      <c r="AN2" s="8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9"/>
      <c r="BA2" s="6" t="s">
        <v>5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9"/>
      <c r="BU2" s="6" t="s">
        <v>6</v>
      </c>
      <c r="BV2" s="7"/>
      <c r="BW2" s="7"/>
      <c r="BX2" s="7"/>
      <c r="BY2" s="7"/>
      <c r="BZ2" s="10"/>
      <c r="CA2" s="7"/>
      <c r="CB2" s="7"/>
      <c r="CC2" s="7"/>
      <c r="CD2" s="7"/>
      <c r="CE2" s="10"/>
      <c r="CF2" s="10"/>
      <c r="CG2" s="7"/>
      <c r="CH2" s="11"/>
      <c r="CI2" s="12" t="s">
        <v>7</v>
      </c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4"/>
      <c r="CW2" s="408" t="s">
        <v>8</v>
      </c>
      <c r="CX2" s="409"/>
      <c r="CY2" s="409"/>
      <c r="CZ2" s="409"/>
      <c r="DA2" s="409"/>
      <c r="DB2" s="409"/>
      <c r="DC2" s="409"/>
      <c r="DD2" s="409"/>
      <c r="DE2" s="410" t="s">
        <v>9</v>
      </c>
      <c r="DF2" s="411"/>
      <c r="DG2" s="412"/>
      <c r="DH2" s="410" t="s">
        <v>10</v>
      </c>
      <c r="DI2" s="411"/>
      <c r="DJ2" s="412"/>
      <c r="DK2" s="410" t="s">
        <v>11</v>
      </c>
      <c r="DL2" s="411"/>
      <c r="DM2" s="412"/>
      <c r="DN2" s="15"/>
      <c r="DO2" s="15"/>
      <c r="DP2" s="15"/>
      <c r="DQ2" s="15"/>
      <c r="DR2" s="15"/>
      <c r="DS2" s="15"/>
      <c r="DT2" s="15"/>
      <c r="DU2" s="15"/>
      <c r="DV2" s="15"/>
      <c r="EC2" s="17"/>
    </row>
    <row r="3" spans="1:136" s="19" customFormat="1" ht="16.5" customHeight="1">
      <c r="A3" s="384" t="s">
        <v>12</v>
      </c>
      <c r="B3" s="384" t="s">
        <v>13</v>
      </c>
      <c r="C3" s="387" t="s">
        <v>14</v>
      </c>
      <c r="D3" s="388" t="s">
        <v>15</v>
      </c>
      <c r="E3" s="391" t="s">
        <v>16</v>
      </c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92"/>
      <c r="R3" s="312"/>
      <c r="S3" s="312"/>
      <c r="T3" s="326" t="s">
        <v>17</v>
      </c>
      <c r="U3" s="374" t="s">
        <v>18</v>
      </c>
      <c r="V3" s="377" t="s">
        <v>19</v>
      </c>
      <c r="W3" s="379" t="s">
        <v>20</v>
      </c>
      <c r="X3" s="367" t="s">
        <v>21</v>
      </c>
      <c r="Y3" s="379" t="s">
        <v>22</v>
      </c>
      <c r="Z3" s="367" t="s">
        <v>23</v>
      </c>
      <c r="AA3" s="364" t="s">
        <v>24</v>
      </c>
      <c r="AB3" s="367" t="s">
        <v>25</v>
      </c>
      <c r="AC3" s="367" t="s">
        <v>26</v>
      </c>
      <c r="AD3" s="367" t="s">
        <v>27</v>
      </c>
      <c r="AE3" s="370" t="s">
        <v>28</v>
      </c>
      <c r="AF3" s="372" t="s">
        <v>29</v>
      </c>
      <c r="AG3" s="382" t="s">
        <v>30</v>
      </c>
      <c r="AH3" s="383"/>
      <c r="AI3" s="383"/>
      <c r="AJ3" s="383"/>
      <c r="AK3" s="383"/>
      <c r="AL3" s="383"/>
      <c r="AM3" s="383"/>
      <c r="AN3" s="324" t="s">
        <v>31</v>
      </c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62" t="s">
        <v>32</v>
      </c>
      <c r="AZ3" s="363"/>
      <c r="BA3" s="382" t="s">
        <v>33</v>
      </c>
      <c r="BB3" s="383"/>
      <c r="BC3" s="383"/>
      <c r="BD3" s="383"/>
      <c r="BE3" s="383"/>
      <c r="BF3" s="383"/>
      <c r="BG3" s="383"/>
      <c r="BH3" s="324" t="s">
        <v>34</v>
      </c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62" t="s">
        <v>32</v>
      </c>
      <c r="BT3" s="363"/>
      <c r="BU3" s="345"/>
      <c r="BV3" s="346"/>
      <c r="BW3" s="347"/>
      <c r="BX3" s="348" t="s">
        <v>35</v>
      </c>
      <c r="BY3" s="349"/>
      <c r="BZ3" s="350"/>
      <c r="CA3" s="333" t="s">
        <v>36</v>
      </c>
      <c r="CB3" s="333"/>
      <c r="CC3" s="351" t="s">
        <v>37</v>
      </c>
      <c r="CD3" s="319"/>
      <c r="CE3" s="351" t="s">
        <v>38</v>
      </c>
      <c r="CF3" s="319"/>
      <c r="CG3" s="308" t="s">
        <v>39</v>
      </c>
      <c r="CH3" s="352"/>
      <c r="CI3" s="353" t="s">
        <v>40</v>
      </c>
      <c r="CJ3" s="354"/>
      <c r="CK3" s="354"/>
      <c r="CL3" s="354"/>
      <c r="CM3" s="354"/>
      <c r="CN3" s="354"/>
      <c r="CO3" s="354"/>
      <c r="CP3" s="354"/>
      <c r="CQ3" s="355" t="s">
        <v>41</v>
      </c>
      <c r="CR3" s="356"/>
      <c r="CS3" s="356"/>
      <c r="CT3" s="356"/>
      <c r="CU3" s="356"/>
      <c r="CV3" s="357"/>
      <c r="CW3" s="358" t="s">
        <v>42</v>
      </c>
      <c r="CX3" s="358" t="s">
        <v>43</v>
      </c>
      <c r="CY3" s="358" t="s">
        <v>44</v>
      </c>
      <c r="CZ3" s="358" t="s">
        <v>45</v>
      </c>
      <c r="DA3" s="341" t="s">
        <v>46</v>
      </c>
      <c r="DB3" s="341" t="s">
        <v>47</v>
      </c>
      <c r="DC3" s="341" t="s">
        <v>48</v>
      </c>
      <c r="DD3" s="341" t="s">
        <v>49</v>
      </c>
      <c r="DE3" s="341" t="s">
        <v>50</v>
      </c>
      <c r="DF3" s="341" t="s">
        <v>51</v>
      </c>
      <c r="DG3" s="341" t="s">
        <v>52</v>
      </c>
      <c r="DH3" s="341" t="s">
        <v>53</v>
      </c>
      <c r="DI3" s="341" t="s">
        <v>54</v>
      </c>
      <c r="DJ3" s="341" t="s">
        <v>55</v>
      </c>
      <c r="DK3" s="341" t="s">
        <v>56</v>
      </c>
      <c r="DL3" s="341" t="s">
        <v>57</v>
      </c>
      <c r="DM3" s="341" t="s">
        <v>58</v>
      </c>
      <c r="DN3" s="342"/>
      <c r="DO3" s="343"/>
      <c r="DP3" s="343"/>
      <c r="DQ3" s="343"/>
      <c r="DR3" s="343"/>
      <c r="DS3" s="343"/>
      <c r="DT3" s="342" t="s">
        <v>59</v>
      </c>
      <c r="DU3" s="344"/>
      <c r="DV3" s="18"/>
    </row>
    <row r="4" spans="1:136" s="19" customFormat="1" ht="12.75">
      <c r="A4" s="385"/>
      <c r="B4" s="386"/>
      <c r="C4" s="387"/>
      <c r="D4" s="389"/>
      <c r="E4" s="350" t="s">
        <v>60</v>
      </c>
      <c r="F4" s="397" t="s">
        <v>61</v>
      </c>
      <c r="G4" s="397" t="s">
        <v>62</v>
      </c>
      <c r="H4" s="316"/>
      <c r="I4" s="316"/>
      <c r="J4" s="308" t="s">
        <v>63</v>
      </c>
      <c r="K4" s="308" t="s">
        <v>64</v>
      </c>
      <c r="L4" s="312" t="s">
        <v>65</v>
      </c>
      <c r="M4" s="312"/>
      <c r="N4" s="312" t="s">
        <v>66</v>
      </c>
      <c r="O4" s="394" t="s">
        <v>67</v>
      </c>
      <c r="P4" s="395" t="s">
        <v>68</v>
      </c>
      <c r="Q4" s="392" t="s">
        <v>69</v>
      </c>
      <c r="R4" s="312" t="s">
        <v>70</v>
      </c>
      <c r="S4" s="312" t="s">
        <v>71</v>
      </c>
      <c r="T4" s="393"/>
      <c r="U4" s="375"/>
      <c r="V4" s="377"/>
      <c r="W4" s="380"/>
      <c r="X4" s="368"/>
      <c r="Y4" s="380"/>
      <c r="Z4" s="368"/>
      <c r="AA4" s="365"/>
      <c r="AB4" s="368"/>
      <c r="AC4" s="368"/>
      <c r="AD4" s="368"/>
      <c r="AE4" s="370"/>
      <c r="AF4" s="372"/>
      <c r="AG4" s="338" t="s">
        <v>72</v>
      </c>
      <c r="AH4" s="340" t="s">
        <v>73</v>
      </c>
      <c r="AI4" s="340"/>
      <c r="AJ4" s="340"/>
      <c r="AK4" s="340"/>
      <c r="AL4" s="340"/>
      <c r="AM4" s="312" t="s">
        <v>74</v>
      </c>
      <c r="AN4" s="324" t="s">
        <v>75</v>
      </c>
      <c r="AO4" s="324" t="s">
        <v>76</v>
      </c>
      <c r="AP4" s="324" t="s">
        <v>77</v>
      </c>
      <c r="AQ4" s="324" t="s">
        <v>78</v>
      </c>
      <c r="AR4" s="324" t="s">
        <v>79</v>
      </c>
      <c r="AS4" s="324" t="s">
        <v>80</v>
      </c>
      <c r="AT4" s="324" t="s">
        <v>81</v>
      </c>
      <c r="AU4" s="324" t="s">
        <v>82</v>
      </c>
      <c r="AV4" s="324" t="s">
        <v>83</v>
      </c>
      <c r="AW4" s="314" t="s">
        <v>84</v>
      </c>
      <c r="AX4" s="315"/>
      <c r="AY4" s="316" t="s">
        <v>85</v>
      </c>
      <c r="AZ4" s="319" t="s">
        <v>86</v>
      </c>
      <c r="BA4" s="338" t="s">
        <v>72</v>
      </c>
      <c r="BB4" s="340" t="s">
        <v>73</v>
      </c>
      <c r="BC4" s="340"/>
      <c r="BD4" s="340"/>
      <c r="BE4" s="340"/>
      <c r="BF4" s="340"/>
      <c r="BG4" s="312" t="s">
        <v>74</v>
      </c>
      <c r="BH4" s="324" t="s">
        <v>75</v>
      </c>
      <c r="BI4" s="324" t="s">
        <v>76</v>
      </c>
      <c r="BJ4" s="324" t="s">
        <v>77</v>
      </c>
      <c r="BK4" s="324" t="s">
        <v>78</v>
      </c>
      <c r="BL4" s="324" t="s">
        <v>79</v>
      </c>
      <c r="BM4" s="324" t="s">
        <v>80</v>
      </c>
      <c r="BN4" s="324" t="s">
        <v>81</v>
      </c>
      <c r="BO4" s="324" t="s">
        <v>82</v>
      </c>
      <c r="BP4" s="324" t="s">
        <v>83</v>
      </c>
      <c r="BQ4" s="314" t="s">
        <v>87</v>
      </c>
      <c r="BR4" s="315"/>
      <c r="BS4" s="316" t="s">
        <v>85</v>
      </c>
      <c r="BT4" s="319" t="s">
        <v>86</v>
      </c>
      <c r="BU4" s="322" t="s">
        <v>88</v>
      </c>
      <c r="BV4" s="324" t="s">
        <v>89</v>
      </c>
      <c r="BW4" s="324" t="s">
        <v>90</v>
      </c>
      <c r="BX4" s="312" t="s">
        <v>91</v>
      </c>
      <c r="BY4" s="308" t="s">
        <v>92</v>
      </c>
      <c r="BZ4" s="310" t="s">
        <v>93</v>
      </c>
      <c r="CA4" s="312" t="s">
        <v>91</v>
      </c>
      <c r="CB4" s="308" t="s">
        <v>86</v>
      </c>
      <c r="CC4" s="308" t="s">
        <v>85</v>
      </c>
      <c r="CD4" s="308" t="s">
        <v>86</v>
      </c>
      <c r="CE4" s="328" t="s">
        <v>85</v>
      </c>
      <c r="CF4" s="310" t="s">
        <v>86</v>
      </c>
      <c r="CG4" s="312" t="s">
        <v>94</v>
      </c>
      <c r="CH4" s="330" t="s">
        <v>95</v>
      </c>
      <c r="CI4" s="332" t="s">
        <v>96</v>
      </c>
      <c r="CJ4" s="333"/>
      <c r="CK4" s="333"/>
      <c r="CL4" s="333"/>
      <c r="CM4" s="333" t="s">
        <v>97</v>
      </c>
      <c r="CN4" s="333"/>
      <c r="CO4" s="333"/>
      <c r="CP4" s="333"/>
      <c r="CQ4" s="359" t="str">
        <f>CI4</f>
        <v>Ca1A</v>
      </c>
      <c r="CR4" s="360"/>
      <c r="CS4" s="361"/>
      <c r="CT4" s="355" t="str">
        <f>CM4</f>
        <v>Ca 2B</v>
      </c>
      <c r="CU4" s="356"/>
      <c r="CV4" s="357"/>
      <c r="CW4" s="358"/>
      <c r="CX4" s="358"/>
      <c r="CY4" s="358"/>
      <c r="CZ4" s="358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05" t="s">
        <v>98</v>
      </c>
      <c r="DO4" s="305" t="s">
        <v>99</v>
      </c>
      <c r="DP4" s="305" t="s">
        <v>100</v>
      </c>
      <c r="DQ4" s="305" t="s">
        <v>101</v>
      </c>
      <c r="DR4" s="305" t="s">
        <v>102</v>
      </c>
      <c r="DS4" s="305" t="s">
        <v>103</v>
      </c>
      <c r="DT4" s="305" t="s">
        <v>104</v>
      </c>
      <c r="DU4" s="305" t="s">
        <v>105</v>
      </c>
      <c r="DV4" s="305" t="s">
        <v>106</v>
      </c>
      <c r="DW4" s="337"/>
    </row>
    <row r="5" spans="1:136" s="19" customFormat="1" ht="12.75">
      <c r="A5" s="385"/>
      <c r="B5" s="386"/>
      <c r="C5" s="387"/>
      <c r="D5" s="389"/>
      <c r="E5" s="350"/>
      <c r="F5" s="397"/>
      <c r="G5" s="397"/>
      <c r="H5" s="317"/>
      <c r="I5" s="317"/>
      <c r="J5" s="308"/>
      <c r="K5" s="308"/>
      <c r="L5" s="326" t="s">
        <v>107</v>
      </c>
      <c r="M5" s="400" t="s">
        <v>108</v>
      </c>
      <c r="N5" s="312"/>
      <c r="O5" s="394"/>
      <c r="P5" s="395"/>
      <c r="Q5" s="392"/>
      <c r="R5" s="312"/>
      <c r="S5" s="312"/>
      <c r="T5" s="393"/>
      <c r="U5" s="375"/>
      <c r="V5" s="377"/>
      <c r="W5" s="380"/>
      <c r="X5" s="368"/>
      <c r="Y5" s="380"/>
      <c r="Z5" s="368"/>
      <c r="AA5" s="365"/>
      <c r="AB5" s="368"/>
      <c r="AC5" s="368"/>
      <c r="AD5" s="368"/>
      <c r="AE5" s="370"/>
      <c r="AF5" s="372"/>
      <c r="AG5" s="338"/>
      <c r="AH5" s="326" t="s">
        <v>109</v>
      </c>
      <c r="AI5" s="312" t="s">
        <v>110</v>
      </c>
      <c r="AJ5" s="312" t="s">
        <v>111</v>
      </c>
      <c r="AK5" s="312"/>
      <c r="AL5" s="312" t="s">
        <v>112</v>
      </c>
      <c r="AM5" s="312"/>
      <c r="AN5" s="324"/>
      <c r="AO5" s="324"/>
      <c r="AP5" s="324"/>
      <c r="AQ5" s="324"/>
      <c r="AR5" s="324"/>
      <c r="AS5" s="324"/>
      <c r="AT5" s="324"/>
      <c r="AU5" s="324"/>
      <c r="AV5" s="324"/>
      <c r="AW5" s="336" t="s">
        <v>113</v>
      </c>
      <c r="AX5" s="336" t="s">
        <v>114</v>
      </c>
      <c r="AY5" s="317"/>
      <c r="AZ5" s="320"/>
      <c r="BA5" s="338"/>
      <c r="BB5" s="326" t="s">
        <v>109</v>
      </c>
      <c r="BC5" s="312" t="s">
        <v>110</v>
      </c>
      <c r="BD5" s="312" t="s">
        <v>111</v>
      </c>
      <c r="BE5" s="312"/>
      <c r="BF5" s="312" t="s">
        <v>112</v>
      </c>
      <c r="BG5" s="312"/>
      <c r="BH5" s="324"/>
      <c r="BI5" s="324"/>
      <c r="BJ5" s="324"/>
      <c r="BK5" s="324"/>
      <c r="BL5" s="324"/>
      <c r="BM5" s="324"/>
      <c r="BN5" s="324"/>
      <c r="BO5" s="324"/>
      <c r="BP5" s="324"/>
      <c r="BQ5" s="336" t="s">
        <v>113</v>
      </c>
      <c r="BR5" s="336" t="s">
        <v>114</v>
      </c>
      <c r="BS5" s="317"/>
      <c r="BT5" s="320"/>
      <c r="BU5" s="322"/>
      <c r="BV5" s="324"/>
      <c r="BW5" s="324"/>
      <c r="BX5" s="312"/>
      <c r="BY5" s="308"/>
      <c r="BZ5" s="310"/>
      <c r="CA5" s="312"/>
      <c r="CB5" s="308"/>
      <c r="CC5" s="308"/>
      <c r="CD5" s="308"/>
      <c r="CE5" s="328"/>
      <c r="CF5" s="310"/>
      <c r="CG5" s="312"/>
      <c r="CH5" s="330"/>
      <c r="CI5" s="334" t="s">
        <v>115</v>
      </c>
      <c r="CJ5" s="297" t="s">
        <v>113</v>
      </c>
      <c r="CK5" s="299" t="s">
        <v>116</v>
      </c>
      <c r="CL5" s="299" t="s">
        <v>117</v>
      </c>
      <c r="CM5" s="334" t="s">
        <v>115</v>
      </c>
      <c r="CN5" s="297" t="s">
        <v>113</v>
      </c>
      <c r="CO5" s="299" t="s">
        <v>116</v>
      </c>
      <c r="CP5" s="299" t="s">
        <v>117</v>
      </c>
      <c r="CQ5" s="20" t="s">
        <v>118</v>
      </c>
      <c r="CR5" s="257" t="s">
        <v>119</v>
      </c>
      <c r="CS5" s="22" t="s">
        <v>120</v>
      </c>
      <c r="CT5" s="23" t="s">
        <v>121</v>
      </c>
      <c r="CU5" s="23" t="s">
        <v>122</v>
      </c>
      <c r="CV5" s="24" t="s">
        <v>123</v>
      </c>
      <c r="CW5" s="358"/>
      <c r="CX5" s="358"/>
      <c r="CY5" s="358"/>
      <c r="CZ5" s="358"/>
      <c r="DA5" s="341"/>
      <c r="DB5" s="341"/>
      <c r="DC5" s="341"/>
      <c r="DD5" s="341"/>
      <c r="DE5" s="341"/>
      <c r="DF5" s="341"/>
      <c r="DG5" s="341"/>
      <c r="DH5" s="341"/>
      <c r="DI5" s="341"/>
      <c r="DJ5" s="341"/>
      <c r="DK5" s="341"/>
      <c r="DL5" s="341"/>
      <c r="DM5" s="341"/>
      <c r="DN5" s="306"/>
      <c r="DO5" s="306"/>
      <c r="DP5" s="306"/>
      <c r="DQ5" s="306"/>
      <c r="DR5" s="306"/>
      <c r="DS5" s="306"/>
      <c r="DT5" s="306"/>
      <c r="DU5" s="306"/>
      <c r="DV5" s="306"/>
      <c r="DW5" s="337"/>
    </row>
    <row r="6" spans="1:136" s="19" customFormat="1" ht="13.5" thickBot="1">
      <c r="A6" s="385"/>
      <c r="B6" s="386"/>
      <c r="C6" s="387"/>
      <c r="D6" s="390"/>
      <c r="E6" s="396"/>
      <c r="F6" s="398"/>
      <c r="G6" s="398"/>
      <c r="H6" s="318"/>
      <c r="I6" s="318"/>
      <c r="J6" s="308"/>
      <c r="K6" s="308"/>
      <c r="L6" s="399"/>
      <c r="M6" s="401"/>
      <c r="N6" s="312"/>
      <c r="O6" s="394"/>
      <c r="P6" s="395"/>
      <c r="Q6" s="392"/>
      <c r="R6" s="312"/>
      <c r="S6" s="313"/>
      <c r="T6" s="327"/>
      <c r="U6" s="376"/>
      <c r="V6" s="378"/>
      <c r="W6" s="381"/>
      <c r="X6" s="369"/>
      <c r="Y6" s="381"/>
      <c r="Z6" s="369"/>
      <c r="AA6" s="366"/>
      <c r="AB6" s="369"/>
      <c r="AC6" s="369"/>
      <c r="AD6" s="369"/>
      <c r="AE6" s="371"/>
      <c r="AF6" s="373"/>
      <c r="AG6" s="339"/>
      <c r="AH6" s="327"/>
      <c r="AI6" s="313"/>
      <c r="AJ6" s="256" t="s">
        <v>124</v>
      </c>
      <c r="AK6" s="256" t="s">
        <v>125</v>
      </c>
      <c r="AL6" s="313"/>
      <c r="AM6" s="313"/>
      <c r="AN6" s="325"/>
      <c r="AO6" s="325"/>
      <c r="AP6" s="325"/>
      <c r="AQ6" s="325"/>
      <c r="AR6" s="325"/>
      <c r="AS6" s="325"/>
      <c r="AT6" s="325"/>
      <c r="AU6" s="325"/>
      <c r="AV6" s="325"/>
      <c r="AW6" s="298"/>
      <c r="AX6" s="298"/>
      <c r="AY6" s="318"/>
      <c r="AZ6" s="321"/>
      <c r="BA6" s="339"/>
      <c r="BB6" s="327"/>
      <c r="BC6" s="313"/>
      <c r="BD6" s="256" t="s">
        <v>124</v>
      </c>
      <c r="BE6" s="256" t="s">
        <v>125</v>
      </c>
      <c r="BF6" s="313"/>
      <c r="BG6" s="313"/>
      <c r="BH6" s="325"/>
      <c r="BI6" s="325"/>
      <c r="BJ6" s="325"/>
      <c r="BK6" s="325"/>
      <c r="BL6" s="325"/>
      <c r="BM6" s="325"/>
      <c r="BN6" s="325"/>
      <c r="BO6" s="325"/>
      <c r="BP6" s="325"/>
      <c r="BQ6" s="298"/>
      <c r="BR6" s="298"/>
      <c r="BS6" s="318"/>
      <c r="BT6" s="321"/>
      <c r="BU6" s="323"/>
      <c r="BV6" s="325"/>
      <c r="BW6" s="325"/>
      <c r="BX6" s="313"/>
      <c r="BY6" s="309"/>
      <c r="BZ6" s="311"/>
      <c r="CA6" s="313"/>
      <c r="CB6" s="309"/>
      <c r="CC6" s="309"/>
      <c r="CD6" s="309"/>
      <c r="CE6" s="329"/>
      <c r="CF6" s="311"/>
      <c r="CG6" s="313"/>
      <c r="CH6" s="331"/>
      <c r="CI6" s="335"/>
      <c r="CJ6" s="298"/>
      <c r="CK6" s="300"/>
      <c r="CL6" s="300"/>
      <c r="CM6" s="335"/>
      <c r="CN6" s="298"/>
      <c r="CO6" s="300"/>
      <c r="CP6" s="300"/>
      <c r="CQ6" s="26">
        <f>CQ7+CR7+CT7+CU7</f>
        <v>0</v>
      </c>
      <c r="CR6" s="27"/>
      <c r="CS6" s="28"/>
      <c r="CT6" s="27"/>
      <c r="CU6" s="27"/>
      <c r="CV6" s="29"/>
      <c r="CW6" s="358"/>
      <c r="CX6" s="358"/>
      <c r="CY6" s="358"/>
      <c r="CZ6" s="358"/>
      <c r="DA6" s="341"/>
      <c r="DB6" s="341"/>
      <c r="DC6" s="341"/>
      <c r="DD6" s="341"/>
      <c r="DE6" s="341"/>
      <c r="DF6" s="341"/>
      <c r="DG6" s="341"/>
      <c r="DH6" s="341"/>
      <c r="DI6" s="341"/>
      <c r="DJ6" s="341"/>
      <c r="DK6" s="341"/>
      <c r="DL6" s="341"/>
      <c r="DM6" s="341"/>
      <c r="DN6" s="307"/>
      <c r="DO6" s="307"/>
      <c r="DP6" s="307"/>
      <c r="DQ6" s="307"/>
      <c r="DR6" s="307"/>
      <c r="DS6" s="307"/>
      <c r="DT6" s="307"/>
      <c r="DU6" s="307"/>
      <c r="DV6" s="307"/>
      <c r="DW6" s="337"/>
    </row>
    <row r="7" spans="1:136" s="31" customFormat="1" ht="24.75" hidden="1" customHeight="1" thickBot="1">
      <c r="A7" s="30"/>
      <c r="D7" s="32"/>
      <c r="Q7" s="33"/>
      <c r="S7" s="31">
        <f>SUMIF(S8:S106,"&gt;0")</f>
        <v>2788</v>
      </c>
      <c r="T7" s="31">
        <f>SUM(T8:T106)</f>
        <v>2389.3599999999997</v>
      </c>
      <c r="U7" s="31">
        <f>SUM(U8:U106)</f>
        <v>440</v>
      </c>
      <c r="W7" s="31">
        <f t="shared" ref="W7:AD7" si="0">SUM(W8:W777)</f>
        <v>0</v>
      </c>
      <c r="X7" s="31">
        <f t="shared" si="0"/>
        <v>0</v>
      </c>
      <c r="Y7" s="31">
        <f t="shared" si="0"/>
        <v>0</v>
      </c>
      <c r="Z7" s="31">
        <f t="shared" si="0"/>
        <v>0</v>
      </c>
      <c r="AA7" s="31">
        <f t="shared" si="0"/>
        <v>0</v>
      </c>
      <c r="AB7" s="31">
        <f t="shared" si="0"/>
        <v>0</v>
      </c>
      <c r="AC7" s="31">
        <f t="shared" si="0"/>
        <v>0</v>
      </c>
      <c r="AD7" s="31">
        <f t="shared" si="0"/>
        <v>0</v>
      </c>
      <c r="AE7" s="31">
        <f>SUM(AE8:AE777)</f>
        <v>0</v>
      </c>
      <c r="AF7" s="31">
        <f>SUM(AF8:AF249)</f>
        <v>934681</v>
      </c>
      <c r="AG7" s="31">
        <f t="shared" ref="AG7:CP7" si="1">SUM(AG8:AG285)</f>
        <v>2413.3599999999997</v>
      </c>
      <c r="AH7" s="31">
        <f t="shared" si="1"/>
        <v>0.36</v>
      </c>
      <c r="AI7" s="31">
        <f t="shared" si="1"/>
        <v>0</v>
      </c>
      <c r="AJ7" s="31">
        <f t="shared" si="1"/>
        <v>0</v>
      </c>
      <c r="AK7" s="31">
        <f t="shared" si="1"/>
        <v>102</v>
      </c>
      <c r="AL7" s="34">
        <f>SUM(AL8:AL285)</f>
        <v>0</v>
      </c>
      <c r="AM7" s="31">
        <f t="shared" si="1"/>
        <v>2868.36</v>
      </c>
      <c r="AN7" s="31">
        <f t="shared" si="1"/>
        <v>0</v>
      </c>
      <c r="AO7" s="31">
        <f t="shared" si="1"/>
        <v>0</v>
      </c>
      <c r="AP7" s="31">
        <f t="shared" si="1"/>
        <v>0</v>
      </c>
      <c r="AQ7" s="31">
        <f t="shared" si="1"/>
        <v>0</v>
      </c>
      <c r="AR7" s="31">
        <f t="shared" si="1"/>
        <v>0</v>
      </c>
      <c r="AS7" s="31">
        <f t="shared" si="1"/>
        <v>0</v>
      </c>
      <c r="AT7" s="31">
        <f t="shared" si="1"/>
        <v>0</v>
      </c>
      <c r="AU7" s="31">
        <f t="shared" si="1"/>
        <v>0</v>
      </c>
      <c r="AV7" s="31">
        <f t="shared" si="1"/>
        <v>0</v>
      </c>
      <c r="AW7" s="31">
        <f t="shared" si="1"/>
        <v>0</v>
      </c>
      <c r="AX7" s="31">
        <f t="shared" si="1"/>
        <v>0</v>
      </c>
      <c r="AY7" s="31">
        <f t="shared" si="1"/>
        <v>0</v>
      </c>
      <c r="AZ7" s="31">
        <f t="shared" si="1"/>
        <v>0</v>
      </c>
      <c r="BA7" s="31">
        <f t="shared" si="1"/>
        <v>2868.36</v>
      </c>
      <c r="BB7" s="31">
        <f t="shared" si="1"/>
        <v>0.36</v>
      </c>
      <c r="BC7" s="31">
        <f t="shared" si="1"/>
        <v>0</v>
      </c>
      <c r="BD7" s="31">
        <f t="shared" si="1"/>
        <v>0</v>
      </c>
      <c r="BE7" s="31">
        <f t="shared" si="1"/>
        <v>102</v>
      </c>
      <c r="BF7" s="34">
        <f t="shared" si="1"/>
        <v>0</v>
      </c>
      <c r="BG7" s="31">
        <f t="shared" si="1"/>
        <v>2868.36</v>
      </c>
      <c r="BH7" s="31">
        <f t="shared" si="1"/>
        <v>0</v>
      </c>
      <c r="BI7" s="31">
        <f t="shared" si="1"/>
        <v>0</v>
      </c>
      <c r="BJ7" s="31">
        <f t="shared" si="1"/>
        <v>0</v>
      </c>
      <c r="BK7" s="31">
        <f t="shared" si="1"/>
        <v>0</v>
      </c>
      <c r="BL7" s="31">
        <f t="shared" si="1"/>
        <v>0</v>
      </c>
      <c r="BM7" s="31">
        <f t="shared" si="1"/>
        <v>0</v>
      </c>
      <c r="BN7" s="31">
        <f t="shared" si="1"/>
        <v>0</v>
      </c>
      <c r="BO7" s="31">
        <f t="shared" si="1"/>
        <v>0</v>
      </c>
      <c r="BP7" s="31">
        <f t="shared" si="1"/>
        <v>0</v>
      </c>
      <c r="BQ7" s="31">
        <f t="shared" si="1"/>
        <v>0</v>
      </c>
      <c r="BR7" s="31">
        <f t="shared" si="1"/>
        <v>0</v>
      </c>
      <c r="BS7" s="31">
        <f t="shared" si="1"/>
        <v>0</v>
      </c>
      <c r="BT7" s="31">
        <f t="shared" si="1"/>
        <v>0</v>
      </c>
      <c r="BU7" s="31">
        <f t="shared" si="1"/>
        <v>0</v>
      </c>
      <c r="BV7" s="34">
        <f t="shared" si="1"/>
        <v>0</v>
      </c>
      <c r="BW7" s="31">
        <f t="shared" si="1"/>
        <v>0</v>
      </c>
      <c r="BX7" s="31">
        <f t="shared" si="1"/>
        <v>0</v>
      </c>
      <c r="BY7" s="34">
        <f t="shared" si="1"/>
        <v>0</v>
      </c>
      <c r="BZ7" s="35">
        <f t="shared" si="1"/>
        <v>0</v>
      </c>
      <c r="CA7" s="31">
        <f t="shared" si="1"/>
        <v>0</v>
      </c>
      <c r="CB7" s="31">
        <f t="shared" si="1"/>
        <v>0</v>
      </c>
      <c r="CC7" s="31">
        <f t="shared" si="1"/>
        <v>0</v>
      </c>
      <c r="CD7" s="31">
        <f t="shared" si="1"/>
        <v>0</v>
      </c>
      <c r="CE7" s="36">
        <f t="shared" si="1"/>
        <v>0</v>
      </c>
      <c r="CF7" s="36">
        <f t="shared" si="1"/>
        <v>0</v>
      </c>
      <c r="CG7" s="34">
        <f t="shared" si="1"/>
        <v>0</v>
      </c>
      <c r="CH7" s="35">
        <f t="shared" si="1"/>
        <v>0</v>
      </c>
      <c r="CI7" s="31">
        <f t="shared" si="1"/>
        <v>0</v>
      </c>
      <c r="CJ7" s="31">
        <f t="shared" si="1"/>
        <v>0</v>
      </c>
      <c r="CK7" s="31">
        <f t="shared" si="1"/>
        <v>0</v>
      </c>
      <c r="CL7" s="31">
        <f t="shared" si="1"/>
        <v>0</v>
      </c>
      <c r="CM7" s="31">
        <f t="shared" si="1"/>
        <v>0</v>
      </c>
      <c r="CN7" s="31">
        <f t="shared" si="1"/>
        <v>0</v>
      </c>
      <c r="CO7" s="31">
        <f t="shared" si="1"/>
        <v>0</v>
      </c>
      <c r="CP7" s="31">
        <f t="shared" si="1"/>
        <v>0</v>
      </c>
      <c r="CQ7" s="31">
        <f t="shared" ref="CQ7:CV7" si="2">SUM(CQ8:CQ777)</f>
        <v>0</v>
      </c>
      <c r="CR7" s="31">
        <f t="shared" si="2"/>
        <v>0</v>
      </c>
      <c r="CS7" s="31">
        <f t="shared" si="2"/>
        <v>0</v>
      </c>
      <c r="CT7" s="31">
        <f t="shared" si="2"/>
        <v>0</v>
      </c>
      <c r="CU7" s="31">
        <f t="shared" si="2"/>
        <v>0</v>
      </c>
      <c r="CV7" s="31">
        <f t="shared" si="2"/>
        <v>0</v>
      </c>
      <c r="CW7" s="31">
        <f t="shared" ref="CW7:DD7" si="3">SUM(CW8:CW106)</f>
        <v>0</v>
      </c>
      <c r="CX7" s="31">
        <f t="shared" si="3"/>
        <v>3534.7199999999993</v>
      </c>
      <c r="CY7" s="31" t="e">
        <f t="shared" si="3"/>
        <v>#DIV/0!</v>
      </c>
      <c r="CZ7" s="31">
        <f t="shared" si="3"/>
        <v>25021.10249999999</v>
      </c>
      <c r="DA7" s="31">
        <f t="shared" si="3"/>
        <v>0</v>
      </c>
      <c r="DB7" s="31">
        <f t="shared" si="3"/>
        <v>0</v>
      </c>
      <c r="DC7" s="31">
        <f t="shared" si="3"/>
        <v>0</v>
      </c>
      <c r="DD7" s="31">
        <f t="shared" si="3"/>
        <v>0</v>
      </c>
      <c r="DE7" s="37">
        <f t="shared" ref="DE7:DM7" si="4">SUM(DE8:DE108)</f>
        <v>0</v>
      </c>
      <c r="DF7" s="38">
        <f t="shared" si="4"/>
        <v>0</v>
      </c>
      <c r="DG7" s="37">
        <f t="shared" si="4"/>
        <v>0</v>
      </c>
      <c r="DH7" s="37">
        <f t="shared" si="4"/>
        <v>0</v>
      </c>
      <c r="DI7" s="38">
        <f t="shared" si="4"/>
        <v>0</v>
      </c>
      <c r="DJ7" s="37">
        <f t="shared" si="4"/>
        <v>0</v>
      </c>
      <c r="DK7" s="37">
        <f t="shared" si="4"/>
        <v>0</v>
      </c>
      <c r="DL7" s="38">
        <f t="shared" si="4"/>
        <v>0</v>
      </c>
      <c r="DM7" s="37">
        <f t="shared" si="4"/>
        <v>0</v>
      </c>
      <c r="DN7" s="39"/>
      <c r="DO7" s="37"/>
      <c r="DP7" s="37"/>
      <c r="DQ7" s="37"/>
      <c r="DR7" s="37"/>
      <c r="DS7" s="37"/>
      <c r="DT7" s="37"/>
      <c r="DU7" s="37"/>
      <c r="DV7" s="37"/>
    </row>
    <row r="8" spans="1:136" ht="14.1" customHeight="1">
      <c r="A8" s="40">
        <v>1</v>
      </c>
      <c r="B8" s="41" t="s">
        <v>126</v>
      </c>
      <c r="C8" s="42"/>
      <c r="D8" s="43" t="s">
        <v>127</v>
      </c>
      <c r="E8" s="44">
        <v>70</v>
      </c>
      <c r="F8" s="44" t="s">
        <v>128</v>
      </c>
      <c r="G8" s="45" t="str">
        <f>CONCATENATE(K8,J8,"-",IF(N8="D",L8,IF(N8="H",CONCATENATE(N8,L8),CONCATENATE(N8,L8,"x",M8))),"x",P8,"-",O8,R8)</f>
        <v>GWA6063-T5-17x3-H9B15</v>
      </c>
      <c r="H8" s="46" t="str">
        <f>CONCATENATE(J8,,K8,L8,M8,N8,O8)</f>
        <v>A6063-T5GW170DH9</v>
      </c>
      <c r="I8" s="46" t="str">
        <f>CONCATENATE(J8,K8,L8,M8,N8,O8,P8,R8)</f>
        <v>A6063-T5GW170DH93B15</v>
      </c>
      <c r="J8" s="47" t="s">
        <v>129</v>
      </c>
      <c r="K8" s="47" t="s">
        <v>130</v>
      </c>
      <c r="L8" s="47">
        <v>17</v>
      </c>
      <c r="M8" s="47">
        <v>0</v>
      </c>
      <c r="N8" s="47" t="s">
        <v>128</v>
      </c>
      <c r="O8" s="47" t="s">
        <v>131</v>
      </c>
      <c r="P8" s="47">
        <v>3</v>
      </c>
      <c r="Q8" s="48">
        <v>1.8320000000000001</v>
      </c>
      <c r="R8" s="49" t="s">
        <v>132</v>
      </c>
      <c r="S8" s="50">
        <f>ROUND(CY8/E8,0)*2</f>
        <v>16</v>
      </c>
      <c r="T8" s="51">
        <f>'07.02'!BG8</f>
        <v>10</v>
      </c>
      <c r="U8" s="52">
        <v>10</v>
      </c>
      <c r="V8" s="44">
        <v>10.1</v>
      </c>
      <c r="W8" s="53">
        <f t="shared" ref="W8:W71" si="5">IF(V8="","",INT((AO8+BI8)/$V8))</f>
        <v>0</v>
      </c>
      <c r="X8" s="53">
        <f t="shared" ref="X8:X71" si="6">IF(V8="","",INT((AP8+BJ8)/$V8))</f>
        <v>0</v>
      </c>
      <c r="Y8" s="53">
        <f t="shared" ref="Y8:Y71" si="7">IF(V8="","",INT((AQ8+BK8)/$V8))</f>
        <v>0</v>
      </c>
      <c r="Z8" s="53">
        <f t="shared" ref="Z8:Z71" si="8">IF(V8="","",INT((AR8+BL8)/$V8))</f>
        <v>0</v>
      </c>
      <c r="AA8" s="53">
        <f t="shared" ref="AA8:AA71" si="9">IF(V8="","",INT((AS8+BM8)/$V8))</f>
        <v>0</v>
      </c>
      <c r="AB8" s="53">
        <f t="shared" ref="AB8:AB71" si="10">IF(V8="","",INT((AT8+BN8)/$V8))</f>
        <v>0</v>
      </c>
      <c r="AC8" s="53">
        <f t="shared" ref="AC8:AC71" si="11">IF(V8="","",INT((AU8+BO8)/$V8))</f>
        <v>0</v>
      </c>
      <c r="AD8" s="53">
        <f t="shared" ref="AD8:AD71" si="12">IF(V8="","",INT((AV8+BP8)/$V8))</f>
        <v>0</v>
      </c>
      <c r="AE8" s="53">
        <f>IF(V8="","",SUM(W8:AC8))</f>
        <v>0</v>
      </c>
      <c r="AF8" s="54">
        <f>AE8+'07.02'!AF8</f>
        <v>1148</v>
      </c>
      <c r="AG8" s="55">
        <f>T8</f>
        <v>10</v>
      </c>
      <c r="AH8" s="56">
        <f t="shared" ref="AH8:AH72" si="13">IFERROR(VALUE("0"&amp;RIGHT(AG8,(LEN(AG8)-LEN(TRUNC(AG8))))),"")</f>
        <v>0</v>
      </c>
      <c r="AI8" s="53"/>
      <c r="AJ8" s="53">
        <f>$CI8</f>
        <v>0</v>
      </c>
      <c r="AK8" s="57">
        <f>IF(V8="","",IF(AJ8=0,1,AJ8/$V8/$E8))</f>
        <v>1</v>
      </c>
      <c r="AL8" s="58">
        <f>IF(V8="","",MAX(ROUNDUP((IF(AI8+AJ8=0,0,AH8)+AI8+AK8-1),2),0))</f>
        <v>0</v>
      </c>
      <c r="AM8" s="55">
        <f>IF(V8="","",AG8+U8-AL8)</f>
        <v>20</v>
      </c>
      <c r="AN8" s="53"/>
      <c r="AO8" s="59"/>
      <c r="AP8" s="59">
        <f t="shared" ref="AP8:AP13" si="14">$CJ8</f>
        <v>0</v>
      </c>
      <c r="AQ8" s="59"/>
      <c r="AR8" s="59"/>
      <c r="AS8" s="59"/>
      <c r="AT8" s="59"/>
      <c r="AU8" s="59">
        <f>CK8</f>
        <v>0</v>
      </c>
      <c r="AV8" s="59">
        <f>CL8</f>
        <v>0</v>
      </c>
      <c r="AW8" s="59">
        <f>SUM(AO8:AV8)</f>
        <v>0</v>
      </c>
      <c r="AX8" s="59">
        <f>IF(V8="","",INT(AW8/$V8))</f>
        <v>0</v>
      </c>
      <c r="AY8" s="55">
        <f>IF(V8="","",AW8-AL8*$E8*$V8)</f>
        <v>0</v>
      </c>
      <c r="AZ8" s="59">
        <f>IF($V8="","",AY8/$V8)</f>
        <v>0</v>
      </c>
      <c r="BA8" s="55">
        <f>AM8</f>
        <v>20</v>
      </c>
      <c r="BB8" s="60">
        <f>VALUE("0"&amp;RIGHT(BA8,(LEN(BA8)-LEN(TRUNC(BA8)))))</f>
        <v>0</v>
      </c>
      <c r="BC8" s="53"/>
      <c r="BD8" s="53">
        <f>$CM8</f>
        <v>0</v>
      </c>
      <c r="BE8" s="57">
        <f>IF(AA8="","",IF(BD8=0,1,BD8/$V8/$E8))</f>
        <v>1</v>
      </c>
      <c r="BF8" s="58">
        <f>IF(V8="","",MAX(ROUNDUP((IF(BC8+BD8=0,0,BB8)+BC8+BE8-1),2),0))</f>
        <v>0</v>
      </c>
      <c r="BG8" s="55">
        <f>IF(AA8="","",BA8-BF8)</f>
        <v>20</v>
      </c>
      <c r="BH8" s="44"/>
      <c r="BI8" s="44"/>
      <c r="BJ8" s="52">
        <f t="shared" ref="BJ8:BJ13" si="15">$CN8</f>
        <v>0</v>
      </c>
      <c r="BK8" s="44"/>
      <c r="BL8" s="44"/>
      <c r="BM8" s="44"/>
      <c r="BN8" s="44"/>
      <c r="BO8" s="52">
        <f>CO8</f>
        <v>0</v>
      </c>
      <c r="BP8" s="52">
        <f>CP8</f>
        <v>0</v>
      </c>
      <c r="BQ8" s="59">
        <f>SUM(BI8:BP8)</f>
        <v>0</v>
      </c>
      <c r="BR8" s="59">
        <f>IF(AA8="","",INT(BQ8/$V8))</f>
        <v>0</v>
      </c>
      <c r="BS8" s="59">
        <f>IF(AA8="","",-BF8*$E8*$V8+BQ8)</f>
        <v>0</v>
      </c>
      <c r="BT8" s="59">
        <f>IF($V8="","",BS8/$V8)</f>
        <v>0</v>
      </c>
      <c r="BU8" s="52">
        <f t="shared" ref="BU8:BU71" si="16">IFERROR(AE8,"")</f>
        <v>0</v>
      </c>
      <c r="BV8" s="61">
        <f t="shared" ref="BV8:BV73" si="17">IFERROR(BF8+AL8,"")</f>
        <v>0</v>
      </c>
      <c r="BW8" s="52">
        <f t="shared" ref="BW8:BW71" si="18">IFERROR(BT8+AZ8,"")</f>
        <v>0</v>
      </c>
      <c r="BX8" s="61">
        <f>IF($Q8="","",(BF8+AL8)*$Q8)</f>
        <v>0</v>
      </c>
      <c r="BY8" s="61">
        <f>IFERROR(BF8+AL8,0)</f>
        <v>0</v>
      </c>
      <c r="BZ8" s="62">
        <f>BY8</f>
        <v>0</v>
      </c>
      <c r="CA8" s="51">
        <f>IFERROR((BQ8+AW8)/1000,"")</f>
        <v>0</v>
      </c>
      <c r="CB8" s="63">
        <f t="shared" ref="CB8:CD39" si="19">IFERROR(BR8+AX8,"")</f>
        <v>0</v>
      </c>
      <c r="CC8" s="63">
        <f t="shared" si="19"/>
        <v>0</v>
      </c>
      <c r="CD8" s="63">
        <f t="shared" si="19"/>
        <v>0</v>
      </c>
      <c r="CE8" s="64"/>
      <c r="CF8" s="64"/>
      <c r="CG8" s="51">
        <f>IF(BX8="",0,(BX8-CA8)+((AV8+BP8)/1000))</f>
        <v>0</v>
      </c>
      <c r="CH8" s="62">
        <f>CG8</f>
        <v>0</v>
      </c>
      <c r="CI8" s="44"/>
      <c r="CJ8" s="44"/>
      <c r="CK8" s="44"/>
      <c r="CL8" s="59"/>
      <c r="CM8" s="44"/>
      <c r="CN8" s="44"/>
      <c r="CO8" s="52"/>
      <c r="CP8" s="65"/>
      <c r="CQ8" s="66">
        <f>INT(IFERROR( CJ8/$V8,0))</f>
        <v>0</v>
      </c>
      <c r="CR8" s="66">
        <f t="shared" ref="CR8:CS23" si="20">INT(IFERROR( CK8/$V8,0))</f>
        <v>0</v>
      </c>
      <c r="CS8" s="66">
        <f t="shared" si="20"/>
        <v>0</v>
      </c>
      <c r="CT8" s="63">
        <f>INT(IFERROR( AE8-CQ8-CU8-CR8,0))</f>
        <v>0</v>
      </c>
      <c r="CU8" s="63">
        <f>INT(IFERROR( AC8-CR8,0))</f>
        <v>0</v>
      </c>
      <c r="CV8" s="67">
        <f>INT(IFERROR( AD8-CS8,0))</f>
        <v>0</v>
      </c>
      <c r="CW8" s="68"/>
      <c r="CX8" s="69">
        <v>72</v>
      </c>
      <c r="CY8" s="70">
        <f>INT(60/CX8*60*(12-(CEILING((60/CX8*60*12)/E8,1)*IF(CW8="T",0.45,IF(CW8="",5,3))/60)))</f>
        <v>562</v>
      </c>
      <c r="CZ8" s="70">
        <f>IF(CX8="",0,(IF(CW8="",360,180)/(60/CX8))*1.35)</f>
        <v>583.20000000000005</v>
      </c>
      <c r="DA8" s="70"/>
      <c r="DB8" s="70"/>
      <c r="DC8" s="69"/>
      <c r="DD8" s="71"/>
      <c r="DE8" s="52">
        <f t="shared" ref="DE8:DE71" si="21">IFERROR(CQ8+CR8,"")</f>
        <v>0</v>
      </c>
      <c r="DF8" s="72">
        <f t="shared" ref="DF8:DF71" si="22">IFERROR(AL8,"")</f>
        <v>0</v>
      </c>
      <c r="DG8" s="73">
        <f t="shared" ref="DG8:DG71" si="23">IFERROR(AZ8,"")</f>
        <v>0</v>
      </c>
      <c r="DH8" s="74">
        <f t="shared" ref="DH8:DH71" si="24">IFERROR(CT8+CU8,"")</f>
        <v>0</v>
      </c>
      <c r="DI8" s="72">
        <f t="shared" ref="DI8:DI71" si="25">IFERROR(BF8,"")</f>
        <v>0</v>
      </c>
      <c r="DJ8" s="73">
        <f t="shared" ref="DJ8:DJ71" si="26">IFERROR(BT8,"")</f>
        <v>0</v>
      </c>
      <c r="DK8" s="74">
        <f t="shared" ref="DK8:DM23" si="27">IFERROR(DE8+DH8,"")</f>
        <v>0</v>
      </c>
      <c r="DL8" s="72">
        <f t="shared" si="27"/>
        <v>0</v>
      </c>
      <c r="DM8" s="75">
        <f t="shared" si="27"/>
        <v>0</v>
      </c>
      <c r="DN8" s="76">
        <v>5</v>
      </c>
      <c r="DO8" s="73"/>
      <c r="DP8" s="77"/>
      <c r="DQ8" s="77"/>
      <c r="DR8" s="78" t="s">
        <v>511</v>
      </c>
      <c r="DS8" s="77"/>
      <c r="DT8" s="77"/>
      <c r="DU8" s="75"/>
      <c r="DV8" s="79"/>
      <c r="DW8" s="80">
        <f>IFERROR(AL8+BC8,"")</f>
        <v>0</v>
      </c>
      <c r="DX8" s="81">
        <f t="shared" ref="DX8:DX71" si="28">IFERROR(DK8+DL8+DM8,"")</f>
        <v>0</v>
      </c>
      <c r="DY8" s="80">
        <f>CQ8+CR8+CS8+CT8+CU8+CV8</f>
        <v>0</v>
      </c>
      <c r="DZ8">
        <f>IFERROR((AD8*V8/1000),0)</f>
        <v>0</v>
      </c>
      <c r="EA8" s="82">
        <f>IFERROR((AE8*V8/1000),0)</f>
        <v>0</v>
      </c>
      <c r="EB8" s="82">
        <f>BX8-EA8</f>
        <v>0</v>
      </c>
      <c r="EC8" s="82">
        <f t="shared" ref="EC8:EC13" si="29">(BX8-CA8)+((AV8+BP8)/1000)</f>
        <v>0</v>
      </c>
      <c r="EF8" s="83">
        <f>DG8+DJ8</f>
        <v>0</v>
      </c>
    </row>
    <row r="9" spans="1:136" ht="15" hidden="1" customHeight="1">
      <c r="A9" s="84">
        <v>2</v>
      </c>
      <c r="B9" s="85" t="s">
        <v>134</v>
      </c>
      <c r="C9" s="86"/>
      <c r="D9" s="87" t="s">
        <v>135</v>
      </c>
      <c r="E9" s="88">
        <v>8</v>
      </c>
      <c r="F9" s="89" t="s">
        <v>136</v>
      </c>
      <c r="G9" s="45" t="str">
        <f t="shared" ref="G9:G72" si="30">CONCATENATE(K9,J9,"-",IF(N9="D",L9,IF(N9="H",CONCATENATE(N9,L9),CONCATENATE(N9,L9,"x",M9))),"x",P9,"-",O9,R9)</f>
        <v>TV12L14-10x2.5-H9A14</v>
      </c>
      <c r="H9" s="46" t="str">
        <f t="shared" ref="H9:H72" si="31">CONCATENATE(J9,,K9,L9,M9,N9,O9)</f>
        <v>12L14TV100DH9</v>
      </c>
      <c r="I9" s="46" t="str">
        <f t="shared" ref="I9:I72" si="32">CONCATENATE(J9,K9,L9,M9,N9,O9,P9,R9)</f>
        <v>12L14TV100DH92.5A14</v>
      </c>
      <c r="J9" s="90" t="s">
        <v>137</v>
      </c>
      <c r="K9" s="90" t="s">
        <v>138</v>
      </c>
      <c r="L9" s="90">
        <v>10</v>
      </c>
      <c r="M9" s="90">
        <v>0</v>
      </c>
      <c r="N9" s="90" t="s">
        <v>128</v>
      </c>
      <c r="O9" s="90" t="s">
        <v>131</v>
      </c>
      <c r="P9" s="90">
        <v>2.5</v>
      </c>
      <c r="Q9" s="91">
        <v>1.5329999999999999</v>
      </c>
      <c r="R9" s="90" t="s">
        <v>139</v>
      </c>
      <c r="S9" s="89">
        <f t="shared" ref="S9:S72" si="33">ROUND(CY9/E9,0)*2</f>
        <v>70</v>
      </c>
      <c r="T9" s="51">
        <f>'07.02'!BG9</f>
        <v>0</v>
      </c>
      <c r="U9" s="92"/>
      <c r="V9" s="89">
        <v>159.69999999999999</v>
      </c>
      <c r="W9" s="93">
        <f t="shared" si="5"/>
        <v>0</v>
      </c>
      <c r="X9" s="93">
        <f t="shared" si="6"/>
        <v>0</v>
      </c>
      <c r="Y9" s="93">
        <f t="shared" si="7"/>
        <v>0</v>
      </c>
      <c r="Z9" s="93">
        <f t="shared" si="8"/>
        <v>0</v>
      </c>
      <c r="AA9" s="93">
        <f t="shared" si="9"/>
        <v>0</v>
      </c>
      <c r="AB9" s="93">
        <f t="shared" si="10"/>
        <v>0</v>
      </c>
      <c r="AC9" s="93">
        <f t="shared" si="11"/>
        <v>0</v>
      </c>
      <c r="AD9" s="93">
        <f t="shared" si="12"/>
        <v>0</v>
      </c>
      <c r="AE9" s="93">
        <f t="shared" ref="AE9:AE72" si="34">IF(V9="","",SUM(W9:AC9))</f>
        <v>0</v>
      </c>
      <c r="AF9" s="54">
        <f>AE9+'07.02'!AF9</f>
        <v>0</v>
      </c>
      <c r="AG9" s="94">
        <f>T9</f>
        <v>0</v>
      </c>
      <c r="AH9" s="56">
        <f t="shared" si="13"/>
        <v>0</v>
      </c>
      <c r="AI9" s="93"/>
      <c r="AJ9" s="93">
        <f>$CI9</f>
        <v>0</v>
      </c>
      <c r="AK9" s="95">
        <f t="shared" ref="AK9:AK72" si="35">IF(V9="","",IF(AJ9=0,1,AJ9/$V9/$E9))</f>
        <v>1</v>
      </c>
      <c r="AL9" s="58">
        <f t="shared" ref="AL9:AL75" si="36">IF(V9="","",MAX(ROUNDUP((IF(AI9+AJ9=0,0,AH9)+AI9+AK9-1),2),0))</f>
        <v>0</v>
      </c>
      <c r="AM9" s="55">
        <f>IF(V9="","",AG9+U9-AL9)</f>
        <v>0</v>
      </c>
      <c r="AN9" s="93"/>
      <c r="AO9" s="96"/>
      <c r="AP9" s="96">
        <f t="shared" si="14"/>
        <v>0</v>
      </c>
      <c r="AQ9" s="96"/>
      <c r="AR9" s="96"/>
      <c r="AS9" s="96"/>
      <c r="AT9" s="96"/>
      <c r="AU9" s="96">
        <f>CK9</f>
        <v>0</v>
      </c>
      <c r="AV9" s="96">
        <f t="shared" ref="AU9:AV72" si="37">CL9</f>
        <v>0</v>
      </c>
      <c r="AW9" s="96">
        <f t="shared" ref="AW9:AW72" si="38">SUM(AO9:AV9)</f>
        <v>0</v>
      </c>
      <c r="AX9" s="96">
        <f t="shared" ref="AX9:AX72" si="39">IF(V9="","",INT(AW9/$V9))</f>
        <v>0</v>
      </c>
      <c r="AY9" s="94">
        <f>IF(V9="","",AW9-AL9*$E9*$V9)</f>
        <v>0</v>
      </c>
      <c r="AZ9" s="94">
        <f t="shared" ref="AZ9:AZ72" si="40">IF($V9="","",AY9/$V9)</f>
        <v>0</v>
      </c>
      <c r="BA9" s="94">
        <f t="shared" ref="BA9:BA74" si="41">AM9</f>
        <v>0</v>
      </c>
      <c r="BB9" s="97">
        <f t="shared" ref="BB9:BB74" si="42">VALUE("0"&amp;RIGHT(BA9,(LEN(BA9)-LEN(TRUNC(BA9)))))</f>
        <v>0</v>
      </c>
      <c r="BC9" s="93"/>
      <c r="BD9" s="93">
        <f t="shared" ref="BD9:BD72" si="43">$CM9</f>
        <v>0</v>
      </c>
      <c r="BE9" s="95">
        <f t="shared" ref="BE9:BE72" si="44">IF(AA9="","",IF(BD9=0,1,BD9/$V9/$E9))</f>
        <v>1</v>
      </c>
      <c r="BF9" s="58">
        <f t="shared" ref="BF9:BF76" si="45">IF(V9="","",MAX(ROUNDUP((IF(BC9+BD9=0,0,BB9)+BC9+BE9-1),2),0))</f>
        <v>0</v>
      </c>
      <c r="BG9" s="94">
        <f t="shared" ref="BG9:BG72" si="46">IF(AA9="","",BA9-BF9)</f>
        <v>0</v>
      </c>
      <c r="BH9" s="89"/>
      <c r="BI9" s="89"/>
      <c r="BJ9" s="92">
        <f t="shared" si="15"/>
        <v>0</v>
      </c>
      <c r="BK9" s="89"/>
      <c r="BL9" s="89"/>
      <c r="BM9" s="89"/>
      <c r="BN9" s="89"/>
      <c r="BO9" s="92">
        <f>CO9</f>
        <v>0</v>
      </c>
      <c r="BP9" s="92">
        <f>CP9</f>
        <v>0</v>
      </c>
      <c r="BQ9" s="96">
        <f t="shared" ref="BQ9:BQ72" si="47">SUM(BI9:BP9)</f>
        <v>0</v>
      </c>
      <c r="BR9" s="96">
        <f t="shared" ref="BR9:BR72" si="48">IF(AA9="","",INT(BQ9/$V9))</f>
        <v>0</v>
      </c>
      <c r="BS9" s="96">
        <f>IF(AA9="","",-BF9*$E9*$V9+BQ9)</f>
        <v>0</v>
      </c>
      <c r="BT9" s="96">
        <f t="shared" ref="BT9:BT72" si="49">IF($V9="","",BS9/$V9)</f>
        <v>0</v>
      </c>
      <c r="BU9" s="92">
        <f t="shared" si="16"/>
        <v>0</v>
      </c>
      <c r="BV9" s="98">
        <f t="shared" si="17"/>
        <v>0</v>
      </c>
      <c r="BW9" s="92">
        <f t="shared" si="18"/>
        <v>0</v>
      </c>
      <c r="BX9" s="61">
        <f t="shared" ref="BX9:BX72" si="50">IF($Q9="","",(BF9+AL9)*$Q9)</f>
        <v>0</v>
      </c>
      <c r="BY9" s="61">
        <f>IFERROR(BF9+AL9,0)</f>
        <v>0</v>
      </c>
      <c r="BZ9" s="62">
        <f t="shared" ref="BZ9:BZ72" si="51">BY9</f>
        <v>0</v>
      </c>
      <c r="CA9" s="98">
        <f t="shared" ref="CA9:CA72" si="52">IFERROR((BQ9+AW9)/1000,"")</f>
        <v>0</v>
      </c>
      <c r="CB9" s="92">
        <f t="shared" si="19"/>
        <v>0</v>
      </c>
      <c r="CC9" s="92">
        <f t="shared" si="19"/>
        <v>0</v>
      </c>
      <c r="CD9" s="92">
        <f t="shared" si="19"/>
        <v>0</v>
      </c>
      <c r="CE9" s="99"/>
      <c r="CF9" s="99"/>
      <c r="CG9" s="51">
        <f t="shared" ref="CG9:CG72" si="53">IF(BX9="",0,(BX9-CA9)+((AV9+BP9)/1000))</f>
        <v>0</v>
      </c>
      <c r="CH9" s="62">
        <f t="shared" ref="CH9:CH72" si="54">CG9</f>
        <v>0</v>
      </c>
      <c r="CI9" s="89"/>
      <c r="CJ9" s="100"/>
      <c r="CK9" s="89"/>
      <c r="CL9" s="96"/>
      <c r="CM9" s="89"/>
      <c r="CN9" s="89"/>
      <c r="CO9" s="92"/>
      <c r="CP9" s="101"/>
      <c r="CQ9" s="102">
        <f t="shared" ref="CQ9:CS24" si="55">INT(IFERROR( CJ9/$V9,0))</f>
        <v>0</v>
      </c>
      <c r="CR9" s="102">
        <f t="shared" si="20"/>
        <v>0</v>
      </c>
      <c r="CS9" s="102">
        <f t="shared" si="20"/>
        <v>0</v>
      </c>
      <c r="CT9" s="92">
        <f t="shared" ref="CT9:CT72" si="56">INT(IFERROR( AE9-CQ9-CU9-CR9,0))</f>
        <v>0</v>
      </c>
      <c r="CU9" s="92">
        <f t="shared" ref="CU9:CV24" si="57">INT(IFERROR( AC9-CR9,0))</f>
        <v>0</v>
      </c>
      <c r="CV9" s="103">
        <f t="shared" si="57"/>
        <v>0</v>
      </c>
      <c r="CW9" s="104"/>
      <c r="CX9" s="105">
        <v>67</v>
      </c>
      <c r="CY9" s="106">
        <f t="shared" ref="CY9:CY72" si="58">INT(60/CX9*60*(12-(CEILING((60/CX9*60*12)/E9,1)*IF(CW9="T",0.45,IF(CW9="",5,3))/60)))</f>
        <v>282</v>
      </c>
      <c r="CZ9" s="106">
        <f t="shared" ref="CZ9:CZ72" si="59">IF(CX9="",0,(IF(CW9="",360,180)/(60/CX9))*1.35)</f>
        <v>542.70000000000005</v>
      </c>
      <c r="DA9" s="106"/>
      <c r="DB9" s="106"/>
      <c r="DC9" s="105"/>
      <c r="DD9" s="107"/>
      <c r="DE9" s="92">
        <f t="shared" si="21"/>
        <v>0</v>
      </c>
      <c r="DF9" s="108">
        <f t="shared" si="22"/>
        <v>0</v>
      </c>
      <c r="DG9" s="109">
        <f t="shared" si="23"/>
        <v>0</v>
      </c>
      <c r="DH9" s="110">
        <f t="shared" si="24"/>
        <v>0</v>
      </c>
      <c r="DI9" s="108">
        <f t="shared" si="25"/>
        <v>0</v>
      </c>
      <c r="DJ9" s="109">
        <f t="shared" si="26"/>
        <v>0</v>
      </c>
      <c r="DK9" s="110">
        <f t="shared" si="27"/>
        <v>0</v>
      </c>
      <c r="DL9" s="108">
        <f t="shared" si="27"/>
        <v>0</v>
      </c>
      <c r="DM9" s="111">
        <f t="shared" si="27"/>
        <v>0</v>
      </c>
      <c r="DN9" s="76">
        <f t="shared" ref="DN9:DO70" si="60">T9</f>
        <v>0</v>
      </c>
      <c r="DO9" s="76">
        <f>U9</f>
        <v>0</v>
      </c>
      <c r="DP9" s="112"/>
      <c r="DQ9" s="112"/>
      <c r="DR9" s="113"/>
      <c r="DS9" s="112"/>
      <c r="DT9" s="112"/>
      <c r="DU9" s="111"/>
      <c r="DV9" s="114"/>
      <c r="DW9" s="80">
        <f t="shared" ref="DW9:DW71" si="61">IFERROR(BU9+BV9,"")</f>
        <v>0</v>
      </c>
      <c r="DX9" s="81">
        <f t="shared" si="28"/>
        <v>0</v>
      </c>
      <c r="DY9" s="80">
        <f t="shared" ref="DY9:DY72" si="62">CQ9+CR9+CS9+CT9+CU9+CV9</f>
        <v>0</v>
      </c>
      <c r="DZ9">
        <f t="shared" ref="DZ9:DZ72" si="63">IFERROR((AD9*V9/1000),0)</f>
        <v>0</v>
      </c>
      <c r="EA9" s="82">
        <f t="shared" ref="EA9:EA72" si="64">IFERROR((AE9*V9/1000),0)</f>
        <v>0</v>
      </c>
      <c r="EB9" s="82">
        <f t="shared" ref="EB9:EB72" si="65">BX9-EA9</f>
        <v>0</v>
      </c>
      <c r="EC9" s="82">
        <f t="shared" si="29"/>
        <v>0</v>
      </c>
    </row>
    <row r="10" spans="1:136" ht="14.1" customHeight="1">
      <c r="A10" s="84">
        <v>3</v>
      </c>
      <c r="B10" s="85" t="s">
        <v>140</v>
      </c>
      <c r="C10" s="86"/>
      <c r="D10" s="87" t="s">
        <v>127</v>
      </c>
      <c r="E10" s="88">
        <v>70</v>
      </c>
      <c r="F10" s="89" t="s">
        <v>128</v>
      </c>
      <c r="G10" s="45" t="str">
        <f t="shared" si="30"/>
        <v>GWA6063-T5-17x3-H9B15</v>
      </c>
      <c r="H10" s="46" t="str">
        <f t="shared" si="31"/>
        <v>A6063-T5GW170DH9</v>
      </c>
      <c r="I10" s="46" t="str">
        <f t="shared" si="32"/>
        <v>A6063-T5GW170DH93B15</v>
      </c>
      <c r="J10" s="90" t="s">
        <v>129</v>
      </c>
      <c r="K10" s="90" t="s">
        <v>130</v>
      </c>
      <c r="L10" s="90">
        <v>17</v>
      </c>
      <c r="M10" s="90">
        <v>0</v>
      </c>
      <c r="N10" s="90" t="s">
        <v>128</v>
      </c>
      <c r="O10" s="90" t="s">
        <v>131</v>
      </c>
      <c r="P10" s="90">
        <v>3</v>
      </c>
      <c r="Q10" s="91">
        <v>1.8320000000000001</v>
      </c>
      <c r="R10" s="90" t="s">
        <v>132</v>
      </c>
      <c r="S10" s="89">
        <f t="shared" si="33"/>
        <v>22</v>
      </c>
      <c r="T10" s="51">
        <f>'07.02'!BG10</f>
        <v>15</v>
      </c>
      <c r="U10" s="92">
        <v>10</v>
      </c>
      <c r="V10" s="89">
        <v>10.1</v>
      </c>
      <c r="W10" s="93">
        <f t="shared" si="5"/>
        <v>0</v>
      </c>
      <c r="X10" s="93">
        <f t="shared" si="6"/>
        <v>0</v>
      </c>
      <c r="Y10" s="93">
        <f t="shared" si="7"/>
        <v>0</v>
      </c>
      <c r="Z10" s="93">
        <f t="shared" si="8"/>
        <v>0</v>
      </c>
      <c r="AA10" s="93">
        <f t="shared" si="9"/>
        <v>0</v>
      </c>
      <c r="AB10" s="93">
        <f t="shared" si="10"/>
        <v>0</v>
      </c>
      <c r="AC10" s="93">
        <f t="shared" si="11"/>
        <v>0</v>
      </c>
      <c r="AD10" s="93">
        <f t="shared" si="12"/>
        <v>0</v>
      </c>
      <c r="AE10" s="93">
        <f t="shared" si="34"/>
        <v>0</v>
      </c>
      <c r="AF10" s="54">
        <f>AE10+'07.02'!AF10</f>
        <v>8155</v>
      </c>
      <c r="AG10" s="94">
        <f t="shared" ref="AG10:AG73" si="66">T10</f>
        <v>15</v>
      </c>
      <c r="AH10" s="56">
        <f t="shared" si="13"/>
        <v>0</v>
      </c>
      <c r="AI10" s="89"/>
      <c r="AJ10" s="93">
        <f t="shared" ref="AJ10:AJ73" si="67">$CI10</f>
        <v>0</v>
      </c>
      <c r="AK10" s="95">
        <f t="shared" si="35"/>
        <v>1</v>
      </c>
      <c r="AL10" s="58">
        <f t="shared" si="36"/>
        <v>0</v>
      </c>
      <c r="AM10" s="55">
        <f t="shared" ref="AM10:AM73" si="68">IF(V10="","",AG10+U10-AL10)</f>
        <v>25</v>
      </c>
      <c r="AN10" s="93"/>
      <c r="AO10" s="96"/>
      <c r="AP10" s="96">
        <f t="shared" si="14"/>
        <v>0</v>
      </c>
      <c r="AQ10" s="96"/>
      <c r="AR10" s="96"/>
      <c r="AS10" s="96"/>
      <c r="AT10" s="96"/>
      <c r="AU10" s="96">
        <f t="shared" si="37"/>
        <v>0</v>
      </c>
      <c r="AV10" s="96">
        <f t="shared" si="37"/>
        <v>0</v>
      </c>
      <c r="AW10" s="96">
        <f t="shared" si="38"/>
        <v>0</v>
      </c>
      <c r="AX10" s="96">
        <f t="shared" si="39"/>
        <v>0</v>
      </c>
      <c r="AY10" s="94">
        <f t="shared" ref="AY10:AY73" si="69">IF(V10="","",AW10-AL10*$E10*$V10)</f>
        <v>0</v>
      </c>
      <c r="AZ10" s="94">
        <f t="shared" si="40"/>
        <v>0</v>
      </c>
      <c r="BA10" s="94">
        <f t="shared" si="41"/>
        <v>25</v>
      </c>
      <c r="BB10" s="97">
        <f t="shared" si="42"/>
        <v>0</v>
      </c>
      <c r="BC10" s="93"/>
      <c r="BD10" s="93">
        <f t="shared" si="43"/>
        <v>0</v>
      </c>
      <c r="BE10" s="95">
        <f t="shared" si="44"/>
        <v>1</v>
      </c>
      <c r="BF10" s="58">
        <f t="shared" si="45"/>
        <v>0</v>
      </c>
      <c r="BG10" s="94">
        <f t="shared" si="46"/>
        <v>25</v>
      </c>
      <c r="BH10" s="89"/>
      <c r="BI10" s="89"/>
      <c r="BJ10" s="92">
        <f t="shared" si="15"/>
        <v>0</v>
      </c>
      <c r="BK10" s="89"/>
      <c r="BL10" s="89"/>
      <c r="BM10" s="89"/>
      <c r="BN10" s="89"/>
      <c r="BO10" s="92">
        <f t="shared" ref="BO10:BP73" si="70">CO10</f>
        <v>0</v>
      </c>
      <c r="BP10" s="92">
        <f t="shared" si="70"/>
        <v>0</v>
      </c>
      <c r="BQ10" s="96">
        <f t="shared" si="47"/>
        <v>0</v>
      </c>
      <c r="BR10" s="96">
        <f t="shared" si="48"/>
        <v>0</v>
      </c>
      <c r="BS10" s="96">
        <f t="shared" ref="BS10:BS73" si="71">IF(AA10="","",-BF10*$E10*$V10+BQ10)</f>
        <v>0</v>
      </c>
      <c r="BT10" s="96">
        <f t="shared" si="49"/>
        <v>0</v>
      </c>
      <c r="BU10" s="92">
        <f t="shared" si="16"/>
        <v>0</v>
      </c>
      <c r="BV10" s="98">
        <f t="shared" si="17"/>
        <v>0</v>
      </c>
      <c r="BW10" s="92">
        <f t="shared" si="18"/>
        <v>0</v>
      </c>
      <c r="BX10" s="61">
        <f t="shared" si="50"/>
        <v>0</v>
      </c>
      <c r="BY10" s="61">
        <f>IFERROR(BF10+AL10,0)</f>
        <v>0</v>
      </c>
      <c r="BZ10" s="62">
        <f t="shared" si="51"/>
        <v>0</v>
      </c>
      <c r="CA10" s="98">
        <f t="shared" si="52"/>
        <v>0</v>
      </c>
      <c r="CB10" s="92">
        <f t="shared" si="19"/>
        <v>0</v>
      </c>
      <c r="CC10" s="92">
        <f t="shared" si="19"/>
        <v>0</v>
      </c>
      <c r="CD10" s="92">
        <f t="shared" si="19"/>
        <v>0</v>
      </c>
      <c r="CE10" s="99"/>
      <c r="CF10" s="99"/>
      <c r="CG10" s="51">
        <f t="shared" si="53"/>
        <v>0</v>
      </c>
      <c r="CH10" s="62">
        <f t="shared" si="54"/>
        <v>0</v>
      </c>
      <c r="CI10" s="89"/>
      <c r="CJ10" s="89"/>
      <c r="CK10" s="89"/>
      <c r="CL10" s="96"/>
      <c r="CM10" s="89"/>
      <c r="CN10" s="89"/>
      <c r="CO10" s="92"/>
      <c r="CP10" s="101"/>
      <c r="CQ10" s="102">
        <f t="shared" si="55"/>
        <v>0</v>
      </c>
      <c r="CR10" s="102">
        <f t="shared" si="20"/>
        <v>0</v>
      </c>
      <c r="CS10" s="102">
        <f t="shared" si="20"/>
        <v>0</v>
      </c>
      <c r="CT10" s="92">
        <f t="shared" si="56"/>
        <v>0</v>
      </c>
      <c r="CU10" s="92">
        <f t="shared" si="57"/>
        <v>0</v>
      </c>
      <c r="CV10" s="103">
        <f t="shared" si="57"/>
        <v>0</v>
      </c>
      <c r="CW10" s="104"/>
      <c r="CX10" s="105">
        <v>51</v>
      </c>
      <c r="CY10" s="106">
        <f t="shared" si="58"/>
        <v>770</v>
      </c>
      <c r="CZ10" s="106">
        <f t="shared" si="59"/>
        <v>413.1</v>
      </c>
      <c r="DA10" s="106"/>
      <c r="DB10" s="106"/>
      <c r="DC10" s="105"/>
      <c r="DD10" s="107"/>
      <c r="DE10" s="92">
        <f t="shared" si="21"/>
        <v>0</v>
      </c>
      <c r="DF10" s="108">
        <f t="shared" si="22"/>
        <v>0</v>
      </c>
      <c r="DG10" s="112">
        <f t="shared" si="23"/>
        <v>0</v>
      </c>
      <c r="DH10" s="110">
        <f t="shared" si="24"/>
        <v>0</v>
      </c>
      <c r="DI10" s="108">
        <f t="shared" si="25"/>
        <v>0</v>
      </c>
      <c r="DJ10" s="115">
        <f t="shared" si="26"/>
        <v>0</v>
      </c>
      <c r="DK10" s="110">
        <f t="shared" si="27"/>
        <v>0</v>
      </c>
      <c r="DL10" s="108">
        <f t="shared" si="27"/>
        <v>0</v>
      </c>
      <c r="DM10" s="111">
        <f t="shared" si="27"/>
        <v>0</v>
      </c>
      <c r="DN10" s="76">
        <v>10</v>
      </c>
      <c r="DO10" s="76"/>
      <c r="DP10" s="112"/>
      <c r="DQ10" s="112"/>
      <c r="DR10" s="113" t="s">
        <v>512</v>
      </c>
      <c r="DS10" s="112"/>
      <c r="DT10" s="112"/>
      <c r="DU10" s="111"/>
      <c r="DV10" s="114"/>
      <c r="DW10" s="80">
        <f>IFERROR(AL10+BF10,"")</f>
        <v>0</v>
      </c>
      <c r="DX10" s="81">
        <f t="shared" si="28"/>
        <v>0</v>
      </c>
      <c r="DY10" s="80">
        <f t="shared" si="62"/>
        <v>0</v>
      </c>
      <c r="DZ10">
        <f t="shared" si="63"/>
        <v>0</v>
      </c>
      <c r="EA10" s="82">
        <f t="shared" si="64"/>
        <v>0</v>
      </c>
      <c r="EB10" s="82">
        <f t="shared" si="65"/>
        <v>0</v>
      </c>
      <c r="EC10" s="82">
        <f t="shared" si="29"/>
        <v>0</v>
      </c>
      <c r="EF10" s="83">
        <f t="shared" ref="EF10:EF11" si="72">DG10+DJ10</f>
        <v>0</v>
      </c>
    </row>
    <row r="11" spans="1:136" ht="14.1" customHeight="1">
      <c r="A11" s="84">
        <v>4</v>
      </c>
      <c r="B11" s="85" t="s">
        <v>142</v>
      </c>
      <c r="C11" s="86"/>
      <c r="D11" s="116" t="s">
        <v>143</v>
      </c>
      <c r="E11" s="88">
        <v>283</v>
      </c>
      <c r="F11" s="89" t="s">
        <v>136</v>
      </c>
      <c r="G11" s="45" t="str">
        <f t="shared" si="30"/>
        <v>TV12L14-11x2.5-H9C14</v>
      </c>
      <c r="H11" s="46" t="str">
        <f t="shared" si="31"/>
        <v>12L14TV110DH9</v>
      </c>
      <c r="I11" s="46" t="str">
        <f t="shared" si="32"/>
        <v>12L14TV110DH92.5C14</v>
      </c>
      <c r="J11" s="90" t="s">
        <v>137</v>
      </c>
      <c r="K11" s="90" t="s">
        <v>138</v>
      </c>
      <c r="L11" s="90">
        <v>11</v>
      </c>
      <c r="M11" s="90">
        <v>0</v>
      </c>
      <c r="N11" s="90" t="s">
        <v>128</v>
      </c>
      <c r="O11" s="90" t="s">
        <v>131</v>
      </c>
      <c r="P11" s="90">
        <v>2.5</v>
      </c>
      <c r="Q11" s="91"/>
      <c r="R11" s="90" t="s">
        <v>144</v>
      </c>
      <c r="S11" s="89">
        <f t="shared" si="33"/>
        <v>12</v>
      </c>
      <c r="T11" s="51">
        <f>'07.02'!BG11</f>
        <v>7</v>
      </c>
      <c r="U11" s="92">
        <v>13</v>
      </c>
      <c r="V11" s="89">
        <v>2</v>
      </c>
      <c r="W11" s="93">
        <f t="shared" si="5"/>
        <v>0</v>
      </c>
      <c r="X11" s="93">
        <f t="shared" si="6"/>
        <v>0</v>
      </c>
      <c r="Y11" s="93">
        <f t="shared" si="7"/>
        <v>0</v>
      </c>
      <c r="Z11" s="93">
        <f t="shared" si="8"/>
        <v>0</v>
      </c>
      <c r="AA11" s="93">
        <f t="shared" si="9"/>
        <v>0</v>
      </c>
      <c r="AB11" s="93">
        <f t="shared" si="10"/>
        <v>0</v>
      </c>
      <c r="AC11" s="93">
        <f t="shared" si="11"/>
        <v>0</v>
      </c>
      <c r="AD11" s="93">
        <f t="shared" si="12"/>
        <v>0</v>
      </c>
      <c r="AE11" s="93">
        <f t="shared" si="34"/>
        <v>0</v>
      </c>
      <c r="AF11" s="54">
        <f>AE11+'07.02'!AF11</f>
        <v>24050</v>
      </c>
      <c r="AG11" s="94">
        <f t="shared" si="66"/>
        <v>7</v>
      </c>
      <c r="AH11" s="56">
        <f t="shared" si="13"/>
        <v>0</v>
      </c>
      <c r="AI11" s="89"/>
      <c r="AJ11" s="93">
        <f t="shared" si="67"/>
        <v>0</v>
      </c>
      <c r="AK11" s="95">
        <f t="shared" si="35"/>
        <v>1</v>
      </c>
      <c r="AL11" s="58">
        <f t="shared" si="36"/>
        <v>0</v>
      </c>
      <c r="AM11" s="55">
        <f t="shared" si="68"/>
        <v>20</v>
      </c>
      <c r="AN11" s="93"/>
      <c r="AO11" s="96"/>
      <c r="AP11" s="96">
        <f t="shared" si="14"/>
        <v>0</v>
      </c>
      <c r="AQ11" s="96"/>
      <c r="AR11" s="96"/>
      <c r="AS11" s="96"/>
      <c r="AT11" s="96"/>
      <c r="AU11" s="96">
        <f t="shared" si="37"/>
        <v>0</v>
      </c>
      <c r="AV11" s="96">
        <f t="shared" si="37"/>
        <v>0</v>
      </c>
      <c r="AW11" s="96">
        <f t="shared" si="38"/>
        <v>0</v>
      </c>
      <c r="AX11" s="96">
        <f t="shared" si="39"/>
        <v>0</v>
      </c>
      <c r="AY11" s="94">
        <f t="shared" si="69"/>
        <v>0</v>
      </c>
      <c r="AZ11" s="94">
        <f t="shared" si="40"/>
        <v>0</v>
      </c>
      <c r="BA11" s="94">
        <f t="shared" si="41"/>
        <v>20</v>
      </c>
      <c r="BB11" s="97">
        <f t="shared" si="42"/>
        <v>0</v>
      </c>
      <c r="BC11" s="93"/>
      <c r="BD11" s="93">
        <f t="shared" si="43"/>
        <v>0</v>
      </c>
      <c r="BE11" s="95">
        <f t="shared" si="44"/>
        <v>1</v>
      </c>
      <c r="BF11" s="58">
        <f t="shared" si="45"/>
        <v>0</v>
      </c>
      <c r="BG11" s="94">
        <f t="shared" si="46"/>
        <v>20</v>
      </c>
      <c r="BH11" s="89"/>
      <c r="BI11" s="89"/>
      <c r="BJ11" s="92">
        <f t="shared" si="15"/>
        <v>0</v>
      </c>
      <c r="BK11" s="89"/>
      <c r="BL11" s="89"/>
      <c r="BM11" s="89"/>
      <c r="BN11" s="89"/>
      <c r="BO11" s="92">
        <f t="shared" si="70"/>
        <v>0</v>
      </c>
      <c r="BP11" s="92">
        <f t="shared" si="70"/>
        <v>0</v>
      </c>
      <c r="BQ11" s="96">
        <f t="shared" si="47"/>
        <v>0</v>
      </c>
      <c r="BR11" s="96">
        <f t="shared" si="48"/>
        <v>0</v>
      </c>
      <c r="BS11" s="96">
        <f t="shared" si="71"/>
        <v>0</v>
      </c>
      <c r="BT11" s="96">
        <f t="shared" si="49"/>
        <v>0</v>
      </c>
      <c r="BU11" s="92">
        <f t="shared" si="16"/>
        <v>0</v>
      </c>
      <c r="BV11" s="98">
        <f t="shared" si="17"/>
        <v>0</v>
      </c>
      <c r="BW11" s="92">
        <f t="shared" si="18"/>
        <v>0</v>
      </c>
      <c r="BX11" s="98" t="str">
        <f t="shared" si="50"/>
        <v/>
      </c>
      <c r="BY11" s="61">
        <f t="shared" ref="BY11:BY73" si="73">IFERROR(BF11+AL11,0)</f>
        <v>0</v>
      </c>
      <c r="BZ11" s="62">
        <f t="shared" si="51"/>
        <v>0</v>
      </c>
      <c r="CA11" s="98">
        <f t="shared" si="52"/>
        <v>0</v>
      </c>
      <c r="CB11" s="92">
        <f t="shared" si="19"/>
        <v>0</v>
      </c>
      <c r="CC11" s="92">
        <f t="shared" si="19"/>
        <v>0</v>
      </c>
      <c r="CD11" s="92">
        <f t="shared" si="19"/>
        <v>0</v>
      </c>
      <c r="CE11" s="99"/>
      <c r="CF11" s="99"/>
      <c r="CG11" s="51">
        <f t="shared" si="53"/>
        <v>0</v>
      </c>
      <c r="CH11" s="62">
        <f t="shared" si="54"/>
        <v>0</v>
      </c>
      <c r="CI11" s="89"/>
      <c r="CJ11" s="89"/>
      <c r="CK11" s="89"/>
      <c r="CL11" s="96"/>
      <c r="CM11" s="89"/>
      <c r="CN11" s="89"/>
      <c r="CO11" s="92"/>
      <c r="CP11" s="101"/>
      <c r="CQ11" s="102">
        <f t="shared" si="55"/>
        <v>0</v>
      </c>
      <c r="CR11" s="102">
        <f t="shared" si="20"/>
        <v>0</v>
      </c>
      <c r="CS11" s="102">
        <f t="shared" si="20"/>
        <v>0</v>
      </c>
      <c r="CT11" s="92">
        <f t="shared" si="56"/>
        <v>0</v>
      </c>
      <c r="CU11" s="92">
        <f t="shared" si="57"/>
        <v>0</v>
      </c>
      <c r="CV11" s="103">
        <f t="shared" si="57"/>
        <v>0</v>
      </c>
      <c r="CW11" s="104"/>
      <c r="CX11" s="105">
        <v>25</v>
      </c>
      <c r="CY11" s="106">
        <f t="shared" si="58"/>
        <v>1644</v>
      </c>
      <c r="CZ11" s="106">
        <f t="shared" si="59"/>
        <v>202.5</v>
      </c>
      <c r="DA11" s="106"/>
      <c r="DB11" s="106"/>
      <c r="DC11" s="105"/>
      <c r="DD11" s="107"/>
      <c r="DE11" s="92">
        <f t="shared" si="21"/>
        <v>0</v>
      </c>
      <c r="DF11" s="108">
        <f t="shared" si="22"/>
        <v>0</v>
      </c>
      <c r="DG11" s="112">
        <f t="shared" si="23"/>
        <v>0</v>
      </c>
      <c r="DH11" s="110">
        <f t="shared" si="24"/>
        <v>0</v>
      </c>
      <c r="DI11" s="108">
        <f t="shared" si="25"/>
        <v>0</v>
      </c>
      <c r="DJ11" s="112">
        <f t="shared" si="26"/>
        <v>0</v>
      </c>
      <c r="DK11" s="110">
        <f t="shared" si="27"/>
        <v>0</v>
      </c>
      <c r="DL11" s="108">
        <f t="shared" si="27"/>
        <v>0</v>
      </c>
      <c r="DM11" s="111">
        <f t="shared" si="27"/>
        <v>0</v>
      </c>
      <c r="DN11" s="76">
        <v>6</v>
      </c>
      <c r="DO11" s="76"/>
      <c r="DP11" s="112"/>
      <c r="DQ11" s="112"/>
      <c r="DR11" s="113" t="s">
        <v>513</v>
      </c>
      <c r="DS11" s="112"/>
      <c r="DT11" s="112"/>
      <c r="DU11" s="111"/>
      <c r="DV11" s="114"/>
      <c r="DW11" s="80">
        <f t="shared" si="61"/>
        <v>0</v>
      </c>
      <c r="DX11" s="81">
        <f t="shared" si="28"/>
        <v>0</v>
      </c>
      <c r="DY11" s="80">
        <f t="shared" si="62"/>
        <v>0</v>
      </c>
      <c r="DZ11" s="82">
        <f t="shared" si="63"/>
        <v>0</v>
      </c>
      <c r="EA11" s="82">
        <f t="shared" si="64"/>
        <v>0</v>
      </c>
      <c r="EB11" s="82" t="e">
        <f t="shared" si="65"/>
        <v>#VALUE!</v>
      </c>
      <c r="EC11" s="82" t="e">
        <f t="shared" si="29"/>
        <v>#VALUE!</v>
      </c>
      <c r="EF11" s="83">
        <f t="shared" si="72"/>
        <v>0</v>
      </c>
    </row>
    <row r="12" spans="1:136" hidden="1">
      <c r="A12" s="84">
        <v>5</v>
      </c>
      <c r="B12" s="85" t="s">
        <v>146</v>
      </c>
      <c r="C12" s="86"/>
      <c r="D12" s="117">
        <v>10620</v>
      </c>
      <c r="E12" s="88">
        <v>127</v>
      </c>
      <c r="F12" s="89" t="s">
        <v>147</v>
      </c>
      <c r="G12" s="45" t="str">
        <f t="shared" si="30"/>
        <v>DCC3604-10x3-H9B12</v>
      </c>
      <c r="H12" s="46" t="str">
        <f t="shared" si="31"/>
        <v>C3604DC100DH9</v>
      </c>
      <c r="I12" s="46" t="str">
        <f t="shared" si="32"/>
        <v>C3604DC100DH93B12</v>
      </c>
      <c r="J12" s="90" t="s">
        <v>148</v>
      </c>
      <c r="K12" s="90" t="s">
        <v>149</v>
      </c>
      <c r="L12" s="90">
        <v>10</v>
      </c>
      <c r="M12" s="90">
        <v>0</v>
      </c>
      <c r="N12" s="90" t="s">
        <v>128</v>
      </c>
      <c r="O12" s="90" t="s">
        <v>131</v>
      </c>
      <c r="P12" s="90">
        <v>3</v>
      </c>
      <c r="Q12" s="91">
        <v>2</v>
      </c>
      <c r="R12" s="90" t="s">
        <v>150</v>
      </c>
      <c r="S12" s="89">
        <f t="shared" si="33"/>
        <v>26</v>
      </c>
      <c r="T12" s="51">
        <f>'07.02'!BG12</f>
        <v>0</v>
      </c>
      <c r="U12" s="92"/>
      <c r="V12" s="89">
        <v>7.46</v>
      </c>
      <c r="W12" s="93">
        <f t="shared" si="5"/>
        <v>0</v>
      </c>
      <c r="X12" s="93">
        <f t="shared" si="6"/>
        <v>0</v>
      </c>
      <c r="Y12" s="93">
        <f t="shared" si="7"/>
        <v>0</v>
      </c>
      <c r="Z12" s="93">
        <f t="shared" si="8"/>
        <v>0</v>
      </c>
      <c r="AA12" s="93">
        <f t="shared" si="9"/>
        <v>0</v>
      </c>
      <c r="AB12" s="93">
        <f t="shared" si="10"/>
        <v>0</v>
      </c>
      <c r="AC12" s="93">
        <f t="shared" si="11"/>
        <v>0</v>
      </c>
      <c r="AD12" s="93">
        <f t="shared" si="12"/>
        <v>0</v>
      </c>
      <c r="AE12" s="93">
        <f t="shared" si="34"/>
        <v>0</v>
      </c>
      <c r="AF12" s="54">
        <f>AE12+'07.02'!AF12</f>
        <v>0</v>
      </c>
      <c r="AG12" s="94">
        <f t="shared" si="66"/>
        <v>0</v>
      </c>
      <c r="AH12" s="56">
        <f t="shared" si="13"/>
        <v>0</v>
      </c>
      <c r="AI12" s="89"/>
      <c r="AJ12" s="93">
        <f t="shared" si="67"/>
        <v>0</v>
      </c>
      <c r="AK12" s="95">
        <f t="shared" si="35"/>
        <v>1</v>
      </c>
      <c r="AL12" s="58">
        <f t="shared" si="36"/>
        <v>0</v>
      </c>
      <c r="AM12" s="55">
        <f t="shared" si="68"/>
        <v>0</v>
      </c>
      <c r="AN12" s="93"/>
      <c r="AO12" s="96"/>
      <c r="AP12" s="96">
        <f t="shared" si="14"/>
        <v>0</v>
      </c>
      <c r="AQ12" s="96"/>
      <c r="AR12" s="96"/>
      <c r="AS12" s="96"/>
      <c r="AT12" s="96"/>
      <c r="AU12" s="96">
        <f t="shared" si="37"/>
        <v>0</v>
      </c>
      <c r="AV12" s="96">
        <f t="shared" si="37"/>
        <v>0</v>
      </c>
      <c r="AW12" s="96">
        <f t="shared" si="38"/>
        <v>0</v>
      </c>
      <c r="AX12" s="96">
        <f t="shared" si="39"/>
        <v>0</v>
      </c>
      <c r="AY12" s="94">
        <f t="shared" si="69"/>
        <v>0</v>
      </c>
      <c r="AZ12" s="94">
        <f t="shared" si="40"/>
        <v>0</v>
      </c>
      <c r="BA12" s="94">
        <f t="shared" si="41"/>
        <v>0</v>
      </c>
      <c r="BB12" s="97">
        <f t="shared" si="42"/>
        <v>0</v>
      </c>
      <c r="BC12" s="93"/>
      <c r="BD12" s="93">
        <f t="shared" si="43"/>
        <v>0</v>
      </c>
      <c r="BE12" s="95">
        <f t="shared" si="44"/>
        <v>1</v>
      </c>
      <c r="BF12" s="58">
        <f t="shared" si="45"/>
        <v>0</v>
      </c>
      <c r="BG12" s="94">
        <f t="shared" si="46"/>
        <v>0</v>
      </c>
      <c r="BH12" s="89"/>
      <c r="BI12" s="89"/>
      <c r="BJ12" s="92">
        <f t="shared" si="15"/>
        <v>0</v>
      </c>
      <c r="BK12" s="89"/>
      <c r="BL12" s="89"/>
      <c r="BM12" s="89"/>
      <c r="BN12" s="89"/>
      <c r="BO12" s="92">
        <f t="shared" si="70"/>
        <v>0</v>
      </c>
      <c r="BP12" s="92">
        <f t="shared" si="70"/>
        <v>0</v>
      </c>
      <c r="BQ12" s="96">
        <f t="shared" si="47"/>
        <v>0</v>
      </c>
      <c r="BR12" s="96">
        <f t="shared" si="48"/>
        <v>0</v>
      </c>
      <c r="BS12" s="96">
        <f t="shared" si="71"/>
        <v>0</v>
      </c>
      <c r="BT12" s="96">
        <f t="shared" si="49"/>
        <v>0</v>
      </c>
      <c r="BU12" s="92">
        <f t="shared" si="16"/>
        <v>0</v>
      </c>
      <c r="BV12" s="98">
        <f t="shared" si="17"/>
        <v>0</v>
      </c>
      <c r="BW12" s="92">
        <f t="shared" si="18"/>
        <v>0</v>
      </c>
      <c r="BX12" s="98">
        <f t="shared" si="50"/>
        <v>0</v>
      </c>
      <c r="BY12" s="61">
        <f>IFERROR(BF12+AL12,0)</f>
        <v>0</v>
      </c>
      <c r="BZ12" s="62">
        <f t="shared" si="51"/>
        <v>0</v>
      </c>
      <c r="CA12" s="98">
        <f t="shared" si="52"/>
        <v>0</v>
      </c>
      <c r="CB12" s="92">
        <f t="shared" si="19"/>
        <v>0</v>
      </c>
      <c r="CC12" s="92">
        <f t="shared" si="19"/>
        <v>0</v>
      </c>
      <c r="CD12" s="92">
        <f t="shared" si="19"/>
        <v>0</v>
      </c>
      <c r="CE12" s="99"/>
      <c r="CF12" s="99"/>
      <c r="CG12" s="51">
        <f t="shared" si="53"/>
        <v>0</v>
      </c>
      <c r="CH12" s="62">
        <f t="shared" si="54"/>
        <v>0</v>
      </c>
      <c r="CI12" s="89"/>
      <c r="CJ12" s="89"/>
      <c r="CK12" s="89"/>
      <c r="CL12" s="96"/>
      <c r="CM12" s="89"/>
      <c r="CN12" s="89"/>
      <c r="CO12" s="92"/>
      <c r="CP12" s="101"/>
      <c r="CQ12" s="102">
        <f t="shared" si="55"/>
        <v>0</v>
      </c>
      <c r="CR12" s="102">
        <f t="shared" si="20"/>
        <v>0</v>
      </c>
      <c r="CS12" s="102">
        <f t="shared" si="20"/>
        <v>0</v>
      </c>
      <c r="CT12" s="92">
        <f t="shared" si="56"/>
        <v>0</v>
      </c>
      <c r="CU12" s="92">
        <f t="shared" si="57"/>
        <v>0</v>
      </c>
      <c r="CV12" s="103">
        <f t="shared" si="57"/>
        <v>0</v>
      </c>
      <c r="CW12" s="104"/>
      <c r="CX12" s="105">
        <v>24</v>
      </c>
      <c r="CY12" s="106">
        <f t="shared" si="58"/>
        <v>1612</v>
      </c>
      <c r="CZ12" s="106">
        <f t="shared" si="59"/>
        <v>194.4</v>
      </c>
      <c r="DA12" s="106"/>
      <c r="DB12" s="106"/>
      <c r="DC12" s="105"/>
      <c r="DD12" s="107"/>
      <c r="DE12" s="92">
        <f t="shared" si="21"/>
        <v>0</v>
      </c>
      <c r="DF12" s="108">
        <f t="shared" si="22"/>
        <v>0</v>
      </c>
      <c r="DG12" s="112">
        <f t="shared" si="23"/>
        <v>0</v>
      </c>
      <c r="DH12" s="110">
        <f t="shared" si="24"/>
        <v>0</v>
      </c>
      <c r="DI12" s="108">
        <f t="shared" si="25"/>
        <v>0</v>
      </c>
      <c r="DJ12" s="112">
        <f t="shared" si="26"/>
        <v>0</v>
      </c>
      <c r="DK12" s="110">
        <f t="shared" si="27"/>
        <v>0</v>
      </c>
      <c r="DL12" s="108">
        <f t="shared" si="27"/>
        <v>0</v>
      </c>
      <c r="DM12" s="111">
        <f t="shared" si="27"/>
        <v>0</v>
      </c>
      <c r="DN12" s="76">
        <f t="shared" si="60"/>
        <v>0</v>
      </c>
      <c r="DO12" s="76">
        <f t="shared" si="60"/>
        <v>0</v>
      </c>
      <c r="DP12" s="112"/>
      <c r="DQ12" s="112"/>
      <c r="DR12" s="113"/>
      <c r="DS12" s="112"/>
      <c r="DT12" s="112"/>
      <c r="DU12" s="111"/>
      <c r="DV12" s="114"/>
      <c r="DW12" s="80">
        <f t="shared" si="61"/>
        <v>0</v>
      </c>
      <c r="DX12" s="81">
        <f t="shared" si="28"/>
        <v>0</v>
      </c>
      <c r="DY12" s="80">
        <f t="shared" si="62"/>
        <v>0</v>
      </c>
      <c r="DZ12" s="82">
        <f t="shared" si="63"/>
        <v>0</v>
      </c>
      <c r="EA12" s="82">
        <f t="shared" si="64"/>
        <v>0</v>
      </c>
      <c r="EB12" s="82">
        <f t="shared" si="65"/>
        <v>0</v>
      </c>
      <c r="EC12" s="82">
        <f t="shared" si="29"/>
        <v>0</v>
      </c>
    </row>
    <row r="13" spans="1:136" ht="15" customHeight="1">
      <c r="A13" s="84">
        <v>6</v>
      </c>
      <c r="B13" s="85" t="s">
        <v>151</v>
      </c>
      <c r="C13" s="86"/>
      <c r="D13" s="117">
        <v>10620</v>
      </c>
      <c r="E13" s="88">
        <v>127</v>
      </c>
      <c r="F13" s="89" t="s">
        <v>128</v>
      </c>
      <c r="G13" s="45" t="str">
        <f t="shared" si="30"/>
        <v>DCC3604-10x3-H9B12</v>
      </c>
      <c r="H13" s="46" t="str">
        <f t="shared" si="31"/>
        <v>C3604DC100DH9</v>
      </c>
      <c r="I13" s="46" t="str">
        <f t="shared" si="32"/>
        <v>C3604DC100DH93B12</v>
      </c>
      <c r="J13" s="90" t="s">
        <v>148</v>
      </c>
      <c r="K13" s="90" t="s">
        <v>149</v>
      </c>
      <c r="L13" s="90">
        <v>10</v>
      </c>
      <c r="M13" s="90">
        <v>0</v>
      </c>
      <c r="N13" s="90" t="s">
        <v>128</v>
      </c>
      <c r="O13" s="90" t="s">
        <v>131</v>
      </c>
      <c r="P13" s="90">
        <v>3</v>
      </c>
      <c r="Q13" s="91">
        <v>2</v>
      </c>
      <c r="R13" s="90" t="s">
        <v>150</v>
      </c>
      <c r="S13" s="89">
        <f t="shared" si="33"/>
        <v>40</v>
      </c>
      <c r="T13" s="51">
        <f>'07.02'!BG13</f>
        <v>22</v>
      </c>
      <c r="U13" s="92">
        <v>13</v>
      </c>
      <c r="V13" s="89">
        <v>7.64</v>
      </c>
      <c r="W13" s="93">
        <f t="shared" si="5"/>
        <v>0</v>
      </c>
      <c r="X13" s="93">
        <f t="shared" si="6"/>
        <v>0</v>
      </c>
      <c r="Y13" s="93">
        <f t="shared" si="7"/>
        <v>0</v>
      </c>
      <c r="Z13" s="93">
        <f t="shared" si="8"/>
        <v>0</v>
      </c>
      <c r="AA13" s="93">
        <f t="shared" si="9"/>
        <v>0</v>
      </c>
      <c r="AB13" s="93">
        <f t="shared" si="10"/>
        <v>0</v>
      </c>
      <c r="AC13" s="93">
        <f t="shared" si="11"/>
        <v>0</v>
      </c>
      <c r="AD13" s="93">
        <f t="shared" si="12"/>
        <v>0</v>
      </c>
      <c r="AE13" s="93">
        <f t="shared" si="34"/>
        <v>0</v>
      </c>
      <c r="AF13" s="54">
        <f>AE13+'07.02'!AF13</f>
        <v>13785</v>
      </c>
      <c r="AG13" s="94">
        <f t="shared" si="66"/>
        <v>22</v>
      </c>
      <c r="AH13" s="56">
        <f t="shared" si="13"/>
        <v>0</v>
      </c>
      <c r="AI13" s="89"/>
      <c r="AJ13" s="93">
        <f t="shared" si="67"/>
        <v>0</v>
      </c>
      <c r="AK13" s="95">
        <f t="shared" si="35"/>
        <v>1</v>
      </c>
      <c r="AL13" s="58">
        <f t="shared" si="36"/>
        <v>0</v>
      </c>
      <c r="AM13" s="55">
        <f t="shared" si="68"/>
        <v>35</v>
      </c>
      <c r="AN13" s="93"/>
      <c r="AO13" s="96"/>
      <c r="AP13" s="96">
        <f t="shared" si="14"/>
        <v>0</v>
      </c>
      <c r="AQ13" s="96"/>
      <c r="AR13" s="96"/>
      <c r="AS13" s="96"/>
      <c r="AT13" s="96"/>
      <c r="AU13" s="96">
        <f t="shared" si="37"/>
        <v>0</v>
      </c>
      <c r="AV13" s="96">
        <f t="shared" si="37"/>
        <v>0</v>
      </c>
      <c r="AW13" s="96">
        <f t="shared" si="38"/>
        <v>0</v>
      </c>
      <c r="AX13" s="96">
        <f t="shared" si="39"/>
        <v>0</v>
      </c>
      <c r="AY13" s="94">
        <f t="shared" si="69"/>
        <v>0</v>
      </c>
      <c r="AZ13" s="94">
        <f t="shared" si="40"/>
        <v>0</v>
      </c>
      <c r="BA13" s="94">
        <f t="shared" si="41"/>
        <v>35</v>
      </c>
      <c r="BB13" s="97">
        <f t="shared" si="42"/>
        <v>0</v>
      </c>
      <c r="BC13" s="93"/>
      <c r="BD13" s="93">
        <f t="shared" si="43"/>
        <v>0</v>
      </c>
      <c r="BE13" s="95">
        <f t="shared" si="44"/>
        <v>1</v>
      </c>
      <c r="BF13" s="58">
        <f t="shared" si="45"/>
        <v>0</v>
      </c>
      <c r="BG13" s="94">
        <f t="shared" si="46"/>
        <v>35</v>
      </c>
      <c r="BH13" s="89"/>
      <c r="BI13" s="89"/>
      <c r="BJ13" s="92">
        <f t="shared" si="15"/>
        <v>0</v>
      </c>
      <c r="BK13" s="89"/>
      <c r="BL13" s="89"/>
      <c r="BM13" s="89"/>
      <c r="BN13" s="89"/>
      <c r="BO13" s="92">
        <f t="shared" si="70"/>
        <v>0</v>
      </c>
      <c r="BP13" s="92">
        <f t="shared" si="70"/>
        <v>0</v>
      </c>
      <c r="BQ13" s="96">
        <f t="shared" si="47"/>
        <v>0</v>
      </c>
      <c r="BR13" s="96">
        <f t="shared" si="48"/>
        <v>0</v>
      </c>
      <c r="BS13" s="96">
        <f t="shared" si="71"/>
        <v>0</v>
      </c>
      <c r="BT13" s="96">
        <f t="shared" si="49"/>
        <v>0</v>
      </c>
      <c r="BU13" s="92">
        <f t="shared" si="16"/>
        <v>0</v>
      </c>
      <c r="BV13" s="98">
        <f t="shared" si="17"/>
        <v>0</v>
      </c>
      <c r="BW13" s="92">
        <f t="shared" si="18"/>
        <v>0</v>
      </c>
      <c r="BX13" s="98">
        <f t="shared" si="50"/>
        <v>0</v>
      </c>
      <c r="BY13" s="61">
        <f t="shared" si="73"/>
        <v>0</v>
      </c>
      <c r="BZ13" s="62">
        <f t="shared" si="51"/>
        <v>0</v>
      </c>
      <c r="CA13" s="98">
        <f t="shared" si="52"/>
        <v>0</v>
      </c>
      <c r="CB13" s="92">
        <f t="shared" si="19"/>
        <v>0</v>
      </c>
      <c r="CC13" s="92">
        <f t="shared" si="19"/>
        <v>0</v>
      </c>
      <c r="CD13" s="92">
        <f t="shared" si="19"/>
        <v>0</v>
      </c>
      <c r="CE13" s="99"/>
      <c r="CF13" s="99"/>
      <c r="CG13" s="51">
        <f t="shared" si="53"/>
        <v>0</v>
      </c>
      <c r="CH13" s="62">
        <f t="shared" si="54"/>
        <v>0</v>
      </c>
      <c r="CI13" s="89"/>
      <c r="CJ13" s="89"/>
      <c r="CK13" s="89"/>
      <c r="CL13" s="96"/>
      <c r="CM13" s="89"/>
      <c r="CN13" s="89"/>
      <c r="CO13" s="92"/>
      <c r="CP13" s="101"/>
      <c r="CQ13" s="102">
        <f t="shared" si="55"/>
        <v>0</v>
      </c>
      <c r="CR13" s="102">
        <f t="shared" si="20"/>
        <v>0</v>
      </c>
      <c r="CS13" s="102">
        <f t="shared" si="20"/>
        <v>0</v>
      </c>
      <c r="CT13" s="92">
        <f t="shared" si="56"/>
        <v>0</v>
      </c>
      <c r="CU13" s="92">
        <f t="shared" si="57"/>
        <v>0</v>
      </c>
      <c r="CV13" s="103">
        <f t="shared" si="57"/>
        <v>0</v>
      </c>
      <c r="CW13" s="104"/>
      <c r="CX13" s="105">
        <v>14</v>
      </c>
      <c r="CY13" s="106">
        <f t="shared" si="58"/>
        <v>2550</v>
      </c>
      <c r="CZ13" s="106">
        <f t="shared" si="59"/>
        <v>113.4</v>
      </c>
      <c r="DA13" s="106"/>
      <c r="DB13" s="106"/>
      <c r="DC13" s="105"/>
      <c r="DD13" s="107"/>
      <c r="DE13" s="92">
        <f t="shared" si="21"/>
        <v>0</v>
      </c>
      <c r="DF13" s="108">
        <f t="shared" si="22"/>
        <v>0</v>
      </c>
      <c r="DG13" s="112">
        <f t="shared" si="23"/>
        <v>0</v>
      </c>
      <c r="DH13" s="110">
        <f t="shared" si="24"/>
        <v>0</v>
      </c>
      <c r="DI13" s="108">
        <f t="shared" si="25"/>
        <v>0</v>
      </c>
      <c r="DJ13" s="112">
        <f t="shared" si="26"/>
        <v>0</v>
      </c>
      <c r="DK13" s="110">
        <f t="shared" si="27"/>
        <v>0</v>
      </c>
      <c r="DL13" s="108">
        <f t="shared" si="27"/>
        <v>0</v>
      </c>
      <c r="DM13" s="111">
        <f t="shared" si="27"/>
        <v>0</v>
      </c>
      <c r="DN13" s="76">
        <v>11</v>
      </c>
      <c r="DO13" s="76"/>
      <c r="DP13" s="112"/>
      <c r="DQ13" s="112"/>
      <c r="DR13" s="113" t="s">
        <v>514</v>
      </c>
      <c r="DS13" s="112"/>
      <c r="DT13" s="112"/>
      <c r="DU13" s="111"/>
      <c r="DV13" s="114"/>
      <c r="DW13" s="80">
        <f t="shared" si="61"/>
        <v>0</v>
      </c>
      <c r="DX13" s="81">
        <f t="shared" si="28"/>
        <v>0</v>
      </c>
      <c r="DY13" s="80">
        <f t="shared" si="62"/>
        <v>0</v>
      </c>
      <c r="DZ13" s="82">
        <f t="shared" si="63"/>
        <v>0</v>
      </c>
      <c r="EA13" s="82">
        <f t="shared" si="64"/>
        <v>0</v>
      </c>
      <c r="EB13" s="82">
        <f t="shared" si="65"/>
        <v>0</v>
      </c>
      <c r="EC13" s="82">
        <f t="shared" si="29"/>
        <v>0</v>
      </c>
    </row>
    <row r="14" spans="1:136" ht="15" hidden="1" customHeight="1">
      <c r="A14" s="84">
        <v>7</v>
      </c>
      <c r="B14" s="85" t="s">
        <v>153</v>
      </c>
      <c r="C14" s="86"/>
      <c r="D14" s="87" t="s">
        <v>154</v>
      </c>
      <c r="E14" s="88">
        <v>60</v>
      </c>
      <c r="F14" s="89" t="s">
        <v>147</v>
      </c>
      <c r="G14" s="45" t="str">
        <f t="shared" si="30"/>
        <v>IBC3602-7.5x3-H9A14</v>
      </c>
      <c r="H14" s="46" t="str">
        <f t="shared" si="31"/>
        <v>C3602IB7.50DH9</v>
      </c>
      <c r="I14" s="46" t="str">
        <f t="shared" si="32"/>
        <v>C3602IB7.50DH93A14</v>
      </c>
      <c r="J14" s="90" t="s">
        <v>155</v>
      </c>
      <c r="K14" s="90" t="s">
        <v>156</v>
      </c>
      <c r="L14" s="90">
        <v>7.5</v>
      </c>
      <c r="M14" s="90">
        <v>0</v>
      </c>
      <c r="N14" s="90" t="s">
        <v>128</v>
      </c>
      <c r="O14" s="90" t="s">
        <v>131</v>
      </c>
      <c r="P14" s="90">
        <v>3</v>
      </c>
      <c r="Q14" s="91">
        <v>1.1220000000000001</v>
      </c>
      <c r="R14" s="90" t="s">
        <v>139</v>
      </c>
      <c r="S14" s="89">
        <f t="shared" si="33"/>
        <v>100</v>
      </c>
      <c r="T14" s="51">
        <f>'07.02'!BG14</f>
        <v>0</v>
      </c>
      <c r="U14" s="92"/>
      <c r="V14" s="89">
        <v>10.8</v>
      </c>
      <c r="W14" s="93">
        <f t="shared" si="5"/>
        <v>0</v>
      </c>
      <c r="X14" s="93">
        <f t="shared" si="6"/>
        <v>0</v>
      </c>
      <c r="Y14" s="93">
        <f t="shared" si="7"/>
        <v>0</v>
      </c>
      <c r="Z14" s="93">
        <f t="shared" si="8"/>
        <v>0</v>
      </c>
      <c r="AA14" s="93">
        <f t="shared" si="9"/>
        <v>0</v>
      </c>
      <c r="AB14" s="93">
        <f t="shared" si="10"/>
        <v>0</v>
      </c>
      <c r="AC14" s="93">
        <f t="shared" si="11"/>
        <v>0</v>
      </c>
      <c r="AD14" s="93">
        <f t="shared" si="12"/>
        <v>0</v>
      </c>
      <c r="AE14" s="93">
        <f t="shared" si="34"/>
        <v>0</v>
      </c>
      <c r="AF14" s="54">
        <f>AE14+'07.02'!AF14</f>
        <v>0</v>
      </c>
      <c r="AG14" s="94">
        <f t="shared" si="66"/>
        <v>0</v>
      </c>
      <c r="AH14" s="56">
        <f t="shared" si="13"/>
        <v>0</v>
      </c>
      <c r="AI14" s="89"/>
      <c r="AJ14" s="93">
        <f t="shared" si="67"/>
        <v>0</v>
      </c>
      <c r="AK14" s="95">
        <f t="shared" si="35"/>
        <v>1</v>
      </c>
      <c r="AL14" s="58">
        <f t="shared" si="36"/>
        <v>0</v>
      </c>
      <c r="AM14" s="55">
        <f t="shared" si="68"/>
        <v>0</v>
      </c>
      <c r="AN14" s="93"/>
      <c r="AO14" s="96"/>
      <c r="AP14" s="96"/>
      <c r="AQ14" s="96"/>
      <c r="AR14" s="96"/>
      <c r="AS14" s="96"/>
      <c r="AT14" s="96">
        <f t="shared" ref="AT14" si="74">$CJ14</f>
        <v>0</v>
      </c>
      <c r="AU14" s="96">
        <f t="shared" si="37"/>
        <v>0</v>
      </c>
      <c r="AV14" s="96">
        <f t="shared" si="37"/>
        <v>0</v>
      </c>
      <c r="AW14" s="96">
        <f t="shared" si="38"/>
        <v>0</v>
      </c>
      <c r="AX14" s="96">
        <f t="shared" si="39"/>
        <v>0</v>
      </c>
      <c r="AY14" s="94">
        <f t="shared" si="69"/>
        <v>0</v>
      </c>
      <c r="AZ14" s="94">
        <f t="shared" si="40"/>
        <v>0</v>
      </c>
      <c r="BA14" s="94">
        <f t="shared" si="41"/>
        <v>0</v>
      </c>
      <c r="BB14" s="97">
        <f t="shared" si="42"/>
        <v>0</v>
      </c>
      <c r="BC14" s="93"/>
      <c r="BD14" s="93">
        <f t="shared" si="43"/>
        <v>0</v>
      </c>
      <c r="BE14" s="95">
        <f t="shared" si="44"/>
        <v>1</v>
      </c>
      <c r="BF14" s="58">
        <f t="shared" si="45"/>
        <v>0</v>
      </c>
      <c r="BG14" s="94">
        <f t="shared" si="46"/>
        <v>0</v>
      </c>
      <c r="BH14" s="89"/>
      <c r="BI14" s="89"/>
      <c r="BJ14" s="89"/>
      <c r="BK14" s="89"/>
      <c r="BL14" s="89"/>
      <c r="BM14" s="89"/>
      <c r="BN14" s="92">
        <f>$CN14</f>
        <v>0</v>
      </c>
      <c r="BO14" s="92">
        <f t="shared" si="70"/>
        <v>0</v>
      </c>
      <c r="BP14" s="92">
        <f t="shared" si="70"/>
        <v>0</v>
      </c>
      <c r="BQ14" s="96">
        <f t="shared" si="47"/>
        <v>0</v>
      </c>
      <c r="BR14" s="96">
        <f t="shared" si="48"/>
        <v>0</v>
      </c>
      <c r="BS14" s="96">
        <f t="shared" si="71"/>
        <v>0</v>
      </c>
      <c r="BT14" s="96">
        <f t="shared" si="49"/>
        <v>0</v>
      </c>
      <c r="BU14" s="92">
        <f t="shared" si="16"/>
        <v>0</v>
      </c>
      <c r="BV14" s="98">
        <f t="shared" si="17"/>
        <v>0</v>
      </c>
      <c r="BW14" s="92">
        <f t="shared" si="18"/>
        <v>0</v>
      </c>
      <c r="BX14" s="98">
        <f t="shared" si="50"/>
        <v>0</v>
      </c>
      <c r="BY14" s="61">
        <f t="shared" si="73"/>
        <v>0</v>
      </c>
      <c r="BZ14" s="62">
        <f t="shared" si="51"/>
        <v>0</v>
      </c>
      <c r="CA14" s="98">
        <f t="shared" si="52"/>
        <v>0</v>
      </c>
      <c r="CB14" s="92">
        <f t="shared" si="19"/>
        <v>0</v>
      </c>
      <c r="CC14" s="92">
        <f t="shared" si="19"/>
        <v>0</v>
      </c>
      <c r="CD14" s="92">
        <f t="shared" si="19"/>
        <v>0</v>
      </c>
      <c r="CE14" s="99"/>
      <c r="CF14" s="99"/>
      <c r="CG14" s="51">
        <f t="shared" si="53"/>
        <v>0</v>
      </c>
      <c r="CH14" s="62">
        <f t="shared" si="54"/>
        <v>0</v>
      </c>
      <c r="CI14" s="89"/>
      <c r="CJ14" s="89"/>
      <c r="CK14" s="89"/>
      <c r="CL14" s="96"/>
      <c r="CM14" s="89"/>
      <c r="CN14" s="89"/>
      <c r="CO14" s="92"/>
      <c r="CP14" s="101"/>
      <c r="CQ14" s="102">
        <f t="shared" si="55"/>
        <v>0</v>
      </c>
      <c r="CR14" s="102">
        <f t="shared" si="20"/>
        <v>0</v>
      </c>
      <c r="CS14" s="102">
        <f t="shared" si="20"/>
        <v>0</v>
      </c>
      <c r="CT14" s="92">
        <f t="shared" si="56"/>
        <v>0</v>
      </c>
      <c r="CU14" s="92">
        <f t="shared" si="57"/>
        <v>0</v>
      </c>
      <c r="CV14" s="103">
        <f t="shared" si="57"/>
        <v>0</v>
      </c>
      <c r="CW14" s="104" t="s">
        <v>157</v>
      </c>
      <c r="CX14" s="105">
        <v>14</v>
      </c>
      <c r="CY14" s="106">
        <f t="shared" si="58"/>
        <v>2985</v>
      </c>
      <c r="CZ14" s="106">
        <f t="shared" si="59"/>
        <v>56.7</v>
      </c>
      <c r="DA14" s="106"/>
      <c r="DB14" s="106"/>
      <c r="DC14" s="105"/>
      <c r="DD14" s="107"/>
      <c r="DE14" s="92">
        <f t="shared" si="21"/>
        <v>0</v>
      </c>
      <c r="DF14" s="108">
        <f t="shared" si="22"/>
        <v>0</v>
      </c>
      <c r="DG14" s="112">
        <f t="shared" si="23"/>
        <v>0</v>
      </c>
      <c r="DH14" s="110">
        <f t="shared" si="24"/>
        <v>0</v>
      </c>
      <c r="DI14" s="108">
        <f t="shared" si="25"/>
        <v>0</v>
      </c>
      <c r="DJ14" s="115">
        <f t="shared" si="26"/>
        <v>0</v>
      </c>
      <c r="DK14" s="110">
        <f t="shared" si="27"/>
        <v>0</v>
      </c>
      <c r="DL14" s="108">
        <f t="shared" si="27"/>
        <v>0</v>
      </c>
      <c r="DM14" s="111">
        <f t="shared" si="27"/>
        <v>0</v>
      </c>
      <c r="DN14" s="76">
        <f t="shared" si="60"/>
        <v>0</v>
      </c>
      <c r="DO14" s="76">
        <f t="shared" si="60"/>
        <v>0</v>
      </c>
      <c r="DP14" s="112"/>
      <c r="DQ14" s="112"/>
      <c r="DR14" s="113"/>
      <c r="DS14" s="112"/>
      <c r="DT14" s="112"/>
      <c r="DU14" s="111"/>
      <c r="DV14" s="114"/>
      <c r="DW14" s="80">
        <f t="shared" si="61"/>
        <v>0</v>
      </c>
      <c r="DX14" s="81">
        <f t="shared" si="28"/>
        <v>0</v>
      </c>
      <c r="DY14" s="80">
        <f t="shared" si="62"/>
        <v>0</v>
      </c>
      <c r="DZ14" s="82">
        <f t="shared" si="63"/>
        <v>0</v>
      </c>
      <c r="EA14" s="82">
        <f t="shared" si="64"/>
        <v>0</v>
      </c>
      <c r="EB14" s="82">
        <f t="shared" si="65"/>
        <v>0</v>
      </c>
      <c r="EC14" s="82">
        <f>(BX14-CA14)+((AV14+BP14)/1000)</f>
        <v>0</v>
      </c>
    </row>
    <row r="15" spans="1:136">
      <c r="A15" s="84">
        <v>8</v>
      </c>
      <c r="B15" s="85" t="s">
        <v>158</v>
      </c>
      <c r="C15" s="86"/>
      <c r="D15" s="87" t="s">
        <v>159</v>
      </c>
      <c r="E15" s="88">
        <v>30</v>
      </c>
      <c r="F15" s="89" t="s">
        <v>136</v>
      </c>
      <c r="G15" s="45" t="str">
        <f t="shared" si="30"/>
        <v>TV12L14-H6x2.5-H11A14</v>
      </c>
      <c r="H15" s="46" t="str">
        <f t="shared" si="31"/>
        <v>12L14TV60HH11</v>
      </c>
      <c r="I15" s="46" t="str">
        <f t="shared" si="32"/>
        <v>12L14TV60HH112.5A14</v>
      </c>
      <c r="J15" s="90" t="s">
        <v>137</v>
      </c>
      <c r="K15" s="90" t="s">
        <v>138</v>
      </c>
      <c r="L15" s="90">
        <v>6</v>
      </c>
      <c r="M15" s="90">
        <v>0</v>
      </c>
      <c r="N15" s="90" t="s">
        <v>160</v>
      </c>
      <c r="O15" s="90" t="s">
        <v>161</v>
      </c>
      <c r="P15" s="90">
        <v>2.5</v>
      </c>
      <c r="Q15" s="91">
        <v>0.60599999999999998</v>
      </c>
      <c r="R15" s="90" t="s">
        <v>139</v>
      </c>
      <c r="S15" s="89">
        <f t="shared" si="33"/>
        <v>50</v>
      </c>
      <c r="T15" s="51">
        <f>'07.02'!BG15</f>
        <v>48</v>
      </c>
      <c r="U15" s="92">
        <v>22</v>
      </c>
      <c r="V15" s="89">
        <v>16.149999999999999</v>
      </c>
      <c r="W15" s="93">
        <f t="shared" si="5"/>
        <v>0</v>
      </c>
      <c r="X15" s="93">
        <f t="shared" si="6"/>
        <v>0</v>
      </c>
      <c r="Y15" s="93">
        <f t="shared" si="7"/>
        <v>0</v>
      </c>
      <c r="Z15" s="93">
        <f t="shared" si="8"/>
        <v>0</v>
      </c>
      <c r="AA15" s="93">
        <f t="shared" si="9"/>
        <v>0</v>
      </c>
      <c r="AB15" s="93">
        <f t="shared" si="10"/>
        <v>0</v>
      </c>
      <c r="AC15" s="93">
        <f t="shared" si="11"/>
        <v>0</v>
      </c>
      <c r="AD15" s="93">
        <f t="shared" si="12"/>
        <v>0</v>
      </c>
      <c r="AE15" s="93">
        <f t="shared" si="34"/>
        <v>0</v>
      </c>
      <c r="AF15" s="54">
        <f>AE15+'07.02'!AF15</f>
        <v>4842</v>
      </c>
      <c r="AG15" s="94">
        <f t="shared" si="66"/>
        <v>48</v>
      </c>
      <c r="AH15" s="56">
        <f t="shared" si="13"/>
        <v>0</v>
      </c>
      <c r="AI15" s="89"/>
      <c r="AJ15" s="93">
        <f t="shared" si="67"/>
        <v>0</v>
      </c>
      <c r="AK15" s="95">
        <f t="shared" si="35"/>
        <v>1</v>
      </c>
      <c r="AL15" s="58">
        <f t="shared" si="36"/>
        <v>0</v>
      </c>
      <c r="AM15" s="55">
        <f t="shared" si="68"/>
        <v>70</v>
      </c>
      <c r="AN15" s="93"/>
      <c r="AO15" s="96">
        <f>$CJ15</f>
        <v>0</v>
      </c>
      <c r="AP15" s="96"/>
      <c r="AQ15" s="96"/>
      <c r="AR15" s="96"/>
      <c r="AS15" s="96"/>
      <c r="AT15" s="96"/>
      <c r="AU15" s="96">
        <f t="shared" si="37"/>
        <v>0</v>
      </c>
      <c r="AV15" s="96">
        <f t="shared" si="37"/>
        <v>0</v>
      </c>
      <c r="AW15" s="96">
        <f t="shared" si="38"/>
        <v>0</v>
      </c>
      <c r="AX15" s="96">
        <f t="shared" si="39"/>
        <v>0</v>
      </c>
      <c r="AY15" s="94">
        <f t="shared" si="69"/>
        <v>0</v>
      </c>
      <c r="AZ15" s="94">
        <f t="shared" si="40"/>
        <v>0</v>
      </c>
      <c r="BA15" s="94">
        <f t="shared" si="41"/>
        <v>70</v>
      </c>
      <c r="BB15" s="97">
        <f t="shared" si="42"/>
        <v>0</v>
      </c>
      <c r="BC15" s="93"/>
      <c r="BD15" s="93">
        <f t="shared" si="43"/>
        <v>0</v>
      </c>
      <c r="BE15" s="95">
        <f t="shared" si="44"/>
        <v>1</v>
      </c>
      <c r="BF15" s="58">
        <f t="shared" si="45"/>
        <v>0</v>
      </c>
      <c r="BG15" s="94">
        <f t="shared" si="46"/>
        <v>70</v>
      </c>
      <c r="BH15" s="89"/>
      <c r="BI15" s="92">
        <f>$CN15</f>
        <v>0</v>
      </c>
      <c r="BJ15" s="89"/>
      <c r="BK15" s="89"/>
      <c r="BL15" s="89"/>
      <c r="BM15" s="89"/>
      <c r="BN15" s="89"/>
      <c r="BO15" s="92">
        <f t="shared" si="70"/>
        <v>0</v>
      </c>
      <c r="BP15" s="92">
        <f t="shared" si="70"/>
        <v>0</v>
      </c>
      <c r="BQ15" s="96">
        <f t="shared" si="47"/>
        <v>0</v>
      </c>
      <c r="BR15" s="96">
        <f t="shared" si="48"/>
        <v>0</v>
      </c>
      <c r="BS15" s="96">
        <f t="shared" si="71"/>
        <v>0</v>
      </c>
      <c r="BT15" s="96">
        <f t="shared" si="49"/>
        <v>0</v>
      </c>
      <c r="BU15" s="92">
        <f t="shared" si="16"/>
        <v>0</v>
      </c>
      <c r="BV15" s="98">
        <f t="shared" si="17"/>
        <v>0</v>
      </c>
      <c r="BW15" s="92">
        <f t="shared" si="18"/>
        <v>0</v>
      </c>
      <c r="BX15" s="98">
        <f t="shared" si="50"/>
        <v>0</v>
      </c>
      <c r="BY15" s="61">
        <f t="shared" si="73"/>
        <v>0</v>
      </c>
      <c r="BZ15" s="62">
        <f t="shared" si="51"/>
        <v>0</v>
      </c>
      <c r="CA15" s="98">
        <f t="shared" si="52"/>
        <v>0</v>
      </c>
      <c r="CB15" s="92">
        <f t="shared" si="19"/>
        <v>0</v>
      </c>
      <c r="CC15" s="92">
        <f t="shared" si="19"/>
        <v>0</v>
      </c>
      <c r="CD15" s="92">
        <f t="shared" si="19"/>
        <v>0</v>
      </c>
      <c r="CE15" s="99"/>
      <c r="CF15" s="99"/>
      <c r="CG15" s="51">
        <f t="shared" si="53"/>
        <v>0</v>
      </c>
      <c r="CH15" s="62">
        <f t="shared" si="54"/>
        <v>0</v>
      </c>
      <c r="CI15" s="89"/>
      <c r="CJ15" s="89"/>
      <c r="CK15" s="89"/>
      <c r="CL15" s="96"/>
      <c r="CM15" s="89"/>
      <c r="CN15" s="89"/>
      <c r="CO15" s="92"/>
      <c r="CP15" s="101"/>
      <c r="CQ15" s="102">
        <f t="shared" si="55"/>
        <v>0</v>
      </c>
      <c r="CR15" s="102">
        <f t="shared" si="20"/>
        <v>0</v>
      </c>
      <c r="CS15" s="102">
        <f t="shared" si="20"/>
        <v>0</v>
      </c>
      <c r="CT15" s="92">
        <f t="shared" si="56"/>
        <v>0</v>
      </c>
      <c r="CU15" s="92">
        <f t="shared" si="57"/>
        <v>0</v>
      </c>
      <c r="CV15" s="103">
        <f t="shared" si="57"/>
        <v>0</v>
      </c>
      <c r="CW15" s="104"/>
      <c r="CX15" s="105">
        <v>45</v>
      </c>
      <c r="CY15" s="106">
        <f t="shared" si="58"/>
        <v>746</v>
      </c>
      <c r="CZ15" s="106">
        <f t="shared" si="59"/>
        <v>364.5</v>
      </c>
      <c r="DA15" s="106"/>
      <c r="DB15" s="106"/>
      <c r="DC15" s="105"/>
      <c r="DD15" s="107"/>
      <c r="DE15" s="92">
        <f t="shared" si="21"/>
        <v>0</v>
      </c>
      <c r="DF15" s="108">
        <f t="shared" si="22"/>
        <v>0</v>
      </c>
      <c r="DG15" s="112">
        <f t="shared" si="23"/>
        <v>0</v>
      </c>
      <c r="DH15" s="110">
        <f t="shared" si="24"/>
        <v>0</v>
      </c>
      <c r="DI15" s="108">
        <f t="shared" si="25"/>
        <v>0</v>
      </c>
      <c r="DJ15" s="115">
        <f t="shared" si="26"/>
        <v>0</v>
      </c>
      <c r="DK15" s="110">
        <f t="shared" si="27"/>
        <v>0</v>
      </c>
      <c r="DL15" s="108">
        <f t="shared" si="27"/>
        <v>0</v>
      </c>
      <c r="DM15" s="111">
        <f t="shared" si="27"/>
        <v>0</v>
      </c>
      <c r="DN15" s="76">
        <v>17</v>
      </c>
      <c r="DO15" s="76"/>
      <c r="DP15" s="112"/>
      <c r="DQ15" s="112"/>
      <c r="DR15" s="113" t="s">
        <v>515</v>
      </c>
      <c r="DS15" s="112"/>
      <c r="DT15" s="112"/>
      <c r="DU15" s="111"/>
      <c r="DV15" s="114"/>
      <c r="DW15" s="80">
        <f t="shared" si="61"/>
        <v>0</v>
      </c>
      <c r="DX15" s="81">
        <f t="shared" si="28"/>
        <v>0</v>
      </c>
      <c r="DY15" s="80">
        <f t="shared" si="62"/>
        <v>0</v>
      </c>
      <c r="DZ15" s="82">
        <f t="shared" si="63"/>
        <v>0</v>
      </c>
      <c r="EA15" s="82">
        <f t="shared" si="64"/>
        <v>0</v>
      </c>
      <c r="EB15" s="82">
        <f t="shared" si="65"/>
        <v>0</v>
      </c>
      <c r="EC15" s="82">
        <f t="shared" ref="EC15:EC78" si="75">EB15+DZ15</f>
        <v>0</v>
      </c>
      <c r="EF15" s="83">
        <f t="shared" ref="EF15:EF18" si="76">DG15+DJ15</f>
        <v>0</v>
      </c>
    </row>
    <row r="16" spans="1:136" hidden="1">
      <c r="A16" s="84">
        <v>9</v>
      </c>
      <c r="B16" s="85" t="s">
        <v>162</v>
      </c>
      <c r="C16" s="86"/>
      <c r="D16" s="87" t="s">
        <v>163</v>
      </c>
      <c r="E16" s="88">
        <v>68</v>
      </c>
      <c r="F16" s="89" t="s">
        <v>128</v>
      </c>
      <c r="G16" s="45" t="str">
        <f t="shared" si="30"/>
        <v>GWA6063-T5-T18.15x8.6x3-H9A15</v>
      </c>
      <c r="H16" s="46" t="str">
        <f t="shared" si="31"/>
        <v>A6063-T5GW18.158.6TH9</v>
      </c>
      <c r="I16" s="46" t="str">
        <f t="shared" si="32"/>
        <v>A6063-T5GW18.158.6TH93A15</v>
      </c>
      <c r="J16" s="90" t="s">
        <v>129</v>
      </c>
      <c r="K16" s="90" t="s">
        <v>130</v>
      </c>
      <c r="L16" s="90">
        <v>18.149999999999999</v>
      </c>
      <c r="M16" s="90">
        <v>8.6</v>
      </c>
      <c r="N16" s="90" t="s">
        <v>157</v>
      </c>
      <c r="O16" s="90" t="s">
        <v>131</v>
      </c>
      <c r="P16" s="90">
        <v>3</v>
      </c>
      <c r="Q16" s="91">
        <v>1.641</v>
      </c>
      <c r="R16" s="90" t="s">
        <v>164</v>
      </c>
      <c r="S16" s="89">
        <f t="shared" si="33"/>
        <v>14</v>
      </c>
      <c r="T16" s="51">
        <f>'07.02'!BG16</f>
        <v>0</v>
      </c>
      <c r="U16" s="92"/>
      <c r="V16" s="89">
        <v>9.9</v>
      </c>
      <c r="W16" s="93">
        <f t="shared" si="5"/>
        <v>0</v>
      </c>
      <c r="X16" s="93">
        <f t="shared" si="6"/>
        <v>0</v>
      </c>
      <c r="Y16" s="93">
        <f t="shared" si="7"/>
        <v>0</v>
      </c>
      <c r="Z16" s="93">
        <f t="shared" si="8"/>
        <v>0</v>
      </c>
      <c r="AA16" s="93">
        <f t="shared" si="9"/>
        <v>0</v>
      </c>
      <c r="AB16" s="93">
        <f t="shared" si="10"/>
        <v>0</v>
      </c>
      <c r="AC16" s="93">
        <f t="shared" si="11"/>
        <v>0</v>
      </c>
      <c r="AD16" s="93">
        <f t="shared" si="12"/>
        <v>0</v>
      </c>
      <c r="AE16" s="93">
        <f t="shared" si="34"/>
        <v>0</v>
      </c>
      <c r="AF16" s="54">
        <f>AE16+'07.02'!AF16</f>
        <v>0</v>
      </c>
      <c r="AG16" s="94">
        <f t="shared" si="66"/>
        <v>0</v>
      </c>
      <c r="AH16" s="56">
        <f t="shared" si="13"/>
        <v>0</v>
      </c>
      <c r="AI16" s="89"/>
      <c r="AJ16" s="93">
        <f t="shared" si="67"/>
        <v>0</v>
      </c>
      <c r="AK16" s="95">
        <f t="shared" si="35"/>
        <v>1</v>
      </c>
      <c r="AL16" s="58">
        <f t="shared" si="36"/>
        <v>0</v>
      </c>
      <c r="AM16" s="55">
        <f t="shared" si="68"/>
        <v>0</v>
      </c>
      <c r="AN16" s="93"/>
      <c r="AO16" s="96"/>
      <c r="AP16" s="96">
        <f t="shared" ref="AP16:AP19" si="77">$CJ16</f>
        <v>0</v>
      </c>
      <c r="AQ16" s="96"/>
      <c r="AR16" s="96"/>
      <c r="AS16" s="96"/>
      <c r="AT16" s="96"/>
      <c r="AU16" s="96">
        <f t="shared" si="37"/>
        <v>0</v>
      </c>
      <c r="AV16" s="96">
        <f t="shared" si="37"/>
        <v>0</v>
      </c>
      <c r="AW16" s="96">
        <f t="shared" si="38"/>
        <v>0</v>
      </c>
      <c r="AX16" s="96">
        <f t="shared" si="39"/>
        <v>0</v>
      </c>
      <c r="AY16" s="94">
        <f t="shared" si="69"/>
        <v>0</v>
      </c>
      <c r="AZ16" s="94">
        <f t="shared" si="40"/>
        <v>0</v>
      </c>
      <c r="BA16" s="94">
        <f t="shared" si="41"/>
        <v>0</v>
      </c>
      <c r="BB16" s="97">
        <f t="shared" si="42"/>
        <v>0</v>
      </c>
      <c r="BC16" s="93"/>
      <c r="BD16" s="93">
        <f t="shared" si="43"/>
        <v>0</v>
      </c>
      <c r="BE16" s="95">
        <f t="shared" si="44"/>
        <v>1</v>
      </c>
      <c r="BF16" s="58">
        <f t="shared" si="45"/>
        <v>0</v>
      </c>
      <c r="BG16" s="94">
        <f t="shared" si="46"/>
        <v>0</v>
      </c>
      <c r="BH16" s="89"/>
      <c r="BI16" s="89"/>
      <c r="BJ16" s="92">
        <f t="shared" ref="BJ16:BJ19" si="78">$CN16</f>
        <v>0</v>
      </c>
      <c r="BK16" s="89"/>
      <c r="BL16" s="89"/>
      <c r="BM16" s="89"/>
      <c r="BN16" s="89"/>
      <c r="BO16" s="92">
        <f t="shared" si="70"/>
        <v>0</v>
      </c>
      <c r="BP16" s="92">
        <f t="shared" si="70"/>
        <v>0</v>
      </c>
      <c r="BQ16" s="96">
        <f t="shared" si="47"/>
        <v>0</v>
      </c>
      <c r="BR16" s="96">
        <f t="shared" si="48"/>
        <v>0</v>
      </c>
      <c r="BS16" s="96">
        <f t="shared" si="71"/>
        <v>0</v>
      </c>
      <c r="BT16" s="96">
        <f t="shared" si="49"/>
        <v>0</v>
      </c>
      <c r="BU16" s="92">
        <f t="shared" si="16"/>
        <v>0</v>
      </c>
      <c r="BV16" s="98">
        <f t="shared" si="17"/>
        <v>0</v>
      </c>
      <c r="BW16" s="92">
        <f t="shared" si="18"/>
        <v>0</v>
      </c>
      <c r="BX16" s="98">
        <f t="shared" si="50"/>
        <v>0</v>
      </c>
      <c r="BY16" s="61">
        <f t="shared" si="73"/>
        <v>0</v>
      </c>
      <c r="BZ16" s="62">
        <f t="shared" si="51"/>
        <v>0</v>
      </c>
      <c r="CA16" s="98">
        <f t="shared" si="52"/>
        <v>0</v>
      </c>
      <c r="CB16" s="92">
        <f t="shared" si="19"/>
        <v>0</v>
      </c>
      <c r="CC16" s="92">
        <f t="shared" si="19"/>
        <v>0</v>
      </c>
      <c r="CD16" s="92">
        <f t="shared" si="19"/>
        <v>0</v>
      </c>
      <c r="CE16" s="99"/>
      <c r="CF16" s="99"/>
      <c r="CG16" s="51">
        <f t="shared" si="53"/>
        <v>0</v>
      </c>
      <c r="CH16" s="62">
        <f t="shared" si="54"/>
        <v>0</v>
      </c>
      <c r="CI16" s="89"/>
      <c r="CJ16" s="89"/>
      <c r="CK16" s="89"/>
      <c r="CL16" s="96"/>
      <c r="CM16" s="89"/>
      <c r="CN16" s="89"/>
      <c r="CO16" s="92"/>
      <c r="CP16" s="101"/>
      <c r="CQ16" s="102">
        <f t="shared" si="55"/>
        <v>0</v>
      </c>
      <c r="CR16" s="102">
        <f t="shared" si="20"/>
        <v>0</v>
      </c>
      <c r="CS16" s="102">
        <f t="shared" si="20"/>
        <v>0</v>
      </c>
      <c r="CT16" s="92">
        <f t="shared" si="56"/>
        <v>0</v>
      </c>
      <c r="CU16" s="92">
        <f t="shared" si="57"/>
        <v>0</v>
      </c>
      <c r="CV16" s="103">
        <f t="shared" si="57"/>
        <v>0</v>
      </c>
      <c r="CW16" s="104"/>
      <c r="CX16" s="105">
        <v>83.56</v>
      </c>
      <c r="CY16" s="106">
        <f t="shared" si="58"/>
        <v>488</v>
      </c>
      <c r="CZ16" s="106">
        <f t="shared" si="59"/>
        <v>676.83600000000001</v>
      </c>
      <c r="DA16" s="106"/>
      <c r="DB16" s="106"/>
      <c r="DC16" s="105"/>
      <c r="DD16" s="107"/>
      <c r="DE16" s="92">
        <f t="shared" si="21"/>
        <v>0</v>
      </c>
      <c r="DF16" s="108">
        <f t="shared" si="22"/>
        <v>0</v>
      </c>
      <c r="DG16" s="112">
        <f t="shared" si="23"/>
        <v>0</v>
      </c>
      <c r="DH16" s="110">
        <f t="shared" si="24"/>
        <v>0</v>
      </c>
      <c r="DI16" s="108">
        <f t="shared" si="25"/>
        <v>0</v>
      </c>
      <c r="DJ16" s="112">
        <f t="shared" si="26"/>
        <v>0</v>
      </c>
      <c r="DK16" s="110">
        <f t="shared" si="27"/>
        <v>0</v>
      </c>
      <c r="DL16" s="108">
        <f t="shared" si="27"/>
        <v>0</v>
      </c>
      <c r="DM16" s="111">
        <f t="shared" si="27"/>
        <v>0</v>
      </c>
      <c r="DN16" s="76">
        <f t="shared" si="60"/>
        <v>0</v>
      </c>
      <c r="DO16" s="76">
        <f t="shared" si="60"/>
        <v>0</v>
      </c>
      <c r="DP16" s="112"/>
      <c r="DQ16" s="112"/>
      <c r="DR16" s="113"/>
      <c r="DS16" s="112"/>
      <c r="DT16" s="112"/>
      <c r="DU16" s="111"/>
      <c r="DV16" s="114"/>
      <c r="DW16" s="80">
        <f t="shared" ref="DW16:DW19" si="79">IFERROR(AL16+BF16,"")</f>
        <v>0</v>
      </c>
      <c r="DX16" s="81">
        <f t="shared" si="28"/>
        <v>0</v>
      </c>
      <c r="DY16" s="80">
        <f t="shared" si="62"/>
        <v>0</v>
      </c>
      <c r="DZ16" s="82">
        <f t="shared" si="63"/>
        <v>0</v>
      </c>
      <c r="EA16" s="82">
        <f t="shared" si="64"/>
        <v>0</v>
      </c>
      <c r="EB16" s="82">
        <f t="shared" si="65"/>
        <v>0</v>
      </c>
      <c r="EC16" s="82">
        <f t="shared" si="75"/>
        <v>0</v>
      </c>
      <c r="EF16" s="83">
        <f t="shared" si="76"/>
        <v>0</v>
      </c>
    </row>
    <row r="17" spans="1:136" ht="14.1" customHeight="1">
      <c r="A17" s="84">
        <v>10</v>
      </c>
      <c r="B17" s="85" t="s">
        <v>165</v>
      </c>
      <c r="C17" s="86"/>
      <c r="D17" s="119">
        <v>31100</v>
      </c>
      <c r="E17" s="88">
        <v>91</v>
      </c>
      <c r="F17" s="89" t="s">
        <v>128</v>
      </c>
      <c r="G17" s="45" t="str">
        <f t="shared" si="30"/>
        <v>GWA6063-T5-T18.15x8.6x3-H9A15</v>
      </c>
      <c r="H17" s="46" t="str">
        <f t="shared" si="31"/>
        <v>A6063-T5GW18.158.6TH9</v>
      </c>
      <c r="I17" s="46" t="str">
        <f t="shared" si="32"/>
        <v>A6063-T5GW18.158.6TH93A15</v>
      </c>
      <c r="J17" s="90" t="s">
        <v>129</v>
      </c>
      <c r="K17" s="90" t="s">
        <v>130</v>
      </c>
      <c r="L17" s="90">
        <v>18.149999999999999</v>
      </c>
      <c r="M17" s="90">
        <v>8.6</v>
      </c>
      <c r="N17" s="90" t="s">
        <v>157</v>
      </c>
      <c r="O17" s="90" t="s">
        <v>131</v>
      </c>
      <c r="P17" s="90">
        <v>3</v>
      </c>
      <c r="Q17" s="91">
        <v>1.641</v>
      </c>
      <c r="R17" s="90" t="s">
        <v>164</v>
      </c>
      <c r="S17" s="89">
        <f t="shared" si="33"/>
        <v>14</v>
      </c>
      <c r="T17" s="51">
        <f>'07.02'!BG17</f>
        <v>16</v>
      </c>
      <c r="U17" s="92">
        <v>7</v>
      </c>
      <c r="V17" s="89">
        <v>7.7</v>
      </c>
      <c r="W17" s="93">
        <f t="shared" si="5"/>
        <v>0</v>
      </c>
      <c r="X17" s="93">
        <f t="shared" si="6"/>
        <v>0</v>
      </c>
      <c r="Y17" s="93">
        <f t="shared" si="7"/>
        <v>0</v>
      </c>
      <c r="Z17" s="93">
        <f t="shared" si="8"/>
        <v>0</v>
      </c>
      <c r="AA17" s="93">
        <f t="shared" si="9"/>
        <v>0</v>
      </c>
      <c r="AB17" s="93">
        <f t="shared" si="10"/>
        <v>0</v>
      </c>
      <c r="AC17" s="93">
        <f t="shared" si="11"/>
        <v>0</v>
      </c>
      <c r="AD17" s="93">
        <f t="shared" si="12"/>
        <v>0</v>
      </c>
      <c r="AE17" s="93">
        <f t="shared" si="34"/>
        <v>0</v>
      </c>
      <c r="AF17" s="54">
        <f>AE17+'07.02'!AF17</f>
        <v>6313</v>
      </c>
      <c r="AG17" s="94">
        <f t="shared" si="66"/>
        <v>16</v>
      </c>
      <c r="AH17" s="56">
        <f t="shared" si="13"/>
        <v>0</v>
      </c>
      <c r="AI17" s="89"/>
      <c r="AJ17" s="93">
        <f t="shared" si="67"/>
        <v>0</v>
      </c>
      <c r="AK17" s="95">
        <f t="shared" si="35"/>
        <v>1</v>
      </c>
      <c r="AL17" s="58">
        <f t="shared" si="36"/>
        <v>0</v>
      </c>
      <c r="AM17" s="55">
        <f t="shared" si="68"/>
        <v>23</v>
      </c>
      <c r="AN17" s="93"/>
      <c r="AO17" s="96"/>
      <c r="AP17" s="96">
        <f t="shared" si="77"/>
        <v>0</v>
      </c>
      <c r="AQ17" s="96"/>
      <c r="AR17" s="96"/>
      <c r="AS17" s="96"/>
      <c r="AT17" s="96"/>
      <c r="AU17" s="96">
        <f t="shared" si="37"/>
        <v>0</v>
      </c>
      <c r="AV17" s="96">
        <f t="shared" si="37"/>
        <v>0</v>
      </c>
      <c r="AW17" s="96">
        <f t="shared" si="38"/>
        <v>0</v>
      </c>
      <c r="AX17" s="96">
        <f t="shared" si="39"/>
        <v>0</v>
      </c>
      <c r="AY17" s="94">
        <f t="shared" si="69"/>
        <v>0</v>
      </c>
      <c r="AZ17" s="94">
        <f t="shared" si="40"/>
        <v>0</v>
      </c>
      <c r="BA17" s="94">
        <f t="shared" si="41"/>
        <v>23</v>
      </c>
      <c r="BB17" s="97">
        <f t="shared" si="42"/>
        <v>0</v>
      </c>
      <c r="BC17" s="93"/>
      <c r="BD17" s="93">
        <f t="shared" si="43"/>
        <v>0</v>
      </c>
      <c r="BE17" s="95">
        <f t="shared" si="44"/>
        <v>1</v>
      </c>
      <c r="BF17" s="58">
        <f t="shared" si="45"/>
        <v>0</v>
      </c>
      <c r="BG17" s="94">
        <f t="shared" si="46"/>
        <v>23</v>
      </c>
      <c r="BH17" s="89"/>
      <c r="BI17" s="89"/>
      <c r="BJ17" s="92">
        <f t="shared" si="78"/>
        <v>0</v>
      </c>
      <c r="BK17" s="89"/>
      <c r="BL17" s="89"/>
      <c r="BM17" s="89"/>
      <c r="BN17" s="89"/>
      <c r="BO17" s="92">
        <f t="shared" si="70"/>
        <v>0</v>
      </c>
      <c r="BP17" s="92">
        <f t="shared" si="70"/>
        <v>0</v>
      </c>
      <c r="BQ17" s="96">
        <f t="shared" si="47"/>
        <v>0</v>
      </c>
      <c r="BR17" s="96">
        <f t="shared" si="48"/>
        <v>0</v>
      </c>
      <c r="BS17" s="96">
        <f t="shared" si="71"/>
        <v>0</v>
      </c>
      <c r="BT17" s="96">
        <f t="shared" si="49"/>
        <v>0</v>
      </c>
      <c r="BU17" s="92">
        <f t="shared" si="16"/>
        <v>0</v>
      </c>
      <c r="BV17" s="98">
        <f t="shared" si="17"/>
        <v>0</v>
      </c>
      <c r="BW17" s="92">
        <f t="shared" si="18"/>
        <v>0</v>
      </c>
      <c r="BX17" s="98">
        <f t="shared" si="50"/>
        <v>0</v>
      </c>
      <c r="BY17" s="61">
        <f t="shared" si="73"/>
        <v>0</v>
      </c>
      <c r="BZ17" s="62">
        <f t="shared" si="51"/>
        <v>0</v>
      </c>
      <c r="CA17" s="98">
        <f t="shared" si="52"/>
        <v>0</v>
      </c>
      <c r="CB17" s="92">
        <f t="shared" si="19"/>
        <v>0</v>
      </c>
      <c r="CC17" s="92">
        <f t="shared" si="19"/>
        <v>0</v>
      </c>
      <c r="CD17" s="92">
        <f t="shared" si="19"/>
        <v>0</v>
      </c>
      <c r="CE17" s="99"/>
      <c r="CF17" s="99"/>
      <c r="CG17" s="51">
        <f t="shared" si="53"/>
        <v>0</v>
      </c>
      <c r="CH17" s="62">
        <f t="shared" si="54"/>
        <v>0</v>
      </c>
      <c r="CI17" s="89"/>
      <c r="CJ17" s="89"/>
      <c r="CK17" s="89"/>
      <c r="CL17" s="96"/>
      <c r="CM17" s="89"/>
      <c r="CN17" s="89"/>
      <c r="CO17" s="92"/>
      <c r="CP17" s="101"/>
      <c r="CQ17" s="102">
        <f t="shared" si="55"/>
        <v>0</v>
      </c>
      <c r="CR17" s="102">
        <f t="shared" si="20"/>
        <v>0</v>
      </c>
      <c r="CS17" s="102">
        <f t="shared" si="20"/>
        <v>0</v>
      </c>
      <c r="CT17" s="92">
        <f t="shared" si="56"/>
        <v>0</v>
      </c>
      <c r="CU17" s="92">
        <f t="shared" si="57"/>
        <v>0</v>
      </c>
      <c r="CV17" s="103">
        <f t="shared" si="57"/>
        <v>0</v>
      </c>
      <c r="CW17" s="104"/>
      <c r="CX17" s="105">
        <v>60</v>
      </c>
      <c r="CY17" s="106">
        <f t="shared" si="58"/>
        <v>680</v>
      </c>
      <c r="CZ17" s="106">
        <f t="shared" si="59"/>
        <v>486.00000000000006</v>
      </c>
      <c r="DA17" s="106"/>
      <c r="DB17" s="106"/>
      <c r="DC17" s="105"/>
      <c r="DD17" s="107"/>
      <c r="DE17" s="92">
        <f t="shared" si="21"/>
        <v>0</v>
      </c>
      <c r="DF17" s="108">
        <f t="shared" si="22"/>
        <v>0</v>
      </c>
      <c r="DG17" s="112">
        <f t="shared" si="23"/>
        <v>0</v>
      </c>
      <c r="DH17" s="110">
        <f t="shared" si="24"/>
        <v>0</v>
      </c>
      <c r="DI17" s="108">
        <f t="shared" si="25"/>
        <v>0</v>
      </c>
      <c r="DJ17" s="112">
        <f t="shared" si="26"/>
        <v>0</v>
      </c>
      <c r="DK17" s="110">
        <f t="shared" si="27"/>
        <v>0</v>
      </c>
      <c r="DL17" s="108">
        <f t="shared" si="27"/>
        <v>0</v>
      </c>
      <c r="DM17" s="111">
        <f t="shared" si="27"/>
        <v>0</v>
      </c>
      <c r="DN17" s="76">
        <v>13</v>
      </c>
      <c r="DO17" s="76"/>
      <c r="DP17" s="112"/>
      <c r="DQ17" s="112"/>
      <c r="DR17" s="113" t="s">
        <v>516</v>
      </c>
      <c r="DS17" s="112"/>
      <c r="DT17" s="112"/>
      <c r="DU17" s="111"/>
      <c r="DV17" s="114"/>
      <c r="DW17" s="80">
        <f t="shared" si="79"/>
        <v>0</v>
      </c>
      <c r="DX17" s="81">
        <f t="shared" si="28"/>
        <v>0</v>
      </c>
      <c r="DY17" s="80">
        <f t="shared" si="62"/>
        <v>0</v>
      </c>
      <c r="DZ17" s="82">
        <f t="shared" si="63"/>
        <v>0</v>
      </c>
      <c r="EA17" s="82">
        <f t="shared" si="64"/>
        <v>0</v>
      </c>
      <c r="EB17" s="82">
        <f t="shared" si="65"/>
        <v>0</v>
      </c>
      <c r="EC17" s="82">
        <f t="shared" si="75"/>
        <v>0</v>
      </c>
      <c r="EF17" s="83">
        <f t="shared" si="76"/>
        <v>0</v>
      </c>
    </row>
    <row r="18" spans="1:136">
      <c r="A18" s="84">
        <v>11</v>
      </c>
      <c r="B18" s="85" t="s">
        <v>167</v>
      </c>
      <c r="C18" s="86"/>
      <c r="D18" s="87" t="s">
        <v>163</v>
      </c>
      <c r="E18" s="88">
        <v>68</v>
      </c>
      <c r="F18" s="89" t="s">
        <v>128</v>
      </c>
      <c r="G18" s="45" t="str">
        <f t="shared" si="30"/>
        <v>GWA6063-T5-T18.15x8.6x3-H9A15</v>
      </c>
      <c r="H18" s="46" t="str">
        <f t="shared" si="31"/>
        <v>A6063-T5GW18.158.6TH9</v>
      </c>
      <c r="I18" s="46" t="str">
        <f t="shared" si="32"/>
        <v>A6063-T5GW18.158.6TH93A15</v>
      </c>
      <c r="J18" s="90" t="s">
        <v>129</v>
      </c>
      <c r="K18" s="90" t="s">
        <v>130</v>
      </c>
      <c r="L18" s="90">
        <v>18.149999999999999</v>
      </c>
      <c r="M18" s="90">
        <v>8.6</v>
      </c>
      <c r="N18" s="90" t="s">
        <v>157</v>
      </c>
      <c r="O18" s="90" t="s">
        <v>131</v>
      </c>
      <c r="P18" s="90">
        <v>3</v>
      </c>
      <c r="Q18" s="91">
        <v>1.641</v>
      </c>
      <c r="R18" s="90" t="s">
        <v>164</v>
      </c>
      <c r="S18" s="89">
        <f t="shared" si="33"/>
        <v>16</v>
      </c>
      <c r="T18" s="51">
        <f>'07.02'!BG18</f>
        <v>8</v>
      </c>
      <c r="U18" s="92">
        <v>10</v>
      </c>
      <c r="V18" s="89">
        <v>9.9</v>
      </c>
      <c r="W18" s="93">
        <f t="shared" si="5"/>
        <v>0</v>
      </c>
      <c r="X18" s="93">
        <f t="shared" si="6"/>
        <v>0</v>
      </c>
      <c r="Y18" s="93">
        <f t="shared" si="7"/>
        <v>0</v>
      </c>
      <c r="Z18" s="93">
        <f t="shared" si="8"/>
        <v>0</v>
      </c>
      <c r="AA18" s="93">
        <f t="shared" si="9"/>
        <v>0</v>
      </c>
      <c r="AB18" s="93">
        <f t="shared" si="10"/>
        <v>0</v>
      </c>
      <c r="AC18" s="93">
        <f t="shared" si="11"/>
        <v>0</v>
      </c>
      <c r="AD18" s="93">
        <f t="shared" si="12"/>
        <v>0</v>
      </c>
      <c r="AE18" s="93">
        <f t="shared" si="34"/>
        <v>0</v>
      </c>
      <c r="AF18" s="54">
        <f>AE18+'07.02'!AF18</f>
        <v>5843</v>
      </c>
      <c r="AG18" s="94">
        <f t="shared" si="66"/>
        <v>8</v>
      </c>
      <c r="AH18" s="56">
        <f t="shared" si="13"/>
        <v>0</v>
      </c>
      <c r="AI18" s="89"/>
      <c r="AJ18" s="93">
        <f t="shared" si="67"/>
        <v>0</v>
      </c>
      <c r="AK18" s="95">
        <f t="shared" si="35"/>
        <v>1</v>
      </c>
      <c r="AL18" s="58">
        <f t="shared" si="36"/>
        <v>0</v>
      </c>
      <c r="AM18" s="55">
        <f t="shared" si="68"/>
        <v>18</v>
      </c>
      <c r="AN18" s="93"/>
      <c r="AO18" s="96"/>
      <c r="AP18" s="96">
        <f t="shared" si="77"/>
        <v>0</v>
      </c>
      <c r="AQ18" s="96"/>
      <c r="AR18" s="96"/>
      <c r="AS18" s="96"/>
      <c r="AT18" s="96"/>
      <c r="AU18" s="96">
        <f t="shared" si="37"/>
        <v>0</v>
      </c>
      <c r="AV18" s="96">
        <f t="shared" si="37"/>
        <v>0</v>
      </c>
      <c r="AW18" s="96">
        <f t="shared" si="38"/>
        <v>0</v>
      </c>
      <c r="AX18" s="96">
        <f t="shared" si="39"/>
        <v>0</v>
      </c>
      <c r="AY18" s="94">
        <f t="shared" si="69"/>
        <v>0</v>
      </c>
      <c r="AZ18" s="94">
        <f t="shared" si="40"/>
        <v>0</v>
      </c>
      <c r="BA18" s="94">
        <f t="shared" si="41"/>
        <v>18</v>
      </c>
      <c r="BB18" s="97">
        <f t="shared" si="42"/>
        <v>0</v>
      </c>
      <c r="BC18" s="93"/>
      <c r="BD18" s="93">
        <f t="shared" si="43"/>
        <v>0</v>
      </c>
      <c r="BE18" s="95">
        <f t="shared" si="44"/>
        <v>1</v>
      </c>
      <c r="BF18" s="58">
        <f t="shared" si="45"/>
        <v>0</v>
      </c>
      <c r="BG18" s="94">
        <f t="shared" si="46"/>
        <v>18</v>
      </c>
      <c r="BH18" s="89"/>
      <c r="BI18" s="89"/>
      <c r="BJ18" s="92">
        <f t="shared" si="78"/>
        <v>0</v>
      </c>
      <c r="BK18" s="89"/>
      <c r="BL18" s="89"/>
      <c r="BM18" s="89"/>
      <c r="BN18" s="89"/>
      <c r="BO18" s="92">
        <f t="shared" si="70"/>
        <v>0</v>
      </c>
      <c r="BP18" s="92">
        <f t="shared" si="70"/>
        <v>0</v>
      </c>
      <c r="BQ18" s="96">
        <f t="shared" si="47"/>
        <v>0</v>
      </c>
      <c r="BR18" s="96">
        <f t="shared" si="48"/>
        <v>0</v>
      </c>
      <c r="BS18" s="96">
        <f t="shared" si="71"/>
        <v>0</v>
      </c>
      <c r="BT18" s="96">
        <f t="shared" si="49"/>
        <v>0</v>
      </c>
      <c r="BU18" s="92">
        <f t="shared" si="16"/>
        <v>0</v>
      </c>
      <c r="BV18" s="98">
        <f t="shared" si="17"/>
        <v>0</v>
      </c>
      <c r="BW18" s="92">
        <f t="shared" si="18"/>
        <v>0</v>
      </c>
      <c r="BX18" s="98">
        <f t="shared" si="50"/>
        <v>0</v>
      </c>
      <c r="BY18" s="61">
        <f t="shared" si="73"/>
        <v>0</v>
      </c>
      <c r="BZ18" s="62">
        <f t="shared" si="51"/>
        <v>0</v>
      </c>
      <c r="CA18" s="98">
        <f t="shared" si="52"/>
        <v>0</v>
      </c>
      <c r="CB18" s="92">
        <f t="shared" si="19"/>
        <v>0</v>
      </c>
      <c r="CC18" s="92">
        <f t="shared" si="19"/>
        <v>0</v>
      </c>
      <c r="CD18" s="92">
        <f t="shared" si="19"/>
        <v>0</v>
      </c>
      <c r="CE18" s="99"/>
      <c r="CF18" s="99"/>
      <c r="CG18" s="51">
        <f t="shared" si="53"/>
        <v>0</v>
      </c>
      <c r="CH18" s="62">
        <f t="shared" si="54"/>
        <v>0</v>
      </c>
      <c r="CI18" s="89"/>
      <c r="CJ18" s="89"/>
      <c r="CK18" s="89"/>
      <c r="CL18" s="96"/>
      <c r="CM18" s="89"/>
      <c r="CN18" s="89"/>
      <c r="CO18" s="92"/>
      <c r="CP18" s="101"/>
      <c r="CQ18" s="102">
        <f t="shared" si="55"/>
        <v>0</v>
      </c>
      <c r="CR18" s="102">
        <f t="shared" si="20"/>
        <v>0</v>
      </c>
      <c r="CS18" s="102">
        <f t="shared" si="20"/>
        <v>0</v>
      </c>
      <c r="CT18" s="92">
        <f t="shared" si="56"/>
        <v>0</v>
      </c>
      <c r="CU18" s="92">
        <f t="shared" si="57"/>
        <v>0</v>
      </c>
      <c r="CV18" s="103">
        <f t="shared" si="57"/>
        <v>0</v>
      </c>
      <c r="CW18" s="104"/>
      <c r="CX18" s="105">
        <v>79.33</v>
      </c>
      <c r="CY18" s="106">
        <f t="shared" si="58"/>
        <v>510</v>
      </c>
      <c r="CZ18" s="106">
        <f t="shared" si="59"/>
        <v>642.57299999999998</v>
      </c>
      <c r="DA18" s="106"/>
      <c r="DB18" s="106"/>
      <c r="DC18" s="105"/>
      <c r="DD18" s="107"/>
      <c r="DE18" s="92">
        <f t="shared" si="21"/>
        <v>0</v>
      </c>
      <c r="DF18" s="108">
        <f t="shared" si="22"/>
        <v>0</v>
      </c>
      <c r="DG18" s="112">
        <f t="shared" si="23"/>
        <v>0</v>
      </c>
      <c r="DH18" s="110">
        <f t="shared" si="24"/>
        <v>0</v>
      </c>
      <c r="DI18" s="108">
        <f t="shared" si="25"/>
        <v>0</v>
      </c>
      <c r="DJ18" s="112">
        <f t="shared" si="26"/>
        <v>0</v>
      </c>
      <c r="DK18" s="110">
        <f t="shared" si="27"/>
        <v>0</v>
      </c>
      <c r="DL18" s="108">
        <f t="shared" si="27"/>
        <v>0</v>
      </c>
      <c r="DM18" s="111">
        <f t="shared" si="27"/>
        <v>0</v>
      </c>
      <c r="DN18" s="76">
        <v>10</v>
      </c>
      <c r="DO18" s="76"/>
      <c r="DP18" s="112"/>
      <c r="DQ18" s="112"/>
      <c r="DR18" s="113" t="s">
        <v>517</v>
      </c>
      <c r="DS18" s="112"/>
      <c r="DT18" s="112"/>
      <c r="DU18" s="111"/>
      <c r="DV18" s="114"/>
      <c r="DW18" s="80">
        <f t="shared" si="79"/>
        <v>0</v>
      </c>
      <c r="DX18" s="81">
        <f t="shared" si="28"/>
        <v>0</v>
      </c>
      <c r="DY18" s="80">
        <f t="shared" si="62"/>
        <v>0</v>
      </c>
      <c r="DZ18" s="82">
        <f t="shared" si="63"/>
        <v>0</v>
      </c>
      <c r="EA18" s="82">
        <f t="shared" si="64"/>
        <v>0</v>
      </c>
      <c r="EB18" s="82">
        <f t="shared" si="65"/>
        <v>0</v>
      </c>
      <c r="EC18" s="82">
        <f t="shared" si="75"/>
        <v>0</v>
      </c>
      <c r="EF18" s="83">
        <f t="shared" si="76"/>
        <v>0</v>
      </c>
    </row>
    <row r="19" spans="1:136" hidden="1">
      <c r="A19" s="84">
        <v>12</v>
      </c>
      <c r="B19" s="85" t="s">
        <v>169</v>
      </c>
      <c r="C19" s="86"/>
      <c r="D19" s="116" t="s">
        <v>170</v>
      </c>
      <c r="E19" s="88">
        <v>104</v>
      </c>
      <c r="F19" s="89" t="s">
        <v>136</v>
      </c>
      <c r="G19" s="45" t="str">
        <f t="shared" si="30"/>
        <v>TV12L14-12x3-H9B14</v>
      </c>
      <c r="H19" s="46" t="str">
        <f t="shared" si="31"/>
        <v>12L14TV120DH9</v>
      </c>
      <c r="I19" s="46" t="str">
        <f t="shared" si="32"/>
        <v>12L14TV120DH93B14</v>
      </c>
      <c r="J19" s="90" t="s">
        <v>137</v>
      </c>
      <c r="K19" s="90" t="s">
        <v>138</v>
      </c>
      <c r="L19" s="90">
        <v>12</v>
      </c>
      <c r="M19" s="90">
        <v>0</v>
      </c>
      <c r="N19" s="90" t="s">
        <v>128</v>
      </c>
      <c r="O19" s="90" t="s">
        <v>131</v>
      </c>
      <c r="P19" s="90">
        <v>3</v>
      </c>
      <c r="Q19" s="91">
        <v>2.6520000000000001</v>
      </c>
      <c r="R19" s="90" t="s">
        <v>171</v>
      </c>
      <c r="S19" s="89">
        <f t="shared" si="33"/>
        <v>20</v>
      </c>
      <c r="T19" s="51">
        <v>0</v>
      </c>
      <c r="U19" s="92"/>
      <c r="V19" s="89">
        <v>10.6</v>
      </c>
      <c r="W19" s="93">
        <f t="shared" si="5"/>
        <v>0</v>
      </c>
      <c r="X19" s="93">
        <f t="shared" si="6"/>
        <v>0</v>
      </c>
      <c r="Y19" s="93">
        <f t="shared" si="7"/>
        <v>0</v>
      </c>
      <c r="Z19" s="93">
        <f t="shared" si="8"/>
        <v>0</v>
      </c>
      <c r="AA19" s="93">
        <f t="shared" si="9"/>
        <v>0</v>
      </c>
      <c r="AB19" s="93">
        <f t="shared" si="10"/>
        <v>0</v>
      </c>
      <c r="AC19" s="93">
        <f t="shared" si="11"/>
        <v>0</v>
      </c>
      <c r="AD19" s="93">
        <f t="shared" si="12"/>
        <v>0</v>
      </c>
      <c r="AE19" s="93">
        <f t="shared" si="34"/>
        <v>0</v>
      </c>
      <c r="AF19" s="54">
        <f>AE19+'07.02'!AF19</f>
        <v>6165</v>
      </c>
      <c r="AG19" s="94">
        <f t="shared" si="66"/>
        <v>0</v>
      </c>
      <c r="AH19" s="56">
        <f t="shared" si="13"/>
        <v>0</v>
      </c>
      <c r="AI19" s="89"/>
      <c r="AJ19" s="93">
        <f t="shared" si="67"/>
        <v>0</v>
      </c>
      <c r="AK19" s="95">
        <f t="shared" si="35"/>
        <v>1</v>
      </c>
      <c r="AL19" s="58">
        <f t="shared" si="36"/>
        <v>0</v>
      </c>
      <c r="AM19" s="55">
        <f t="shared" si="68"/>
        <v>0</v>
      </c>
      <c r="AN19" s="93"/>
      <c r="AO19" s="96"/>
      <c r="AP19" s="96">
        <f t="shared" si="77"/>
        <v>0</v>
      </c>
      <c r="AQ19" s="96"/>
      <c r="AR19" s="96"/>
      <c r="AS19" s="96"/>
      <c r="AT19" s="96"/>
      <c r="AU19" s="96">
        <f t="shared" si="37"/>
        <v>0</v>
      </c>
      <c r="AV19" s="96">
        <f t="shared" si="37"/>
        <v>0</v>
      </c>
      <c r="AW19" s="96">
        <f>SUM(AO19:AV19)</f>
        <v>0</v>
      </c>
      <c r="AX19" s="96">
        <f t="shared" si="39"/>
        <v>0</v>
      </c>
      <c r="AY19" s="94">
        <f t="shared" si="69"/>
        <v>0</v>
      </c>
      <c r="AZ19" s="94">
        <f t="shared" si="40"/>
        <v>0</v>
      </c>
      <c r="BA19" s="94">
        <f t="shared" si="41"/>
        <v>0</v>
      </c>
      <c r="BB19" s="97">
        <f t="shared" si="42"/>
        <v>0</v>
      </c>
      <c r="BC19" s="93"/>
      <c r="BD19" s="93">
        <f t="shared" si="43"/>
        <v>0</v>
      </c>
      <c r="BE19" s="95">
        <f t="shared" si="44"/>
        <v>1</v>
      </c>
      <c r="BF19" s="58">
        <f t="shared" si="45"/>
        <v>0</v>
      </c>
      <c r="BG19" s="94">
        <f t="shared" si="46"/>
        <v>0</v>
      </c>
      <c r="BH19" s="89"/>
      <c r="BI19" s="89"/>
      <c r="BJ19" s="92">
        <f t="shared" si="78"/>
        <v>0</v>
      </c>
      <c r="BK19" s="89"/>
      <c r="BL19" s="89"/>
      <c r="BM19" s="89"/>
      <c r="BN19" s="89"/>
      <c r="BO19" s="92">
        <f t="shared" si="70"/>
        <v>0</v>
      </c>
      <c r="BP19" s="92">
        <f t="shared" si="70"/>
        <v>0</v>
      </c>
      <c r="BQ19" s="96">
        <f t="shared" si="47"/>
        <v>0</v>
      </c>
      <c r="BR19" s="96">
        <f t="shared" si="48"/>
        <v>0</v>
      </c>
      <c r="BS19" s="96">
        <f t="shared" si="71"/>
        <v>0</v>
      </c>
      <c r="BT19" s="96">
        <f t="shared" si="49"/>
        <v>0</v>
      </c>
      <c r="BU19" s="92">
        <f t="shared" si="16"/>
        <v>0</v>
      </c>
      <c r="BV19" s="98">
        <f t="shared" si="17"/>
        <v>0</v>
      </c>
      <c r="BW19" s="92">
        <f t="shared" si="18"/>
        <v>0</v>
      </c>
      <c r="BX19" s="98">
        <f t="shared" si="50"/>
        <v>0</v>
      </c>
      <c r="BY19" s="61">
        <f t="shared" si="73"/>
        <v>0</v>
      </c>
      <c r="BZ19" s="62">
        <f t="shared" si="51"/>
        <v>0</v>
      </c>
      <c r="CA19" s="98">
        <f t="shared" si="52"/>
        <v>0</v>
      </c>
      <c r="CB19" s="92">
        <f t="shared" si="19"/>
        <v>0</v>
      </c>
      <c r="CC19" s="92">
        <f t="shared" si="19"/>
        <v>0</v>
      </c>
      <c r="CD19" s="92">
        <f t="shared" si="19"/>
        <v>0</v>
      </c>
      <c r="CE19" s="99"/>
      <c r="CF19" s="99"/>
      <c r="CG19" s="51">
        <f t="shared" si="53"/>
        <v>0</v>
      </c>
      <c r="CH19" s="62">
        <f t="shared" si="54"/>
        <v>0</v>
      </c>
      <c r="CI19" s="89"/>
      <c r="CJ19" s="89"/>
      <c r="CK19" s="89"/>
      <c r="CL19" s="96"/>
      <c r="CM19" s="89"/>
      <c r="CN19" s="89"/>
      <c r="CO19" s="92"/>
      <c r="CP19" s="101"/>
      <c r="CQ19" s="102">
        <f t="shared" si="55"/>
        <v>0</v>
      </c>
      <c r="CR19" s="102">
        <f t="shared" si="20"/>
        <v>0</v>
      </c>
      <c r="CS19" s="102">
        <f t="shared" si="20"/>
        <v>0</v>
      </c>
      <c r="CT19" s="92">
        <f t="shared" si="56"/>
        <v>0</v>
      </c>
      <c r="CU19" s="92">
        <f t="shared" si="57"/>
        <v>0</v>
      </c>
      <c r="CV19" s="103">
        <f t="shared" si="57"/>
        <v>0</v>
      </c>
      <c r="CW19" s="104"/>
      <c r="CX19" s="105">
        <v>37.89</v>
      </c>
      <c r="CY19" s="106">
        <f t="shared" si="58"/>
        <v>1053</v>
      </c>
      <c r="CZ19" s="106">
        <f t="shared" si="59"/>
        <v>306.90900000000005</v>
      </c>
      <c r="DA19" s="106"/>
      <c r="DB19" s="106"/>
      <c r="DC19" s="105"/>
      <c r="DD19" s="107"/>
      <c r="DE19" s="92">
        <f t="shared" si="21"/>
        <v>0</v>
      </c>
      <c r="DF19" s="108">
        <f t="shared" si="22"/>
        <v>0</v>
      </c>
      <c r="DG19" s="112">
        <f t="shared" si="23"/>
        <v>0</v>
      </c>
      <c r="DH19" s="110">
        <f t="shared" si="24"/>
        <v>0</v>
      </c>
      <c r="DI19" s="108">
        <f t="shared" si="25"/>
        <v>0</v>
      </c>
      <c r="DJ19" s="112">
        <f t="shared" si="26"/>
        <v>0</v>
      </c>
      <c r="DK19" s="110">
        <f t="shared" si="27"/>
        <v>0</v>
      </c>
      <c r="DL19" s="108">
        <f t="shared" si="27"/>
        <v>0</v>
      </c>
      <c r="DM19" s="111">
        <f t="shared" si="27"/>
        <v>0</v>
      </c>
      <c r="DN19" s="76">
        <f t="shared" si="60"/>
        <v>0</v>
      </c>
      <c r="DO19" s="76">
        <f t="shared" si="60"/>
        <v>0</v>
      </c>
      <c r="DP19" s="112"/>
      <c r="DQ19" s="112"/>
      <c r="DR19" s="113"/>
      <c r="DS19" s="112"/>
      <c r="DT19" s="112"/>
      <c r="DU19" s="111"/>
      <c r="DV19" s="114"/>
      <c r="DW19" s="80">
        <f t="shared" si="79"/>
        <v>0</v>
      </c>
      <c r="DX19" s="81">
        <f t="shared" si="28"/>
        <v>0</v>
      </c>
      <c r="DY19" s="80">
        <f t="shared" si="62"/>
        <v>0</v>
      </c>
      <c r="DZ19" s="82">
        <f t="shared" si="63"/>
        <v>0</v>
      </c>
      <c r="EA19" s="82">
        <f t="shared" si="64"/>
        <v>0</v>
      </c>
      <c r="EB19" s="82">
        <f t="shared" si="65"/>
        <v>0</v>
      </c>
      <c r="EC19" s="82">
        <f t="shared" si="75"/>
        <v>0</v>
      </c>
      <c r="EE19" t="s">
        <v>2</v>
      </c>
    </row>
    <row r="20" spans="1:136" ht="14.1" customHeight="1">
      <c r="A20" s="84">
        <v>13</v>
      </c>
      <c r="B20" s="85" t="s">
        <v>172</v>
      </c>
      <c r="C20" s="86"/>
      <c r="D20" s="87" t="s">
        <v>173</v>
      </c>
      <c r="E20" s="88">
        <v>298</v>
      </c>
      <c r="F20" s="89" t="s">
        <v>128</v>
      </c>
      <c r="G20" s="45" t="str">
        <f t="shared" si="30"/>
        <v>GWA6063-T5-8.3x3-H9B14</v>
      </c>
      <c r="H20" s="46" t="str">
        <f t="shared" si="31"/>
        <v>A6063-T5GW8.30DH9</v>
      </c>
      <c r="I20" s="46" t="str">
        <f t="shared" si="32"/>
        <v>A6063-T5GW8.30DH93B14</v>
      </c>
      <c r="J20" s="90" t="s">
        <v>129</v>
      </c>
      <c r="K20" s="90" t="s">
        <v>130</v>
      </c>
      <c r="L20" s="90">
        <v>8.3000000000000007</v>
      </c>
      <c r="M20" s="90">
        <v>0</v>
      </c>
      <c r="N20" s="90" t="s">
        <v>128</v>
      </c>
      <c r="O20" s="90" t="s">
        <v>131</v>
      </c>
      <c r="P20" s="90">
        <v>3</v>
      </c>
      <c r="Q20" s="91">
        <v>0.435</v>
      </c>
      <c r="R20" s="90" t="s">
        <v>171</v>
      </c>
      <c r="S20" s="89">
        <f t="shared" si="33"/>
        <v>18</v>
      </c>
      <c r="T20" s="51">
        <f>'07.02'!BG20</f>
        <v>41</v>
      </c>
      <c r="U20" s="92"/>
      <c r="V20" s="89">
        <v>1.05</v>
      </c>
      <c r="W20" s="93">
        <f t="shared" si="5"/>
        <v>0</v>
      </c>
      <c r="X20" s="93">
        <f t="shared" si="6"/>
        <v>0</v>
      </c>
      <c r="Y20" s="93">
        <f t="shared" si="7"/>
        <v>0</v>
      </c>
      <c r="Z20" s="93">
        <f t="shared" si="8"/>
        <v>0</v>
      </c>
      <c r="AA20" s="93">
        <f t="shared" si="9"/>
        <v>0</v>
      </c>
      <c r="AB20" s="93">
        <f t="shared" si="10"/>
        <v>0</v>
      </c>
      <c r="AC20" s="93">
        <f t="shared" si="11"/>
        <v>0</v>
      </c>
      <c r="AD20" s="93">
        <f t="shared" si="12"/>
        <v>0</v>
      </c>
      <c r="AE20" s="93">
        <f t="shared" si="34"/>
        <v>0</v>
      </c>
      <c r="AF20" s="54">
        <f>AE20+'07.02'!AF20</f>
        <v>848</v>
      </c>
      <c r="AG20" s="94">
        <f t="shared" si="66"/>
        <v>41</v>
      </c>
      <c r="AH20" s="56">
        <f t="shared" si="13"/>
        <v>0</v>
      </c>
      <c r="AI20" s="100"/>
      <c r="AJ20" s="93">
        <f t="shared" si="67"/>
        <v>0</v>
      </c>
      <c r="AK20" s="95">
        <f t="shared" si="35"/>
        <v>1</v>
      </c>
      <c r="AL20" s="58">
        <f t="shared" si="36"/>
        <v>0</v>
      </c>
      <c r="AM20" s="55">
        <f t="shared" si="68"/>
        <v>41</v>
      </c>
      <c r="AN20" s="93"/>
      <c r="AO20" s="96"/>
      <c r="AP20" s="96"/>
      <c r="AQ20" s="96"/>
      <c r="AR20" s="96"/>
      <c r="AS20" s="96"/>
      <c r="AT20" s="96">
        <f t="shared" ref="AT20" si="80">$CJ20</f>
        <v>0</v>
      </c>
      <c r="AU20" s="96">
        <f t="shared" si="37"/>
        <v>0</v>
      </c>
      <c r="AV20" s="96">
        <f t="shared" si="37"/>
        <v>0</v>
      </c>
      <c r="AW20" s="96">
        <f t="shared" si="38"/>
        <v>0</v>
      </c>
      <c r="AX20" s="96">
        <f t="shared" si="39"/>
        <v>0</v>
      </c>
      <c r="AY20" s="94">
        <f t="shared" si="69"/>
        <v>0</v>
      </c>
      <c r="AZ20" s="94">
        <f t="shared" si="40"/>
        <v>0</v>
      </c>
      <c r="BA20" s="94">
        <f t="shared" si="41"/>
        <v>41</v>
      </c>
      <c r="BB20" s="97">
        <f t="shared" si="42"/>
        <v>0</v>
      </c>
      <c r="BC20" s="93"/>
      <c r="BD20" s="93">
        <f t="shared" si="43"/>
        <v>0</v>
      </c>
      <c r="BE20" s="95">
        <f t="shared" si="44"/>
        <v>1</v>
      </c>
      <c r="BF20" s="58">
        <f t="shared" si="45"/>
        <v>0</v>
      </c>
      <c r="BG20" s="94">
        <f t="shared" si="46"/>
        <v>41</v>
      </c>
      <c r="BH20" s="89"/>
      <c r="BI20" s="89"/>
      <c r="BJ20" s="92"/>
      <c r="BK20" s="89"/>
      <c r="BL20" s="89"/>
      <c r="BM20" s="89"/>
      <c r="BN20" s="92">
        <f t="shared" ref="BN20" si="81">$CN20</f>
        <v>0</v>
      </c>
      <c r="BO20" s="92">
        <f t="shared" si="70"/>
        <v>0</v>
      </c>
      <c r="BP20" s="92">
        <f t="shared" si="70"/>
        <v>0</v>
      </c>
      <c r="BQ20" s="96">
        <f t="shared" si="47"/>
        <v>0</v>
      </c>
      <c r="BR20" s="96">
        <f t="shared" si="48"/>
        <v>0</v>
      </c>
      <c r="BS20" s="96">
        <f t="shared" si="71"/>
        <v>0</v>
      </c>
      <c r="BT20" s="96">
        <f t="shared" si="49"/>
        <v>0</v>
      </c>
      <c r="BU20" s="92">
        <f t="shared" si="16"/>
        <v>0</v>
      </c>
      <c r="BV20" s="98">
        <f t="shared" si="17"/>
        <v>0</v>
      </c>
      <c r="BW20" s="92">
        <f t="shared" si="18"/>
        <v>0</v>
      </c>
      <c r="BX20" s="98">
        <f t="shared" si="50"/>
        <v>0</v>
      </c>
      <c r="BY20" s="61">
        <f t="shared" si="73"/>
        <v>0</v>
      </c>
      <c r="BZ20" s="62">
        <f t="shared" si="51"/>
        <v>0</v>
      </c>
      <c r="CA20" s="98">
        <f t="shared" si="52"/>
        <v>0</v>
      </c>
      <c r="CB20" s="92">
        <f t="shared" si="19"/>
        <v>0</v>
      </c>
      <c r="CC20" s="92">
        <f t="shared" si="19"/>
        <v>0</v>
      </c>
      <c r="CD20" s="92">
        <f t="shared" si="19"/>
        <v>0</v>
      </c>
      <c r="CE20" s="99"/>
      <c r="CF20" s="99"/>
      <c r="CG20" s="51">
        <f t="shared" si="53"/>
        <v>0</v>
      </c>
      <c r="CH20" s="62">
        <f t="shared" si="54"/>
        <v>0</v>
      </c>
      <c r="CI20" s="89"/>
      <c r="CJ20" s="89"/>
      <c r="CK20" s="89"/>
      <c r="CL20" s="96"/>
      <c r="CM20" s="89"/>
      <c r="CN20" s="89"/>
      <c r="CO20" s="92"/>
      <c r="CP20" s="101"/>
      <c r="CQ20" s="102">
        <f t="shared" si="55"/>
        <v>0</v>
      </c>
      <c r="CR20" s="102">
        <f t="shared" si="20"/>
        <v>0</v>
      </c>
      <c r="CS20" s="102">
        <f t="shared" si="20"/>
        <v>0</v>
      </c>
      <c r="CT20" s="92">
        <f t="shared" si="56"/>
        <v>0</v>
      </c>
      <c r="CU20" s="92">
        <f t="shared" si="57"/>
        <v>0</v>
      </c>
      <c r="CV20" s="103">
        <f t="shared" si="57"/>
        <v>0</v>
      </c>
      <c r="CW20" s="104"/>
      <c r="CX20" s="105">
        <v>15</v>
      </c>
      <c r="CY20" s="106">
        <f t="shared" si="58"/>
        <v>2680</v>
      </c>
      <c r="CZ20" s="106">
        <f t="shared" si="59"/>
        <v>121.50000000000001</v>
      </c>
      <c r="DA20" s="106"/>
      <c r="DB20" s="106"/>
      <c r="DC20" s="105"/>
      <c r="DD20" s="107"/>
      <c r="DE20" s="92">
        <f t="shared" si="21"/>
        <v>0</v>
      </c>
      <c r="DF20" s="108">
        <f t="shared" si="22"/>
        <v>0</v>
      </c>
      <c r="DG20" s="112">
        <f t="shared" si="23"/>
        <v>0</v>
      </c>
      <c r="DH20" s="110">
        <f t="shared" si="24"/>
        <v>0</v>
      </c>
      <c r="DI20" s="108">
        <f t="shared" si="25"/>
        <v>0</v>
      </c>
      <c r="DJ20" s="112">
        <f t="shared" si="26"/>
        <v>0</v>
      </c>
      <c r="DK20" s="110">
        <f t="shared" si="27"/>
        <v>0</v>
      </c>
      <c r="DL20" s="108">
        <f t="shared" si="27"/>
        <v>0</v>
      </c>
      <c r="DM20" s="111">
        <f t="shared" si="27"/>
        <v>0</v>
      </c>
      <c r="DN20" s="76">
        <v>41</v>
      </c>
      <c r="DO20" s="76"/>
      <c r="DP20" s="112"/>
      <c r="DQ20" s="112"/>
      <c r="DR20" s="113" t="s">
        <v>518</v>
      </c>
      <c r="DS20" s="112"/>
      <c r="DT20" s="112"/>
      <c r="DU20" s="111"/>
      <c r="DV20" s="114"/>
      <c r="DW20" s="80">
        <f t="shared" si="61"/>
        <v>0</v>
      </c>
      <c r="DX20" s="81">
        <f t="shared" si="28"/>
        <v>0</v>
      </c>
      <c r="DY20" s="80">
        <f t="shared" si="62"/>
        <v>0</v>
      </c>
      <c r="DZ20" s="82">
        <f t="shared" si="63"/>
        <v>0</v>
      </c>
      <c r="EA20" s="82">
        <f t="shared" si="64"/>
        <v>0</v>
      </c>
      <c r="EB20" s="82">
        <f t="shared" si="65"/>
        <v>0</v>
      </c>
      <c r="EC20" s="82">
        <f t="shared" si="75"/>
        <v>0</v>
      </c>
      <c r="EF20" s="83">
        <f t="shared" ref="EF20:EF25" si="82">DG20+DJ20</f>
        <v>0</v>
      </c>
    </row>
    <row r="21" spans="1:136" s="143" customFormat="1" ht="14.1" customHeight="1">
      <c r="A21" s="84">
        <v>14</v>
      </c>
      <c r="B21" s="120" t="s">
        <v>144</v>
      </c>
      <c r="C21" s="121"/>
      <c r="D21" s="116" t="s">
        <v>143</v>
      </c>
      <c r="E21" s="88">
        <v>283</v>
      </c>
      <c r="F21" s="100"/>
      <c r="G21" s="122" t="str">
        <f t="shared" si="30"/>
        <v>TV12L14-11x2.5-H9C14</v>
      </c>
      <c r="H21" s="123" t="str">
        <f t="shared" si="31"/>
        <v>12L14TV110DH9</v>
      </c>
      <c r="I21" s="123" t="str">
        <f t="shared" si="32"/>
        <v>12L14TV110DH92.5C14</v>
      </c>
      <c r="J21" s="90" t="s">
        <v>137</v>
      </c>
      <c r="K21" s="90" t="s">
        <v>138</v>
      </c>
      <c r="L21" s="90">
        <v>11</v>
      </c>
      <c r="M21" s="90">
        <v>0</v>
      </c>
      <c r="N21" s="90" t="s">
        <v>128</v>
      </c>
      <c r="O21" s="90" t="s">
        <v>131</v>
      </c>
      <c r="P21" s="90">
        <v>2.5</v>
      </c>
      <c r="Q21" s="91"/>
      <c r="R21" s="90" t="s">
        <v>144</v>
      </c>
      <c r="S21" s="89">
        <f t="shared" si="33"/>
        <v>10</v>
      </c>
      <c r="T21" s="51">
        <f>'07.02'!BG21</f>
        <v>9</v>
      </c>
      <c r="U21" s="124">
        <v>11</v>
      </c>
      <c r="V21" s="100">
        <v>2</v>
      </c>
      <c r="W21" s="125">
        <f t="shared" si="5"/>
        <v>0</v>
      </c>
      <c r="X21" s="125">
        <f t="shared" si="6"/>
        <v>0</v>
      </c>
      <c r="Y21" s="125">
        <f t="shared" si="7"/>
        <v>0</v>
      </c>
      <c r="Z21" s="125">
        <f t="shared" si="8"/>
        <v>0</v>
      </c>
      <c r="AA21" s="125">
        <f t="shared" si="9"/>
        <v>0</v>
      </c>
      <c r="AB21" s="125">
        <f t="shared" si="10"/>
        <v>0</v>
      </c>
      <c r="AC21" s="125">
        <f t="shared" si="11"/>
        <v>0</v>
      </c>
      <c r="AD21" s="125">
        <f t="shared" si="12"/>
        <v>0</v>
      </c>
      <c r="AE21" s="125">
        <f t="shared" si="34"/>
        <v>0</v>
      </c>
      <c r="AF21" s="54">
        <f>AE21+'07.02'!AF21</f>
        <v>23552</v>
      </c>
      <c r="AG21" s="94">
        <f t="shared" si="66"/>
        <v>9</v>
      </c>
      <c r="AH21" s="56">
        <f t="shared" si="13"/>
        <v>0</v>
      </c>
      <c r="AI21" s="89"/>
      <c r="AJ21" s="93">
        <f t="shared" si="67"/>
        <v>0</v>
      </c>
      <c r="AK21" s="95">
        <f t="shared" si="35"/>
        <v>1</v>
      </c>
      <c r="AL21" s="58">
        <f t="shared" si="36"/>
        <v>0</v>
      </c>
      <c r="AM21" s="55">
        <f t="shared" si="68"/>
        <v>20</v>
      </c>
      <c r="AN21" s="125"/>
      <c r="AO21" s="126"/>
      <c r="AP21" s="126">
        <f t="shared" ref="AP21" si="83">$CJ21</f>
        <v>0</v>
      </c>
      <c r="AQ21" s="126"/>
      <c r="AR21" s="126"/>
      <c r="AS21" s="126"/>
      <c r="AT21" s="126"/>
      <c r="AU21" s="126">
        <f t="shared" si="37"/>
        <v>0</v>
      </c>
      <c r="AV21" s="126">
        <f t="shared" si="37"/>
        <v>0</v>
      </c>
      <c r="AW21" s="126">
        <f t="shared" si="38"/>
        <v>0</v>
      </c>
      <c r="AX21" s="126">
        <f t="shared" si="39"/>
        <v>0</v>
      </c>
      <c r="AY21" s="94">
        <f t="shared" si="69"/>
        <v>0</v>
      </c>
      <c r="AZ21" s="94">
        <f t="shared" si="40"/>
        <v>0</v>
      </c>
      <c r="BA21" s="94">
        <f t="shared" si="41"/>
        <v>20</v>
      </c>
      <c r="BB21" s="97">
        <f t="shared" si="42"/>
        <v>0</v>
      </c>
      <c r="BC21" s="125"/>
      <c r="BD21" s="93">
        <f t="shared" si="43"/>
        <v>0</v>
      </c>
      <c r="BE21" s="127">
        <f t="shared" si="44"/>
        <v>1</v>
      </c>
      <c r="BF21" s="58">
        <f t="shared" si="45"/>
        <v>0</v>
      </c>
      <c r="BG21" s="94">
        <f t="shared" si="46"/>
        <v>20</v>
      </c>
      <c r="BH21" s="100"/>
      <c r="BI21" s="100"/>
      <c r="BJ21" s="92">
        <f t="shared" ref="BJ21" si="84">$CN21</f>
        <v>0</v>
      </c>
      <c r="BK21" s="100"/>
      <c r="BL21" s="100"/>
      <c r="BM21" s="100"/>
      <c r="BN21" s="92"/>
      <c r="BO21" s="124">
        <f t="shared" si="70"/>
        <v>0</v>
      </c>
      <c r="BP21" s="124">
        <f t="shared" si="70"/>
        <v>0</v>
      </c>
      <c r="BQ21" s="126">
        <f t="shared" si="47"/>
        <v>0</v>
      </c>
      <c r="BR21" s="126">
        <f t="shared" si="48"/>
        <v>0</v>
      </c>
      <c r="BS21" s="126">
        <f t="shared" si="71"/>
        <v>0</v>
      </c>
      <c r="BT21" s="126">
        <f t="shared" si="49"/>
        <v>0</v>
      </c>
      <c r="BU21" s="124">
        <f t="shared" si="16"/>
        <v>0</v>
      </c>
      <c r="BV21" s="128">
        <f t="shared" si="17"/>
        <v>0</v>
      </c>
      <c r="BW21" s="124">
        <f t="shared" si="18"/>
        <v>0</v>
      </c>
      <c r="BX21" s="128" t="str">
        <f t="shared" si="50"/>
        <v/>
      </c>
      <c r="BY21" s="129">
        <f t="shared" si="73"/>
        <v>0</v>
      </c>
      <c r="BZ21" s="62">
        <f t="shared" si="51"/>
        <v>0</v>
      </c>
      <c r="CA21" s="128">
        <f t="shared" si="52"/>
        <v>0</v>
      </c>
      <c r="CB21" s="124">
        <f t="shared" si="19"/>
        <v>0</v>
      </c>
      <c r="CC21" s="124">
        <f t="shared" si="19"/>
        <v>0</v>
      </c>
      <c r="CD21" s="124">
        <f t="shared" si="19"/>
        <v>0</v>
      </c>
      <c r="CE21" s="100"/>
      <c r="CF21" s="100"/>
      <c r="CG21" s="51">
        <f t="shared" si="53"/>
        <v>0</v>
      </c>
      <c r="CH21" s="62">
        <f t="shared" si="54"/>
        <v>0</v>
      </c>
      <c r="CI21" s="100"/>
      <c r="CJ21" s="100"/>
      <c r="CK21" s="100"/>
      <c r="CL21" s="126"/>
      <c r="CM21" s="100"/>
      <c r="CN21" s="100"/>
      <c r="CO21" s="124"/>
      <c r="CP21" s="130"/>
      <c r="CQ21" s="102">
        <f t="shared" si="55"/>
        <v>0</v>
      </c>
      <c r="CR21" s="102">
        <f t="shared" si="20"/>
        <v>0</v>
      </c>
      <c r="CS21" s="102">
        <f t="shared" si="20"/>
        <v>0</v>
      </c>
      <c r="CT21" s="92">
        <f t="shared" si="56"/>
        <v>0</v>
      </c>
      <c r="CU21" s="92">
        <f t="shared" si="57"/>
        <v>0</v>
      </c>
      <c r="CV21" s="103">
        <f t="shared" si="57"/>
        <v>0</v>
      </c>
      <c r="CW21" s="131"/>
      <c r="CX21" s="132">
        <v>30</v>
      </c>
      <c r="CY21" s="133">
        <f t="shared" si="58"/>
        <v>1380</v>
      </c>
      <c r="CZ21" s="133">
        <f t="shared" si="59"/>
        <v>243.00000000000003</v>
      </c>
      <c r="DA21" s="133"/>
      <c r="DB21" s="133"/>
      <c r="DC21" s="132"/>
      <c r="DD21" s="134"/>
      <c r="DE21" s="124">
        <f t="shared" si="21"/>
        <v>0</v>
      </c>
      <c r="DF21" s="135">
        <f t="shared" si="22"/>
        <v>0</v>
      </c>
      <c r="DG21" s="112">
        <f t="shared" si="23"/>
        <v>0</v>
      </c>
      <c r="DH21" s="136">
        <f t="shared" si="24"/>
        <v>0</v>
      </c>
      <c r="DI21" s="135">
        <f t="shared" si="25"/>
        <v>0</v>
      </c>
      <c r="DJ21" s="115">
        <f t="shared" si="26"/>
        <v>0</v>
      </c>
      <c r="DK21" s="136">
        <f t="shared" si="27"/>
        <v>0</v>
      </c>
      <c r="DL21" s="135">
        <f t="shared" si="27"/>
        <v>0</v>
      </c>
      <c r="DM21" s="137">
        <f t="shared" si="27"/>
        <v>0</v>
      </c>
      <c r="DN21" s="76">
        <v>7</v>
      </c>
      <c r="DO21" s="76"/>
      <c r="DP21" s="115"/>
      <c r="DQ21" s="115"/>
      <c r="DR21" s="138" t="s">
        <v>519</v>
      </c>
      <c r="DS21" s="115"/>
      <c r="DT21" s="115"/>
      <c r="DU21" s="137"/>
      <c r="DV21" s="139"/>
      <c r="DW21" s="140">
        <f t="shared" si="61"/>
        <v>0</v>
      </c>
      <c r="DX21" s="141">
        <f t="shared" si="28"/>
        <v>0</v>
      </c>
      <c r="DY21" s="140">
        <f t="shared" si="62"/>
        <v>0</v>
      </c>
      <c r="DZ21" s="142">
        <f t="shared" si="63"/>
        <v>0</v>
      </c>
      <c r="EA21" s="142">
        <f t="shared" si="64"/>
        <v>0</v>
      </c>
      <c r="EB21" s="142" t="e">
        <f t="shared" si="65"/>
        <v>#VALUE!</v>
      </c>
      <c r="EC21" s="142" t="e">
        <f t="shared" si="75"/>
        <v>#VALUE!</v>
      </c>
      <c r="EF21" s="83">
        <f t="shared" si="82"/>
        <v>0</v>
      </c>
    </row>
    <row r="22" spans="1:136" ht="14.1" customHeight="1">
      <c r="A22" s="84">
        <v>15</v>
      </c>
      <c r="B22" s="85" t="s">
        <v>176</v>
      </c>
      <c r="C22" s="86"/>
      <c r="D22" s="87" t="s">
        <v>177</v>
      </c>
      <c r="E22" s="88">
        <v>40</v>
      </c>
      <c r="F22" s="89"/>
      <c r="G22" s="45" t="str">
        <f t="shared" si="30"/>
        <v>TV12L14-5.97x2.5-H9B14</v>
      </c>
      <c r="H22" s="46" t="str">
        <f t="shared" si="31"/>
        <v>12L14TV5.970DH9</v>
      </c>
      <c r="I22" s="46" t="str">
        <f t="shared" si="32"/>
        <v>12L14TV5.970DH92.5B14</v>
      </c>
      <c r="J22" s="90" t="s">
        <v>137</v>
      </c>
      <c r="K22" s="90" t="s">
        <v>138</v>
      </c>
      <c r="L22" s="90">
        <v>5.97</v>
      </c>
      <c r="M22" s="90">
        <v>0</v>
      </c>
      <c r="N22" s="90" t="s">
        <v>128</v>
      </c>
      <c r="O22" s="90" t="s">
        <v>131</v>
      </c>
      <c r="P22" s="90">
        <v>2.5</v>
      </c>
      <c r="Q22" s="91">
        <v>0.54700000000000004</v>
      </c>
      <c r="R22" s="90" t="s">
        <v>171</v>
      </c>
      <c r="S22" s="89">
        <f t="shared" si="33"/>
        <v>48</v>
      </c>
      <c r="T22" s="51">
        <f>'07.02'!BG22</f>
        <v>182</v>
      </c>
      <c r="U22" s="92"/>
      <c r="V22" s="89">
        <v>4.45</v>
      </c>
      <c r="W22" s="93">
        <f t="shared" si="5"/>
        <v>0</v>
      </c>
      <c r="X22" s="93">
        <f t="shared" si="6"/>
        <v>0</v>
      </c>
      <c r="Y22" s="93">
        <f t="shared" si="7"/>
        <v>0</v>
      </c>
      <c r="Z22" s="93">
        <f t="shared" si="8"/>
        <v>0</v>
      </c>
      <c r="AA22" s="93">
        <f t="shared" si="9"/>
        <v>0</v>
      </c>
      <c r="AB22" s="93">
        <f t="shared" si="10"/>
        <v>0</v>
      </c>
      <c r="AC22" s="93">
        <f t="shared" si="11"/>
        <v>0</v>
      </c>
      <c r="AD22" s="93">
        <f t="shared" si="12"/>
        <v>0</v>
      </c>
      <c r="AE22" s="93">
        <f t="shared" si="34"/>
        <v>0</v>
      </c>
      <c r="AF22" s="54">
        <f>AE22+'07.02'!AF22</f>
        <v>5730</v>
      </c>
      <c r="AG22" s="94">
        <f t="shared" si="66"/>
        <v>182</v>
      </c>
      <c r="AH22" s="56">
        <f t="shared" si="13"/>
        <v>0</v>
      </c>
      <c r="AI22" s="93"/>
      <c r="AJ22" s="93">
        <f t="shared" si="67"/>
        <v>0</v>
      </c>
      <c r="AK22" s="95">
        <f t="shared" si="35"/>
        <v>1</v>
      </c>
      <c r="AL22" s="58">
        <f t="shared" si="36"/>
        <v>0</v>
      </c>
      <c r="AM22" s="55">
        <f t="shared" si="68"/>
        <v>182</v>
      </c>
      <c r="AN22" s="93"/>
      <c r="AO22" s="96"/>
      <c r="AP22" s="96">
        <f>$CJ22</f>
        <v>0</v>
      </c>
      <c r="AQ22" s="96"/>
      <c r="AR22" s="96"/>
      <c r="AS22" s="96"/>
      <c r="AT22" s="96"/>
      <c r="AU22" s="96">
        <f t="shared" si="37"/>
        <v>0</v>
      </c>
      <c r="AV22" s="96">
        <f t="shared" si="37"/>
        <v>0</v>
      </c>
      <c r="AW22" s="96">
        <f t="shared" si="38"/>
        <v>0</v>
      </c>
      <c r="AX22" s="96">
        <f t="shared" si="39"/>
        <v>0</v>
      </c>
      <c r="AY22" s="94">
        <f t="shared" si="69"/>
        <v>0</v>
      </c>
      <c r="AZ22" s="94">
        <f t="shared" si="40"/>
        <v>0</v>
      </c>
      <c r="BA22" s="94">
        <f t="shared" si="41"/>
        <v>182</v>
      </c>
      <c r="BB22" s="97">
        <f t="shared" si="42"/>
        <v>0</v>
      </c>
      <c r="BC22" s="93"/>
      <c r="BD22" s="93">
        <f t="shared" si="43"/>
        <v>0</v>
      </c>
      <c r="BE22" s="95">
        <f t="shared" si="44"/>
        <v>1</v>
      </c>
      <c r="BF22" s="58">
        <f t="shared" si="45"/>
        <v>0</v>
      </c>
      <c r="BG22" s="94">
        <f t="shared" si="46"/>
        <v>182</v>
      </c>
      <c r="BH22" s="89"/>
      <c r="BI22" s="89"/>
      <c r="BJ22" s="92">
        <f>$CN22</f>
        <v>0</v>
      </c>
      <c r="BK22" s="89"/>
      <c r="BL22" s="89"/>
      <c r="BM22" s="89"/>
      <c r="BN22" s="89"/>
      <c r="BO22" s="92">
        <f t="shared" si="70"/>
        <v>0</v>
      </c>
      <c r="BP22" s="92">
        <f t="shared" si="70"/>
        <v>0</v>
      </c>
      <c r="BQ22" s="96">
        <f t="shared" si="47"/>
        <v>0</v>
      </c>
      <c r="BR22" s="96">
        <f t="shared" si="48"/>
        <v>0</v>
      </c>
      <c r="BS22" s="96">
        <f t="shared" si="71"/>
        <v>0</v>
      </c>
      <c r="BT22" s="96">
        <f t="shared" si="49"/>
        <v>0</v>
      </c>
      <c r="BU22" s="92">
        <f t="shared" si="16"/>
        <v>0</v>
      </c>
      <c r="BV22" s="98">
        <f t="shared" si="17"/>
        <v>0</v>
      </c>
      <c r="BW22" s="92">
        <f t="shared" si="18"/>
        <v>0</v>
      </c>
      <c r="BX22" s="98">
        <f t="shared" si="50"/>
        <v>0</v>
      </c>
      <c r="BY22" s="61">
        <f t="shared" si="73"/>
        <v>0</v>
      </c>
      <c r="BZ22" s="62">
        <f t="shared" si="51"/>
        <v>0</v>
      </c>
      <c r="CA22" s="98">
        <f t="shared" si="52"/>
        <v>0</v>
      </c>
      <c r="CB22" s="92">
        <f t="shared" si="19"/>
        <v>0</v>
      </c>
      <c r="CC22" s="92">
        <f t="shared" si="19"/>
        <v>0</v>
      </c>
      <c r="CD22" s="92">
        <f t="shared" si="19"/>
        <v>0</v>
      </c>
      <c r="CE22" s="99"/>
      <c r="CF22" s="99"/>
      <c r="CG22" s="51">
        <f t="shared" si="53"/>
        <v>0</v>
      </c>
      <c r="CH22" s="62">
        <f t="shared" si="54"/>
        <v>0</v>
      </c>
      <c r="CI22" s="89"/>
      <c r="CJ22" s="89"/>
      <c r="CK22" s="89"/>
      <c r="CL22" s="96"/>
      <c r="CM22" s="89"/>
      <c r="CN22" s="89"/>
      <c r="CO22" s="92"/>
      <c r="CP22" s="101"/>
      <c r="CQ22" s="102">
        <f t="shared" si="55"/>
        <v>0</v>
      </c>
      <c r="CR22" s="102">
        <f t="shared" si="20"/>
        <v>0</v>
      </c>
      <c r="CS22" s="102">
        <f t="shared" si="20"/>
        <v>0</v>
      </c>
      <c r="CT22" s="92">
        <f t="shared" si="56"/>
        <v>0</v>
      </c>
      <c r="CU22" s="92">
        <f t="shared" si="57"/>
        <v>0</v>
      </c>
      <c r="CV22" s="103">
        <f t="shared" si="57"/>
        <v>0</v>
      </c>
      <c r="CW22" s="104"/>
      <c r="CX22" s="105">
        <v>36.090000000000003</v>
      </c>
      <c r="CY22" s="106">
        <f t="shared" si="58"/>
        <v>947</v>
      </c>
      <c r="CZ22" s="106">
        <f t="shared" si="59"/>
        <v>292.32900000000006</v>
      </c>
      <c r="DA22" s="106"/>
      <c r="DB22" s="106"/>
      <c r="DC22" s="105"/>
      <c r="DD22" s="107"/>
      <c r="DE22" s="92">
        <f t="shared" si="21"/>
        <v>0</v>
      </c>
      <c r="DF22" s="108">
        <f t="shared" si="22"/>
        <v>0</v>
      </c>
      <c r="DG22" s="112">
        <f t="shared" si="23"/>
        <v>0</v>
      </c>
      <c r="DH22" s="110">
        <f t="shared" si="24"/>
        <v>0</v>
      </c>
      <c r="DI22" s="108">
        <f t="shared" si="25"/>
        <v>0</v>
      </c>
      <c r="DJ22" s="112">
        <f t="shared" si="26"/>
        <v>0</v>
      </c>
      <c r="DK22" s="110">
        <f t="shared" si="27"/>
        <v>0</v>
      </c>
      <c r="DL22" s="108">
        <f t="shared" si="27"/>
        <v>0</v>
      </c>
      <c r="DM22" s="111">
        <f t="shared" si="27"/>
        <v>0</v>
      </c>
      <c r="DN22" s="76">
        <v>128</v>
      </c>
      <c r="DO22" s="76"/>
      <c r="DP22" s="112"/>
      <c r="DQ22" s="112"/>
      <c r="DR22" s="113" t="s">
        <v>520</v>
      </c>
      <c r="DS22" s="112"/>
      <c r="DT22" s="112"/>
      <c r="DU22" s="111"/>
      <c r="DV22" s="114"/>
      <c r="DW22" s="80">
        <f t="shared" si="61"/>
        <v>0</v>
      </c>
      <c r="DX22" s="81">
        <f t="shared" si="28"/>
        <v>0</v>
      </c>
      <c r="DY22" s="80">
        <f t="shared" si="62"/>
        <v>0</v>
      </c>
      <c r="DZ22" s="82">
        <f t="shared" si="63"/>
        <v>0</v>
      </c>
      <c r="EA22" s="82">
        <f t="shared" si="64"/>
        <v>0</v>
      </c>
      <c r="EB22" s="82">
        <f t="shared" si="65"/>
        <v>0</v>
      </c>
      <c r="EC22" s="82">
        <f t="shared" si="75"/>
        <v>0</v>
      </c>
      <c r="EF22" s="83">
        <f t="shared" si="82"/>
        <v>0</v>
      </c>
    </row>
    <row r="23" spans="1:136" ht="14.1" customHeight="1">
      <c r="A23" s="84">
        <v>16</v>
      </c>
      <c r="B23" s="85" t="s">
        <v>179</v>
      </c>
      <c r="C23" s="86"/>
      <c r="D23" s="116" t="s">
        <v>180</v>
      </c>
      <c r="E23" s="88">
        <v>129</v>
      </c>
      <c r="F23" s="89" t="s">
        <v>147</v>
      </c>
      <c r="G23" s="45" t="str">
        <f t="shared" si="30"/>
        <v>YHC3604-10.03x3-H9B12</v>
      </c>
      <c r="H23" s="46" t="str">
        <f t="shared" si="31"/>
        <v>C3604YH10.030DH9</v>
      </c>
      <c r="I23" s="46" t="str">
        <f t="shared" si="32"/>
        <v>C3604YH10.030DH93B12</v>
      </c>
      <c r="J23" s="90" t="s">
        <v>148</v>
      </c>
      <c r="K23" s="90" t="s">
        <v>181</v>
      </c>
      <c r="L23" s="90">
        <v>10.029999999999999</v>
      </c>
      <c r="M23" s="90">
        <v>0</v>
      </c>
      <c r="N23" s="90" t="s">
        <v>128</v>
      </c>
      <c r="O23" s="90" t="s">
        <v>131</v>
      </c>
      <c r="P23" s="90">
        <v>3</v>
      </c>
      <c r="Q23" s="91">
        <v>2</v>
      </c>
      <c r="R23" s="90" t="s">
        <v>150</v>
      </c>
      <c r="S23" s="89">
        <f t="shared" si="33"/>
        <v>34</v>
      </c>
      <c r="T23" s="51">
        <f>'07.02'!BG23</f>
        <v>42</v>
      </c>
      <c r="U23" s="92"/>
      <c r="V23" s="89">
        <v>4.05</v>
      </c>
      <c r="W23" s="93">
        <f t="shared" si="5"/>
        <v>0</v>
      </c>
      <c r="X23" s="93">
        <f t="shared" si="6"/>
        <v>0</v>
      </c>
      <c r="Y23" s="93">
        <f t="shared" si="7"/>
        <v>0</v>
      </c>
      <c r="Z23" s="93">
        <f t="shared" si="8"/>
        <v>0</v>
      </c>
      <c r="AA23" s="93">
        <f t="shared" si="9"/>
        <v>0</v>
      </c>
      <c r="AB23" s="93">
        <f t="shared" si="10"/>
        <v>0</v>
      </c>
      <c r="AC23" s="93">
        <f t="shared" si="11"/>
        <v>0</v>
      </c>
      <c r="AD23" s="93">
        <f t="shared" si="12"/>
        <v>0</v>
      </c>
      <c r="AE23" s="93">
        <f t="shared" si="34"/>
        <v>0</v>
      </c>
      <c r="AF23" s="54">
        <f>AE23+'07.02'!AF23</f>
        <v>14247</v>
      </c>
      <c r="AG23" s="94">
        <f t="shared" si="66"/>
        <v>42</v>
      </c>
      <c r="AH23" s="56">
        <f t="shared" si="13"/>
        <v>0</v>
      </c>
      <c r="AI23" s="93"/>
      <c r="AJ23" s="93">
        <f t="shared" si="67"/>
        <v>0</v>
      </c>
      <c r="AK23" s="95">
        <f t="shared" si="35"/>
        <v>1</v>
      </c>
      <c r="AL23" s="58">
        <f t="shared" si="36"/>
        <v>0</v>
      </c>
      <c r="AM23" s="55">
        <f t="shared" si="68"/>
        <v>42</v>
      </c>
      <c r="AN23" s="93"/>
      <c r="AO23" s="96"/>
      <c r="AP23" s="96">
        <f>$CJ23</f>
        <v>0</v>
      </c>
      <c r="AQ23" s="96"/>
      <c r="AR23" s="96"/>
      <c r="AS23" s="96"/>
      <c r="AT23" s="96"/>
      <c r="AU23" s="96">
        <f t="shared" si="37"/>
        <v>0</v>
      </c>
      <c r="AV23" s="96">
        <f t="shared" si="37"/>
        <v>0</v>
      </c>
      <c r="AW23" s="96">
        <f t="shared" si="38"/>
        <v>0</v>
      </c>
      <c r="AX23" s="96">
        <f t="shared" si="39"/>
        <v>0</v>
      </c>
      <c r="AY23" s="94">
        <f t="shared" si="69"/>
        <v>0</v>
      </c>
      <c r="AZ23" s="94">
        <f t="shared" si="40"/>
        <v>0</v>
      </c>
      <c r="BA23" s="94">
        <f t="shared" si="41"/>
        <v>42</v>
      </c>
      <c r="BB23" s="97">
        <f t="shared" si="42"/>
        <v>0</v>
      </c>
      <c r="BC23" s="93"/>
      <c r="BD23" s="93">
        <f t="shared" si="43"/>
        <v>0</v>
      </c>
      <c r="BE23" s="95">
        <f>IF(AA23="","",IF(BD23=0,1,BD23/$V23/$E23))</f>
        <v>1</v>
      </c>
      <c r="BF23" s="58">
        <f t="shared" si="45"/>
        <v>0</v>
      </c>
      <c r="BG23" s="94">
        <f t="shared" si="46"/>
        <v>42</v>
      </c>
      <c r="BH23" s="89"/>
      <c r="BI23" s="89"/>
      <c r="BJ23" s="92">
        <f>$CN23</f>
        <v>0</v>
      </c>
      <c r="BK23" s="89"/>
      <c r="BL23" s="89"/>
      <c r="BM23" s="89"/>
      <c r="BN23" s="89"/>
      <c r="BO23" s="92">
        <f t="shared" si="70"/>
        <v>0</v>
      </c>
      <c r="BP23" s="92">
        <f t="shared" si="70"/>
        <v>0</v>
      </c>
      <c r="BQ23" s="96">
        <f t="shared" si="47"/>
        <v>0</v>
      </c>
      <c r="BR23" s="96">
        <f t="shared" si="48"/>
        <v>0</v>
      </c>
      <c r="BS23" s="96">
        <f t="shared" si="71"/>
        <v>0</v>
      </c>
      <c r="BT23" s="96">
        <f t="shared" si="49"/>
        <v>0</v>
      </c>
      <c r="BU23" s="92">
        <f t="shared" si="16"/>
        <v>0</v>
      </c>
      <c r="BV23" s="98">
        <f t="shared" si="17"/>
        <v>0</v>
      </c>
      <c r="BW23" s="92">
        <f t="shared" si="18"/>
        <v>0</v>
      </c>
      <c r="BX23" s="98">
        <f t="shared" si="50"/>
        <v>0</v>
      </c>
      <c r="BY23" s="61">
        <f t="shared" si="73"/>
        <v>0</v>
      </c>
      <c r="BZ23" s="62">
        <f t="shared" si="51"/>
        <v>0</v>
      </c>
      <c r="CA23" s="98">
        <f t="shared" si="52"/>
        <v>0</v>
      </c>
      <c r="CB23" s="92">
        <f t="shared" si="19"/>
        <v>0</v>
      </c>
      <c r="CC23" s="92">
        <f t="shared" si="19"/>
        <v>0</v>
      </c>
      <c r="CD23" s="92">
        <f t="shared" si="19"/>
        <v>0</v>
      </c>
      <c r="CE23" s="99"/>
      <c r="CF23" s="99"/>
      <c r="CG23" s="51">
        <f t="shared" si="53"/>
        <v>0</v>
      </c>
      <c r="CH23" s="62">
        <f t="shared" si="54"/>
        <v>0</v>
      </c>
      <c r="CI23" s="89"/>
      <c r="CJ23" s="89"/>
      <c r="CK23" s="89"/>
      <c r="CL23" s="96"/>
      <c r="CM23" s="89"/>
      <c r="CN23" s="89"/>
      <c r="CO23" s="92"/>
      <c r="CP23" s="101"/>
      <c r="CQ23" s="102">
        <f t="shared" si="55"/>
        <v>0</v>
      </c>
      <c r="CR23" s="102">
        <f t="shared" si="20"/>
        <v>0</v>
      </c>
      <c r="CS23" s="102">
        <f t="shared" si="20"/>
        <v>0</v>
      </c>
      <c r="CT23" s="92">
        <f t="shared" si="56"/>
        <v>0</v>
      </c>
      <c r="CU23" s="92">
        <f t="shared" si="57"/>
        <v>0</v>
      </c>
      <c r="CV23" s="103">
        <f t="shared" si="57"/>
        <v>0</v>
      </c>
      <c r="CW23" s="104"/>
      <c r="CX23" s="105">
        <v>17</v>
      </c>
      <c r="CY23" s="106">
        <f t="shared" si="58"/>
        <v>2188</v>
      </c>
      <c r="CZ23" s="106">
        <f t="shared" si="59"/>
        <v>137.70000000000002</v>
      </c>
      <c r="DA23" s="106"/>
      <c r="DB23" s="106"/>
      <c r="DC23" s="105"/>
      <c r="DD23" s="107"/>
      <c r="DE23" s="92">
        <f t="shared" si="21"/>
        <v>0</v>
      </c>
      <c r="DF23" s="108">
        <f t="shared" si="22"/>
        <v>0</v>
      </c>
      <c r="DG23" s="112">
        <f t="shared" si="23"/>
        <v>0</v>
      </c>
      <c r="DH23" s="110">
        <f t="shared" si="24"/>
        <v>0</v>
      </c>
      <c r="DI23" s="108">
        <f t="shared" si="25"/>
        <v>0</v>
      </c>
      <c r="DJ23" s="112">
        <f t="shared" si="26"/>
        <v>0</v>
      </c>
      <c r="DK23" s="110">
        <f t="shared" si="27"/>
        <v>0</v>
      </c>
      <c r="DL23" s="108">
        <f t="shared" si="27"/>
        <v>0</v>
      </c>
      <c r="DM23" s="111">
        <f t="shared" si="27"/>
        <v>0</v>
      </c>
      <c r="DN23" s="76">
        <v>17</v>
      </c>
      <c r="DO23" s="76"/>
      <c r="DP23" s="112"/>
      <c r="DQ23" s="112"/>
      <c r="DR23" s="113" t="s">
        <v>521</v>
      </c>
      <c r="DS23" s="112"/>
      <c r="DT23" s="112"/>
      <c r="DU23" s="111"/>
      <c r="DV23" s="114"/>
      <c r="DW23" s="80">
        <f t="shared" ref="DW23:DW25" si="85">IFERROR(AL23+BF23,"")</f>
        <v>0</v>
      </c>
      <c r="DX23" s="81">
        <f t="shared" si="28"/>
        <v>0</v>
      </c>
      <c r="DY23" s="80">
        <f t="shared" si="62"/>
        <v>0</v>
      </c>
      <c r="DZ23" s="82">
        <f t="shared" si="63"/>
        <v>0</v>
      </c>
      <c r="EA23" s="82">
        <f t="shared" si="64"/>
        <v>0</v>
      </c>
      <c r="EB23" s="82">
        <f t="shared" si="65"/>
        <v>0</v>
      </c>
      <c r="EC23" s="82">
        <f>(BX23-CA23)+((AV23+BP23)/1000)</f>
        <v>0</v>
      </c>
      <c r="EF23" s="83">
        <f t="shared" si="82"/>
        <v>0</v>
      </c>
    </row>
    <row r="24" spans="1:136">
      <c r="A24" s="84">
        <v>17</v>
      </c>
      <c r="B24" s="85" t="s">
        <v>183</v>
      </c>
      <c r="C24" s="86"/>
      <c r="D24" s="87" t="s">
        <v>163</v>
      </c>
      <c r="E24" s="88">
        <v>68</v>
      </c>
      <c r="F24" s="89" t="s">
        <v>128</v>
      </c>
      <c r="G24" s="45" t="str">
        <f t="shared" si="30"/>
        <v>GWA6063-T5-T18.15x8.6x3-H9A15</v>
      </c>
      <c r="H24" s="46" t="str">
        <f t="shared" si="31"/>
        <v>A6063-T5GW18.158.6TH9</v>
      </c>
      <c r="I24" s="46" t="str">
        <f t="shared" si="32"/>
        <v>A6063-T5GW18.158.6TH93A15</v>
      </c>
      <c r="J24" s="90" t="s">
        <v>129</v>
      </c>
      <c r="K24" s="90" t="s">
        <v>130</v>
      </c>
      <c r="L24" s="90">
        <v>18.149999999999999</v>
      </c>
      <c r="M24" s="90">
        <v>8.6</v>
      </c>
      <c r="N24" s="90" t="s">
        <v>157</v>
      </c>
      <c r="O24" s="90" t="s">
        <v>131</v>
      </c>
      <c r="P24" s="90">
        <v>3</v>
      </c>
      <c r="Q24" s="91">
        <v>1.641</v>
      </c>
      <c r="R24" s="90" t="s">
        <v>164</v>
      </c>
      <c r="S24" s="89">
        <f t="shared" si="33"/>
        <v>14</v>
      </c>
      <c r="T24" s="51">
        <v>30</v>
      </c>
      <c r="U24" s="92"/>
      <c r="V24" s="89">
        <v>9.9</v>
      </c>
      <c r="W24" s="93">
        <f t="shared" si="5"/>
        <v>0</v>
      </c>
      <c r="X24" s="93">
        <f t="shared" si="6"/>
        <v>0</v>
      </c>
      <c r="Y24" s="93">
        <f t="shared" si="7"/>
        <v>0</v>
      </c>
      <c r="Z24" s="93">
        <f t="shared" si="8"/>
        <v>0</v>
      </c>
      <c r="AA24" s="93">
        <f t="shared" si="9"/>
        <v>0</v>
      </c>
      <c r="AB24" s="93">
        <f t="shared" si="10"/>
        <v>0</v>
      </c>
      <c r="AC24" s="93">
        <f t="shared" si="11"/>
        <v>0</v>
      </c>
      <c r="AD24" s="93">
        <f t="shared" si="12"/>
        <v>0</v>
      </c>
      <c r="AE24" s="93">
        <f t="shared" si="34"/>
        <v>0</v>
      </c>
      <c r="AF24" s="54">
        <f>AE24+'07.02'!AF24</f>
        <v>3510</v>
      </c>
      <c r="AG24" s="94">
        <f t="shared" si="66"/>
        <v>30</v>
      </c>
      <c r="AH24" s="56">
        <f t="shared" si="13"/>
        <v>0</v>
      </c>
      <c r="AI24" s="93"/>
      <c r="AJ24" s="93">
        <f t="shared" si="67"/>
        <v>0</v>
      </c>
      <c r="AK24" s="95">
        <f t="shared" si="35"/>
        <v>1</v>
      </c>
      <c r="AL24" s="58">
        <f t="shared" si="36"/>
        <v>0</v>
      </c>
      <c r="AM24" s="55">
        <f t="shared" si="68"/>
        <v>30</v>
      </c>
      <c r="AN24" s="93"/>
      <c r="AO24" s="96"/>
      <c r="AP24" s="96">
        <f>$CJ24</f>
        <v>0</v>
      </c>
      <c r="AQ24" s="96"/>
      <c r="AR24" s="96"/>
      <c r="AS24" s="96"/>
      <c r="AT24" s="96"/>
      <c r="AU24" s="96">
        <f t="shared" si="37"/>
        <v>0</v>
      </c>
      <c r="AV24" s="96">
        <f t="shared" si="37"/>
        <v>0</v>
      </c>
      <c r="AW24" s="96">
        <f t="shared" si="38"/>
        <v>0</v>
      </c>
      <c r="AX24" s="96">
        <f t="shared" si="39"/>
        <v>0</v>
      </c>
      <c r="AY24" s="94">
        <f t="shared" si="69"/>
        <v>0</v>
      </c>
      <c r="AZ24" s="94">
        <f t="shared" si="40"/>
        <v>0</v>
      </c>
      <c r="BA24" s="94">
        <f t="shared" si="41"/>
        <v>30</v>
      </c>
      <c r="BB24" s="97">
        <f t="shared" si="42"/>
        <v>0</v>
      </c>
      <c r="BC24" s="93"/>
      <c r="BD24" s="93">
        <f t="shared" si="43"/>
        <v>0</v>
      </c>
      <c r="BE24" s="95">
        <f t="shared" si="44"/>
        <v>1</v>
      </c>
      <c r="BF24" s="58">
        <f t="shared" si="45"/>
        <v>0</v>
      </c>
      <c r="BG24" s="94">
        <f t="shared" si="46"/>
        <v>30</v>
      </c>
      <c r="BH24" s="89"/>
      <c r="BI24" s="89"/>
      <c r="BJ24" s="92">
        <f>$CN24</f>
        <v>0</v>
      </c>
      <c r="BK24" s="89"/>
      <c r="BL24" s="89"/>
      <c r="BM24" s="89"/>
      <c r="BN24" s="89"/>
      <c r="BO24" s="92">
        <f t="shared" si="70"/>
        <v>0</v>
      </c>
      <c r="BP24" s="92">
        <f t="shared" si="70"/>
        <v>0</v>
      </c>
      <c r="BQ24" s="96">
        <f t="shared" si="47"/>
        <v>0</v>
      </c>
      <c r="BR24" s="96">
        <f t="shared" si="48"/>
        <v>0</v>
      </c>
      <c r="BS24" s="96">
        <f t="shared" si="71"/>
        <v>0</v>
      </c>
      <c r="BT24" s="96">
        <f t="shared" si="49"/>
        <v>0</v>
      </c>
      <c r="BU24" s="92">
        <f t="shared" si="16"/>
        <v>0</v>
      </c>
      <c r="BV24" s="98">
        <f t="shared" si="17"/>
        <v>0</v>
      </c>
      <c r="BW24" s="92">
        <f t="shared" si="18"/>
        <v>0</v>
      </c>
      <c r="BX24" s="98">
        <f t="shared" si="50"/>
        <v>0</v>
      </c>
      <c r="BY24" s="61">
        <f t="shared" si="73"/>
        <v>0</v>
      </c>
      <c r="BZ24" s="62">
        <f t="shared" si="51"/>
        <v>0</v>
      </c>
      <c r="CA24" s="98">
        <f t="shared" si="52"/>
        <v>0</v>
      </c>
      <c r="CB24" s="92">
        <f t="shared" si="19"/>
        <v>0</v>
      </c>
      <c r="CC24" s="92">
        <f t="shared" si="19"/>
        <v>0</v>
      </c>
      <c r="CD24" s="92">
        <f t="shared" si="19"/>
        <v>0</v>
      </c>
      <c r="CE24" s="99"/>
      <c r="CF24" s="99"/>
      <c r="CG24" s="51">
        <f t="shared" si="53"/>
        <v>0</v>
      </c>
      <c r="CH24" s="62">
        <f t="shared" si="54"/>
        <v>0</v>
      </c>
      <c r="CI24" s="89"/>
      <c r="CJ24" s="89"/>
      <c r="CK24" s="89"/>
      <c r="CL24" s="96"/>
      <c r="CM24" s="89"/>
      <c r="CN24" s="89"/>
      <c r="CO24" s="92"/>
      <c r="CP24" s="101"/>
      <c r="CQ24" s="102">
        <f t="shared" si="55"/>
        <v>0</v>
      </c>
      <c r="CR24" s="102">
        <f t="shared" si="55"/>
        <v>0</v>
      </c>
      <c r="CS24" s="102">
        <f t="shared" si="55"/>
        <v>0</v>
      </c>
      <c r="CT24" s="92">
        <f t="shared" si="56"/>
        <v>0</v>
      </c>
      <c r="CU24" s="92">
        <f t="shared" si="57"/>
        <v>0</v>
      </c>
      <c r="CV24" s="103">
        <f t="shared" si="57"/>
        <v>0</v>
      </c>
      <c r="CW24" s="104"/>
      <c r="CX24" s="105">
        <v>80.33</v>
      </c>
      <c r="CY24" s="106">
        <f t="shared" si="58"/>
        <v>507</v>
      </c>
      <c r="CZ24" s="106">
        <f t="shared" si="59"/>
        <v>650.673</v>
      </c>
      <c r="DA24" s="106"/>
      <c r="DB24" s="106"/>
      <c r="DC24" s="105"/>
      <c r="DD24" s="107"/>
      <c r="DE24" s="92">
        <f t="shared" si="21"/>
        <v>0</v>
      </c>
      <c r="DF24" s="108">
        <f t="shared" si="22"/>
        <v>0</v>
      </c>
      <c r="DG24" s="112">
        <f t="shared" si="23"/>
        <v>0</v>
      </c>
      <c r="DH24" s="110">
        <f t="shared" si="24"/>
        <v>0</v>
      </c>
      <c r="DI24" s="108">
        <f t="shared" si="25"/>
        <v>0</v>
      </c>
      <c r="DJ24" s="112">
        <f t="shared" si="26"/>
        <v>0</v>
      </c>
      <c r="DK24" s="110">
        <f t="shared" ref="DK24:DM87" si="86">IFERROR(DE24+DH24,"")</f>
        <v>0</v>
      </c>
      <c r="DL24" s="108">
        <f t="shared" si="86"/>
        <v>0</v>
      </c>
      <c r="DM24" s="111">
        <f t="shared" si="86"/>
        <v>0</v>
      </c>
      <c r="DN24" s="76">
        <v>23</v>
      </c>
      <c r="DO24" s="76"/>
      <c r="DP24" s="112"/>
      <c r="DQ24" s="112"/>
      <c r="DR24" s="113" t="s">
        <v>522</v>
      </c>
      <c r="DS24" s="112"/>
      <c r="DT24" s="112"/>
      <c r="DU24" s="111"/>
      <c r="DV24" s="114"/>
      <c r="DW24" s="80">
        <f t="shared" si="85"/>
        <v>0</v>
      </c>
      <c r="DX24" s="81">
        <f t="shared" si="28"/>
        <v>0</v>
      </c>
      <c r="DY24" s="80">
        <f t="shared" si="62"/>
        <v>0</v>
      </c>
      <c r="DZ24" s="82">
        <f t="shared" si="63"/>
        <v>0</v>
      </c>
      <c r="EA24" s="82">
        <f t="shared" si="64"/>
        <v>0</v>
      </c>
      <c r="EB24" s="82">
        <f t="shared" si="65"/>
        <v>0</v>
      </c>
      <c r="EC24" s="82">
        <f t="shared" si="75"/>
        <v>0</v>
      </c>
      <c r="EF24" s="83">
        <f t="shared" si="82"/>
        <v>0</v>
      </c>
    </row>
    <row r="25" spans="1:136" hidden="1">
      <c r="A25" s="84">
        <v>18</v>
      </c>
      <c r="B25" s="85" t="s">
        <v>185</v>
      </c>
      <c r="C25" s="86"/>
      <c r="D25" s="87" t="s">
        <v>127</v>
      </c>
      <c r="E25" s="88">
        <v>70</v>
      </c>
      <c r="F25" s="89" t="s">
        <v>147</v>
      </c>
      <c r="G25" s="45" t="str">
        <f t="shared" si="30"/>
        <v>GWA6063-T5-17x3-H9B15</v>
      </c>
      <c r="H25" s="46" t="str">
        <f t="shared" si="31"/>
        <v>A6063-T5GW170DH9</v>
      </c>
      <c r="I25" s="46" t="str">
        <f t="shared" si="32"/>
        <v>A6063-T5GW170DH93B15</v>
      </c>
      <c r="J25" s="90" t="s">
        <v>129</v>
      </c>
      <c r="K25" s="90" t="s">
        <v>130</v>
      </c>
      <c r="L25" s="90">
        <v>17</v>
      </c>
      <c r="M25" s="90">
        <v>0</v>
      </c>
      <c r="N25" s="90" t="s">
        <v>128</v>
      </c>
      <c r="O25" s="90" t="s">
        <v>131</v>
      </c>
      <c r="P25" s="90">
        <v>3</v>
      </c>
      <c r="Q25" s="91">
        <v>1.8320000000000001</v>
      </c>
      <c r="R25" s="90" t="s">
        <v>132</v>
      </c>
      <c r="S25" s="89">
        <f t="shared" si="33"/>
        <v>16</v>
      </c>
      <c r="T25" s="51">
        <v>0</v>
      </c>
      <c r="U25" s="92"/>
      <c r="V25" s="89">
        <v>10.1</v>
      </c>
      <c r="W25" s="93">
        <f t="shared" si="5"/>
        <v>0</v>
      </c>
      <c r="X25" s="93">
        <f t="shared" si="6"/>
        <v>0</v>
      </c>
      <c r="Y25" s="93">
        <f t="shared" si="7"/>
        <v>0</v>
      </c>
      <c r="Z25" s="93">
        <f t="shared" si="8"/>
        <v>0</v>
      </c>
      <c r="AA25" s="93">
        <f t="shared" si="9"/>
        <v>0</v>
      </c>
      <c r="AB25" s="93">
        <f t="shared" si="10"/>
        <v>0</v>
      </c>
      <c r="AC25" s="93">
        <f t="shared" si="11"/>
        <v>0</v>
      </c>
      <c r="AD25" s="93">
        <f t="shared" si="12"/>
        <v>0</v>
      </c>
      <c r="AE25" s="93">
        <f t="shared" si="34"/>
        <v>0</v>
      </c>
      <c r="AF25" s="54">
        <f>AE25+'07.02'!AF25</f>
        <v>0</v>
      </c>
      <c r="AG25" s="94">
        <f t="shared" si="66"/>
        <v>0</v>
      </c>
      <c r="AH25" s="56">
        <f t="shared" si="13"/>
        <v>0</v>
      </c>
      <c r="AI25" s="93"/>
      <c r="AJ25" s="93">
        <f t="shared" si="67"/>
        <v>0</v>
      </c>
      <c r="AK25" s="95">
        <f t="shared" si="35"/>
        <v>1</v>
      </c>
      <c r="AL25" s="58">
        <f t="shared" si="36"/>
        <v>0</v>
      </c>
      <c r="AM25" s="55">
        <f t="shared" si="68"/>
        <v>0</v>
      </c>
      <c r="AN25" s="93"/>
      <c r="AO25" s="96"/>
      <c r="AP25" s="96">
        <f>$CJ25</f>
        <v>0</v>
      </c>
      <c r="AQ25" s="96"/>
      <c r="AR25" s="96"/>
      <c r="AS25" s="96"/>
      <c r="AT25" s="96"/>
      <c r="AU25" s="96">
        <f t="shared" si="37"/>
        <v>0</v>
      </c>
      <c r="AV25" s="96">
        <f t="shared" si="37"/>
        <v>0</v>
      </c>
      <c r="AW25" s="96">
        <f t="shared" si="38"/>
        <v>0</v>
      </c>
      <c r="AX25" s="96">
        <f t="shared" si="39"/>
        <v>0</v>
      </c>
      <c r="AY25" s="94">
        <f t="shared" si="69"/>
        <v>0</v>
      </c>
      <c r="AZ25" s="94">
        <f t="shared" si="40"/>
        <v>0</v>
      </c>
      <c r="BA25" s="94">
        <f t="shared" si="41"/>
        <v>0</v>
      </c>
      <c r="BB25" s="97">
        <f t="shared" si="42"/>
        <v>0</v>
      </c>
      <c r="BC25" s="93"/>
      <c r="BD25" s="93">
        <f t="shared" si="43"/>
        <v>0</v>
      </c>
      <c r="BE25" s="95">
        <f t="shared" si="44"/>
        <v>1</v>
      </c>
      <c r="BF25" s="58">
        <f t="shared" si="45"/>
        <v>0</v>
      </c>
      <c r="BG25" s="94">
        <f t="shared" si="46"/>
        <v>0</v>
      </c>
      <c r="BH25" s="89"/>
      <c r="BI25" s="89"/>
      <c r="BJ25" s="92">
        <f>$CN25</f>
        <v>0</v>
      </c>
      <c r="BK25" s="89"/>
      <c r="BL25" s="92"/>
      <c r="BM25" s="89"/>
      <c r="BN25" s="92"/>
      <c r="BO25" s="92">
        <f t="shared" si="70"/>
        <v>0</v>
      </c>
      <c r="BP25" s="92">
        <f t="shared" si="70"/>
        <v>0</v>
      </c>
      <c r="BQ25" s="96">
        <f t="shared" si="47"/>
        <v>0</v>
      </c>
      <c r="BR25" s="96">
        <f t="shared" si="48"/>
        <v>0</v>
      </c>
      <c r="BS25" s="96">
        <f t="shared" si="71"/>
        <v>0</v>
      </c>
      <c r="BT25" s="96">
        <f t="shared" si="49"/>
        <v>0</v>
      </c>
      <c r="BU25" s="92">
        <f t="shared" si="16"/>
        <v>0</v>
      </c>
      <c r="BV25" s="98">
        <f t="shared" si="17"/>
        <v>0</v>
      </c>
      <c r="BW25" s="92">
        <f t="shared" si="18"/>
        <v>0</v>
      </c>
      <c r="BX25" s="98">
        <f t="shared" si="50"/>
        <v>0</v>
      </c>
      <c r="BY25" s="61">
        <f t="shared" si="73"/>
        <v>0</v>
      </c>
      <c r="BZ25" s="62">
        <f t="shared" si="51"/>
        <v>0</v>
      </c>
      <c r="CA25" s="98">
        <f t="shared" si="52"/>
        <v>0</v>
      </c>
      <c r="CB25" s="92">
        <f t="shared" si="19"/>
        <v>0</v>
      </c>
      <c r="CC25" s="92">
        <f t="shared" si="19"/>
        <v>0</v>
      </c>
      <c r="CD25" s="92">
        <f t="shared" si="19"/>
        <v>0</v>
      </c>
      <c r="CE25" s="99"/>
      <c r="CF25" s="99"/>
      <c r="CG25" s="51">
        <f t="shared" si="53"/>
        <v>0</v>
      </c>
      <c r="CH25" s="62">
        <f t="shared" si="54"/>
        <v>0</v>
      </c>
      <c r="CI25" s="89"/>
      <c r="CJ25" s="89"/>
      <c r="CK25" s="89"/>
      <c r="CL25" s="96"/>
      <c r="CM25" s="89"/>
      <c r="CN25" s="89"/>
      <c r="CO25" s="92"/>
      <c r="CP25" s="101"/>
      <c r="CQ25" s="102">
        <f t="shared" ref="CQ25:CS40" si="87">INT(IFERROR( CJ25/$V25,0))</f>
        <v>0</v>
      </c>
      <c r="CR25" s="102">
        <f t="shared" si="87"/>
        <v>0</v>
      </c>
      <c r="CS25" s="102">
        <f t="shared" si="87"/>
        <v>0</v>
      </c>
      <c r="CT25" s="92">
        <f t="shared" si="56"/>
        <v>0</v>
      </c>
      <c r="CU25" s="92">
        <f t="shared" ref="CU25:CV40" si="88">INT(IFERROR( AC25-CR25,0))</f>
        <v>0</v>
      </c>
      <c r="CV25" s="103">
        <f t="shared" si="88"/>
        <v>0</v>
      </c>
      <c r="CW25" s="104"/>
      <c r="CX25" s="105">
        <v>69.16</v>
      </c>
      <c r="CY25" s="106">
        <f t="shared" si="58"/>
        <v>585</v>
      </c>
      <c r="CZ25" s="106">
        <f t="shared" si="59"/>
        <v>560.19600000000003</v>
      </c>
      <c r="DA25" s="106"/>
      <c r="DB25" s="106"/>
      <c r="DC25" s="105"/>
      <c r="DD25" s="107"/>
      <c r="DE25" s="92">
        <f t="shared" si="21"/>
        <v>0</v>
      </c>
      <c r="DF25" s="108">
        <f t="shared" si="22"/>
        <v>0</v>
      </c>
      <c r="DG25" s="112">
        <f t="shared" si="23"/>
        <v>0</v>
      </c>
      <c r="DH25" s="110">
        <f t="shared" si="24"/>
        <v>0</v>
      </c>
      <c r="DI25" s="108">
        <f t="shared" si="25"/>
        <v>0</v>
      </c>
      <c r="DJ25" s="112">
        <f t="shared" si="26"/>
        <v>0</v>
      </c>
      <c r="DK25" s="110">
        <f t="shared" si="86"/>
        <v>0</v>
      </c>
      <c r="DL25" s="108">
        <f t="shared" si="86"/>
        <v>0</v>
      </c>
      <c r="DM25" s="111">
        <f t="shared" si="86"/>
        <v>0</v>
      </c>
      <c r="DN25" s="76">
        <f t="shared" si="60"/>
        <v>0</v>
      </c>
      <c r="DO25" s="76">
        <f t="shared" si="60"/>
        <v>0</v>
      </c>
      <c r="DP25" s="112"/>
      <c r="DQ25" s="112"/>
      <c r="DR25" s="113"/>
      <c r="DS25" s="112"/>
      <c r="DT25" s="112"/>
      <c r="DU25" s="111"/>
      <c r="DV25" s="114"/>
      <c r="DW25" s="80">
        <f t="shared" si="85"/>
        <v>0</v>
      </c>
      <c r="DX25" s="81">
        <f t="shared" si="28"/>
        <v>0</v>
      </c>
      <c r="DY25" s="80">
        <f t="shared" si="62"/>
        <v>0</v>
      </c>
      <c r="DZ25" s="82">
        <f t="shared" si="63"/>
        <v>0</v>
      </c>
      <c r="EA25" s="82">
        <f t="shared" si="64"/>
        <v>0</v>
      </c>
      <c r="EB25" s="82">
        <f t="shared" si="65"/>
        <v>0</v>
      </c>
      <c r="EC25" s="82">
        <f>(BX25-CA25)+((AV25+BP25)/1000)</f>
        <v>0</v>
      </c>
      <c r="EF25" s="83">
        <f t="shared" si="82"/>
        <v>0</v>
      </c>
    </row>
    <row r="26" spans="1:136" hidden="1">
      <c r="A26" s="84">
        <v>19</v>
      </c>
      <c r="B26" s="85" t="s">
        <v>187</v>
      </c>
      <c r="C26" s="86"/>
      <c r="D26" s="87"/>
      <c r="E26" s="88"/>
      <c r="F26" s="89"/>
      <c r="G26" s="45" t="str">
        <f t="shared" si="30"/>
        <v>-xx-</v>
      </c>
      <c r="H26" s="46" t="str">
        <f t="shared" si="31"/>
        <v/>
      </c>
      <c r="I26" s="46" t="str">
        <f t="shared" si="32"/>
        <v/>
      </c>
      <c r="J26" s="90" t="s">
        <v>188</v>
      </c>
      <c r="K26" s="90"/>
      <c r="L26" s="90" t="s">
        <v>188</v>
      </c>
      <c r="M26" s="90" t="s">
        <v>188</v>
      </c>
      <c r="N26" s="90" t="s">
        <v>188</v>
      </c>
      <c r="O26" s="90" t="s">
        <v>188</v>
      </c>
      <c r="P26" s="90" t="str">
        <f>IFERROR(VLOOKUP(H26,#REF!,9,0),"")</f>
        <v/>
      </c>
      <c r="Q26" s="91" t="str">
        <f>IFERROR(VLOOKUP(I26,#REF!,10,0),"")</f>
        <v/>
      </c>
      <c r="R26" s="90"/>
      <c r="S26" s="89" t="e">
        <f t="shared" si="33"/>
        <v>#DIV/0!</v>
      </c>
      <c r="T26" s="51">
        <f>'07.02'!BG26</f>
        <v>0</v>
      </c>
      <c r="U26" s="92"/>
      <c r="V26" s="89">
        <v>1</v>
      </c>
      <c r="W26" s="93">
        <f t="shared" si="5"/>
        <v>0</v>
      </c>
      <c r="X26" s="93">
        <f t="shared" si="6"/>
        <v>0</v>
      </c>
      <c r="Y26" s="93">
        <f t="shared" si="7"/>
        <v>0</v>
      </c>
      <c r="Z26" s="93">
        <f t="shared" si="8"/>
        <v>0</v>
      </c>
      <c r="AA26" s="93">
        <f t="shared" si="9"/>
        <v>0</v>
      </c>
      <c r="AB26" s="93">
        <f t="shared" si="10"/>
        <v>0</v>
      </c>
      <c r="AC26" s="93">
        <f t="shared" si="11"/>
        <v>0</v>
      </c>
      <c r="AD26" s="93">
        <f t="shared" si="12"/>
        <v>0</v>
      </c>
      <c r="AE26" s="93">
        <f t="shared" si="34"/>
        <v>0</v>
      </c>
      <c r="AF26" s="54">
        <f>AE26+'07.02'!AF26</f>
        <v>0</v>
      </c>
      <c r="AG26" s="94">
        <f t="shared" si="66"/>
        <v>0</v>
      </c>
      <c r="AH26" s="56">
        <f t="shared" si="13"/>
        <v>0</v>
      </c>
      <c r="AI26" s="93"/>
      <c r="AJ26" s="93">
        <f t="shared" si="67"/>
        <v>0</v>
      </c>
      <c r="AK26" s="95">
        <f t="shared" si="35"/>
        <v>1</v>
      </c>
      <c r="AL26" s="58">
        <f t="shared" si="36"/>
        <v>0</v>
      </c>
      <c r="AM26" s="55">
        <f t="shared" si="68"/>
        <v>0</v>
      </c>
      <c r="AN26" s="93"/>
      <c r="AO26" s="96"/>
      <c r="AP26" s="96"/>
      <c r="AQ26" s="96"/>
      <c r="AR26" s="96"/>
      <c r="AS26" s="96"/>
      <c r="AT26" s="96"/>
      <c r="AU26" s="96">
        <f t="shared" si="37"/>
        <v>0</v>
      </c>
      <c r="AV26" s="96">
        <f t="shared" si="37"/>
        <v>0</v>
      </c>
      <c r="AW26" s="96">
        <f t="shared" si="38"/>
        <v>0</v>
      </c>
      <c r="AX26" s="96">
        <f t="shared" si="39"/>
        <v>0</v>
      </c>
      <c r="AY26" s="94">
        <f t="shared" si="69"/>
        <v>0</v>
      </c>
      <c r="AZ26" s="94">
        <f t="shared" si="40"/>
        <v>0</v>
      </c>
      <c r="BA26" s="94">
        <f t="shared" si="41"/>
        <v>0</v>
      </c>
      <c r="BB26" s="97">
        <f t="shared" si="42"/>
        <v>0</v>
      </c>
      <c r="BC26" s="93"/>
      <c r="BD26" s="93">
        <f t="shared" si="43"/>
        <v>0</v>
      </c>
      <c r="BE26" s="95">
        <f t="shared" si="44"/>
        <v>1</v>
      </c>
      <c r="BF26" s="58">
        <f t="shared" si="45"/>
        <v>0</v>
      </c>
      <c r="BG26" s="94">
        <f t="shared" si="46"/>
        <v>0</v>
      </c>
      <c r="BH26" s="89"/>
      <c r="BI26" s="89"/>
      <c r="BJ26" s="89"/>
      <c r="BK26" s="89"/>
      <c r="BL26" s="89"/>
      <c r="BM26" s="89"/>
      <c r="BN26" s="89"/>
      <c r="BO26" s="92">
        <f t="shared" si="70"/>
        <v>0</v>
      </c>
      <c r="BP26" s="92">
        <f t="shared" si="70"/>
        <v>0</v>
      </c>
      <c r="BQ26" s="96">
        <f t="shared" si="47"/>
        <v>0</v>
      </c>
      <c r="BR26" s="96">
        <f t="shared" si="48"/>
        <v>0</v>
      </c>
      <c r="BS26" s="96">
        <f t="shared" si="71"/>
        <v>0</v>
      </c>
      <c r="BT26" s="96">
        <f t="shared" si="49"/>
        <v>0</v>
      </c>
      <c r="BU26" s="92">
        <f t="shared" si="16"/>
        <v>0</v>
      </c>
      <c r="BV26" s="98">
        <f t="shared" si="17"/>
        <v>0</v>
      </c>
      <c r="BW26" s="92">
        <f t="shared" si="18"/>
        <v>0</v>
      </c>
      <c r="BX26" s="98" t="str">
        <f t="shared" si="50"/>
        <v/>
      </c>
      <c r="BY26" s="61">
        <f t="shared" si="73"/>
        <v>0</v>
      </c>
      <c r="BZ26" s="62">
        <f t="shared" si="51"/>
        <v>0</v>
      </c>
      <c r="CA26" s="98">
        <f t="shared" si="52"/>
        <v>0</v>
      </c>
      <c r="CB26" s="92">
        <f t="shared" si="19"/>
        <v>0</v>
      </c>
      <c r="CC26" s="92">
        <f t="shared" si="19"/>
        <v>0</v>
      </c>
      <c r="CD26" s="92">
        <f t="shared" si="19"/>
        <v>0</v>
      </c>
      <c r="CE26" s="99"/>
      <c r="CF26" s="99"/>
      <c r="CG26" s="51">
        <f t="shared" si="53"/>
        <v>0</v>
      </c>
      <c r="CH26" s="62">
        <f t="shared" si="54"/>
        <v>0</v>
      </c>
      <c r="CI26" s="89"/>
      <c r="CJ26" s="89"/>
      <c r="CK26" s="89"/>
      <c r="CL26" s="96"/>
      <c r="CM26" s="89"/>
      <c r="CN26" s="89"/>
      <c r="CO26" s="92"/>
      <c r="CP26" s="101"/>
      <c r="CQ26" s="102">
        <f t="shared" si="87"/>
        <v>0</v>
      </c>
      <c r="CR26" s="102">
        <f t="shared" si="87"/>
        <v>0</v>
      </c>
      <c r="CS26" s="102">
        <f t="shared" si="87"/>
        <v>0</v>
      </c>
      <c r="CT26" s="92">
        <f t="shared" si="56"/>
        <v>0</v>
      </c>
      <c r="CU26" s="92">
        <f t="shared" si="88"/>
        <v>0</v>
      </c>
      <c r="CV26" s="103">
        <f t="shared" si="88"/>
        <v>0</v>
      </c>
      <c r="CW26" s="104"/>
      <c r="CX26" s="105"/>
      <c r="CY26" s="106" t="e">
        <f t="shared" si="58"/>
        <v>#DIV/0!</v>
      </c>
      <c r="CZ26" s="106">
        <f t="shared" si="59"/>
        <v>0</v>
      </c>
      <c r="DA26" s="106"/>
      <c r="DB26" s="106"/>
      <c r="DC26" s="105"/>
      <c r="DD26" s="107"/>
      <c r="DE26" s="92">
        <f t="shared" si="21"/>
        <v>0</v>
      </c>
      <c r="DF26" s="108">
        <f t="shared" si="22"/>
        <v>0</v>
      </c>
      <c r="DG26" s="112">
        <f t="shared" si="23"/>
        <v>0</v>
      </c>
      <c r="DH26" s="110">
        <f t="shared" si="24"/>
        <v>0</v>
      </c>
      <c r="DI26" s="108">
        <f t="shared" si="25"/>
        <v>0</v>
      </c>
      <c r="DJ26" s="112">
        <f t="shared" si="26"/>
        <v>0</v>
      </c>
      <c r="DK26" s="110">
        <f t="shared" si="86"/>
        <v>0</v>
      </c>
      <c r="DL26" s="108">
        <f t="shared" si="86"/>
        <v>0</v>
      </c>
      <c r="DM26" s="111">
        <f t="shared" si="86"/>
        <v>0</v>
      </c>
      <c r="DN26" s="76">
        <f t="shared" si="60"/>
        <v>0</v>
      </c>
      <c r="DO26" s="76">
        <f t="shared" si="60"/>
        <v>0</v>
      </c>
      <c r="DP26" s="112"/>
      <c r="DQ26" s="112"/>
      <c r="DR26" s="113"/>
      <c r="DS26" s="112"/>
      <c r="DT26" s="112"/>
      <c r="DU26" s="111"/>
      <c r="DV26" s="114"/>
      <c r="DW26" s="80">
        <f t="shared" si="61"/>
        <v>0</v>
      </c>
      <c r="DX26" s="81">
        <f t="shared" si="28"/>
        <v>0</v>
      </c>
      <c r="DY26" s="80">
        <f t="shared" si="62"/>
        <v>0</v>
      </c>
      <c r="DZ26" s="82">
        <f t="shared" si="63"/>
        <v>0</v>
      </c>
      <c r="EA26" s="82">
        <f t="shared" si="64"/>
        <v>0</v>
      </c>
      <c r="EB26" s="82" t="e">
        <f t="shared" si="65"/>
        <v>#VALUE!</v>
      </c>
      <c r="EC26" s="82" t="e">
        <f t="shared" si="75"/>
        <v>#VALUE!</v>
      </c>
    </row>
    <row r="27" spans="1:136" hidden="1">
      <c r="A27" s="84">
        <v>20</v>
      </c>
      <c r="B27" s="85" t="s">
        <v>189</v>
      </c>
      <c r="C27" s="86"/>
      <c r="D27" s="116" t="s">
        <v>190</v>
      </c>
      <c r="E27" s="88">
        <v>76</v>
      </c>
      <c r="F27" s="89" t="s">
        <v>191</v>
      </c>
      <c r="G27" s="45" t="str">
        <f t="shared" si="30"/>
        <v>TVSUJ2-8.1x3-H9C13</v>
      </c>
      <c r="H27" s="46" t="str">
        <f t="shared" si="31"/>
        <v>SUJ2TV8.10DH9</v>
      </c>
      <c r="I27" s="46" t="str">
        <f t="shared" si="32"/>
        <v>SUJ2TV8.10DH93C13</v>
      </c>
      <c r="J27" s="90" t="s">
        <v>192</v>
      </c>
      <c r="K27" s="90" t="s">
        <v>138</v>
      </c>
      <c r="L27" s="90">
        <v>8.1</v>
      </c>
      <c r="M27" s="90">
        <v>0</v>
      </c>
      <c r="N27" s="90" t="s">
        <v>128</v>
      </c>
      <c r="O27" s="90" t="s">
        <v>131</v>
      </c>
      <c r="P27" s="90">
        <v>3</v>
      </c>
      <c r="Q27" s="91">
        <v>1.2010000000000001</v>
      </c>
      <c r="R27" s="90" t="s">
        <v>193</v>
      </c>
      <c r="S27" s="89">
        <f t="shared" si="33"/>
        <v>52</v>
      </c>
      <c r="T27" s="51">
        <f>'07.02'!BG27</f>
        <v>0</v>
      </c>
      <c r="U27" s="92"/>
      <c r="V27" s="89">
        <v>13.63</v>
      </c>
      <c r="W27" s="93">
        <f t="shared" si="5"/>
        <v>0</v>
      </c>
      <c r="X27" s="93">
        <f t="shared" si="6"/>
        <v>0</v>
      </c>
      <c r="Y27" s="93">
        <f t="shared" si="7"/>
        <v>0</v>
      </c>
      <c r="Z27" s="93">
        <f t="shared" si="8"/>
        <v>0</v>
      </c>
      <c r="AA27" s="93">
        <f t="shared" si="9"/>
        <v>0</v>
      </c>
      <c r="AB27" s="93">
        <f t="shared" si="10"/>
        <v>0</v>
      </c>
      <c r="AC27" s="93">
        <f t="shared" si="11"/>
        <v>0</v>
      </c>
      <c r="AD27" s="93">
        <f t="shared" si="12"/>
        <v>0</v>
      </c>
      <c r="AE27" s="93">
        <f t="shared" si="34"/>
        <v>0</v>
      </c>
      <c r="AF27" s="54">
        <f>AE27+'07.02'!AF27</f>
        <v>0</v>
      </c>
      <c r="AG27" s="94">
        <f t="shared" si="66"/>
        <v>0</v>
      </c>
      <c r="AH27" s="56">
        <f t="shared" si="13"/>
        <v>0</v>
      </c>
      <c r="AI27" s="93"/>
      <c r="AJ27" s="93">
        <f t="shared" si="67"/>
        <v>0</v>
      </c>
      <c r="AK27" s="95">
        <f t="shared" si="35"/>
        <v>1</v>
      </c>
      <c r="AL27" s="58">
        <f t="shared" si="36"/>
        <v>0</v>
      </c>
      <c r="AM27" s="55">
        <f t="shared" si="68"/>
        <v>0</v>
      </c>
      <c r="AN27" s="93"/>
      <c r="AO27" s="96"/>
      <c r="AP27" s="96">
        <f t="shared" ref="AP27:AP33" si="89">$CJ27</f>
        <v>0</v>
      </c>
      <c r="AQ27" s="96"/>
      <c r="AR27" s="96"/>
      <c r="AS27" s="96"/>
      <c r="AT27" s="96"/>
      <c r="AU27" s="96">
        <f t="shared" si="37"/>
        <v>0</v>
      </c>
      <c r="AV27" s="96">
        <f t="shared" si="37"/>
        <v>0</v>
      </c>
      <c r="AW27" s="96">
        <f t="shared" si="38"/>
        <v>0</v>
      </c>
      <c r="AX27" s="96">
        <f t="shared" si="39"/>
        <v>0</v>
      </c>
      <c r="AY27" s="94">
        <f t="shared" si="69"/>
        <v>0</v>
      </c>
      <c r="AZ27" s="94">
        <f t="shared" si="40"/>
        <v>0</v>
      </c>
      <c r="BA27" s="94">
        <f t="shared" si="41"/>
        <v>0</v>
      </c>
      <c r="BB27" s="97">
        <f t="shared" si="42"/>
        <v>0</v>
      </c>
      <c r="BC27" s="93"/>
      <c r="BD27" s="93">
        <f t="shared" si="43"/>
        <v>0</v>
      </c>
      <c r="BE27" s="95">
        <f t="shared" si="44"/>
        <v>1</v>
      </c>
      <c r="BF27" s="58">
        <f t="shared" si="45"/>
        <v>0</v>
      </c>
      <c r="BG27" s="94">
        <f t="shared" si="46"/>
        <v>0</v>
      </c>
      <c r="BH27" s="89"/>
      <c r="BI27" s="89"/>
      <c r="BJ27" s="92">
        <f t="shared" ref="BJ27:BJ33" si="90">$CN27</f>
        <v>0</v>
      </c>
      <c r="BK27" s="89"/>
      <c r="BL27" s="89"/>
      <c r="BM27" s="89"/>
      <c r="BN27" s="89"/>
      <c r="BO27" s="92">
        <f t="shared" si="70"/>
        <v>0</v>
      </c>
      <c r="BP27" s="92">
        <f t="shared" si="70"/>
        <v>0</v>
      </c>
      <c r="BQ27" s="96">
        <f t="shared" si="47"/>
        <v>0</v>
      </c>
      <c r="BR27" s="96">
        <f t="shared" si="48"/>
        <v>0</v>
      </c>
      <c r="BS27" s="96">
        <f t="shared" si="71"/>
        <v>0</v>
      </c>
      <c r="BT27" s="96">
        <f t="shared" si="49"/>
        <v>0</v>
      </c>
      <c r="BU27" s="92">
        <f t="shared" si="16"/>
        <v>0</v>
      </c>
      <c r="BV27" s="98">
        <f t="shared" si="17"/>
        <v>0</v>
      </c>
      <c r="BW27" s="92">
        <f t="shared" si="18"/>
        <v>0</v>
      </c>
      <c r="BX27" s="98">
        <f t="shared" si="50"/>
        <v>0</v>
      </c>
      <c r="BY27" s="61">
        <f t="shared" si="73"/>
        <v>0</v>
      </c>
      <c r="BZ27" s="62">
        <f t="shared" si="51"/>
        <v>0</v>
      </c>
      <c r="CA27" s="98">
        <f t="shared" si="52"/>
        <v>0</v>
      </c>
      <c r="CB27" s="92">
        <f t="shared" si="19"/>
        <v>0</v>
      </c>
      <c r="CC27" s="92">
        <f t="shared" si="19"/>
        <v>0</v>
      </c>
      <c r="CD27" s="92">
        <f t="shared" si="19"/>
        <v>0</v>
      </c>
      <c r="CE27" s="99"/>
      <c r="CF27" s="99"/>
      <c r="CG27" s="51">
        <f t="shared" si="53"/>
        <v>0</v>
      </c>
      <c r="CH27" s="62">
        <f t="shared" si="54"/>
        <v>0</v>
      </c>
      <c r="CI27" s="89"/>
      <c r="CJ27" s="89"/>
      <c r="CK27" s="89"/>
      <c r="CL27" s="96"/>
      <c r="CM27" s="89"/>
      <c r="CN27" s="89"/>
      <c r="CO27" s="92"/>
      <c r="CP27" s="101"/>
      <c r="CQ27" s="102">
        <f t="shared" si="87"/>
        <v>0</v>
      </c>
      <c r="CR27" s="102">
        <f t="shared" si="87"/>
        <v>0</v>
      </c>
      <c r="CS27" s="102">
        <f t="shared" si="87"/>
        <v>0</v>
      </c>
      <c r="CT27" s="92">
        <f t="shared" si="56"/>
        <v>0</v>
      </c>
      <c r="CU27" s="92">
        <f t="shared" si="88"/>
        <v>0</v>
      </c>
      <c r="CV27" s="103">
        <f t="shared" si="88"/>
        <v>0</v>
      </c>
      <c r="CW27" s="104"/>
      <c r="CX27" s="105">
        <v>17</v>
      </c>
      <c r="CY27" s="106">
        <f t="shared" si="58"/>
        <v>1941</v>
      </c>
      <c r="CZ27" s="106">
        <f t="shared" si="59"/>
        <v>137.70000000000002</v>
      </c>
      <c r="DA27" s="106"/>
      <c r="DB27" s="106"/>
      <c r="DC27" s="105"/>
      <c r="DD27" s="107"/>
      <c r="DE27" s="92">
        <f t="shared" si="21"/>
        <v>0</v>
      </c>
      <c r="DF27" s="108">
        <f t="shared" si="22"/>
        <v>0</v>
      </c>
      <c r="DG27" s="112">
        <f t="shared" si="23"/>
        <v>0</v>
      </c>
      <c r="DH27" s="110">
        <f t="shared" si="24"/>
        <v>0</v>
      </c>
      <c r="DI27" s="108">
        <f t="shared" si="25"/>
        <v>0</v>
      </c>
      <c r="DJ27" s="112">
        <f t="shared" si="26"/>
        <v>0</v>
      </c>
      <c r="DK27" s="110">
        <f t="shared" si="86"/>
        <v>0</v>
      </c>
      <c r="DL27" s="108">
        <f t="shared" si="86"/>
        <v>0</v>
      </c>
      <c r="DM27" s="111">
        <f t="shared" si="86"/>
        <v>0</v>
      </c>
      <c r="DN27" s="76">
        <f t="shared" si="60"/>
        <v>0</v>
      </c>
      <c r="DO27" s="76">
        <f t="shared" si="60"/>
        <v>0</v>
      </c>
      <c r="DP27" s="112"/>
      <c r="DQ27" s="112"/>
      <c r="DR27" s="113"/>
      <c r="DS27" s="112"/>
      <c r="DT27" s="112"/>
      <c r="DU27" s="111"/>
      <c r="DV27" s="114"/>
      <c r="DW27" s="80">
        <f t="shared" si="61"/>
        <v>0</v>
      </c>
      <c r="DX27" s="81">
        <f t="shared" si="28"/>
        <v>0</v>
      </c>
      <c r="DY27" s="80">
        <f t="shared" si="62"/>
        <v>0</v>
      </c>
      <c r="DZ27" s="82">
        <f t="shared" si="63"/>
        <v>0</v>
      </c>
      <c r="EA27" s="82">
        <f t="shared" si="64"/>
        <v>0</v>
      </c>
      <c r="EB27" s="82">
        <f t="shared" si="65"/>
        <v>0</v>
      </c>
      <c r="EC27" s="82">
        <f t="shared" si="75"/>
        <v>0</v>
      </c>
      <c r="EF27" s="83">
        <f t="shared" ref="EF27:EF58" si="91">DG27+DJ27</f>
        <v>0</v>
      </c>
    </row>
    <row r="28" spans="1:136" ht="14.1" customHeight="1">
      <c r="A28" s="84">
        <v>21</v>
      </c>
      <c r="B28" s="85" t="s">
        <v>194</v>
      </c>
      <c r="C28" s="86"/>
      <c r="D28" s="119">
        <v>31100</v>
      </c>
      <c r="E28" s="88">
        <v>91</v>
      </c>
      <c r="F28" s="89"/>
      <c r="G28" s="45" t="str">
        <f t="shared" si="30"/>
        <v>GWA6063-T5-T18.15x8.6x3-H9A15</v>
      </c>
      <c r="H28" s="46" t="str">
        <f t="shared" si="31"/>
        <v>A6063-T5GW18.158.6TH9</v>
      </c>
      <c r="I28" s="46" t="str">
        <f t="shared" si="32"/>
        <v>A6063-T5GW18.158.6TH93A15</v>
      </c>
      <c r="J28" s="90" t="s">
        <v>129</v>
      </c>
      <c r="K28" s="90" t="s">
        <v>130</v>
      </c>
      <c r="L28" s="90">
        <v>18.149999999999999</v>
      </c>
      <c r="M28" s="90">
        <v>8.6</v>
      </c>
      <c r="N28" s="90" t="s">
        <v>157</v>
      </c>
      <c r="O28" s="90" t="s">
        <v>131</v>
      </c>
      <c r="P28" s="90">
        <v>3</v>
      </c>
      <c r="Q28" s="91">
        <v>1.641</v>
      </c>
      <c r="R28" s="90" t="s">
        <v>164</v>
      </c>
      <c r="S28" s="89">
        <f t="shared" si="33"/>
        <v>18</v>
      </c>
      <c r="T28" s="51">
        <f>'07.02'!BG28</f>
        <v>20</v>
      </c>
      <c r="U28" s="92"/>
      <c r="V28" s="89">
        <v>7.7</v>
      </c>
      <c r="W28" s="93">
        <f t="shared" si="5"/>
        <v>0</v>
      </c>
      <c r="X28" s="93">
        <f t="shared" si="6"/>
        <v>0</v>
      </c>
      <c r="Y28" s="93">
        <f t="shared" si="7"/>
        <v>0</v>
      </c>
      <c r="Z28" s="93">
        <f t="shared" si="8"/>
        <v>0</v>
      </c>
      <c r="AA28" s="93">
        <f t="shared" si="9"/>
        <v>0</v>
      </c>
      <c r="AB28" s="93">
        <f t="shared" si="10"/>
        <v>0</v>
      </c>
      <c r="AC28" s="93">
        <f t="shared" si="11"/>
        <v>0</v>
      </c>
      <c r="AD28" s="93">
        <f t="shared" si="12"/>
        <v>0</v>
      </c>
      <c r="AE28" s="93">
        <f t="shared" si="34"/>
        <v>0</v>
      </c>
      <c r="AF28" s="54">
        <f>AE28+'07.02'!AF28</f>
        <v>7124</v>
      </c>
      <c r="AG28" s="94">
        <f t="shared" si="66"/>
        <v>20</v>
      </c>
      <c r="AH28" s="56">
        <f t="shared" si="13"/>
        <v>0</v>
      </c>
      <c r="AI28" s="93"/>
      <c r="AJ28" s="93">
        <f t="shared" si="67"/>
        <v>0</v>
      </c>
      <c r="AK28" s="95">
        <f t="shared" si="35"/>
        <v>1</v>
      </c>
      <c r="AL28" s="58">
        <f t="shared" si="36"/>
        <v>0</v>
      </c>
      <c r="AM28" s="55">
        <f t="shared" si="68"/>
        <v>20</v>
      </c>
      <c r="AN28" s="93"/>
      <c r="AO28" s="96"/>
      <c r="AP28" s="96">
        <f t="shared" si="89"/>
        <v>0</v>
      </c>
      <c r="AQ28" s="96"/>
      <c r="AR28" s="96"/>
      <c r="AS28" s="96"/>
      <c r="AT28" s="96"/>
      <c r="AU28" s="96">
        <f t="shared" si="37"/>
        <v>0</v>
      </c>
      <c r="AV28" s="96">
        <f t="shared" si="37"/>
        <v>0</v>
      </c>
      <c r="AW28" s="96">
        <f t="shared" si="38"/>
        <v>0</v>
      </c>
      <c r="AX28" s="96">
        <f t="shared" si="39"/>
        <v>0</v>
      </c>
      <c r="AY28" s="94">
        <f t="shared" si="69"/>
        <v>0</v>
      </c>
      <c r="AZ28" s="94">
        <f t="shared" si="40"/>
        <v>0</v>
      </c>
      <c r="BA28" s="94">
        <f t="shared" si="41"/>
        <v>20</v>
      </c>
      <c r="BB28" s="97">
        <f t="shared" si="42"/>
        <v>0</v>
      </c>
      <c r="BC28" s="93"/>
      <c r="BD28" s="93">
        <f t="shared" si="43"/>
        <v>0</v>
      </c>
      <c r="BE28" s="95">
        <f t="shared" si="44"/>
        <v>1</v>
      </c>
      <c r="BF28" s="58">
        <f t="shared" si="45"/>
        <v>0</v>
      </c>
      <c r="BG28" s="94">
        <f t="shared" si="46"/>
        <v>20</v>
      </c>
      <c r="BH28" s="89"/>
      <c r="BI28" s="89"/>
      <c r="BJ28" s="92">
        <f t="shared" si="90"/>
        <v>0</v>
      </c>
      <c r="BK28" s="89"/>
      <c r="BL28" s="89"/>
      <c r="BM28" s="89"/>
      <c r="BN28" s="89"/>
      <c r="BO28" s="92">
        <f t="shared" si="70"/>
        <v>0</v>
      </c>
      <c r="BP28" s="92">
        <f t="shared" si="70"/>
        <v>0</v>
      </c>
      <c r="BQ28" s="96">
        <f t="shared" si="47"/>
        <v>0</v>
      </c>
      <c r="BR28" s="96">
        <f t="shared" si="48"/>
        <v>0</v>
      </c>
      <c r="BS28" s="96">
        <f t="shared" si="71"/>
        <v>0</v>
      </c>
      <c r="BT28" s="96">
        <f t="shared" si="49"/>
        <v>0</v>
      </c>
      <c r="BU28" s="92">
        <f t="shared" si="16"/>
        <v>0</v>
      </c>
      <c r="BV28" s="98">
        <f t="shared" si="17"/>
        <v>0</v>
      </c>
      <c r="BW28" s="92">
        <f t="shared" si="18"/>
        <v>0</v>
      </c>
      <c r="BX28" s="98">
        <f t="shared" si="50"/>
        <v>0</v>
      </c>
      <c r="BY28" s="61">
        <f t="shared" si="73"/>
        <v>0</v>
      </c>
      <c r="BZ28" s="62">
        <f t="shared" si="51"/>
        <v>0</v>
      </c>
      <c r="CA28" s="98">
        <f t="shared" si="52"/>
        <v>0</v>
      </c>
      <c r="CB28" s="92">
        <f t="shared" si="19"/>
        <v>0</v>
      </c>
      <c r="CC28" s="92">
        <f t="shared" si="19"/>
        <v>0</v>
      </c>
      <c r="CD28" s="92">
        <f t="shared" si="19"/>
        <v>0</v>
      </c>
      <c r="CE28" s="99"/>
      <c r="CF28" s="99"/>
      <c r="CG28" s="51">
        <f t="shared" si="53"/>
        <v>0</v>
      </c>
      <c r="CH28" s="62">
        <f t="shared" si="54"/>
        <v>0</v>
      </c>
      <c r="CI28" s="89"/>
      <c r="CJ28" s="89"/>
      <c r="CK28" s="89"/>
      <c r="CL28" s="96"/>
      <c r="CM28" s="89"/>
      <c r="CN28" s="89"/>
      <c r="CO28" s="92"/>
      <c r="CP28" s="101"/>
      <c r="CQ28" s="102">
        <f t="shared" si="87"/>
        <v>0</v>
      </c>
      <c r="CR28" s="102">
        <f t="shared" si="87"/>
        <v>0</v>
      </c>
      <c r="CS28" s="102">
        <f t="shared" si="87"/>
        <v>0</v>
      </c>
      <c r="CT28" s="92">
        <f t="shared" si="56"/>
        <v>0</v>
      </c>
      <c r="CU28" s="92">
        <f t="shared" si="88"/>
        <v>0</v>
      </c>
      <c r="CV28" s="103">
        <f t="shared" si="88"/>
        <v>0</v>
      </c>
      <c r="CW28" s="104"/>
      <c r="CX28" s="105">
        <v>49.97</v>
      </c>
      <c r="CY28" s="106">
        <f t="shared" si="58"/>
        <v>804</v>
      </c>
      <c r="CZ28" s="106">
        <f t="shared" si="59"/>
        <v>404.75700000000001</v>
      </c>
      <c r="DA28" s="106"/>
      <c r="DB28" s="106"/>
      <c r="DC28" s="105"/>
      <c r="DD28" s="107"/>
      <c r="DE28" s="92">
        <f t="shared" si="21"/>
        <v>0</v>
      </c>
      <c r="DF28" s="108">
        <f t="shared" si="22"/>
        <v>0</v>
      </c>
      <c r="DG28" s="112">
        <f t="shared" si="23"/>
        <v>0</v>
      </c>
      <c r="DH28" s="110">
        <f t="shared" si="24"/>
        <v>0</v>
      </c>
      <c r="DI28" s="108">
        <f t="shared" si="25"/>
        <v>0</v>
      </c>
      <c r="DJ28" s="112">
        <f t="shared" si="26"/>
        <v>0</v>
      </c>
      <c r="DK28" s="110">
        <f t="shared" si="86"/>
        <v>0</v>
      </c>
      <c r="DL28" s="108">
        <f t="shared" si="86"/>
        <v>0</v>
      </c>
      <c r="DM28" s="111">
        <f t="shared" si="86"/>
        <v>0</v>
      </c>
      <c r="DN28" s="76">
        <v>9</v>
      </c>
      <c r="DO28" s="76"/>
      <c r="DP28" s="112"/>
      <c r="DQ28" s="112"/>
      <c r="DR28" s="113" t="s">
        <v>523</v>
      </c>
      <c r="DS28" s="112"/>
      <c r="DT28" s="112"/>
      <c r="DU28" s="111"/>
      <c r="DV28" s="114"/>
      <c r="DW28" s="80">
        <f t="shared" si="61"/>
        <v>0</v>
      </c>
      <c r="DX28" s="81">
        <f t="shared" si="28"/>
        <v>0</v>
      </c>
      <c r="DY28" s="80">
        <f t="shared" si="62"/>
        <v>0</v>
      </c>
      <c r="DZ28" s="82">
        <f t="shared" si="63"/>
        <v>0</v>
      </c>
      <c r="EA28" s="82">
        <f t="shared" si="64"/>
        <v>0</v>
      </c>
      <c r="EB28" s="82">
        <f t="shared" si="65"/>
        <v>0</v>
      </c>
      <c r="EC28" s="82">
        <f t="shared" si="75"/>
        <v>0</v>
      </c>
      <c r="EF28" s="83">
        <f t="shared" si="91"/>
        <v>0</v>
      </c>
    </row>
    <row r="29" spans="1:136" ht="15" customHeight="1">
      <c r="A29" s="84">
        <v>22</v>
      </c>
      <c r="B29" s="85" t="s">
        <v>196</v>
      </c>
      <c r="C29" s="86"/>
      <c r="D29" s="116" t="s">
        <v>143</v>
      </c>
      <c r="E29" s="88">
        <v>283</v>
      </c>
      <c r="F29" s="89" t="s">
        <v>147</v>
      </c>
      <c r="G29" s="45" t="str">
        <f t="shared" si="30"/>
        <v>TV12L14-11x2.5-H9C14</v>
      </c>
      <c r="H29" s="46" t="str">
        <f t="shared" si="31"/>
        <v>12L14TV110DH9</v>
      </c>
      <c r="I29" s="46" t="str">
        <f t="shared" si="32"/>
        <v>12L14TV110DH92.5C14</v>
      </c>
      <c r="J29" s="90" t="s">
        <v>137</v>
      </c>
      <c r="K29" s="90" t="s">
        <v>138</v>
      </c>
      <c r="L29" s="90">
        <v>11</v>
      </c>
      <c r="M29" s="90">
        <v>0</v>
      </c>
      <c r="N29" s="90" t="s">
        <v>128</v>
      </c>
      <c r="O29" s="90" t="s">
        <v>131</v>
      </c>
      <c r="P29" s="90">
        <v>2.5</v>
      </c>
      <c r="Q29" s="91"/>
      <c r="R29" s="90" t="s">
        <v>144</v>
      </c>
      <c r="S29" s="89">
        <f t="shared" si="33"/>
        <v>6</v>
      </c>
      <c r="T29" s="51">
        <v>14</v>
      </c>
      <c r="U29" s="92">
        <v>6</v>
      </c>
      <c r="V29" s="89">
        <v>2</v>
      </c>
      <c r="W29" s="93">
        <f t="shared" si="5"/>
        <v>0</v>
      </c>
      <c r="X29" s="93">
        <f t="shared" si="6"/>
        <v>0</v>
      </c>
      <c r="Y29" s="93">
        <f t="shared" si="7"/>
        <v>0</v>
      </c>
      <c r="Z29" s="93">
        <f t="shared" si="8"/>
        <v>0</v>
      </c>
      <c r="AA29" s="93">
        <f t="shared" si="9"/>
        <v>0</v>
      </c>
      <c r="AB29" s="93">
        <f t="shared" si="10"/>
        <v>0</v>
      </c>
      <c r="AC29" s="93">
        <f t="shared" si="11"/>
        <v>0</v>
      </c>
      <c r="AD29" s="93">
        <f t="shared" si="12"/>
        <v>0</v>
      </c>
      <c r="AE29" s="93">
        <f t="shared" si="34"/>
        <v>0</v>
      </c>
      <c r="AF29" s="54">
        <f>AE29+'07.02'!AF29</f>
        <v>26802</v>
      </c>
      <c r="AG29" s="94">
        <f t="shared" si="66"/>
        <v>14</v>
      </c>
      <c r="AH29" s="56">
        <f t="shared" si="13"/>
        <v>0</v>
      </c>
      <c r="AI29" s="93"/>
      <c r="AJ29" s="93">
        <f t="shared" si="67"/>
        <v>0</v>
      </c>
      <c r="AK29" s="95">
        <f t="shared" si="35"/>
        <v>1</v>
      </c>
      <c r="AL29" s="58">
        <f t="shared" si="36"/>
        <v>0</v>
      </c>
      <c r="AM29" s="55">
        <f t="shared" si="68"/>
        <v>20</v>
      </c>
      <c r="AN29" s="93"/>
      <c r="AO29" s="96"/>
      <c r="AP29" s="96">
        <f t="shared" si="89"/>
        <v>0</v>
      </c>
      <c r="AQ29" s="96"/>
      <c r="AR29" s="96"/>
      <c r="AS29" s="96"/>
      <c r="AT29" s="96"/>
      <c r="AU29" s="96">
        <f t="shared" si="37"/>
        <v>0</v>
      </c>
      <c r="AV29" s="96">
        <f t="shared" si="37"/>
        <v>0</v>
      </c>
      <c r="AW29" s="96">
        <f t="shared" si="38"/>
        <v>0</v>
      </c>
      <c r="AX29" s="96">
        <f t="shared" si="39"/>
        <v>0</v>
      </c>
      <c r="AY29" s="94">
        <f t="shared" si="69"/>
        <v>0</v>
      </c>
      <c r="AZ29" s="94">
        <f t="shared" si="40"/>
        <v>0</v>
      </c>
      <c r="BA29" s="94">
        <f t="shared" si="41"/>
        <v>20</v>
      </c>
      <c r="BB29" s="97">
        <f t="shared" si="42"/>
        <v>0</v>
      </c>
      <c r="BC29" s="93"/>
      <c r="BD29" s="93">
        <f t="shared" si="43"/>
        <v>0</v>
      </c>
      <c r="BE29" s="95">
        <f t="shared" si="44"/>
        <v>1</v>
      </c>
      <c r="BF29" s="58">
        <f t="shared" si="45"/>
        <v>0</v>
      </c>
      <c r="BG29" s="94">
        <f t="shared" si="46"/>
        <v>20</v>
      </c>
      <c r="BH29" s="89"/>
      <c r="BI29" s="89"/>
      <c r="BJ29" s="92">
        <f t="shared" si="90"/>
        <v>0</v>
      </c>
      <c r="BK29" s="89"/>
      <c r="BL29" s="89"/>
      <c r="BM29" s="89"/>
      <c r="BN29" s="92"/>
      <c r="BO29" s="92">
        <f t="shared" si="70"/>
        <v>0</v>
      </c>
      <c r="BP29" s="92">
        <f t="shared" si="70"/>
        <v>0</v>
      </c>
      <c r="BQ29" s="96">
        <f t="shared" si="47"/>
        <v>0</v>
      </c>
      <c r="BR29" s="96">
        <f t="shared" si="48"/>
        <v>0</v>
      </c>
      <c r="BS29" s="96">
        <f t="shared" si="71"/>
        <v>0</v>
      </c>
      <c r="BT29" s="96">
        <f t="shared" si="49"/>
        <v>0</v>
      </c>
      <c r="BU29" s="92">
        <f t="shared" si="16"/>
        <v>0</v>
      </c>
      <c r="BV29" s="98">
        <f t="shared" si="17"/>
        <v>0</v>
      </c>
      <c r="BW29" s="92">
        <f t="shared" si="18"/>
        <v>0</v>
      </c>
      <c r="BX29" s="98" t="str">
        <f t="shared" si="50"/>
        <v/>
      </c>
      <c r="BY29" s="61">
        <f>IFERROR(BF29+AL29,0)</f>
        <v>0</v>
      </c>
      <c r="BZ29" s="62">
        <f t="shared" si="51"/>
        <v>0</v>
      </c>
      <c r="CA29" s="98">
        <f t="shared" si="52"/>
        <v>0</v>
      </c>
      <c r="CB29" s="92">
        <f t="shared" si="19"/>
        <v>0</v>
      </c>
      <c r="CC29" s="92">
        <f t="shared" si="19"/>
        <v>0</v>
      </c>
      <c r="CD29" s="92">
        <f t="shared" si="19"/>
        <v>0</v>
      </c>
      <c r="CE29" s="99"/>
      <c r="CF29" s="99"/>
      <c r="CG29" s="51">
        <f t="shared" si="53"/>
        <v>0</v>
      </c>
      <c r="CH29" s="62">
        <f t="shared" si="54"/>
        <v>0</v>
      </c>
      <c r="CI29" s="89"/>
      <c r="CJ29" s="89"/>
      <c r="CK29" s="89"/>
      <c r="CL29" s="96"/>
      <c r="CM29" s="89"/>
      <c r="CN29" s="89"/>
      <c r="CO29" s="92"/>
      <c r="CP29" s="101"/>
      <c r="CQ29" s="102">
        <f t="shared" si="87"/>
        <v>0</v>
      </c>
      <c r="CR29" s="102">
        <f t="shared" si="87"/>
        <v>0</v>
      </c>
      <c r="CS29" s="102">
        <f t="shared" si="87"/>
        <v>0</v>
      </c>
      <c r="CT29" s="92">
        <f t="shared" si="56"/>
        <v>0</v>
      </c>
      <c r="CU29" s="92">
        <f t="shared" si="88"/>
        <v>0</v>
      </c>
      <c r="CV29" s="103">
        <f t="shared" si="88"/>
        <v>0</v>
      </c>
      <c r="CW29" s="104"/>
      <c r="CX29" s="105">
        <v>48</v>
      </c>
      <c r="CY29" s="106">
        <f t="shared" si="58"/>
        <v>875</v>
      </c>
      <c r="CZ29" s="106">
        <f t="shared" si="59"/>
        <v>388.8</v>
      </c>
      <c r="DA29" s="106"/>
      <c r="DB29" s="106"/>
      <c r="DC29" s="105"/>
      <c r="DD29" s="107"/>
      <c r="DE29" s="92">
        <f t="shared" si="21"/>
        <v>0</v>
      </c>
      <c r="DF29" s="108">
        <f t="shared" si="22"/>
        <v>0</v>
      </c>
      <c r="DG29" s="112">
        <f t="shared" si="23"/>
        <v>0</v>
      </c>
      <c r="DH29" s="110">
        <f t="shared" si="24"/>
        <v>0</v>
      </c>
      <c r="DI29" s="108">
        <f t="shared" si="25"/>
        <v>0</v>
      </c>
      <c r="DJ29" s="112">
        <f t="shared" si="26"/>
        <v>0</v>
      </c>
      <c r="DK29" s="110">
        <f t="shared" si="86"/>
        <v>0</v>
      </c>
      <c r="DL29" s="108">
        <f t="shared" si="86"/>
        <v>0</v>
      </c>
      <c r="DM29" s="111">
        <f t="shared" si="86"/>
        <v>0</v>
      </c>
      <c r="DN29" s="76">
        <v>20</v>
      </c>
      <c r="DO29" s="76"/>
      <c r="DP29" s="112"/>
      <c r="DQ29" s="112"/>
      <c r="DR29" s="113" t="s">
        <v>524</v>
      </c>
      <c r="DS29" s="112"/>
      <c r="DT29" s="112"/>
      <c r="DU29" s="111"/>
      <c r="DV29" s="114"/>
      <c r="DW29" s="80">
        <f>IFERROR(AL29+BF29,"")</f>
        <v>0</v>
      </c>
      <c r="DX29" s="81">
        <f t="shared" si="28"/>
        <v>0</v>
      </c>
      <c r="DY29" s="80">
        <f t="shared" si="62"/>
        <v>0</v>
      </c>
      <c r="DZ29" s="82">
        <f t="shared" si="63"/>
        <v>0</v>
      </c>
      <c r="EA29" s="82">
        <f t="shared" si="64"/>
        <v>0</v>
      </c>
      <c r="EB29" s="82" t="e">
        <f t="shared" si="65"/>
        <v>#VALUE!</v>
      </c>
      <c r="EC29" s="82" t="e">
        <f>(BX29-CA29)+((AV29+BP29)/1000)</f>
        <v>#VALUE!</v>
      </c>
      <c r="EF29" s="83">
        <f t="shared" si="91"/>
        <v>0</v>
      </c>
    </row>
    <row r="30" spans="1:136" ht="14.1" customHeight="1">
      <c r="A30" s="84">
        <v>23</v>
      </c>
      <c r="B30" s="85" t="s">
        <v>198</v>
      </c>
      <c r="C30" s="86"/>
      <c r="D30" s="87" t="s">
        <v>199</v>
      </c>
      <c r="E30" s="88">
        <v>168</v>
      </c>
      <c r="F30" s="89" t="s">
        <v>128</v>
      </c>
      <c r="G30" s="45" t="str">
        <f t="shared" si="30"/>
        <v>GWA6063-T5-T15x8.6x3-H9E14</v>
      </c>
      <c r="H30" s="46" t="str">
        <f t="shared" si="31"/>
        <v>A6063-T5GW158.6TH9</v>
      </c>
      <c r="I30" s="46" t="str">
        <f t="shared" si="32"/>
        <v>A6063-T5GW158.6TH93E14</v>
      </c>
      <c r="J30" s="90" t="s">
        <v>129</v>
      </c>
      <c r="K30" s="90" t="s">
        <v>130</v>
      </c>
      <c r="L30" s="90">
        <v>15</v>
      </c>
      <c r="M30" s="90">
        <v>8.6</v>
      </c>
      <c r="N30" s="90" t="s">
        <v>157</v>
      </c>
      <c r="O30" s="90" t="s">
        <v>131</v>
      </c>
      <c r="P30" s="90">
        <v>3</v>
      </c>
      <c r="Q30" s="91">
        <v>0.755</v>
      </c>
      <c r="R30" s="90" t="s">
        <v>200</v>
      </c>
      <c r="S30" s="89">
        <f t="shared" si="33"/>
        <v>26</v>
      </c>
      <c r="T30" s="51">
        <f>'07.02'!BG30</f>
        <v>31</v>
      </c>
      <c r="U30" s="92">
        <v>20</v>
      </c>
      <c r="V30" s="108">
        <v>3</v>
      </c>
      <c r="W30" s="93">
        <f t="shared" si="5"/>
        <v>0</v>
      </c>
      <c r="X30" s="93">
        <f t="shared" si="6"/>
        <v>0</v>
      </c>
      <c r="Y30" s="93">
        <f t="shared" si="7"/>
        <v>0</v>
      </c>
      <c r="Z30" s="93">
        <f t="shared" si="8"/>
        <v>0</v>
      </c>
      <c r="AA30" s="93">
        <f t="shared" si="9"/>
        <v>0</v>
      </c>
      <c r="AB30" s="93">
        <f t="shared" si="10"/>
        <v>0</v>
      </c>
      <c r="AC30" s="93">
        <f t="shared" si="11"/>
        <v>0</v>
      </c>
      <c r="AD30" s="93">
        <f t="shared" si="12"/>
        <v>0</v>
      </c>
      <c r="AE30" s="93">
        <f t="shared" si="34"/>
        <v>0</v>
      </c>
      <c r="AF30" s="54">
        <f>AE30+'07.02'!AF30</f>
        <v>21231</v>
      </c>
      <c r="AG30" s="94">
        <f t="shared" si="66"/>
        <v>31</v>
      </c>
      <c r="AH30" s="56">
        <f t="shared" si="13"/>
        <v>0</v>
      </c>
      <c r="AI30" s="93"/>
      <c r="AJ30" s="93">
        <f t="shared" si="67"/>
        <v>0</v>
      </c>
      <c r="AK30" s="95">
        <f t="shared" si="35"/>
        <v>1</v>
      </c>
      <c r="AL30" s="58">
        <f t="shared" si="36"/>
        <v>0</v>
      </c>
      <c r="AM30" s="55">
        <f t="shared" si="68"/>
        <v>51</v>
      </c>
      <c r="AN30" s="93"/>
      <c r="AO30" s="96"/>
      <c r="AP30" s="96">
        <f t="shared" si="89"/>
        <v>0</v>
      </c>
      <c r="AQ30" s="96"/>
      <c r="AR30" s="96"/>
      <c r="AS30" s="96"/>
      <c r="AT30" s="96"/>
      <c r="AU30" s="96">
        <f t="shared" si="37"/>
        <v>0</v>
      </c>
      <c r="AV30" s="96">
        <f t="shared" si="37"/>
        <v>0</v>
      </c>
      <c r="AW30" s="96">
        <f t="shared" si="38"/>
        <v>0</v>
      </c>
      <c r="AX30" s="96">
        <f t="shared" si="39"/>
        <v>0</v>
      </c>
      <c r="AY30" s="94">
        <f t="shared" si="69"/>
        <v>0</v>
      </c>
      <c r="AZ30" s="94">
        <f t="shared" si="40"/>
        <v>0</v>
      </c>
      <c r="BA30" s="94">
        <f t="shared" si="41"/>
        <v>51</v>
      </c>
      <c r="BB30" s="97">
        <f t="shared" si="42"/>
        <v>0</v>
      </c>
      <c r="BC30" s="93"/>
      <c r="BD30" s="93">
        <f t="shared" si="43"/>
        <v>0</v>
      </c>
      <c r="BE30" s="95">
        <f t="shared" si="44"/>
        <v>1</v>
      </c>
      <c r="BF30" s="58">
        <f t="shared" si="45"/>
        <v>0</v>
      </c>
      <c r="BG30" s="94">
        <f t="shared" si="46"/>
        <v>51</v>
      </c>
      <c r="BH30" s="89"/>
      <c r="BI30" s="89"/>
      <c r="BJ30" s="92">
        <f t="shared" si="90"/>
        <v>0</v>
      </c>
      <c r="BK30" s="89"/>
      <c r="BL30" s="89"/>
      <c r="BM30" s="89"/>
      <c r="BN30" s="89"/>
      <c r="BO30" s="92">
        <f t="shared" si="70"/>
        <v>0</v>
      </c>
      <c r="BP30" s="92">
        <f t="shared" si="70"/>
        <v>0</v>
      </c>
      <c r="BQ30" s="96">
        <f t="shared" si="47"/>
        <v>0</v>
      </c>
      <c r="BR30" s="96">
        <f t="shared" si="48"/>
        <v>0</v>
      </c>
      <c r="BS30" s="96">
        <f t="shared" si="71"/>
        <v>0</v>
      </c>
      <c r="BT30" s="96">
        <f t="shared" si="49"/>
        <v>0</v>
      </c>
      <c r="BU30" s="92">
        <f t="shared" si="16"/>
        <v>0</v>
      </c>
      <c r="BV30" s="98">
        <f t="shared" si="17"/>
        <v>0</v>
      </c>
      <c r="BW30" s="92">
        <f t="shared" si="18"/>
        <v>0</v>
      </c>
      <c r="BX30" s="98">
        <f t="shared" si="50"/>
        <v>0</v>
      </c>
      <c r="BY30" s="61">
        <f>IFERROR(BF30+AL30,0)</f>
        <v>0</v>
      </c>
      <c r="BZ30" s="62">
        <f t="shared" si="51"/>
        <v>0</v>
      </c>
      <c r="CA30" s="98">
        <f t="shared" si="52"/>
        <v>0</v>
      </c>
      <c r="CB30" s="92">
        <f t="shared" si="19"/>
        <v>0</v>
      </c>
      <c r="CC30" s="92">
        <f t="shared" si="19"/>
        <v>0</v>
      </c>
      <c r="CD30" s="92">
        <f t="shared" si="19"/>
        <v>0</v>
      </c>
      <c r="CE30" s="99"/>
      <c r="CF30" s="99"/>
      <c r="CG30" s="51">
        <f t="shared" si="53"/>
        <v>0</v>
      </c>
      <c r="CH30" s="62">
        <f t="shared" si="54"/>
        <v>0</v>
      </c>
      <c r="CI30" s="89"/>
      <c r="CJ30" s="89"/>
      <c r="CK30" s="89"/>
      <c r="CL30" s="96"/>
      <c r="CM30" s="89"/>
      <c r="CN30" s="89"/>
      <c r="CO30" s="92"/>
      <c r="CP30" s="101"/>
      <c r="CQ30" s="102">
        <f t="shared" si="87"/>
        <v>0</v>
      </c>
      <c r="CR30" s="102">
        <f t="shared" si="87"/>
        <v>0</v>
      </c>
      <c r="CS30" s="102">
        <f t="shared" si="87"/>
        <v>0</v>
      </c>
      <c r="CT30" s="92">
        <f t="shared" si="56"/>
        <v>0</v>
      </c>
      <c r="CU30" s="92">
        <f t="shared" si="88"/>
        <v>0</v>
      </c>
      <c r="CV30" s="103">
        <f t="shared" si="88"/>
        <v>0</v>
      </c>
      <c r="CW30" s="104"/>
      <c r="CX30" s="105">
        <v>18</v>
      </c>
      <c r="CY30" s="106">
        <f t="shared" si="58"/>
        <v>2150</v>
      </c>
      <c r="CZ30" s="106">
        <f t="shared" si="59"/>
        <v>145.80000000000001</v>
      </c>
      <c r="DA30" s="106"/>
      <c r="DB30" s="106"/>
      <c r="DC30" s="105"/>
      <c r="DD30" s="107"/>
      <c r="DE30" s="92">
        <f t="shared" si="21"/>
        <v>0</v>
      </c>
      <c r="DF30" s="108">
        <f t="shared" si="22"/>
        <v>0</v>
      </c>
      <c r="DG30" s="112">
        <f>IFERROR(AZ30,"")</f>
        <v>0</v>
      </c>
      <c r="DH30" s="110">
        <f t="shared" si="24"/>
        <v>0</v>
      </c>
      <c r="DI30" s="108">
        <f t="shared" si="25"/>
        <v>0</v>
      </c>
      <c r="DJ30" s="112">
        <f t="shared" si="26"/>
        <v>0</v>
      </c>
      <c r="DK30" s="110">
        <f t="shared" si="86"/>
        <v>0</v>
      </c>
      <c r="DL30" s="108">
        <f t="shared" si="86"/>
        <v>0</v>
      </c>
      <c r="DM30" s="111">
        <f t="shared" si="86"/>
        <v>0</v>
      </c>
      <c r="DN30" s="76">
        <v>29</v>
      </c>
      <c r="DO30" s="76"/>
      <c r="DP30" s="112"/>
      <c r="DQ30" s="112"/>
      <c r="DR30" s="113" t="s">
        <v>525</v>
      </c>
      <c r="DS30" s="112"/>
      <c r="DT30" s="112"/>
      <c r="DU30" s="111"/>
      <c r="DV30" s="114"/>
      <c r="DW30" s="80">
        <f t="shared" si="61"/>
        <v>0</v>
      </c>
      <c r="DX30" s="81">
        <f t="shared" si="28"/>
        <v>0</v>
      </c>
      <c r="DY30" s="80">
        <f t="shared" si="62"/>
        <v>0</v>
      </c>
      <c r="DZ30" s="82">
        <f t="shared" si="63"/>
        <v>0</v>
      </c>
      <c r="EA30" s="82">
        <f t="shared" si="64"/>
        <v>0</v>
      </c>
      <c r="EB30" s="82">
        <f t="shared" si="65"/>
        <v>0</v>
      </c>
      <c r="EC30" s="82">
        <f t="shared" si="75"/>
        <v>0</v>
      </c>
      <c r="EF30" s="83">
        <f t="shared" si="91"/>
        <v>0</v>
      </c>
    </row>
    <row r="31" spans="1:136" hidden="1">
      <c r="A31" s="84">
        <v>24</v>
      </c>
      <c r="B31" s="85" t="s">
        <v>202</v>
      </c>
      <c r="C31" s="86"/>
      <c r="D31" s="87" t="s">
        <v>203</v>
      </c>
      <c r="E31" s="88">
        <v>172</v>
      </c>
      <c r="F31" s="89" t="s">
        <v>191</v>
      </c>
      <c r="G31" s="45" t="str">
        <f t="shared" si="30"/>
        <v>YHC3604-4x3-H9A14</v>
      </c>
      <c r="H31" s="46" t="str">
        <f t="shared" si="31"/>
        <v>C3604YH40DH9</v>
      </c>
      <c r="I31" s="46" t="str">
        <f t="shared" si="32"/>
        <v>C3604YH40DH93A14</v>
      </c>
      <c r="J31" s="90" t="s">
        <v>148</v>
      </c>
      <c r="K31" s="90" t="s">
        <v>181</v>
      </c>
      <c r="L31" s="90">
        <v>4</v>
      </c>
      <c r="M31" s="90">
        <v>0</v>
      </c>
      <c r="N31" s="90" t="s">
        <v>128</v>
      </c>
      <c r="O31" s="90" t="s">
        <v>131</v>
      </c>
      <c r="P31" s="90">
        <v>3</v>
      </c>
      <c r="Q31" s="91">
        <v>0.16700000000000001</v>
      </c>
      <c r="R31" s="90" t="s">
        <v>139</v>
      </c>
      <c r="S31" s="89">
        <f t="shared" si="33"/>
        <v>36</v>
      </c>
      <c r="T31" s="51">
        <f>'07.02'!BG31</f>
        <v>0</v>
      </c>
      <c r="U31" s="92"/>
      <c r="V31" s="89">
        <v>0.76500000000000001</v>
      </c>
      <c r="W31" s="93">
        <f t="shared" si="5"/>
        <v>0</v>
      </c>
      <c r="X31" s="93">
        <f t="shared" si="6"/>
        <v>0</v>
      </c>
      <c r="Y31" s="93">
        <f t="shared" si="7"/>
        <v>0</v>
      </c>
      <c r="Z31" s="93">
        <f t="shared" si="8"/>
        <v>0</v>
      </c>
      <c r="AA31" s="93">
        <f t="shared" si="9"/>
        <v>0</v>
      </c>
      <c r="AB31" s="93">
        <f t="shared" si="10"/>
        <v>0</v>
      </c>
      <c r="AC31" s="93">
        <f t="shared" si="11"/>
        <v>0</v>
      </c>
      <c r="AD31" s="93">
        <f t="shared" si="12"/>
        <v>0</v>
      </c>
      <c r="AE31" s="93">
        <f t="shared" si="34"/>
        <v>0</v>
      </c>
      <c r="AF31" s="54">
        <f>AE31+'07.02'!AF31</f>
        <v>6974</v>
      </c>
      <c r="AG31" s="94">
        <f t="shared" si="66"/>
        <v>0</v>
      </c>
      <c r="AH31" s="56">
        <f t="shared" si="13"/>
        <v>0</v>
      </c>
      <c r="AI31" s="93"/>
      <c r="AJ31" s="93">
        <f t="shared" si="67"/>
        <v>0</v>
      </c>
      <c r="AK31" s="95">
        <f t="shared" si="35"/>
        <v>1</v>
      </c>
      <c r="AL31" s="58">
        <f t="shared" si="36"/>
        <v>0</v>
      </c>
      <c r="AM31" s="55">
        <f t="shared" si="68"/>
        <v>0</v>
      </c>
      <c r="AN31" s="93"/>
      <c r="AO31" s="96"/>
      <c r="AP31" s="96"/>
      <c r="AQ31" s="96"/>
      <c r="AR31" s="96"/>
      <c r="AS31" s="96"/>
      <c r="AT31" s="96">
        <f t="shared" ref="AT31" si="92">$CJ31</f>
        <v>0</v>
      </c>
      <c r="AU31" s="96">
        <f t="shared" si="37"/>
        <v>0</v>
      </c>
      <c r="AV31" s="96">
        <f t="shared" si="37"/>
        <v>0</v>
      </c>
      <c r="AW31" s="96">
        <f t="shared" si="38"/>
        <v>0</v>
      </c>
      <c r="AX31" s="96">
        <f t="shared" si="39"/>
        <v>0</v>
      </c>
      <c r="AY31" s="94">
        <f t="shared" si="69"/>
        <v>0</v>
      </c>
      <c r="AZ31" s="94">
        <f t="shared" si="40"/>
        <v>0</v>
      </c>
      <c r="BA31" s="94">
        <f t="shared" si="41"/>
        <v>0</v>
      </c>
      <c r="BB31" s="97">
        <f t="shared" si="42"/>
        <v>0</v>
      </c>
      <c r="BC31" s="93"/>
      <c r="BD31" s="93">
        <f t="shared" si="43"/>
        <v>0</v>
      </c>
      <c r="BE31" s="95">
        <f t="shared" si="44"/>
        <v>1</v>
      </c>
      <c r="BF31" s="58">
        <f t="shared" si="45"/>
        <v>0</v>
      </c>
      <c r="BG31" s="94">
        <f t="shared" si="46"/>
        <v>0</v>
      </c>
      <c r="BH31" s="89"/>
      <c r="BI31" s="89"/>
      <c r="BJ31" s="92"/>
      <c r="BK31" s="89"/>
      <c r="BL31" s="89"/>
      <c r="BM31" s="92"/>
      <c r="BN31" s="92">
        <f t="shared" ref="BN31" si="93">$CN31</f>
        <v>0</v>
      </c>
      <c r="BO31" s="92">
        <f t="shared" si="70"/>
        <v>0</v>
      </c>
      <c r="BP31" s="92">
        <f t="shared" si="70"/>
        <v>0</v>
      </c>
      <c r="BQ31" s="96">
        <f t="shared" si="47"/>
        <v>0</v>
      </c>
      <c r="BR31" s="96">
        <f t="shared" si="48"/>
        <v>0</v>
      </c>
      <c r="BS31" s="96">
        <f t="shared" si="71"/>
        <v>0</v>
      </c>
      <c r="BT31" s="96">
        <f t="shared" si="49"/>
        <v>0</v>
      </c>
      <c r="BU31" s="92">
        <f t="shared" si="16"/>
        <v>0</v>
      </c>
      <c r="BV31" s="98">
        <f t="shared" si="17"/>
        <v>0</v>
      </c>
      <c r="BW31" s="92">
        <f t="shared" si="18"/>
        <v>0</v>
      </c>
      <c r="BX31" s="98">
        <f t="shared" si="50"/>
        <v>0</v>
      </c>
      <c r="BY31" s="61">
        <f t="shared" si="73"/>
        <v>0</v>
      </c>
      <c r="BZ31" s="62">
        <f t="shared" si="51"/>
        <v>0</v>
      </c>
      <c r="CA31" s="98">
        <f t="shared" si="52"/>
        <v>0</v>
      </c>
      <c r="CB31" s="92">
        <f t="shared" si="19"/>
        <v>0</v>
      </c>
      <c r="CC31" s="92">
        <f t="shared" si="19"/>
        <v>0</v>
      </c>
      <c r="CD31" s="92">
        <f t="shared" si="19"/>
        <v>0</v>
      </c>
      <c r="CE31" s="99"/>
      <c r="CF31" s="99"/>
      <c r="CG31" s="51">
        <f t="shared" si="53"/>
        <v>0</v>
      </c>
      <c r="CH31" s="62">
        <f t="shared" si="54"/>
        <v>0</v>
      </c>
      <c r="CI31" s="89"/>
      <c r="CJ31" s="89"/>
      <c r="CK31" s="89"/>
      <c r="CL31" s="96"/>
      <c r="CM31" s="89"/>
      <c r="CN31" s="89"/>
      <c r="CO31" s="92"/>
      <c r="CP31" s="101"/>
      <c r="CQ31" s="102">
        <f t="shared" si="87"/>
        <v>0</v>
      </c>
      <c r="CR31" s="102">
        <f t="shared" si="87"/>
        <v>0</v>
      </c>
      <c r="CS31" s="102">
        <f t="shared" si="87"/>
        <v>0</v>
      </c>
      <c r="CT31" s="92">
        <f t="shared" si="56"/>
        <v>0</v>
      </c>
      <c r="CU31" s="92">
        <f t="shared" si="88"/>
        <v>0</v>
      </c>
      <c r="CV31" s="103">
        <f t="shared" si="88"/>
        <v>0</v>
      </c>
      <c r="CW31" s="104" t="s">
        <v>157</v>
      </c>
      <c r="CX31" s="105">
        <v>14</v>
      </c>
      <c r="CY31" s="106">
        <f t="shared" si="58"/>
        <v>3051</v>
      </c>
      <c r="CZ31" s="106">
        <f t="shared" si="59"/>
        <v>56.7</v>
      </c>
      <c r="DA31" s="106"/>
      <c r="DB31" s="106"/>
      <c r="DC31" s="105"/>
      <c r="DD31" s="107"/>
      <c r="DE31" s="92">
        <f t="shared" si="21"/>
        <v>0</v>
      </c>
      <c r="DF31" s="108">
        <f t="shared" si="22"/>
        <v>0</v>
      </c>
      <c r="DG31" s="112">
        <f t="shared" si="23"/>
        <v>0</v>
      </c>
      <c r="DH31" s="110">
        <f t="shared" si="24"/>
        <v>0</v>
      </c>
      <c r="DI31" s="108">
        <f t="shared" si="25"/>
        <v>0</v>
      </c>
      <c r="DJ31" s="112">
        <f t="shared" si="26"/>
        <v>0</v>
      </c>
      <c r="DK31" s="110">
        <f t="shared" si="86"/>
        <v>0</v>
      </c>
      <c r="DL31" s="108">
        <f t="shared" si="86"/>
        <v>0</v>
      </c>
      <c r="DM31" s="111">
        <f t="shared" si="86"/>
        <v>0</v>
      </c>
      <c r="DN31" s="76">
        <f t="shared" si="60"/>
        <v>0</v>
      </c>
      <c r="DO31" s="76">
        <f t="shared" si="60"/>
        <v>0</v>
      </c>
      <c r="DP31" s="112"/>
      <c r="DQ31" s="112"/>
      <c r="DR31" s="113"/>
      <c r="DS31" s="112"/>
      <c r="DT31" s="112"/>
      <c r="DU31" s="111"/>
      <c r="DV31" s="114"/>
      <c r="DW31" s="80">
        <f t="shared" si="61"/>
        <v>0</v>
      </c>
      <c r="DX31" s="81">
        <f t="shared" si="28"/>
        <v>0</v>
      </c>
      <c r="DY31" s="80">
        <f t="shared" si="62"/>
        <v>0</v>
      </c>
      <c r="DZ31" s="82">
        <f t="shared" si="63"/>
        <v>0</v>
      </c>
      <c r="EA31" s="82">
        <f t="shared" si="64"/>
        <v>0</v>
      </c>
      <c r="EB31" s="82">
        <f t="shared" si="65"/>
        <v>0</v>
      </c>
      <c r="EC31" s="82">
        <f t="shared" si="75"/>
        <v>0</v>
      </c>
      <c r="EF31" s="83">
        <f t="shared" si="91"/>
        <v>0</v>
      </c>
    </row>
    <row r="32" spans="1:136" ht="14.1" hidden="1" customHeight="1">
      <c r="A32" s="84">
        <v>25</v>
      </c>
      <c r="B32" s="85" t="s">
        <v>205</v>
      </c>
      <c r="C32" s="86"/>
      <c r="D32" s="119" t="s">
        <v>485</v>
      </c>
      <c r="E32" s="88">
        <v>97</v>
      </c>
      <c r="F32" s="89" t="s">
        <v>136</v>
      </c>
      <c r="G32" s="45" t="str">
        <f t="shared" si="30"/>
        <v>IBC3604-H7x3-H11C14</v>
      </c>
      <c r="H32" s="46" t="str">
        <f t="shared" si="31"/>
        <v>C3604IB70HH11</v>
      </c>
      <c r="I32" s="46" t="str">
        <f t="shared" si="32"/>
        <v>C3604IB70HH113C14</v>
      </c>
      <c r="J32" s="90" t="s">
        <v>148</v>
      </c>
      <c r="K32" s="90" t="s">
        <v>156</v>
      </c>
      <c r="L32" s="90">
        <v>7</v>
      </c>
      <c r="M32" s="90">
        <v>0</v>
      </c>
      <c r="N32" s="90" t="s">
        <v>160</v>
      </c>
      <c r="O32" s="90" t="s">
        <v>161</v>
      </c>
      <c r="P32" s="90">
        <v>3</v>
      </c>
      <c r="Q32" s="91">
        <v>1.08</v>
      </c>
      <c r="R32" s="90" t="s">
        <v>144</v>
      </c>
      <c r="S32" s="89">
        <f t="shared" si="33"/>
        <v>32</v>
      </c>
      <c r="T32" s="51">
        <f>'07.02'!BG32</f>
        <v>0</v>
      </c>
      <c r="U32" s="92"/>
      <c r="V32" s="89">
        <v>5.7</v>
      </c>
      <c r="W32" s="93">
        <f t="shared" si="5"/>
        <v>0</v>
      </c>
      <c r="X32" s="93">
        <f t="shared" si="6"/>
        <v>0</v>
      </c>
      <c r="Y32" s="93">
        <f t="shared" si="7"/>
        <v>0</v>
      </c>
      <c r="Z32" s="93">
        <f t="shared" si="8"/>
        <v>0</v>
      </c>
      <c r="AA32" s="93">
        <f t="shared" si="9"/>
        <v>0</v>
      </c>
      <c r="AB32" s="93">
        <f t="shared" si="10"/>
        <v>0</v>
      </c>
      <c r="AC32" s="93">
        <f t="shared" si="11"/>
        <v>0</v>
      </c>
      <c r="AD32" s="93">
        <f t="shared" si="12"/>
        <v>0</v>
      </c>
      <c r="AE32" s="93">
        <f t="shared" si="34"/>
        <v>0</v>
      </c>
      <c r="AF32" s="54">
        <f>AE32+'07.02'!AF32</f>
        <v>68</v>
      </c>
      <c r="AG32" s="94">
        <f t="shared" si="66"/>
        <v>0</v>
      </c>
      <c r="AH32" s="56">
        <f t="shared" si="13"/>
        <v>0</v>
      </c>
      <c r="AI32" s="93"/>
      <c r="AJ32" s="93">
        <f t="shared" si="67"/>
        <v>0</v>
      </c>
      <c r="AK32" s="95">
        <f t="shared" si="35"/>
        <v>1</v>
      </c>
      <c r="AL32" s="58">
        <f t="shared" si="36"/>
        <v>0</v>
      </c>
      <c r="AM32" s="55">
        <f t="shared" si="68"/>
        <v>0</v>
      </c>
      <c r="AN32" s="93"/>
      <c r="AO32" s="96"/>
      <c r="AP32" s="96"/>
      <c r="AQ32" s="96"/>
      <c r="AR32" s="96"/>
      <c r="AS32" s="96">
        <f t="shared" ref="AS32" si="94">$CJ32</f>
        <v>0</v>
      </c>
      <c r="AT32" s="96"/>
      <c r="AU32" s="96">
        <f t="shared" si="37"/>
        <v>0</v>
      </c>
      <c r="AV32" s="96">
        <f t="shared" si="37"/>
        <v>0</v>
      </c>
      <c r="AW32" s="96">
        <f t="shared" si="38"/>
        <v>0</v>
      </c>
      <c r="AX32" s="96">
        <f t="shared" si="39"/>
        <v>0</v>
      </c>
      <c r="AY32" s="94">
        <f t="shared" si="69"/>
        <v>0</v>
      </c>
      <c r="AZ32" s="94">
        <f t="shared" si="40"/>
        <v>0</v>
      </c>
      <c r="BA32" s="94">
        <f t="shared" si="41"/>
        <v>0</v>
      </c>
      <c r="BB32" s="97">
        <f t="shared" si="42"/>
        <v>0</v>
      </c>
      <c r="BC32" s="93"/>
      <c r="BD32" s="93">
        <f t="shared" si="43"/>
        <v>0</v>
      </c>
      <c r="BE32" s="95">
        <f t="shared" si="44"/>
        <v>1</v>
      </c>
      <c r="BF32" s="58">
        <f t="shared" si="45"/>
        <v>0</v>
      </c>
      <c r="BG32" s="94">
        <f t="shared" si="46"/>
        <v>0</v>
      </c>
      <c r="BH32" s="89"/>
      <c r="BI32" s="89"/>
      <c r="BJ32" s="92"/>
      <c r="BK32" s="89"/>
      <c r="BL32" s="89"/>
      <c r="BM32" s="92">
        <f t="shared" ref="BM32" si="95">$CN32</f>
        <v>0</v>
      </c>
      <c r="BN32" s="89"/>
      <c r="BO32" s="92">
        <f t="shared" si="70"/>
        <v>0</v>
      </c>
      <c r="BP32" s="92">
        <f t="shared" si="70"/>
        <v>0</v>
      </c>
      <c r="BQ32" s="96">
        <f t="shared" si="47"/>
        <v>0</v>
      </c>
      <c r="BR32" s="96">
        <f t="shared" si="48"/>
        <v>0</v>
      </c>
      <c r="BS32" s="96">
        <f t="shared" si="71"/>
        <v>0</v>
      </c>
      <c r="BT32" s="96">
        <f t="shared" si="49"/>
        <v>0</v>
      </c>
      <c r="BU32" s="92">
        <f t="shared" si="16"/>
        <v>0</v>
      </c>
      <c r="BV32" s="98">
        <f t="shared" si="17"/>
        <v>0</v>
      </c>
      <c r="BW32" s="92">
        <f t="shared" si="18"/>
        <v>0</v>
      </c>
      <c r="BX32" s="98">
        <f t="shared" si="50"/>
        <v>0</v>
      </c>
      <c r="BY32" s="61">
        <f t="shared" si="73"/>
        <v>0</v>
      </c>
      <c r="BZ32" s="62">
        <f t="shared" si="51"/>
        <v>0</v>
      </c>
      <c r="CA32" s="98">
        <f t="shared" si="52"/>
        <v>0</v>
      </c>
      <c r="CB32" s="92">
        <f t="shared" si="19"/>
        <v>0</v>
      </c>
      <c r="CC32" s="92">
        <f t="shared" si="19"/>
        <v>0</v>
      </c>
      <c r="CD32" s="92">
        <f t="shared" si="19"/>
        <v>0</v>
      </c>
      <c r="CE32" s="99"/>
      <c r="CF32" s="99"/>
      <c r="CG32" s="51">
        <f t="shared" si="53"/>
        <v>0</v>
      </c>
      <c r="CH32" s="62">
        <f t="shared" si="54"/>
        <v>0</v>
      </c>
      <c r="CI32" s="89"/>
      <c r="CJ32" s="89"/>
      <c r="CK32" s="89"/>
      <c r="CL32" s="96"/>
      <c r="CM32" s="89"/>
      <c r="CN32" s="89"/>
      <c r="CO32" s="92"/>
      <c r="CP32" s="101"/>
      <c r="CQ32" s="102">
        <f t="shared" si="87"/>
        <v>0</v>
      </c>
      <c r="CR32" s="102">
        <f t="shared" si="87"/>
        <v>0</v>
      </c>
      <c r="CS32" s="102">
        <f t="shared" si="87"/>
        <v>0</v>
      </c>
      <c r="CT32" s="92">
        <f t="shared" si="56"/>
        <v>0</v>
      </c>
      <c r="CU32" s="92">
        <f t="shared" si="88"/>
        <v>0</v>
      </c>
      <c r="CV32" s="103">
        <f t="shared" si="88"/>
        <v>0</v>
      </c>
      <c r="CW32" s="104"/>
      <c r="CX32" s="105">
        <v>24</v>
      </c>
      <c r="CY32" s="106">
        <f t="shared" si="58"/>
        <v>1562</v>
      </c>
      <c r="CZ32" s="106">
        <f t="shared" si="59"/>
        <v>194.4</v>
      </c>
      <c r="DA32" s="106"/>
      <c r="DB32" s="106"/>
      <c r="DC32" s="105"/>
      <c r="DD32" s="107"/>
      <c r="DE32" s="92">
        <f t="shared" si="21"/>
        <v>0</v>
      </c>
      <c r="DF32" s="108">
        <f t="shared" si="22"/>
        <v>0</v>
      </c>
      <c r="DG32" s="112">
        <f t="shared" si="23"/>
        <v>0</v>
      </c>
      <c r="DH32" s="110">
        <f t="shared" si="24"/>
        <v>0</v>
      </c>
      <c r="DI32" s="108">
        <f t="shared" si="25"/>
        <v>0</v>
      </c>
      <c r="DJ32" s="112">
        <f t="shared" si="26"/>
        <v>0</v>
      </c>
      <c r="DK32" s="110">
        <f t="shared" si="86"/>
        <v>0</v>
      </c>
      <c r="DL32" s="108">
        <f t="shared" si="86"/>
        <v>0</v>
      </c>
      <c r="DM32" s="111">
        <f t="shared" si="86"/>
        <v>0</v>
      </c>
      <c r="DN32" s="76">
        <f t="shared" si="60"/>
        <v>0</v>
      </c>
      <c r="DO32" s="76">
        <f t="shared" si="60"/>
        <v>0</v>
      </c>
      <c r="DP32" s="112"/>
      <c r="DQ32" s="112"/>
      <c r="DR32" s="113"/>
      <c r="DS32" s="112"/>
      <c r="DT32" s="112"/>
      <c r="DU32" s="111"/>
      <c r="DV32" s="114"/>
      <c r="DW32" s="80">
        <f t="shared" si="61"/>
        <v>0</v>
      </c>
      <c r="DX32" s="81">
        <f t="shared" si="28"/>
        <v>0</v>
      </c>
      <c r="DY32" s="80">
        <f t="shared" si="62"/>
        <v>0</v>
      </c>
      <c r="DZ32" s="82">
        <f t="shared" si="63"/>
        <v>0</v>
      </c>
      <c r="EA32" s="82">
        <f t="shared" si="64"/>
        <v>0</v>
      </c>
      <c r="EB32" s="82">
        <f t="shared" si="65"/>
        <v>0</v>
      </c>
      <c r="EC32" s="82">
        <f t="shared" si="75"/>
        <v>0</v>
      </c>
      <c r="EF32" s="83">
        <f t="shared" si="91"/>
        <v>0</v>
      </c>
    </row>
    <row r="33" spans="1:136" ht="15" customHeight="1">
      <c r="A33" s="84">
        <v>26</v>
      </c>
      <c r="B33" s="85" t="s">
        <v>210</v>
      </c>
      <c r="C33" s="86"/>
      <c r="D33" s="116" t="s">
        <v>491</v>
      </c>
      <c r="E33" s="88">
        <v>23</v>
      </c>
      <c r="F33" s="89" t="s">
        <v>147</v>
      </c>
      <c r="G33" s="45" t="str">
        <f t="shared" si="30"/>
        <v>YHC3604-4x3-H9A14</v>
      </c>
      <c r="H33" s="46" t="str">
        <f t="shared" si="31"/>
        <v>C3604YH40DH9</v>
      </c>
      <c r="I33" s="46" t="str">
        <f t="shared" si="32"/>
        <v>C3604YH40DH93A14</v>
      </c>
      <c r="J33" s="90" t="s">
        <v>148</v>
      </c>
      <c r="K33" s="90" t="s">
        <v>181</v>
      </c>
      <c r="L33" s="90">
        <v>4</v>
      </c>
      <c r="M33" s="90">
        <v>0</v>
      </c>
      <c r="N33" s="90" t="s">
        <v>128</v>
      </c>
      <c r="O33" s="90" t="s">
        <v>131</v>
      </c>
      <c r="P33" s="90">
        <v>3</v>
      </c>
      <c r="Q33" s="91">
        <v>0.318</v>
      </c>
      <c r="R33" s="90" t="s">
        <v>139</v>
      </c>
      <c r="S33" s="89">
        <f t="shared" si="33"/>
        <v>282</v>
      </c>
      <c r="T33" s="51">
        <f>'07.02'!BG33</f>
        <v>565</v>
      </c>
      <c r="U33" s="92"/>
      <c r="V33" s="89">
        <v>12.15</v>
      </c>
      <c r="W33" s="93">
        <f t="shared" si="5"/>
        <v>0</v>
      </c>
      <c r="X33" s="93">
        <f t="shared" si="6"/>
        <v>0</v>
      </c>
      <c r="Y33" s="93">
        <f t="shared" si="7"/>
        <v>0</v>
      </c>
      <c r="Z33" s="93">
        <f t="shared" si="8"/>
        <v>0</v>
      </c>
      <c r="AA33" s="93">
        <f t="shared" si="9"/>
        <v>0</v>
      </c>
      <c r="AB33" s="93">
        <f t="shared" si="10"/>
        <v>0</v>
      </c>
      <c r="AC33" s="93">
        <f t="shared" si="11"/>
        <v>0</v>
      </c>
      <c r="AD33" s="93">
        <f t="shared" si="12"/>
        <v>0</v>
      </c>
      <c r="AE33" s="93">
        <f t="shared" si="34"/>
        <v>0</v>
      </c>
      <c r="AF33" s="54">
        <f>AE33+'07.02'!AF33</f>
        <v>8856</v>
      </c>
      <c r="AG33" s="94">
        <f t="shared" si="66"/>
        <v>565</v>
      </c>
      <c r="AH33" s="56">
        <f t="shared" si="13"/>
        <v>0</v>
      </c>
      <c r="AI33" s="93"/>
      <c r="AJ33" s="93">
        <f t="shared" si="67"/>
        <v>0</v>
      </c>
      <c r="AK33" s="95">
        <f t="shared" si="35"/>
        <v>1</v>
      </c>
      <c r="AL33" s="58">
        <f t="shared" si="36"/>
        <v>0</v>
      </c>
      <c r="AM33" s="55">
        <f t="shared" si="68"/>
        <v>565</v>
      </c>
      <c r="AN33" s="93"/>
      <c r="AO33" s="96"/>
      <c r="AP33" s="96">
        <f t="shared" si="89"/>
        <v>0</v>
      </c>
      <c r="AQ33" s="96"/>
      <c r="AR33" s="96"/>
      <c r="AS33" s="96"/>
      <c r="AT33" s="96"/>
      <c r="AU33" s="96">
        <f t="shared" si="37"/>
        <v>0</v>
      </c>
      <c r="AV33" s="96">
        <f t="shared" si="37"/>
        <v>0</v>
      </c>
      <c r="AW33" s="96">
        <f t="shared" si="38"/>
        <v>0</v>
      </c>
      <c r="AX33" s="96">
        <f t="shared" si="39"/>
        <v>0</v>
      </c>
      <c r="AY33" s="94">
        <f t="shared" si="69"/>
        <v>0</v>
      </c>
      <c r="AZ33" s="94">
        <f t="shared" si="40"/>
        <v>0</v>
      </c>
      <c r="BA33" s="94">
        <f t="shared" si="41"/>
        <v>565</v>
      </c>
      <c r="BB33" s="97">
        <f t="shared" si="42"/>
        <v>0</v>
      </c>
      <c r="BC33" s="93"/>
      <c r="BD33" s="93">
        <f t="shared" si="43"/>
        <v>0</v>
      </c>
      <c r="BE33" s="95">
        <f t="shared" si="44"/>
        <v>1</v>
      </c>
      <c r="BF33" s="58">
        <f t="shared" si="45"/>
        <v>0</v>
      </c>
      <c r="BG33" s="94">
        <f t="shared" si="46"/>
        <v>565</v>
      </c>
      <c r="BH33" s="89"/>
      <c r="BI33" s="89"/>
      <c r="BJ33" s="92">
        <f t="shared" si="90"/>
        <v>0</v>
      </c>
      <c r="BK33" s="89"/>
      <c r="BL33" s="89"/>
      <c r="BM33" s="89"/>
      <c r="BN33" s="89"/>
      <c r="BO33" s="92">
        <f t="shared" si="70"/>
        <v>0</v>
      </c>
      <c r="BP33" s="92">
        <f t="shared" si="70"/>
        <v>0</v>
      </c>
      <c r="BQ33" s="96">
        <f t="shared" si="47"/>
        <v>0</v>
      </c>
      <c r="BR33" s="96">
        <f t="shared" si="48"/>
        <v>0</v>
      </c>
      <c r="BS33" s="96">
        <f t="shared" si="71"/>
        <v>0</v>
      </c>
      <c r="BT33" s="96">
        <f t="shared" si="49"/>
        <v>0</v>
      </c>
      <c r="BU33" s="92">
        <f t="shared" si="16"/>
        <v>0</v>
      </c>
      <c r="BV33" s="98">
        <f t="shared" si="17"/>
        <v>0</v>
      </c>
      <c r="BW33" s="92">
        <f t="shared" si="18"/>
        <v>0</v>
      </c>
      <c r="BX33" s="98">
        <f t="shared" si="50"/>
        <v>0</v>
      </c>
      <c r="BY33" s="61">
        <f t="shared" si="73"/>
        <v>0</v>
      </c>
      <c r="BZ33" s="62">
        <f t="shared" si="51"/>
        <v>0</v>
      </c>
      <c r="CA33" s="98">
        <f t="shared" si="52"/>
        <v>0</v>
      </c>
      <c r="CB33" s="92">
        <f t="shared" si="19"/>
        <v>0</v>
      </c>
      <c r="CC33" s="92">
        <f t="shared" si="19"/>
        <v>0</v>
      </c>
      <c r="CD33" s="92">
        <f t="shared" si="19"/>
        <v>0</v>
      </c>
      <c r="CE33" s="99"/>
      <c r="CF33" s="99"/>
      <c r="CG33" s="51">
        <f t="shared" si="53"/>
        <v>0</v>
      </c>
      <c r="CH33" s="62">
        <f t="shared" si="54"/>
        <v>0</v>
      </c>
      <c r="CI33" s="89"/>
      <c r="CJ33" s="89"/>
      <c r="CK33" s="89"/>
      <c r="CL33" s="96"/>
      <c r="CM33" s="89"/>
      <c r="CN33" s="89"/>
      <c r="CO33" s="92"/>
      <c r="CP33" s="101"/>
      <c r="CQ33" s="102">
        <f t="shared" si="87"/>
        <v>0</v>
      </c>
      <c r="CR33" s="102">
        <f t="shared" si="87"/>
        <v>0</v>
      </c>
      <c r="CS33" s="102">
        <f t="shared" si="87"/>
        <v>0</v>
      </c>
      <c r="CT33" s="92">
        <f t="shared" si="56"/>
        <v>0</v>
      </c>
      <c r="CU33" s="92">
        <f t="shared" si="88"/>
        <v>0</v>
      </c>
      <c r="CV33" s="103">
        <f t="shared" si="88"/>
        <v>0</v>
      </c>
      <c r="CW33" s="104" t="s">
        <v>157</v>
      </c>
      <c r="CX33" s="105">
        <v>12</v>
      </c>
      <c r="CY33" s="106">
        <f t="shared" si="58"/>
        <v>3246</v>
      </c>
      <c r="CZ33" s="106">
        <f t="shared" si="59"/>
        <v>48.6</v>
      </c>
      <c r="DA33" s="106"/>
      <c r="DB33" s="106"/>
      <c r="DC33" s="105"/>
      <c r="DD33" s="107"/>
      <c r="DE33" s="92">
        <f t="shared" si="21"/>
        <v>0</v>
      </c>
      <c r="DF33" s="108">
        <f t="shared" si="22"/>
        <v>0</v>
      </c>
      <c r="DG33" s="112">
        <f t="shared" si="23"/>
        <v>0</v>
      </c>
      <c r="DH33" s="110">
        <f t="shared" si="24"/>
        <v>0</v>
      </c>
      <c r="DI33" s="108">
        <f t="shared" si="25"/>
        <v>0</v>
      </c>
      <c r="DJ33" s="112">
        <f t="shared" si="26"/>
        <v>0</v>
      </c>
      <c r="DK33" s="110">
        <f t="shared" si="86"/>
        <v>0</v>
      </c>
      <c r="DL33" s="108">
        <f t="shared" si="86"/>
        <v>0</v>
      </c>
      <c r="DM33" s="111">
        <f t="shared" si="86"/>
        <v>0</v>
      </c>
      <c r="DN33" s="76">
        <v>437</v>
      </c>
      <c r="DO33" s="76"/>
      <c r="DP33" s="112"/>
      <c r="DQ33" s="112"/>
      <c r="DR33" s="113" t="s">
        <v>526</v>
      </c>
      <c r="DS33" s="112"/>
      <c r="DT33" s="112"/>
      <c r="DU33" s="111"/>
      <c r="DV33" s="114"/>
      <c r="DW33" s="80">
        <f t="shared" si="61"/>
        <v>0</v>
      </c>
      <c r="DX33" s="81">
        <f t="shared" si="28"/>
        <v>0</v>
      </c>
      <c r="DY33" s="80">
        <f t="shared" si="62"/>
        <v>0</v>
      </c>
      <c r="DZ33" s="82">
        <f t="shared" si="63"/>
        <v>0</v>
      </c>
      <c r="EA33" s="82">
        <f t="shared" si="64"/>
        <v>0</v>
      </c>
      <c r="EB33" s="82">
        <f t="shared" si="65"/>
        <v>0</v>
      </c>
      <c r="EC33" s="82">
        <f t="shared" si="75"/>
        <v>0</v>
      </c>
      <c r="EF33" s="83">
        <f t="shared" si="91"/>
        <v>0</v>
      </c>
    </row>
    <row r="34" spans="1:136" ht="14.1" hidden="1" customHeight="1">
      <c r="A34" s="84">
        <v>27</v>
      </c>
      <c r="B34" s="85" t="s">
        <v>212</v>
      </c>
      <c r="C34" s="86"/>
      <c r="D34" s="87" t="s">
        <v>213</v>
      </c>
      <c r="E34" s="144">
        <v>189</v>
      </c>
      <c r="F34" s="89" t="s">
        <v>191</v>
      </c>
      <c r="G34" s="45" t="str">
        <f t="shared" si="30"/>
        <v>SSSUS304K-4x3-H9A08</v>
      </c>
      <c r="H34" s="46" t="str">
        <f t="shared" si="31"/>
        <v>SUS304KSS40DH9</v>
      </c>
      <c r="I34" s="46" t="str">
        <f t="shared" si="32"/>
        <v>SUS304KSS40DH93A08</v>
      </c>
      <c r="J34" s="90" t="s">
        <v>214</v>
      </c>
      <c r="K34" s="90" t="s">
        <v>215</v>
      </c>
      <c r="L34" s="90">
        <v>4</v>
      </c>
      <c r="M34" s="90">
        <v>0</v>
      </c>
      <c r="N34" s="90" t="s">
        <v>128</v>
      </c>
      <c r="O34" s="90" t="s">
        <v>131</v>
      </c>
      <c r="P34" s="90">
        <v>3</v>
      </c>
      <c r="Q34" s="91">
        <v>0.29599999999999999</v>
      </c>
      <c r="R34" s="90" t="s">
        <v>208</v>
      </c>
      <c r="S34" s="89">
        <f t="shared" si="33"/>
        <v>46</v>
      </c>
      <c r="T34" s="51">
        <f>'07.02'!BG34</f>
        <v>0</v>
      </c>
      <c r="U34" s="92"/>
      <c r="V34" s="89">
        <v>0.45</v>
      </c>
      <c r="W34" s="93">
        <f t="shared" si="5"/>
        <v>0</v>
      </c>
      <c r="X34" s="93">
        <f t="shared" si="6"/>
        <v>0</v>
      </c>
      <c r="Y34" s="93">
        <f t="shared" si="7"/>
        <v>0</v>
      </c>
      <c r="Z34" s="93">
        <f t="shared" si="8"/>
        <v>0</v>
      </c>
      <c r="AA34" s="93">
        <f t="shared" si="9"/>
        <v>0</v>
      </c>
      <c r="AB34" s="93">
        <f t="shared" si="10"/>
        <v>0</v>
      </c>
      <c r="AC34" s="93">
        <f t="shared" si="11"/>
        <v>0</v>
      </c>
      <c r="AD34" s="93">
        <f t="shared" si="12"/>
        <v>0</v>
      </c>
      <c r="AE34" s="93">
        <f t="shared" si="34"/>
        <v>0</v>
      </c>
      <c r="AF34" s="54">
        <f>AE34+'07.02'!AF34</f>
        <v>0</v>
      </c>
      <c r="AG34" s="94">
        <f t="shared" si="66"/>
        <v>0</v>
      </c>
      <c r="AH34" s="56">
        <f t="shared" si="13"/>
        <v>0</v>
      </c>
      <c r="AI34" s="93"/>
      <c r="AJ34" s="93">
        <f t="shared" si="67"/>
        <v>0</v>
      </c>
      <c r="AK34" s="95">
        <f t="shared" si="35"/>
        <v>1</v>
      </c>
      <c r="AL34" s="58">
        <f t="shared" si="36"/>
        <v>0</v>
      </c>
      <c r="AM34" s="55">
        <f t="shared" si="68"/>
        <v>0</v>
      </c>
      <c r="AN34" s="93"/>
      <c r="AO34" s="96"/>
      <c r="AP34" s="145"/>
      <c r="AQ34" s="96"/>
      <c r="AR34" s="96"/>
      <c r="AS34" s="96"/>
      <c r="AT34" s="145">
        <f>$CJ34</f>
        <v>0</v>
      </c>
      <c r="AU34" s="96">
        <f t="shared" si="37"/>
        <v>0</v>
      </c>
      <c r="AV34" s="96">
        <f t="shared" si="37"/>
        <v>0</v>
      </c>
      <c r="AW34" s="96">
        <f t="shared" si="38"/>
        <v>0</v>
      </c>
      <c r="AX34" s="96">
        <f t="shared" si="39"/>
        <v>0</v>
      </c>
      <c r="AY34" s="94">
        <f t="shared" si="69"/>
        <v>0</v>
      </c>
      <c r="AZ34" s="94">
        <f t="shared" si="40"/>
        <v>0</v>
      </c>
      <c r="BA34" s="94">
        <f t="shared" si="41"/>
        <v>0</v>
      </c>
      <c r="BB34" s="97">
        <f t="shared" si="42"/>
        <v>0</v>
      </c>
      <c r="BC34" s="93"/>
      <c r="BD34" s="93">
        <f t="shared" si="43"/>
        <v>0</v>
      </c>
      <c r="BE34" s="95">
        <f t="shared" si="44"/>
        <v>1</v>
      </c>
      <c r="BF34" s="58">
        <f t="shared" si="45"/>
        <v>0</v>
      </c>
      <c r="BG34" s="94">
        <f t="shared" si="46"/>
        <v>0</v>
      </c>
      <c r="BH34" s="89"/>
      <c r="BI34" s="89"/>
      <c r="BJ34" s="146"/>
      <c r="BK34" s="89"/>
      <c r="BL34" s="89"/>
      <c r="BM34" s="89"/>
      <c r="BN34" s="146">
        <f>$CN34</f>
        <v>0</v>
      </c>
      <c r="BO34" s="92">
        <f t="shared" si="70"/>
        <v>0</v>
      </c>
      <c r="BP34" s="92">
        <f t="shared" si="70"/>
        <v>0</v>
      </c>
      <c r="BQ34" s="96">
        <f t="shared" si="47"/>
        <v>0</v>
      </c>
      <c r="BR34" s="96">
        <f t="shared" si="48"/>
        <v>0</v>
      </c>
      <c r="BS34" s="96">
        <f t="shared" si="71"/>
        <v>0</v>
      </c>
      <c r="BT34" s="96">
        <f t="shared" si="49"/>
        <v>0</v>
      </c>
      <c r="BU34" s="92">
        <f t="shared" si="16"/>
        <v>0</v>
      </c>
      <c r="BV34" s="98">
        <f t="shared" si="17"/>
        <v>0</v>
      </c>
      <c r="BW34" s="92">
        <f t="shared" si="18"/>
        <v>0</v>
      </c>
      <c r="BX34" s="98">
        <f t="shared" si="50"/>
        <v>0</v>
      </c>
      <c r="BY34" s="61">
        <f>IFERROR(BF34+AL34,0)</f>
        <v>0</v>
      </c>
      <c r="BZ34" s="62">
        <f t="shared" si="51"/>
        <v>0</v>
      </c>
      <c r="CA34" s="98">
        <f t="shared" si="52"/>
        <v>0</v>
      </c>
      <c r="CB34" s="92">
        <f t="shared" si="19"/>
        <v>0</v>
      </c>
      <c r="CC34" s="92">
        <f t="shared" si="19"/>
        <v>0</v>
      </c>
      <c r="CD34" s="92">
        <f t="shared" si="19"/>
        <v>0</v>
      </c>
      <c r="CE34" s="99"/>
      <c r="CF34" s="99"/>
      <c r="CG34" s="51">
        <f t="shared" si="53"/>
        <v>0</v>
      </c>
      <c r="CH34" s="62">
        <f t="shared" si="54"/>
        <v>0</v>
      </c>
      <c r="CI34" s="89"/>
      <c r="CJ34" s="89"/>
      <c r="CK34" s="89"/>
      <c r="CL34" s="96"/>
      <c r="CM34" s="89"/>
      <c r="CN34" s="89"/>
      <c r="CO34" s="92"/>
      <c r="CP34" s="101"/>
      <c r="CQ34" s="102">
        <f t="shared" si="87"/>
        <v>0</v>
      </c>
      <c r="CR34" s="102">
        <f t="shared" si="87"/>
        <v>0</v>
      </c>
      <c r="CS34" s="102">
        <f t="shared" si="87"/>
        <v>0</v>
      </c>
      <c r="CT34" s="92">
        <f t="shared" si="56"/>
        <v>0</v>
      </c>
      <c r="CU34" s="92">
        <f t="shared" si="88"/>
        <v>0</v>
      </c>
      <c r="CV34" s="103">
        <f t="shared" si="88"/>
        <v>0</v>
      </c>
      <c r="CW34" s="104"/>
      <c r="CX34" s="105">
        <v>8</v>
      </c>
      <c r="CY34" s="106">
        <f t="shared" si="58"/>
        <v>4312</v>
      </c>
      <c r="CZ34" s="106">
        <f t="shared" si="59"/>
        <v>64.800000000000011</v>
      </c>
      <c r="DA34" s="106"/>
      <c r="DB34" s="106"/>
      <c r="DC34" s="105"/>
      <c r="DD34" s="107"/>
      <c r="DE34" s="92">
        <f t="shared" si="21"/>
        <v>0</v>
      </c>
      <c r="DF34" s="108">
        <f t="shared" si="22"/>
        <v>0</v>
      </c>
      <c r="DG34" s="112">
        <f t="shared" si="23"/>
        <v>0</v>
      </c>
      <c r="DH34" s="110">
        <f t="shared" si="24"/>
        <v>0</v>
      </c>
      <c r="DI34" s="108">
        <f t="shared" si="25"/>
        <v>0</v>
      </c>
      <c r="DJ34" s="112">
        <f t="shared" si="26"/>
        <v>0</v>
      </c>
      <c r="DK34" s="110">
        <f t="shared" si="86"/>
        <v>0</v>
      </c>
      <c r="DL34" s="108">
        <f t="shared" si="86"/>
        <v>0</v>
      </c>
      <c r="DM34" s="111">
        <f t="shared" si="86"/>
        <v>0</v>
      </c>
      <c r="DN34" s="76">
        <f t="shared" si="60"/>
        <v>0</v>
      </c>
      <c r="DO34" s="76">
        <f t="shared" si="60"/>
        <v>0</v>
      </c>
      <c r="DP34" s="112"/>
      <c r="DQ34" s="112"/>
      <c r="DR34" s="113"/>
      <c r="DS34" s="112"/>
      <c r="DT34" s="112"/>
      <c r="DU34" s="111"/>
      <c r="DV34" s="114"/>
      <c r="DW34" s="80">
        <f t="shared" si="61"/>
        <v>0</v>
      </c>
      <c r="DX34" s="81">
        <f t="shared" si="28"/>
        <v>0</v>
      </c>
      <c r="DY34" s="80">
        <f t="shared" si="62"/>
        <v>0</v>
      </c>
      <c r="DZ34" s="82">
        <f t="shared" si="63"/>
        <v>0</v>
      </c>
      <c r="EA34" s="82">
        <f t="shared" si="64"/>
        <v>0</v>
      </c>
      <c r="EB34" s="82">
        <f t="shared" si="65"/>
        <v>0</v>
      </c>
      <c r="EC34" s="82">
        <f t="shared" ref="EC34:EC35" si="96">(BX34-CA34)+((AV34+BP34)/1000)</f>
        <v>0</v>
      </c>
      <c r="EF34" s="83">
        <f t="shared" si="91"/>
        <v>0</v>
      </c>
    </row>
    <row r="35" spans="1:136" ht="14.1" hidden="1" customHeight="1">
      <c r="A35" s="84">
        <v>28</v>
      </c>
      <c r="B35" s="85" t="s">
        <v>216</v>
      </c>
      <c r="C35" s="86"/>
      <c r="D35" s="119">
        <v>699</v>
      </c>
      <c r="E35" s="88">
        <v>186</v>
      </c>
      <c r="F35" s="89" t="s">
        <v>147</v>
      </c>
      <c r="G35" s="45" t="str">
        <f t="shared" si="30"/>
        <v>IBC3604-6.5x3-H9A14</v>
      </c>
      <c r="H35" s="46" t="str">
        <f t="shared" si="31"/>
        <v>C3604IB6.50DH9</v>
      </c>
      <c r="I35" s="46" t="str">
        <f t="shared" si="32"/>
        <v>C3604IB6.50DH93A14</v>
      </c>
      <c r="J35" s="90" t="s">
        <v>148</v>
      </c>
      <c r="K35" s="90" t="s">
        <v>156</v>
      </c>
      <c r="L35" s="90">
        <v>6.5</v>
      </c>
      <c r="M35" s="90">
        <v>0</v>
      </c>
      <c r="N35" s="90" t="s">
        <v>128</v>
      </c>
      <c r="O35" s="90" t="s">
        <v>131</v>
      </c>
      <c r="P35" s="90">
        <v>3</v>
      </c>
      <c r="Q35" s="91">
        <v>0.84099999999999997</v>
      </c>
      <c r="R35" s="90" t="s">
        <v>139</v>
      </c>
      <c r="S35" s="89">
        <f t="shared" si="33"/>
        <v>34</v>
      </c>
      <c r="T35" s="51">
        <f>'07.02'!BG35</f>
        <v>0</v>
      </c>
      <c r="U35" s="92"/>
      <c r="V35" s="100">
        <v>1.05</v>
      </c>
      <c r="W35" s="93">
        <f t="shared" si="5"/>
        <v>0</v>
      </c>
      <c r="X35" s="93">
        <f t="shared" si="6"/>
        <v>0</v>
      </c>
      <c r="Y35" s="93">
        <f t="shared" si="7"/>
        <v>0</v>
      </c>
      <c r="Z35" s="93">
        <f t="shared" si="8"/>
        <v>0</v>
      </c>
      <c r="AA35" s="93">
        <f t="shared" si="9"/>
        <v>0</v>
      </c>
      <c r="AB35" s="93">
        <f t="shared" si="10"/>
        <v>0</v>
      </c>
      <c r="AC35" s="93">
        <f t="shared" si="11"/>
        <v>0</v>
      </c>
      <c r="AD35" s="93">
        <f t="shared" si="12"/>
        <v>0</v>
      </c>
      <c r="AE35" s="93">
        <f t="shared" si="34"/>
        <v>0</v>
      </c>
      <c r="AF35" s="54">
        <f>AE35+'07.02'!AF35</f>
        <v>0</v>
      </c>
      <c r="AG35" s="94">
        <f t="shared" si="66"/>
        <v>0</v>
      </c>
      <c r="AH35" s="56">
        <f t="shared" si="13"/>
        <v>0</v>
      </c>
      <c r="AI35" s="93"/>
      <c r="AJ35" s="93">
        <f t="shared" si="67"/>
        <v>0</v>
      </c>
      <c r="AK35" s="95">
        <f t="shared" si="35"/>
        <v>1</v>
      </c>
      <c r="AL35" s="58">
        <f t="shared" si="36"/>
        <v>0</v>
      </c>
      <c r="AM35" s="55">
        <f t="shared" si="68"/>
        <v>0</v>
      </c>
      <c r="AN35" s="93"/>
      <c r="AO35" s="96"/>
      <c r="AP35" s="96"/>
      <c r="AQ35" s="96"/>
      <c r="AR35" s="96"/>
      <c r="AS35" s="96"/>
      <c r="AT35" s="96">
        <f>$CJ35</f>
        <v>0</v>
      </c>
      <c r="AU35" s="96">
        <f t="shared" si="37"/>
        <v>0</v>
      </c>
      <c r="AV35" s="96">
        <f t="shared" si="37"/>
        <v>0</v>
      </c>
      <c r="AW35" s="96">
        <f t="shared" si="38"/>
        <v>0</v>
      </c>
      <c r="AX35" s="96">
        <f t="shared" si="39"/>
        <v>0</v>
      </c>
      <c r="AY35" s="94">
        <f t="shared" si="69"/>
        <v>0</v>
      </c>
      <c r="AZ35" s="94">
        <f t="shared" si="40"/>
        <v>0</v>
      </c>
      <c r="BA35" s="94">
        <f t="shared" si="41"/>
        <v>0</v>
      </c>
      <c r="BB35" s="97">
        <f t="shared" si="42"/>
        <v>0</v>
      </c>
      <c r="BC35" s="93"/>
      <c r="BD35" s="93">
        <f t="shared" si="43"/>
        <v>0</v>
      </c>
      <c r="BE35" s="95">
        <f t="shared" si="44"/>
        <v>1</v>
      </c>
      <c r="BF35" s="58">
        <f t="shared" si="45"/>
        <v>0</v>
      </c>
      <c r="BG35" s="94">
        <f t="shared" si="46"/>
        <v>0</v>
      </c>
      <c r="BH35" s="89"/>
      <c r="BI35" s="89"/>
      <c r="BJ35" s="89"/>
      <c r="BK35" s="89"/>
      <c r="BL35" s="89"/>
      <c r="BM35" s="89"/>
      <c r="BN35" s="92">
        <f>$CN35</f>
        <v>0</v>
      </c>
      <c r="BO35" s="92">
        <f t="shared" si="70"/>
        <v>0</v>
      </c>
      <c r="BP35" s="92">
        <f t="shared" si="70"/>
        <v>0</v>
      </c>
      <c r="BQ35" s="96">
        <f t="shared" si="47"/>
        <v>0</v>
      </c>
      <c r="BR35" s="96">
        <f t="shared" si="48"/>
        <v>0</v>
      </c>
      <c r="BS35" s="96">
        <f t="shared" si="71"/>
        <v>0</v>
      </c>
      <c r="BT35" s="96">
        <f t="shared" si="49"/>
        <v>0</v>
      </c>
      <c r="BU35" s="92">
        <f t="shared" si="16"/>
        <v>0</v>
      </c>
      <c r="BV35" s="98">
        <f t="shared" si="17"/>
        <v>0</v>
      </c>
      <c r="BW35" s="92">
        <f t="shared" si="18"/>
        <v>0</v>
      </c>
      <c r="BX35" s="98">
        <f t="shared" si="50"/>
        <v>0</v>
      </c>
      <c r="BY35" s="61">
        <f t="shared" si="73"/>
        <v>0</v>
      </c>
      <c r="BZ35" s="62">
        <f t="shared" si="51"/>
        <v>0</v>
      </c>
      <c r="CA35" s="98">
        <f t="shared" si="52"/>
        <v>0</v>
      </c>
      <c r="CB35" s="92">
        <f t="shared" si="19"/>
        <v>0</v>
      </c>
      <c r="CC35" s="92">
        <f t="shared" si="19"/>
        <v>0</v>
      </c>
      <c r="CD35" s="92">
        <f t="shared" si="19"/>
        <v>0</v>
      </c>
      <c r="CE35" s="99"/>
      <c r="CF35" s="99"/>
      <c r="CG35" s="51">
        <f t="shared" si="53"/>
        <v>0</v>
      </c>
      <c r="CH35" s="62">
        <f t="shared" si="54"/>
        <v>0</v>
      </c>
      <c r="CI35" s="89"/>
      <c r="CJ35" s="89"/>
      <c r="CK35" s="89"/>
      <c r="CL35" s="96"/>
      <c r="CM35" s="89"/>
      <c r="CN35" s="89"/>
      <c r="CO35" s="92"/>
      <c r="CP35" s="101"/>
      <c r="CQ35" s="102">
        <f t="shared" si="87"/>
        <v>0</v>
      </c>
      <c r="CR35" s="102">
        <f t="shared" si="87"/>
        <v>0</v>
      </c>
      <c r="CS35" s="102">
        <f t="shared" si="87"/>
        <v>0</v>
      </c>
      <c r="CT35" s="92">
        <f t="shared" si="56"/>
        <v>0</v>
      </c>
      <c r="CU35" s="92">
        <f t="shared" si="88"/>
        <v>0</v>
      </c>
      <c r="CV35" s="103">
        <f t="shared" si="88"/>
        <v>0</v>
      </c>
      <c r="CW35" s="104" t="s">
        <v>147</v>
      </c>
      <c r="CX35" s="105">
        <v>13</v>
      </c>
      <c r="CY35" s="106">
        <f t="shared" si="58"/>
        <v>3073</v>
      </c>
      <c r="CZ35" s="106">
        <f t="shared" si="59"/>
        <v>52.650000000000006</v>
      </c>
      <c r="DA35" s="106"/>
      <c r="DB35" s="106"/>
      <c r="DC35" s="105"/>
      <c r="DD35" s="107"/>
      <c r="DE35" s="92">
        <f t="shared" si="21"/>
        <v>0</v>
      </c>
      <c r="DF35" s="108">
        <f t="shared" si="22"/>
        <v>0</v>
      </c>
      <c r="DG35" s="112">
        <f t="shared" si="23"/>
        <v>0</v>
      </c>
      <c r="DH35" s="110">
        <f t="shared" si="24"/>
        <v>0</v>
      </c>
      <c r="DI35" s="108">
        <f t="shared" si="25"/>
        <v>0</v>
      </c>
      <c r="DJ35" s="112">
        <f t="shared" si="26"/>
        <v>0</v>
      </c>
      <c r="DK35" s="110">
        <f t="shared" si="86"/>
        <v>0</v>
      </c>
      <c r="DL35" s="108">
        <f t="shared" si="86"/>
        <v>0</v>
      </c>
      <c r="DM35" s="111">
        <f t="shared" si="86"/>
        <v>0</v>
      </c>
      <c r="DN35" s="76">
        <f t="shared" si="60"/>
        <v>0</v>
      </c>
      <c r="DO35" s="76">
        <f t="shared" si="60"/>
        <v>0</v>
      </c>
      <c r="DP35" s="112"/>
      <c r="DQ35" s="112"/>
      <c r="DR35" s="113"/>
      <c r="DS35" s="112"/>
      <c r="DT35" s="112"/>
      <c r="DU35" s="111"/>
      <c r="DV35" s="114"/>
      <c r="DW35" s="80">
        <f t="shared" si="61"/>
        <v>0</v>
      </c>
      <c r="DX35" s="81">
        <f t="shared" si="28"/>
        <v>0</v>
      </c>
      <c r="DY35" s="80">
        <f t="shared" si="62"/>
        <v>0</v>
      </c>
      <c r="DZ35" s="82">
        <f t="shared" si="63"/>
        <v>0</v>
      </c>
      <c r="EA35" s="82">
        <f t="shared" si="64"/>
        <v>0</v>
      </c>
      <c r="EB35" s="82">
        <f t="shared" si="65"/>
        <v>0</v>
      </c>
      <c r="EC35" s="82">
        <f t="shared" si="96"/>
        <v>0</v>
      </c>
      <c r="EF35" s="83">
        <f t="shared" si="91"/>
        <v>0</v>
      </c>
    </row>
    <row r="36" spans="1:136" ht="14.1" customHeight="1">
      <c r="A36" s="84">
        <v>29</v>
      </c>
      <c r="B36" s="147" t="s">
        <v>217</v>
      </c>
      <c r="C36" s="148"/>
      <c r="D36" s="116" t="s">
        <v>177</v>
      </c>
      <c r="E36" s="149">
        <v>40</v>
      </c>
      <c r="F36" s="150" t="s">
        <v>136</v>
      </c>
      <c r="G36" s="45" t="str">
        <f t="shared" si="30"/>
        <v>TV12L14-5.97x2.5-H9B14</v>
      </c>
      <c r="H36" s="46" t="str">
        <f t="shared" si="31"/>
        <v>12L14TV5.970DH9</v>
      </c>
      <c r="I36" s="46" t="str">
        <f t="shared" si="32"/>
        <v>12L14TV5.970DH92.5B14</v>
      </c>
      <c r="J36" s="90" t="s">
        <v>137</v>
      </c>
      <c r="K36" s="90" t="s">
        <v>138</v>
      </c>
      <c r="L36" s="90">
        <v>5.97</v>
      </c>
      <c r="M36" s="90">
        <v>0</v>
      </c>
      <c r="N36" s="90" t="s">
        <v>128</v>
      </c>
      <c r="O36" s="90" t="s">
        <v>131</v>
      </c>
      <c r="P36" s="90">
        <v>2.5</v>
      </c>
      <c r="Q36" s="91">
        <v>0.54700000000000004</v>
      </c>
      <c r="R36" s="90" t="s">
        <v>171</v>
      </c>
      <c r="S36" s="89">
        <f t="shared" si="33"/>
        <v>76</v>
      </c>
      <c r="T36" s="51">
        <f>'07.02'!BG36</f>
        <v>68</v>
      </c>
      <c r="U36" s="146">
        <v>32</v>
      </c>
      <c r="V36" s="135">
        <v>4.45</v>
      </c>
      <c r="W36" s="151">
        <f t="shared" si="5"/>
        <v>0</v>
      </c>
      <c r="X36" s="151">
        <f t="shared" si="6"/>
        <v>0</v>
      </c>
      <c r="Y36" s="151">
        <f t="shared" si="7"/>
        <v>0</v>
      </c>
      <c r="Z36" s="151">
        <f t="shared" si="8"/>
        <v>0</v>
      </c>
      <c r="AA36" s="151">
        <f t="shared" si="9"/>
        <v>0</v>
      </c>
      <c r="AB36" s="151">
        <f t="shared" si="10"/>
        <v>0</v>
      </c>
      <c r="AC36" s="151">
        <f t="shared" si="11"/>
        <v>0</v>
      </c>
      <c r="AD36" s="151">
        <f t="shared" si="12"/>
        <v>0</v>
      </c>
      <c r="AE36" s="151">
        <f t="shared" si="34"/>
        <v>0</v>
      </c>
      <c r="AF36" s="54">
        <f>AE36+'07.02'!AF36</f>
        <v>16163</v>
      </c>
      <c r="AG36" s="94">
        <f t="shared" si="66"/>
        <v>68</v>
      </c>
      <c r="AH36" s="56">
        <f t="shared" si="13"/>
        <v>0</v>
      </c>
      <c r="AI36" s="151"/>
      <c r="AJ36" s="93">
        <f t="shared" si="67"/>
        <v>0</v>
      </c>
      <c r="AK36" s="95">
        <f t="shared" si="35"/>
        <v>1</v>
      </c>
      <c r="AL36" s="58">
        <f t="shared" si="36"/>
        <v>0</v>
      </c>
      <c r="AM36" s="55">
        <f t="shared" si="68"/>
        <v>100</v>
      </c>
      <c r="AN36" s="151"/>
      <c r="AO36" s="145"/>
      <c r="AP36" s="145">
        <f>$CJ36</f>
        <v>0</v>
      </c>
      <c r="AQ36" s="145"/>
      <c r="AR36" s="145"/>
      <c r="AS36" s="145"/>
      <c r="AT36" s="145"/>
      <c r="AU36" s="145">
        <f t="shared" si="37"/>
        <v>0</v>
      </c>
      <c r="AV36" s="145">
        <f t="shared" si="37"/>
        <v>0</v>
      </c>
      <c r="AW36" s="145">
        <f t="shared" si="38"/>
        <v>0</v>
      </c>
      <c r="AX36" s="145">
        <f t="shared" si="39"/>
        <v>0</v>
      </c>
      <c r="AY36" s="94">
        <f t="shared" si="69"/>
        <v>0</v>
      </c>
      <c r="AZ36" s="94">
        <f t="shared" si="40"/>
        <v>0</v>
      </c>
      <c r="BA36" s="94">
        <f t="shared" si="41"/>
        <v>100</v>
      </c>
      <c r="BB36" s="97">
        <f t="shared" si="42"/>
        <v>0</v>
      </c>
      <c r="BC36" s="151"/>
      <c r="BD36" s="93">
        <f t="shared" si="43"/>
        <v>0</v>
      </c>
      <c r="BE36" s="152">
        <f t="shared" si="44"/>
        <v>1</v>
      </c>
      <c r="BF36" s="58">
        <f t="shared" si="45"/>
        <v>0</v>
      </c>
      <c r="BG36" s="94">
        <f t="shared" si="46"/>
        <v>100</v>
      </c>
      <c r="BH36" s="150"/>
      <c r="BI36" s="150"/>
      <c r="BJ36" s="146">
        <f>$CN36</f>
        <v>0</v>
      </c>
      <c r="BK36" s="150"/>
      <c r="BL36" s="150"/>
      <c r="BM36" s="150"/>
      <c r="BN36" s="146"/>
      <c r="BO36" s="146">
        <f t="shared" si="70"/>
        <v>0</v>
      </c>
      <c r="BP36" s="146">
        <f t="shared" si="70"/>
        <v>0</v>
      </c>
      <c r="BQ36" s="145">
        <f t="shared" si="47"/>
        <v>0</v>
      </c>
      <c r="BR36" s="145">
        <f t="shared" si="48"/>
        <v>0</v>
      </c>
      <c r="BS36" s="96">
        <f t="shared" si="71"/>
        <v>0</v>
      </c>
      <c r="BT36" s="145">
        <f t="shared" si="49"/>
        <v>0</v>
      </c>
      <c r="BU36" s="146">
        <f t="shared" si="16"/>
        <v>0</v>
      </c>
      <c r="BV36" s="98">
        <f t="shared" si="17"/>
        <v>0</v>
      </c>
      <c r="BW36" s="146">
        <f t="shared" si="18"/>
        <v>0</v>
      </c>
      <c r="BX36" s="153">
        <f t="shared" si="50"/>
        <v>0</v>
      </c>
      <c r="BY36" s="61">
        <f t="shared" si="73"/>
        <v>0</v>
      </c>
      <c r="BZ36" s="62">
        <f t="shared" si="51"/>
        <v>0</v>
      </c>
      <c r="CA36" s="98">
        <f t="shared" si="52"/>
        <v>0</v>
      </c>
      <c r="CB36" s="146">
        <f t="shared" si="19"/>
        <v>0</v>
      </c>
      <c r="CC36" s="146">
        <f t="shared" si="19"/>
        <v>0</v>
      </c>
      <c r="CD36" s="146">
        <f t="shared" si="19"/>
        <v>0</v>
      </c>
      <c r="CE36" s="99"/>
      <c r="CF36" s="99"/>
      <c r="CG36" s="51">
        <f t="shared" si="53"/>
        <v>0</v>
      </c>
      <c r="CH36" s="62">
        <f t="shared" si="54"/>
        <v>0</v>
      </c>
      <c r="CI36" s="150"/>
      <c r="CJ36" s="150"/>
      <c r="CK36" s="150"/>
      <c r="CL36" s="145"/>
      <c r="CM36" s="150"/>
      <c r="CN36" s="150"/>
      <c r="CO36" s="146"/>
      <c r="CP36" s="154"/>
      <c r="CQ36" s="102">
        <f t="shared" si="87"/>
        <v>0</v>
      </c>
      <c r="CR36" s="102">
        <f t="shared" si="87"/>
        <v>0</v>
      </c>
      <c r="CS36" s="102">
        <f t="shared" si="87"/>
        <v>0</v>
      </c>
      <c r="CT36" s="92">
        <f t="shared" si="56"/>
        <v>0</v>
      </c>
      <c r="CU36" s="92">
        <f t="shared" si="88"/>
        <v>0</v>
      </c>
      <c r="CV36" s="103">
        <f t="shared" si="88"/>
        <v>0</v>
      </c>
      <c r="CW36" s="155" t="s">
        <v>147</v>
      </c>
      <c r="CX36" s="156">
        <v>23</v>
      </c>
      <c r="CY36" s="157">
        <f t="shared" si="58"/>
        <v>1510</v>
      </c>
      <c r="CZ36" s="157">
        <f t="shared" si="59"/>
        <v>93.15</v>
      </c>
      <c r="DA36" s="157"/>
      <c r="DB36" s="157"/>
      <c r="DC36" s="156"/>
      <c r="DD36" s="158"/>
      <c r="DE36" s="92">
        <f t="shared" si="21"/>
        <v>0</v>
      </c>
      <c r="DF36" s="108">
        <f t="shared" si="22"/>
        <v>0</v>
      </c>
      <c r="DG36" s="112">
        <f t="shared" si="23"/>
        <v>0</v>
      </c>
      <c r="DH36" s="110">
        <f t="shared" si="24"/>
        <v>0</v>
      </c>
      <c r="DI36" s="108">
        <f t="shared" si="25"/>
        <v>0</v>
      </c>
      <c r="DJ36" s="112">
        <f t="shared" si="26"/>
        <v>0</v>
      </c>
      <c r="DK36" s="110">
        <f t="shared" si="86"/>
        <v>0</v>
      </c>
      <c r="DL36" s="108">
        <f t="shared" si="86"/>
        <v>0</v>
      </c>
      <c r="DM36" s="111">
        <f t="shared" si="86"/>
        <v>0</v>
      </c>
      <c r="DN36" s="76">
        <v>36</v>
      </c>
      <c r="DO36" s="76"/>
      <c r="DP36" s="112"/>
      <c r="DQ36" s="112"/>
      <c r="DR36" s="113" t="s">
        <v>527</v>
      </c>
      <c r="DS36" s="112"/>
      <c r="DT36" s="112"/>
      <c r="DU36" s="111"/>
      <c r="DV36" s="114"/>
      <c r="DW36" s="80">
        <f>IFERROR(AL36+BF36,"")</f>
        <v>0</v>
      </c>
      <c r="DX36" s="159">
        <f t="shared" si="28"/>
        <v>0</v>
      </c>
      <c r="DY36" s="80">
        <f t="shared" si="62"/>
        <v>0</v>
      </c>
      <c r="DZ36" s="82">
        <f t="shared" si="63"/>
        <v>0</v>
      </c>
      <c r="EA36" s="82">
        <f t="shared" si="64"/>
        <v>0</v>
      </c>
      <c r="EB36" s="82">
        <f t="shared" si="65"/>
        <v>0</v>
      </c>
      <c r="EC36" s="82">
        <f t="shared" si="75"/>
        <v>0</v>
      </c>
      <c r="EF36" s="83">
        <f t="shared" si="91"/>
        <v>0</v>
      </c>
    </row>
    <row r="37" spans="1:136" ht="14.1" customHeight="1">
      <c r="A37" s="84">
        <v>30</v>
      </c>
      <c r="B37" s="85" t="s">
        <v>219</v>
      </c>
      <c r="C37" s="86"/>
      <c r="D37" s="87" t="s">
        <v>220</v>
      </c>
      <c r="E37" s="88">
        <v>243</v>
      </c>
      <c r="F37" s="89" t="s">
        <v>147</v>
      </c>
      <c r="G37" s="45" t="str">
        <f t="shared" si="30"/>
        <v>GAA5052-5.7x3-H9A14</v>
      </c>
      <c r="H37" s="46" t="str">
        <f t="shared" si="31"/>
        <v>A5052GA5.70DH9</v>
      </c>
      <c r="I37" s="46" t="str">
        <f t="shared" si="32"/>
        <v>A5052GA5.70DH93A14</v>
      </c>
      <c r="J37" s="90" t="s">
        <v>221</v>
      </c>
      <c r="K37" s="90" t="s">
        <v>222</v>
      </c>
      <c r="L37" s="90">
        <v>5.7</v>
      </c>
      <c r="M37" s="90">
        <v>0</v>
      </c>
      <c r="N37" s="90" t="s">
        <v>128</v>
      </c>
      <c r="O37" s="90" t="s">
        <v>131</v>
      </c>
      <c r="P37" s="90">
        <v>3</v>
      </c>
      <c r="Q37" s="91">
        <v>0.20399999999999999</v>
      </c>
      <c r="R37" s="90" t="s">
        <v>139</v>
      </c>
      <c r="S37" s="89">
        <f t="shared" si="33"/>
        <v>18</v>
      </c>
      <c r="T37" s="51">
        <f>'07.02'!BG37</f>
        <v>30</v>
      </c>
      <c r="U37" s="92"/>
      <c r="V37" s="100">
        <v>0.11</v>
      </c>
      <c r="W37" s="93">
        <f t="shared" si="5"/>
        <v>0</v>
      </c>
      <c r="X37" s="93">
        <f t="shared" si="6"/>
        <v>0</v>
      </c>
      <c r="Y37" s="93">
        <f t="shared" si="7"/>
        <v>0</v>
      </c>
      <c r="Z37" s="93">
        <f t="shared" si="8"/>
        <v>0</v>
      </c>
      <c r="AA37" s="93">
        <f t="shared" si="9"/>
        <v>0</v>
      </c>
      <c r="AB37" s="93">
        <f t="shared" si="10"/>
        <v>0</v>
      </c>
      <c r="AC37" s="93">
        <f t="shared" si="11"/>
        <v>0</v>
      </c>
      <c r="AD37" s="93">
        <f t="shared" si="12"/>
        <v>0</v>
      </c>
      <c r="AE37" s="93">
        <f t="shared" si="34"/>
        <v>0</v>
      </c>
      <c r="AF37" s="54">
        <f>AE37+'07.02'!AF37</f>
        <v>2000</v>
      </c>
      <c r="AG37" s="94">
        <f t="shared" si="66"/>
        <v>30</v>
      </c>
      <c r="AH37" s="56">
        <f t="shared" si="13"/>
        <v>0</v>
      </c>
      <c r="AI37" s="93"/>
      <c r="AJ37" s="93">
        <f t="shared" si="67"/>
        <v>0</v>
      </c>
      <c r="AK37" s="95">
        <f t="shared" si="35"/>
        <v>1</v>
      </c>
      <c r="AL37" s="58">
        <f t="shared" si="36"/>
        <v>0</v>
      </c>
      <c r="AM37" s="55">
        <f t="shared" si="68"/>
        <v>30</v>
      </c>
      <c r="AN37" s="93"/>
      <c r="AO37" s="96"/>
      <c r="AP37" s="96"/>
      <c r="AQ37" s="96"/>
      <c r="AR37" s="96"/>
      <c r="AS37" s="96"/>
      <c r="AT37" s="96">
        <f>$CJ37</f>
        <v>0</v>
      </c>
      <c r="AU37" s="96">
        <f t="shared" si="37"/>
        <v>0</v>
      </c>
      <c r="AV37" s="96">
        <f t="shared" si="37"/>
        <v>0</v>
      </c>
      <c r="AW37" s="96">
        <f t="shared" si="38"/>
        <v>0</v>
      </c>
      <c r="AX37" s="96">
        <f t="shared" si="39"/>
        <v>0</v>
      </c>
      <c r="AY37" s="94">
        <f t="shared" si="69"/>
        <v>0</v>
      </c>
      <c r="AZ37" s="94">
        <f t="shared" si="40"/>
        <v>0</v>
      </c>
      <c r="BA37" s="94">
        <f t="shared" si="41"/>
        <v>30</v>
      </c>
      <c r="BB37" s="97">
        <f t="shared" si="42"/>
        <v>0</v>
      </c>
      <c r="BC37" s="93"/>
      <c r="BD37" s="93">
        <f t="shared" si="43"/>
        <v>0</v>
      </c>
      <c r="BE37" s="95">
        <f t="shared" si="44"/>
        <v>1</v>
      </c>
      <c r="BF37" s="58">
        <f t="shared" si="45"/>
        <v>0</v>
      </c>
      <c r="BG37" s="94">
        <f t="shared" si="46"/>
        <v>30</v>
      </c>
      <c r="BH37" s="89"/>
      <c r="BI37" s="89"/>
      <c r="BJ37" s="89"/>
      <c r="BK37" s="89"/>
      <c r="BL37" s="92"/>
      <c r="BM37" s="89"/>
      <c r="BN37" s="92">
        <f>$CN37</f>
        <v>0</v>
      </c>
      <c r="BO37" s="92">
        <f t="shared" si="70"/>
        <v>0</v>
      </c>
      <c r="BP37" s="92">
        <f t="shared" si="70"/>
        <v>0</v>
      </c>
      <c r="BQ37" s="96">
        <f t="shared" si="47"/>
        <v>0</v>
      </c>
      <c r="BR37" s="96">
        <f t="shared" si="48"/>
        <v>0</v>
      </c>
      <c r="BS37" s="96">
        <f t="shared" si="71"/>
        <v>0</v>
      </c>
      <c r="BT37" s="96">
        <f t="shared" si="49"/>
        <v>0</v>
      </c>
      <c r="BU37" s="92">
        <f t="shared" si="16"/>
        <v>0</v>
      </c>
      <c r="BV37" s="98">
        <f t="shared" si="17"/>
        <v>0</v>
      </c>
      <c r="BW37" s="92">
        <f t="shared" si="18"/>
        <v>0</v>
      </c>
      <c r="BX37" s="98">
        <f t="shared" si="50"/>
        <v>0</v>
      </c>
      <c r="BY37" s="61">
        <f t="shared" si="73"/>
        <v>0</v>
      </c>
      <c r="BZ37" s="62">
        <f t="shared" si="51"/>
        <v>0</v>
      </c>
      <c r="CA37" s="98">
        <f t="shared" si="52"/>
        <v>0</v>
      </c>
      <c r="CB37" s="92">
        <f t="shared" si="19"/>
        <v>0</v>
      </c>
      <c r="CC37" s="92">
        <f t="shared" si="19"/>
        <v>0</v>
      </c>
      <c r="CD37" s="92">
        <f t="shared" si="19"/>
        <v>0</v>
      </c>
      <c r="CE37" s="99"/>
      <c r="CF37" s="99"/>
      <c r="CG37" s="51">
        <f t="shared" si="53"/>
        <v>0</v>
      </c>
      <c r="CH37" s="62">
        <f t="shared" si="54"/>
        <v>0</v>
      </c>
      <c r="CI37" s="89"/>
      <c r="CJ37" s="89"/>
      <c r="CK37" s="89"/>
      <c r="CL37" s="96"/>
      <c r="CM37" s="89"/>
      <c r="CN37" s="89"/>
      <c r="CO37" s="92"/>
      <c r="CP37" s="101"/>
      <c r="CQ37" s="102">
        <f t="shared" si="87"/>
        <v>0</v>
      </c>
      <c r="CR37" s="102">
        <f t="shared" si="87"/>
        <v>0</v>
      </c>
      <c r="CS37" s="102">
        <f t="shared" si="87"/>
        <v>0</v>
      </c>
      <c r="CT37" s="92">
        <f t="shared" si="56"/>
        <v>0</v>
      </c>
      <c r="CU37" s="92">
        <f t="shared" si="88"/>
        <v>0</v>
      </c>
      <c r="CV37" s="103">
        <f t="shared" si="88"/>
        <v>0</v>
      </c>
      <c r="CW37" s="104" t="s">
        <v>147</v>
      </c>
      <c r="CX37" s="105">
        <v>18</v>
      </c>
      <c r="CY37" s="106">
        <f t="shared" si="58"/>
        <v>2300</v>
      </c>
      <c r="CZ37" s="106">
        <f t="shared" si="59"/>
        <v>72.900000000000006</v>
      </c>
      <c r="DA37" s="106"/>
      <c r="DB37" s="106"/>
      <c r="DC37" s="105"/>
      <c r="DD37" s="107"/>
      <c r="DE37" s="92">
        <f t="shared" si="21"/>
        <v>0</v>
      </c>
      <c r="DF37" s="108">
        <f t="shared" si="22"/>
        <v>0</v>
      </c>
      <c r="DG37" s="112">
        <f t="shared" si="23"/>
        <v>0</v>
      </c>
      <c r="DH37" s="110">
        <f t="shared" si="24"/>
        <v>0</v>
      </c>
      <c r="DI37" s="108">
        <f t="shared" si="25"/>
        <v>0</v>
      </c>
      <c r="DJ37" s="112">
        <f t="shared" si="26"/>
        <v>0</v>
      </c>
      <c r="DK37" s="110">
        <f t="shared" si="86"/>
        <v>0</v>
      </c>
      <c r="DL37" s="108">
        <f t="shared" si="86"/>
        <v>0</v>
      </c>
      <c r="DM37" s="111">
        <f t="shared" si="86"/>
        <v>0</v>
      </c>
      <c r="DN37" s="76">
        <v>30</v>
      </c>
      <c r="DO37" s="76"/>
      <c r="DP37" s="112"/>
      <c r="DQ37" s="112"/>
      <c r="DR37" s="113" t="s">
        <v>528</v>
      </c>
      <c r="DS37" s="112"/>
      <c r="DT37" s="112"/>
      <c r="DU37" s="111"/>
      <c r="DV37" s="114"/>
      <c r="DW37" s="80">
        <f t="shared" si="61"/>
        <v>0</v>
      </c>
      <c r="DX37" s="81">
        <f t="shared" si="28"/>
        <v>0</v>
      </c>
      <c r="DY37" s="80">
        <f t="shared" si="62"/>
        <v>0</v>
      </c>
      <c r="DZ37" s="82">
        <f t="shared" si="63"/>
        <v>0</v>
      </c>
      <c r="EA37" s="82">
        <f t="shared" si="64"/>
        <v>0</v>
      </c>
      <c r="EB37" s="82">
        <f t="shared" si="65"/>
        <v>0</v>
      </c>
      <c r="EC37" s="82">
        <f t="shared" si="75"/>
        <v>0</v>
      </c>
      <c r="EF37" s="83">
        <f t="shared" si="91"/>
        <v>0</v>
      </c>
    </row>
    <row r="38" spans="1:136" s="143" customFormat="1" ht="14.1" hidden="1" customHeight="1">
      <c r="A38" s="84">
        <v>31</v>
      </c>
      <c r="B38" s="120" t="s">
        <v>224</v>
      </c>
      <c r="C38" s="121"/>
      <c r="D38" s="116" t="s">
        <v>225</v>
      </c>
      <c r="E38" s="144">
        <v>373</v>
      </c>
      <c r="F38" s="100" t="s">
        <v>191</v>
      </c>
      <c r="G38" s="122" t="str">
        <f t="shared" si="30"/>
        <v>MESUS303-5x3-H7B13</v>
      </c>
      <c r="H38" s="123" t="str">
        <f t="shared" si="31"/>
        <v>SUS303ME50DH7</v>
      </c>
      <c r="I38" s="123" t="str">
        <f t="shared" si="32"/>
        <v>SUS303ME50DH73B13</v>
      </c>
      <c r="J38" s="160" t="s">
        <v>226</v>
      </c>
      <c r="K38" s="160" t="s">
        <v>227</v>
      </c>
      <c r="L38" s="160">
        <v>5</v>
      </c>
      <c r="M38" s="160">
        <v>0</v>
      </c>
      <c r="N38" s="160" t="s">
        <v>128</v>
      </c>
      <c r="O38" s="160" t="s">
        <v>154</v>
      </c>
      <c r="P38" s="160">
        <v>3</v>
      </c>
      <c r="Q38" s="161">
        <v>0.47</v>
      </c>
      <c r="R38" s="160" t="s">
        <v>228</v>
      </c>
      <c r="S38" s="89">
        <f t="shared" si="33"/>
        <v>4</v>
      </c>
      <c r="T38" s="51">
        <f>'07.02'!BG38</f>
        <v>0</v>
      </c>
      <c r="U38" s="124"/>
      <c r="V38" s="100">
        <v>0.91500000000000004</v>
      </c>
      <c r="W38" s="125">
        <f t="shared" si="5"/>
        <v>0</v>
      </c>
      <c r="X38" s="125">
        <f t="shared" si="6"/>
        <v>0</v>
      </c>
      <c r="Y38" s="125">
        <f t="shared" si="7"/>
        <v>0</v>
      </c>
      <c r="Z38" s="125">
        <f t="shared" si="8"/>
        <v>0</v>
      </c>
      <c r="AA38" s="125">
        <f t="shared" si="9"/>
        <v>0</v>
      </c>
      <c r="AB38" s="125">
        <f t="shared" si="10"/>
        <v>0</v>
      </c>
      <c r="AC38" s="125">
        <f t="shared" si="11"/>
        <v>0</v>
      </c>
      <c r="AD38" s="125">
        <f t="shared" si="12"/>
        <v>0</v>
      </c>
      <c r="AE38" s="125">
        <f t="shared" si="34"/>
        <v>0</v>
      </c>
      <c r="AF38" s="54">
        <f>AE38+'07.02'!AF38</f>
        <v>0</v>
      </c>
      <c r="AG38" s="94">
        <f t="shared" si="66"/>
        <v>0</v>
      </c>
      <c r="AH38" s="56">
        <f t="shared" si="13"/>
        <v>0</v>
      </c>
      <c r="AI38" s="125"/>
      <c r="AJ38" s="93">
        <f t="shared" si="67"/>
        <v>0</v>
      </c>
      <c r="AK38" s="95">
        <f t="shared" si="35"/>
        <v>1</v>
      </c>
      <c r="AL38" s="58">
        <f t="shared" si="36"/>
        <v>0</v>
      </c>
      <c r="AM38" s="55">
        <f t="shared" si="68"/>
        <v>0</v>
      </c>
      <c r="AN38" s="125"/>
      <c r="AO38" s="126"/>
      <c r="AP38" s="126">
        <f>$CJ38</f>
        <v>0</v>
      </c>
      <c r="AQ38" s="126"/>
      <c r="AR38" s="126"/>
      <c r="AS38" s="126"/>
      <c r="AT38" s="126"/>
      <c r="AU38" s="126">
        <f t="shared" si="37"/>
        <v>0</v>
      </c>
      <c r="AV38" s="126">
        <f t="shared" si="37"/>
        <v>0</v>
      </c>
      <c r="AW38" s="126">
        <f t="shared" si="38"/>
        <v>0</v>
      </c>
      <c r="AX38" s="126">
        <f t="shared" si="39"/>
        <v>0</v>
      </c>
      <c r="AY38" s="162">
        <f t="shared" si="69"/>
        <v>0</v>
      </c>
      <c r="AZ38" s="94">
        <f t="shared" si="40"/>
        <v>0</v>
      </c>
      <c r="BA38" s="94">
        <f t="shared" si="41"/>
        <v>0</v>
      </c>
      <c r="BB38" s="97">
        <f t="shared" si="42"/>
        <v>0</v>
      </c>
      <c r="BC38" s="125"/>
      <c r="BD38" s="93">
        <f t="shared" si="43"/>
        <v>0</v>
      </c>
      <c r="BE38" s="127">
        <f t="shared" si="44"/>
        <v>1</v>
      </c>
      <c r="BF38" s="58">
        <f t="shared" si="45"/>
        <v>0</v>
      </c>
      <c r="BG38" s="94">
        <f t="shared" si="46"/>
        <v>0</v>
      </c>
      <c r="BH38" s="100"/>
      <c r="BI38" s="100"/>
      <c r="BJ38" s="124">
        <f>$CN38</f>
        <v>0</v>
      </c>
      <c r="BK38" s="100"/>
      <c r="BL38" s="100"/>
      <c r="BM38" s="100"/>
      <c r="BN38" s="100"/>
      <c r="BO38" s="124">
        <f t="shared" si="70"/>
        <v>0</v>
      </c>
      <c r="BP38" s="124">
        <f t="shared" si="70"/>
        <v>0</v>
      </c>
      <c r="BQ38" s="126">
        <f t="shared" si="47"/>
        <v>0</v>
      </c>
      <c r="BR38" s="126">
        <f t="shared" si="48"/>
        <v>0</v>
      </c>
      <c r="BS38" s="126">
        <f t="shared" si="71"/>
        <v>0</v>
      </c>
      <c r="BT38" s="126">
        <f t="shared" si="49"/>
        <v>0</v>
      </c>
      <c r="BU38" s="124">
        <f t="shared" si="16"/>
        <v>0</v>
      </c>
      <c r="BV38" s="128">
        <f t="shared" si="17"/>
        <v>0</v>
      </c>
      <c r="BW38" s="124">
        <f t="shared" si="18"/>
        <v>0</v>
      </c>
      <c r="BX38" s="128">
        <f t="shared" si="50"/>
        <v>0</v>
      </c>
      <c r="BY38" s="129">
        <f t="shared" si="73"/>
        <v>0</v>
      </c>
      <c r="BZ38" s="62">
        <f t="shared" si="51"/>
        <v>0</v>
      </c>
      <c r="CA38" s="128">
        <f t="shared" si="52"/>
        <v>0</v>
      </c>
      <c r="CB38" s="124">
        <f t="shared" si="19"/>
        <v>0</v>
      </c>
      <c r="CC38" s="124">
        <f t="shared" si="19"/>
        <v>0</v>
      </c>
      <c r="CD38" s="124">
        <f t="shared" si="19"/>
        <v>0</v>
      </c>
      <c r="CE38" s="100"/>
      <c r="CF38" s="100"/>
      <c r="CG38" s="51">
        <f t="shared" si="53"/>
        <v>0</v>
      </c>
      <c r="CH38" s="62">
        <f t="shared" si="54"/>
        <v>0</v>
      </c>
      <c r="CI38" s="100"/>
      <c r="CJ38" s="100"/>
      <c r="CK38" s="100"/>
      <c r="CL38" s="126"/>
      <c r="CM38" s="100"/>
      <c r="CN38" s="100"/>
      <c r="CO38" s="124"/>
      <c r="CP38" s="130"/>
      <c r="CQ38" s="102">
        <f t="shared" si="87"/>
        <v>0</v>
      </c>
      <c r="CR38" s="102">
        <f t="shared" si="87"/>
        <v>0</v>
      </c>
      <c r="CS38" s="102">
        <f t="shared" si="87"/>
        <v>0</v>
      </c>
      <c r="CT38" s="92">
        <f t="shared" si="56"/>
        <v>0</v>
      </c>
      <c r="CU38" s="92">
        <f t="shared" si="88"/>
        <v>0</v>
      </c>
      <c r="CV38" s="103">
        <f t="shared" si="88"/>
        <v>0</v>
      </c>
      <c r="CW38" s="131" t="s">
        <v>147</v>
      </c>
      <c r="CX38" s="132">
        <v>60</v>
      </c>
      <c r="CY38" s="133">
        <f t="shared" si="58"/>
        <v>714</v>
      </c>
      <c r="CZ38" s="133">
        <f t="shared" si="59"/>
        <v>243.00000000000003</v>
      </c>
      <c r="DA38" s="133"/>
      <c r="DB38" s="133"/>
      <c r="DC38" s="132"/>
      <c r="DD38" s="134"/>
      <c r="DE38" s="124">
        <f t="shared" si="21"/>
        <v>0</v>
      </c>
      <c r="DF38" s="135">
        <f t="shared" si="22"/>
        <v>0</v>
      </c>
      <c r="DG38" s="115">
        <f t="shared" si="23"/>
        <v>0</v>
      </c>
      <c r="DH38" s="136">
        <f t="shared" si="24"/>
        <v>0</v>
      </c>
      <c r="DI38" s="135">
        <f t="shared" si="25"/>
        <v>0</v>
      </c>
      <c r="DJ38" s="115">
        <f t="shared" si="26"/>
        <v>0</v>
      </c>
      <c r="DK38" s="136">
        <f t="shared" si="86"/>
        <v>0</v>
      </c>
      <c r="DL38" s="135">
        <f t="shared" si="86"/>
        <v>0</v>
      </c>
      <c r="DM38" s="137">
        <f t="shared" si="86"/>
        <v>0</v>
      </c>
      <c r="DN38" s="76">
        <f t="shared" si="60"/>
        <v>0</v>
      </c>
      <c r="DO38" s="76">
        <f t="shared" si="60"/>
        <v>0</v>
      </c>
      <c r="DP38" s="115"/>
      <c r="DQ38" s="115"/>
      <c r="DR38" s="138"/>
      <c r="DS38" s="115"/>
      <c r="DT38" s="115"/>
      <c r="DU38" s="137"/>
      <c r="DV38" s="139"/>
      <c r="DW38" s="140">
        <f t="shared" si="61"/>
        <v>0</v>
      </c>
      <c r="DX38" s="141">
        <f t="shared" si="28"/>
        <v>0</v>
      </c>
      <c r="DY38" s="140">
        <f t="shared" si="62"/>
        <v>0</v>
      </c>
      <c r="DZ38" s="142">
        <f t="shared" si="63"/>
        <v>0</v>
      </c>
      <c r="EA38" s="142">
        <f t="shared" si="64"/>
        <v>0</v>
      </c>
      <c r="EB38" s="142">
        <f t="shared" si="65"/>
        <v>0</v>
      </c>
      <c r="EC38" s="142">
        <f t="shared" si="75"/>
        <v>0</v>
      </c>
      <c r="EF38" s="83">
        <f t="shared" si="91"/>
        <v>0</v>
      </c>
    </row>
    <row r="39" spans="1:136">
      <c r="A39" s="84">
        <v>32</v>
      </c>
      <c r="B39" s="85" t="s">
        <v>230</v>
      </c>
      <c r="C39" s="86"/>
      <c r="D39" s="87" t="s">
        <v>220</v>
      </c>
      <c r="E39" s="88">
        <v>243</v>
      </c>
      <c r="F39" s="89"/>
      <c r="G39" s="45" t="str">
        <f t="shared" si="30"/>
        <v>GAA5052-5.7x3-H9A14</v>
      </c>
      <c r="H39" s="46" t="str">
        <f t="shared" si="31"/>
        <v>A5052GA5.70DH9</v>
      </c>
      <c r="I39" s="46" t="str">
        <f t="shared" si="32"/>
        <v>A5052GA5.70DH93A14</v>
      </c>
      <c r="J39" s="90" t="s">
        <v>221</v>
      </c>
      <c r="K39" s="90" t="s">
        <v>222</v>
      </c>
      <c r="L39" s="90">
        <v>5.7</v>
      </c>
      <c r="M39" s="90">
        <v>0</v>
      </c>
      <c r="N39" s="90" t="s">
        <v>128</v>
      </c>
      <c r="O39" s="90" t="s">
        <v>131</v>
      </c>
      <c r="P39" s="90">
        <v>3</v>
      </c>
      <c r="Q39" s="91">
        <v>0.20399999999999999</v>
      </c>
      <c r="R39" s="90" t="s">
        <v>139</v>
      </c>
      <c r="S39" s="89">
        <f t="shared" si="33"/>
        <v>10</v>
      </c>
      <c r="T39" s="51">
        <f>'07.02'!BG39</f>
        <v>30</v>
      </c>
      <c r="U39" s="92"/>
      <c r="V39" s="100">
        <v>0.11</v>
      </c>
      <c r="W39" s="93">
        <f t="shared" si="5"/>
        <v>0</v>
      </c>
      <c r="X39" s="93">
        <f t="shared" si="6"/>
        <v>0</v>
      </c>
      <c r="Y39" s="93">
        <f t="shared" si="7"/>
        <v>0</v>
      </c>
      <c r="Z39" s="93">
        <f t="shared" si="8"/>
        <v>0</v>
      </c>
      <c r="AA39" s="93">
        <f t="shared" si="9"/>
        <v>0</v>
      </c>
      <c r="AB39" s="93">
        <f t="shared" si="10"/>
        <v>0</v>
      </c>
      <c r="AC39" s="93">
        <f t="shared" si="11"/>
        <v>0</v>
      </c>
      <c r="AD39" s="93">
        <f t="shared" si="12"/>
        <v>0</v>
      </c>
      <c r="AE39" s="93">
        <f t="shared" si="34"/>
        <v>0</v>
      </c>
      <c r="AF39" s="54">
        <f>AE39+'07.02'!AF39</f>
        <v>0</v>
      </c>
      <c r="AG39" s="94">
        <f t="shared" si="66"/>
        <v>30</v>
      </c>
      <c r="AH39" s="56">
        <f t="shared" si="13"/>
        <v>0</v>
      </c>
      <c r="AI39" s="93"/>
      <c r="AJ39" s="93">
        <f t="shared" si="67"/>
        <v>0</v>
      </c>
      <c r="AK39" s="95">
        <f t="shared" si="35"/>
        <v>1</v>
      </c>
      <c r="AL39" s="58">
        <f t="shared" si="36"/>
        <v>0</v>
      </c>
      <c r="AM39" s="55">
        <f t="shared" si="68"/>
        <v>30</v>
      </c>
      <c r="AN39" s="93"/>
      <c r="AO39" s="96"/>
      <c r="AP39" s="96"/>
      <c r="AQ39" s="96"/>
      <c r="AR39" s="96"/>
      <c r="AS39" s="96"/>
      <c r="AT39" s="96">
        <f>$CJ39</f>
        <v>0</v>
      </c>
      <c r="AU39" s="96">
        <f t="shared" si="37"/>
        <v>0</v>
      </c>
      <c r="AV39" s="96">
        <f t="shared" si="37"/>
        <v>0</v>
      </c>
      <c r="AW39" s="96">
        <f t="shared" si="38"/>
        <v>0</v>
      </c>
      <c r="AX39" s="96">
        <f t="shared" si="39"/>
        <v>0</v>
      </c>
      <c r="AY39" s="94">
        <f t="shared" si="69"/>
        <v>0</v>
      </c>
      <c r="AZ39" s="94">
        <f t="shared" si="40"/>
        <v>0</v>
      </c>
      <c r="BA39" s="94">
        <f t="shared" si="41"/>
        <v>30</v>
      </c>
      <c r="BB39" s="97">
        <f t="shared" si="42"/>
        <v>0</v>
      </c>
      <c r="BC39" s="93"/>
      <c r="BD39" s="93">
        <f t="shared" si="43"/>
        <v>0</v>
      </c>
      <c r="BE39" s="95">
        <f t="shared" si="44"/>
        <v>1</v>
      </c>
      <c r="BF39" s="58">
        <f t="shared" si="45"/>
        <v>0</v>
      </c>
      <c r="BG39" s="94">
        <f t="shared" si="46"/>
        <v>30</v>
      </c>
      <c r="BH39" s="89"/>
      <c r="BI39" s="89"/>
      <c r="BJ39" s="89"/>
      <c r="BK39" s="89"/>
      <c r="BL39" s="92"/>
      <c r="BM39" s="92"/>
      <c r="BN39" s="92">
        <f>$CN39</f>
        <v>0</v>
      </c>
      <c r="BO39" s="92">
        <f t="shared" si="70"/>
        <v>0</v>
      </c>
      <c r="BP39" s="92">
        <f t="shared" si="70"/>
        <v>0</v>
      </c>
      <c r="BQ39" s="96">
        <f t="shared" si="47"/>
        <v>0</v>
      </c>
      <c r="BR39" s="96">
        <f t="shared" si="48"/>
        <v>0</v>
      </c>
      <c r="BS39" s="96">
        <f t="shared" si="71"/>
        <v>0</v>
      </c>
      <c r="BT39" s="96">
        <f t="shared" si="49"/>
        <v>0</v>
      </c>
      <c r="BU39" s="92">
        <f t="shared" si="16"/>
        <v>0</v>
      </c>
      <c r="BV39" s="98">
        <f t="shared" si="17"/>
        <v>0</v>
      </c>
      <c r="BW39" s="92">
        <f t="shared" si="18"/>
        <v>0</v>
      </c>
      <c r="BX39" s="98">
        <f t="shared" si="50"/>
        <v>0</v>
      </c>
      <c r="BY39" s="61">
        <f t="shared" si="73"/>
        <v>0</v>
      </c>
      <c r="BZ39" s="62">
        <f t="shared" si="51"/>
        <v>0</v>
      </c>
      <c r="CA39" s="98">
        <f t="shared" si="52"/>
        <v>0</v>
      </c>
      <c r="CB39" s="92">
        <f t="shared" si="19"/>
        <v>0</v>
      </c>
      <c r="CC39" s="92">
        <f t="shared" si="19"/>
        <v>0</v>
      </c>
      <c r="CD39" s="92">
        <f t="shared" si="19"/>
        <v>0</v>
      </c>
      <c r="CE39" s="99"/>
      <c r="CF39" s="99"/>
      <c r="CG39" s="51">
        <f t="shared" si="53"/>
        <v>0</v>
      </c>
      <c r="CH39" s="62">
        <f t="shared" si="54"/>
        <v>0</v>
      </c>
      <c r="CI39" s="89"/>
      <c r="CJ39" s="89"/>
      <c r="CK39" s="89"/>
      <c r="CL39" s="96"/>
      <c r="CM39" s="89"/>
      <c r="CN39" s="89"/>
      <c r="CO39" s="92"/>
      <c r="CP39" s="101"/>
      <c r="CQ39" s="102">
        <f t="shared" si="87"/>
        <v>0</v>
      </c>
      <c r="CR39" s="102">
        <f t="shared" si="87"/>
        <v>0</v>
      </c>
      <c r="CS39" s="102">
        <f t="shared" si="87"/>
        <v>0</v>
      </c>
      <c r="CT39" s="92">
        <f t="shared" si="56"/>
        <v>0</v>
      </c>
      <c r="CU39" s="92">
        <f t="shared" si="88"/>
        <v>0</v>
      </c>
      <c r="CV39" s="103">
        <f t="shared" si="88"/>
        <v>0</v>
      </c>
      <c r="CW39" s="104" t="s">
        <v>147</v>
      </c>
      <c r="CX39" s="105">
        <v>35</v>
      </c>
      <c r="CY39" s="106">
        <f t="shared" si="58"/>
        <v>1203</v>
      </c>
      <c r="CZ39" s="106">
        <f t="shared" si="59"/>
        <v>141.75</v>
      </c>
      <c r="DA39" s="106"/>
      <c r="DB39" s="106"/>
      <c r="DC39" s="105"/>
      <c r="DD39" s="107"/>
      <c r="DE39" s="92">
        <f t="shared" si="21"/>
        <v>0</v>
      </c>
      <c r="DF39" s="108">
        <f t="shared" si="22"/>
        <v>0</v>
      </c>
      <c r="DG39" s="112">
        <f t="shared" si="23"/>
        <v>0</v>
      </c>
      <c r="DH39" s="110">
        <f t="shared" si="24"/>
        <v>0</v>
      </c>
      <c r="DI39" s="108">
        <f t="shared" si="25"/>
        <v>0</v>
      </c>
      <c r="DJ39" s="112">
        <f t="shared" si="26"/>
        <v>0</v>
      </c>
      <c r="DK39" s="110">
        <f t="shared" si="86"/>
        <v>0</v>
      </c>
      <c r="DL39" s="108">
        <f t="shared" si="86"/>
        <v>0</v>
      </c>
      <c r="DM39" s="111">
        <f t="shared" si="86"/>
        <v>0</v>
      </c>
      <c r="DN39" s="76">
        <v>30</v>
      </c>
      <c r="DO39" s="76"/>
      <c r="DP39" s="112"/>
      <c r="DQ39" s="112"/>
      <c r="DR39" s="113" t="s">
        <v>529</v>
      </c>
      <c r="DS39" s="112"/>
      <c r="DT39" s="112"/>
      <c r="DU39" s="111"/>
      <c r="DV39" s="114"/>
      <c r="DW39" s="80">
        <f t="shared" si="61"/>
        <v>0</v>
      </c>
      <c r="DX39" s="81">
        <f t="shared" si="28"/>
        <v>0</v>
      </c>
      <c r="DY39" s="80">
        <f t="shared" si="62"/>
        <v>0</v>
      </c>
      <c r="DZ39" s="82">
        <f t="shared" si="63"/>
        <v>0</v>
      </c>
      <c r="EA39" s="82">
        <f t="shared" si="64"/>
        <v>0</v>
      </c>
      <c r="EB39" s="82">
        <f t="shared" si="65"/>
        <v>0</v>
      </c>
      <c r="EC39" s="82">
        <f t="shared" si="75"/>
        <v>0</v>
      </c>
      <c r="EF39" s="83">
        <f t="shared" si="91"/>
        <v>0</v>
      </c>
    </row>
    <row r="40" spans="1:136" ht="14.1" customHeight="1">
      <c r="A40" s="84">
        <v>33</v>
      </c>
      <c r="B40" s="85" t="s">
        <v>232</v>
      </c>
      <c r="C40" s="86"/>
      <c r="D40" s="87" t="s">
        <v>233</v>
      </c>
      <c r="E40" s="88">
        <v>1166</v>
      </c>
      <c r="F40" s="89" t="s">
        <v>147</v>
      </c>
      <c r="G40" s="45" t="str">
        <f t="shared" si="30"/>
        <v>IBC3604-5x3-H9B14</v>
      </c>
      <c r="H40" s="46" t="str">
        <f t="shared" si="31"/>
        <v>C3604IB50DH9</v>
      </c>
      <c r="I40" s="46" t="str">
        <f t="shared" si="32"/>
        <v>C3604IB50DH93B14</v>
      </c>
      <c r="J40" s="90" t="s">
        <v>148</v>
      </c>
      <c r="K40" s="90" t="s">
        <v>156</v>
      </c>
      <c r="L40" s="90">
        <v>5</v>
      </c>
      <c r="M40" s="90">
        <v>0</v>
      </c>
      <c r="N40" s="90" t="s">
        <v>128</v>
      </c>
      <c r="O40" s="90" t="s">
        <v>131</v>
      </c>
      <c r="P40" s="90">
        <v>3</v>
      </c>
      <c r="Q40" s="91">
        <v>0.5</v>
      </c>
      <c r="R40" s="160" t="s">
        <v>171</v>
      </c>
      <c r="S40" s="89">
        <f t="shared" si="33"/>
        <v>6</v>
      </c>
      <c r="T40" s="51">
        <f>'07.02'!BG40</f>
        <v>14</v>
      </c>
      <c r="U40" s="92"/>
      <c r="V40" s="100">
        <v>0.125</v>
      </c>
      <c r="W40" s="93">
        <f t="shared" si="5"/>
        <v>0</v>
      </c>
      <c r="X40" s="93">
        <f t="shared" si="6"/>
        <v>0</v>
      </c>
      <c r="Y40" s="93">
        <f t="shared" si="7"/>
        <v>0</v>
      </c>
      <c r="Z40" s="93">
        <f t="shared" si="8"/>
        <v>0</v>
      </c>
      <c r="AA40" s="93">
        <f t="shared" si="9"/>
        <v>0</v>
      </c>
      <c r="AB40" s="93">
        <f t="shared" si="10"/>
        <v>0</v>
      </c>
      <c r="AC40" s="93">
        <f t="shared" si="11"/>
        <v>0</v>
      </c>
      <c r="AD40" s="93">
        <f t="shared" si="12"/>
        <v>0</v>
      </c>
      <c r="AE40" s="93">
        <f t="shared" si="34"/>
        <v>0</v>
      </c>
      <c r="AF40" s="54">
        <f>AE40+'07.02'!AF40</f>
        <v>47872</v>
      </c>
      <c r="AG40" s="94">
        <f t="shared" si="66"/>
        <v>14</v>
      </c>
      <c r="AH40" s="56">
        <f t="shared" si="13"/>
        <v>0</v>
      </c>
      <c r="AI40" s="93"/>
      <c r="AJ40" s="93">
        <f t="shared" si="67"/>
        <v>0</v>
      </c>
      <c r="AK40" s="95">
        <f t="shared" si="35"/>
        <v>1</v>
      </c>
      <c r="AL40" s="58">
        <f t="shared" si="36"/>
        <v>0</v>
      </c>
      <c r="AM40" s="55">
        <f t="shared" si="68"/>
        <v>14</v>
      </c>
      <c r="AN40" s="93"/>
      <c r="AO40" s="96"/>
      <c r="AP40" s="96"/>
      <c r="AQ40" s="96"/>
      <c r="AR40" s="96"/>
      <c r="AS40" s="96"/>
      <c r="AT40" s="96">
        <f>$CJ40</f>
        <v>0</v>
      </c>
      <c r="AU40" s="96">
        <f t="shared" si="37"/>
        <v>0</v>
      </c>
      <c r="AV40" s="96">
        <f t="shared" si="37"/>
        <v>0</v>
      </c>
      <c r="AW40" s="96">
        <f>SUM(AO40:AV40)</f>
        <v>0</v>
      </c>
      <c r="AX40" s="96">
        <f>IF(V40="","",INT(AW40/$V40))</f>
        <v>0</v>
      </c>
      <c r="AY40" s="94">
        <f t="shared" si="69"/>
        <v>0</v>
      </c>
      <c r="AZ40" s="94">
        <f t="shared" si="40"/>
        <v>0</v>
      </c>
      <c r="BA40" s="94">
        <f t="shared" si="41"/>
        <v>14</v>
      </c>
      <c r="BB40" s="97">
        <f t="shared" si="42"/>
        <v>0</v>
      </c>
      <c r="BC40" s="93"/>
      <c r="BD40" s="93">
        <f t="shared" si="43"/>
        <v>0</v>
      </c>
      <c r="BE40" s="95">
        <f t="shared" si="44"/>
        <v>1</v>
      </c>
      <c r="BF40" s="58">
        <f t="shared" si="45"/>
        <v>0</v>
      </c>
      <c r="BG40" s="94">
        <f t="shared" si="46"/>
        <v>14</v>
      </c>
      <c r="BH40" s="89"/>
      <c r="BI40" s="89"/>
      <c r="BJ40" s="89"/>
      <c r="BK40" s="89"/>
      <c r="BL40" s="92"/>
      <c r="BM40" s="92"/>
      <c r="BN40" s="92">
        <f>$CN40</f>
        <v>0</v>
      </c>
      <c r="BO40" s="92">
        <f t="shared" si="70"/>
        <v>0</v>
      </c>
      <c r="BP40" s="92">
        <f t="shared" si="70"/>
        <v>0</v>
      </c>
      <c r="BQ40" s="96">
        <f t="shared" si="47"/>
        <v>0</v>
      </c>
      <c r="BR40" s="96">
        <f t="shared" si="48"/>
        <v>0</v>
      </c>
      <c r="BS40" s="96">
        <f t="shared" si="71"/>
        <v>0</v>
      </c>
      <c r="BT40" s="96">
        <f t="shared" si="49"/>
        <v>0</v>
      </c>
      <c r="BU40" s="92">
        <f t="shared" si="16"/>
        <v>0</v>
      </c>
      <c r="BV40" s="98">
        <f t="shared" si="17"/>
        <v>0</v>
      </c>
      <c r="BW40" s="92">
        <f t="shared" si="18"/>
        <v>0</v>
      </c>
      <c r="BX40" s="98">
        <f t="shared" si="50"/>
        <v>0</v>
      </c>
      <c r="BY40" s="61">
        <f t="shared" si="73"/>
        <v>0</v>
      </c>
      <c r="BZ40" s="62">
        <f t="shared" si="51"/>
        <v>0</v>
      </c>
      <c r="CA40" s="98">
        <f t="shared" si="52"/>
        <v>0</v>
      </c>
      <c r="CB40" s="92">
        <f t="shared" ref="CB40:CD71" si="97">IFERROR(BR40+AX40,"")</f>
        <v>0</v>
      </c>
      <c r="CC40" s="92">
        <f t="shared" si="97"/>
        <v>0</v>
      </c>
      <c r="CD40" s="92">
        <f t="shared" si="97"/>
        <v>0</v>
      </c>
      <c r="CE40" s="99"/>
      <c r="CF40" s="99"/>
      <c r="CG40" s="51">
        <f t="shared" si="53"/>
        <v>0</v>
      </c>
      <c r="CH40" s="62">
        <f t="shared" si="54"/>
        <v>0</v>
      </c>
      <c r="CI40" s="89"/>
      <c r="CJ40" s="89"/>
      <c r="CK40" s="89"/>
      <c r="CL40" s="96"/>
      <c r="CM40" s="89"/>
      <c r="CN40" s="89"/>
      <c r="CO40" s="92"/>
      <c r="CP40" s="101"/>
      <c r="CQ40" s="102">
        <f t="shared" si="87"/>
        <v>0</v>
      </c>
      <c r="CR40" s="102">
        <f t="shared" si="87"/>
        <v>0</v>
      </c>
      <c r="CS40" s="102">
        <f t="shared" si="87"/>
        <v>0</v>
      </c>
      <c r="CT40" s="92">
        <f t="shared" si="56"/>
        <v>0</v>
      </c>
      <c r="CU40" s="92">
        <f t="shared" si="88"/>
        <v>0</v>
      </c>
      <c r="CV40" s="103">
        <f t="shared" si="88"/>
        <v>0</v>
      </c>
      <c r="CW40" s="104" t="s">
        <v>147</v>
      </c>
      <c r="CX40" s="105">
        <v>11</v>
      </c>
      <c r="CY40" s="106">
        <f t="shared" si="58"/>
        <v>3861</v>
      </c>
      <c r="CZ40" s="106">
        <f t="shared" si="59"/>
        <v>44.550000000000004</v>
      </c>
      <c r="DA40" s="106"/>
      <c r="DB40" s="106"/>
      <c r="DC40" s="105"/>
      <c r="DD40" s="107"/>
      <c r="DE40" s="92">
        <f t="shared" si="21"/>
        <v>0</v>
      </c>
      <c r="DF40" s="108">
        <f t="shared" si="22"/>
        <v>0</v>
      </c>
      <c r="DG40" s="112">
        <f t="shared" si="23"/>
        <v>0</v>
      </c>
      <c r="DH40" s="110">
        <f t="shared" si="24"/>
        <v>0</v>
      </c>
      <c r="DI40" s="108">
        <f t="shared" si="25"/>
        <v>0</v>
      </c>
      <c r="DJ40" s="112">
        <f t="shared" si="26"/>
        <v>0</v>
      </c>
      <c r="DK40" s="110">
        <f t="shared" si="86"/>
        <v>0</v>
      </c>
      <c r="DL40" s="108">
        <f t="shared" si="86"/>
        <v>0</v>
      </c>
      <c r="DM40" s="111">
        <f t="shared" si="86"/>
        <v>0</v>
      </c>
      <c r="DN40" s="76">
        <v>6</v>
      </c>
      <c r="DO40" s="76"/>
      <c r="DP40" s="112"/>
      <c r="DQ40" s="112"/>
      <c r="DR40" s="113" t="s">
        <v>530</v>
      </c>
      <c r="DS40" s="112"/>
      <c r="DT40" s="112"/>
      <c r="DU40" s="111"/>
      <c r="DV40" s="114"/>
      <c r="DW40" s="80">
        <f t="shared" ref="DW40:DW42" si="98">IFERROR(AL40+BF40,"")</f>
        <v>0</v>
      </c>
      <c r="DX40" s="81">
        <f t="shared" si="28"/>
        <v>0</v>
      </c>
      <c r="DY40" s="80">
        <f t="shared" si="62"/>
        <v>0</v>
      </c>
      <c r="DZ40" s="82">
        <f t="shared" si="63"/>
        <v>0</v>
      </c>
      <c r="EA40" s="82">
        <f t="shared" si="64"/>
        <v>0</v>
      </c>
      <c r="EB40" s="82">
        <f t="shared" si="65"/>
        <v>0</v>
      </c>
      <c r="EC40" s="82">
        <f t="shared" ref="EC40:EC42" si="99">(BX40-CA40)+((AV40+BP40)/1000)</f>
        <v>0</v>
      </c>
      <c r="EF40" s="83">
        <f t="shared" si="91"/>
        <v>0</v>
      </c>
    </row>
    <row r="41" spans="1:136" ht="13.5" customHeight="1">
      <c r="A41" s="84">
        <v>34</v>
      </c>
      <c r="B41" s="85" t="s">
        <v>236</v>
      </c>
      <c r="C41" s="86"/>
      <c r="D41" s="119" t="s">
        <v>237</v>
      </c>
      <c r="E41" s="88">
        <v>394</v>
      </c>
      <c r="F41" s="89" t="s">
        <v>147</v>
      </c>
      <c r="G41" s="45" t="str">
        <f t="shared" si="30"/>
        <v>MESUS303Cu-3x3-H9A14</v>
      </c>
      <c r="H41" s="46" t="str">
        <f t="shared" si="31"/>
        <v>SUS303CuME30DH9</v>
      </c>
      <c r="I41" s="46" t="str">
        <f t="shared" si="32"/>
        <v>SUS303CuME30DH93A14</v>
      </c>
      <c r="J41" s="90" t="s">
        <v>238</v>
      </c>
      <c r="K41" s="90" t="s">
        <v>227</v>
      </c>
      <c r="L41" s="90">
        <v>3</v>
      </c>
      <c r="M41" s="90">
        <v>0</v>
      </c>
      <c r="N41" s="90" t="s">
        <v>128</v>
      </c>
      <c r="O41" s="90" t="s">
        <v>131</v>
      </c>
      <c r="P41" s="90">
        <v>3</v>
      </c>
      <c r="Q41" s="91">
        <v>0.16700000000000001</v>
      </c>
      <c r="R41" s="90" t="s">
        <v>139</v>
      </c>
      <c r="S41" s="89">
        <f t="shared" si="33"/>
        <v>18</v>
      </c>
      <c r="T41" s="51">
        <f>'07.02'!BG41</f>
        <v>10</v>
      </c>
      <c r="U41" s="92"/>
      <c r="V41" s="100">
        <v>0.03</v>
      </c>
      <c r="W41" s="93">
        <f t="shared" si="5"/>
        <v>0</v>
      </c>
      <c r="X41" s="93">
        <f t="shared" si="6"/>
        <v>0</v>
      </c>
      <c r="Y41" s="93">
        <f t="shared" si="7"/>
        <v>0</v>
      </c>
      <c r="Z41" s="93">
        <f t="shared" si="8"/>
        <v>0</v>
      </c>
      <c r="AA41" s="93">
        <f t="shared" si="9"/>
        <v>0</v>
      </c>
      <c r="AB41" s="93">
        <f t="shared" si="10"/>
        <v>0</v>
      </c>
      <c r="AC41" s="93">
        <f t="shared" si="11"/>
        <v>0</v>
      </c>
      <c r="AD41" s="93">
        <f t="shared" si="12"/>
        <v>0</v>
      </c>
      <c r="AE41" s="93">
        <f t="shared" si="34"/>
        <v>0</v>
      </c>
      <c r="AF41" s="54">
        <f>AE41+'07.02'!AF41</f>
        <v>0</v>
      </c>
      <c r="AG41" s="94">
        <f t="shared" si="66"/>
        <v>10</v>
      </c>
      <c r="AH41" s="56">
        <f t="shared" si="13"/>
        <v>0</v>
      </c>
      <c r="AI41" s="93"/>
      <c r="AJ41" s="93">
        <f t="shared" si="67"/>
        <v>0</v>
      </c>
      <c r="AK41" s="95">
        <f t="shared" si="35"/>
        <v>1</v>
      </c>
      <c r="AL41" s="58">
        <f t="shared" si="36"/>
        <v>0</v>
      </c>
      <c r="AM41" s="55">
        <f t="shared" si="68"/>
        <v>10</v>
      </c>
      <c r="AN41" s="93"/>
      <c r="AO41" s="96"/>
      <c r="AP41" s="96"/>
      <c r="AQ41" s="145"/>
      <c r="AR41" s="96"/>
      <c r="AS41" s="96"/>
      <c r="AT41" s="145">
        <f>$CJ41</f>
        <v>0</v>
      </c>
      <c r="AU41" s="96">
        <f t="shared" si="37"/>
        <v>0</v>
      </c>
      <c r="AV41" s="96">
        <f t="shared" si="37"/>
        <v>0</v>
      </c>
      <c r="AW41" s="96">
        <f>SUM(AO41:AV41)</f>
        <v>0</v>
      </c>
      <c r="AX41" s="96">
        <f>IF(V41="","",INT(AW41/$V41))</f>
        <v>0</v>
      </c>
      <c r="AY41" s="94">
        <f t="shared" si="69"/>
        <v>0</v>
      </c>
      <c r="AZ41" s="94">
        <f t="shared" si="40"/>
        <v>0</v>
      </c>
      <c r="BA41" s="94">
        <f t="shared" si="41"/>
        <v>10</v>
      </c>
      <c r="BB41" s="97">
        <f t="shared" si="42"/>
        <v>0</v>
      </c>
      <c r="BC41" s="93"/>
      <c r="BD41" s="93">
        <f t="shared" si="43"/>
        <v>0</v>
      </c>
      <c r="BE41" s="95">
        <f t="shared" si="44"/>
        <v>1</v>
      </c>
      <c r="BF41" s="58">
        <f t="shared" si="45"/>
        <v>0</v>
      </c>
      <c r="BG41" s="94">
        <f t="shared" si="46"/>
        <v>10</v>
      </c>
      <c r="BH41" s="89"/>
      <c r="BI41" s="89"/>
      <c r="BJ41" s="92"/>
      <c r="BK41" s="146"/>
      <c r="BL41" s="89"/>
      <c r="BM41" s="89"/>
      <c r="BN41" s="146">
        <f>$CN41</f>
        <v>0</v>
      </c>
      <c r="BO41" s="92">
        <f t="shared" si="70"/>
        <v>0</v>
      </c>
      <c r="BP41" s="92">
        <f t="shared" si="70"/>
        <v>0</v>
      </c>
      <c r="BQ41" s="96">
        <f t="shared" si="47"/>
        <v>0</v>
      </c>
      <c r="BR41" s="96">
        <f>IF(AA41="","",INT(BQ41/$V41))</f>
        <v>0</v>
      </c>
      <c r="BS41" s="96">
        <f t="shared" si="71"/>
        <v>0</v>
      </c>
      <c r="BT41" s="96">
        <f>IF($V41="","",BS41/$V41)</f>
        <v>0</v>
      </c>
      <c r="BU41" s="92">
        <f t="shared" si="16"/>
        <v>0</v>
      </c>
      <c r="BV41" s="98">
        <f t="shared" si="17"/>
        <v>0</v>
      </c>
      <c r="BW41" s="92">
        <f t="shared" si="18"/>
        <v>0</v>
      </c>
      <c r="BX41" s="98">
        <f t="shared" si="50"/>
        <v>0</v>
      </c>
      <c r="BY41" s="61">
        <f t="shared" si="73"/>
        <v>0</v>
      </c>
      <c r="BZ41" s="62">
        <f t="shared" si="51"/>
        <v>0</v>
      </c>
      <c r="CA41" s="98">
        <f t="shared" si="52"/>
        <v>0</v>
      </c>
      <c r="CB41" s="92">
        <f t="shared" si="97"/>
        <v>0</v>
      </c>
      <c r="CC41" s="92">
        <f t="shared" si="97"/>
        <v>0</v>
      </c>
      <c r="CD41" s="92">
        <f t="shared" si="97"/>
        <v>0</v>
      </c>
      <c r="CE41" s="99"/>
      <c r="CF41" s="99"/>
      <c r="CG41" s="51">
        <f t="shared" si="53"/>
        <v>0</v>
      </c>
      <c r="CH41" s="62">
        <f t="shared" si="54"/>
        <v>0</v>
      </c>
      <c r="CI41" s="89"/>
      <c r="CJ41" s="89"/>
      <c r="CK41" s="89"/>
      <c r="CL41" s="96"/>
      <c r="CM41" s="89"/>
      <c r="CN41" s="89"/>
      <c r="CO41" s="92"/>
      <c r="CP41" s="101"/>
      <c r="CQ41" s="102">
        <f t="shared" ref="CQ41:CS98" si="100">INT(IFERROR( CJ41/$V41,0))</f>
        <v>0</v>
      </c>
      <c r="CR41" s="102">
        <f t="shared" si="100"/>
        <v>0</v>
      </c>
      <c r="CS41" s="102">
        <f t="shared" si="100"/>
        <v>0</v>
      </c>
      <c r="CT41" s="92">
        <f t="shared" si="56"/>
        <v>0</v>
      </c>
      <c r="CU41" s="92">
        <f t="shared" ref="CU41:CV103" si="101">INT(IFERROR( AC41-CR41,0))</f>
        <v>0</v>
      </c>
      <c r="CV41" s="103">
        <f t="shared" si="101"/>
        <v>0</v>
      </c>
      <c r="CW41" s="104" t="s">
        <v>147</v>
      </c>
      <c r="CX41" s="105">
        <v>12</v>
      </c>
      <c r="CY41" s="106">
        <f t="shared" si="58"/>
        <v>3450</v>
      </c>
      <c r="CZ41" s="106">
        <f t="shared" si="59"/>
        <v>48.6</v>
      </c>
      <c r="DA41" s="106"/>
      <c r="DB41" s="106"/>
      <c r="DC41" s="105"/>
      <c r="DD41" s="107"/>
      <c r="DE41" s="92">
        <f t="shared" si="21"/>
        <v>0</v>
      </c>
      <c r="DF41" s="108">
        <f t="shared" si="22"/>
        <v>0</v>
      </c>
      <c r="DG41" s="112">
        <f t="shared" si="23"/>
        <v>0</v>
      </c>
      <c r="DH41" s="110">
        <f t="shared" si="24"/>
        <v>0</v>
      </c>
      <c r="DI41" s="108">
        <f t="shared" si="25"/>
        <v>0</v>
      </c>
      <c r="DJ41" s="112">
        <f t="shared" si="26"/>
        <v>0</v>
      </c>
      <c r="DK41" s="110">
        <f t="shared" si="86"/>
        <v>0</v>
      </c>
      <c r="DL41" s="108">
        <f t="shared" si="86"/>
        <v>0</v>
      </c>
      <c r="DM41" s="111">
        <f t="shared" si="86"/>
        <v>0</v>
      </c>
      <c r="DN41" s="76">
        <v>10</v>
      </c>
      <c r="DO41" s="76"/>
      <c r="DP41" s="112"/>
      <c r="DQ41" s="112"/>
      <c r="DR41" s="113" t="s">
        <v>531</v>
      </c>
      <c r="DS41" s="112"/>
      <c r="DT41" s="112"/>
      <c r="DU41" s="111"/>
      <c r="DV41" s="114"/>
      <c r="DW41" s="80">
        <f t="shared" si="98"/>
        <v>0</v>
      </c>
      <c r="DX41" s="81">
        <f t="shared" si="28"/>
        <v>0</v>
      </c>
      <c r="DY41" s="80">
        <f t="shared" si="62"/>
        <v>0</v>
      </c>
      <c r="DZ41" s="82">
        <f t="shared" si="63"/>
        <v>0</v>
      </c>
      <c r="EA41" s="82">
        <f t="shared" si="64"/>
        <v>0</v>
      </c>
      <c r="EB41" s="82">
        <f t="shared" si="65"/>
        <v>0</v>
      </c>
      <c r="EC41" s="82">
        <f t="shared" si="99"/>
        <v>0</v>
      </c>
      <c r="EF41" s="83">
        <f t="shared" si="91"/>
        <v>0</v>
      </c>
    </row>
    <row r="42" spans="1:136" ht="15" hidden="1" customHeight="1">
      <c r="A42" s="84">
        <v>35</v>
      </c>
      <c r="B42" s="85" t="s">
        <v>240</v>
      </c>
      <c r="C42" s="86"/>
      <c r="D42" s="116" t="s">
        <v>241</v>
      </c>
      <c r="E42" s="88">
        <v>78</v>
      </c>
      <c r="F42" s="89" t="s">
        <v>147</v>
      </c>
      <c r="G42" s="45" t="str">
        <f t="shared" si="30"/>
        <v>IBC3604-6x3-H9C13</v>
      </c>
      <c r="H42" s="46" t="str">
        <f t="shared" si="31"/>
        <v>C3604IB60DH9</v>
      </c>
      <c r="I42" s="46" t="str">
        <f t="shared" si="32"/>
        <v>C3604IB60DH93C13</v>
      </c>
      <c r="J42" s="90" t="s">
        <v>148</v>
      </c>
      <c r="K42" s="90" t="s">
        <v>156</v>
      </c>
      <c r="L42" s="90">
        <v>6</v>
      </c>
      <c r="M42" s="90">
        <v>0</v>
      </c>
      <c r="N42" s="90" t="s">
        <v>128</v>
      </c>
      <c r="O42" s="90" t="s">
        <v>131</v>
      </c>
      <c r="P42" s="90">
        <v>3</v>
      </c>
      <c r="Q42" s="91">
        <v>0.71699999999999997</v>
      </c>
      <c r="R42" s="90" t="s">
        <v>193</v>
      </c>
      <c r="S42" s="89">
        <f t="shared" si="33"/>
        <v>42</v>
      </c>
      <c r="T42" s="51">
        <f>'07.02'!BG42</f>
        <v>0</v>
      </c>
      <c r="U42" s="92"/>
      <c r="V42" s="100">
        <v>3.26</v>
      </c>
      <c r="W42" s="93">
        <f t="shared" si="5"/>
        <v>0</v>
      </c>
      <c r="X42" s="93">
        <f t="shared" si="6"/>
        <v>0</v>
      </c>
      <c r="Y42" s="93">
        <f t="shared" si="7"/>
        <v>0</v>
      </c>
      <c r="Z42" s="93">
        <f t="shared" si="8"/>
        <v>0</v>
      </c>
      <c r="AA42" s="93">
        <f t="shared" si="9"/>
        <v>0</v>
      </c>
      <c r="AB42" s="93">
        <f t="shared" si="10"/>
        <v>0</v>
      </c>
      <c r="AC42" s="93">
        <f t="shared" si="11"/>
        <v>0</v>
      </c>
      <c r="AD42" s="93">
        <f t="shared" si="12"/>
        <v>0</v>
      </c>
      <c r="AE42" s="93">
        <f t="shared" si="34"/>
        <v>0</v>
      </c>
      <c r="AF42" s="54">
        <f>AE42+'07.02'!AF42</f>
        <v>0</v>
      </c>
      <c r="AG42" s="94">
        <f t="shared" si="66"/>
        <v>0</v>
      </c>
      <c r="AH42" s="56">
        <f t="shared" si="13"/>
        <v>0</v>
      </c>
      <c r="AI42" s="93"/>
      <c r="AJ42" s="93">
        <f t="shared" si="67"/>
        <v>0</v>
      </c>
      <c r="AK42" s="95">
        <f t="shared" si="35"/>
        <v>1</v>
      </c>
      <c r="AL42" s="58">
        <f t="shared" si="36"/>
        <v>0</v>
      </c>
      <c r="AM42" s="55">
        <f t="shared" si="68"/>
        <v>0</v>
      </c>
      <c r="AN42" s="93"/>
      <c r="AO42" s="96"/>
      <c r="AP42" s="96"/>
      <c r="AQ42" s="96"/>
      <c r="AR42" s="96"/>
      <c r="AS42" s="96"/>
      <c r="AT42" s="96">
        <f>$CJ42</f>
        <v>0</v>
      </c>
      <c r="AU42" s="96">
        <f t="shared" si="37"/>
        <v>0</v>
      </c>
      <c r="AV42" s="96">
        <f t="shared" si="37"/>
        <v>0</v>
      </c>
      <c r="AW42" s="96">
        <f t="shared" si="38"/>
        <v>0</v>
      </c>
      <c r="AX42" s="96">
        <f t="shared" si="39"/>
        <v>0</v>
      </c>
      <c r="AY42" s="94">
        <f t="shared" si="69"/>
        <v>0</v>
      </c>
      <c r="AZ42" s="94">
        <f t="shared" si="40"/>
        <v>0</v>
      </c>
      <c r="BA42" s="94">
        <f t="shared" si="41"/>
        <v>0</v>
      </c>
      <c r="BB42" s="97">
        <f t="shared" si="42"/>
        <v>0</v>
      </c>
      <c r="BC42" s="93"/>
      <c r="BD42" s="93">
        <f t="shared" si="43"/>
        <v>0</v>
      </c>
      <c r="BE42" s="95">
        <f t="shared" si="44"/>
        <v>1</v>
      </c>
      <c r="BF42" s="58">
        <f t="shared" si="45"/>
        <v>0</v>
      </c>
      <c r="BG42" s="94">
        <f t="shared" si="46"/>
        <v>0</v>
      </c>
      <c r="BH42" s="89"/>
      <c r="BI42" s="89"/>
      <c r="BJ42" s="92"/>
      <c r="BK42" s="89"/>
      <c r="BL42" s="89"/>
      <c r="BM42" s="92"/>
      <c r="BN42" s="92">
        <f>$CN42</f>
        <v>0</v>
      </c>
      <c r="BO42" s="92">
        <f t="shared" si="70"/>
        <v>0</v>
      </c>
      <c r="BP42" s="92">
        <f t="shared" si="70"/>
        <v>0</v>
      </c>
      <c r="BQ42" s="96">
        <f t="shared" si="47"/>
        <v>0</v>
      </c>
      <c r="BR42" s="96">
        <f t="shared" si="48"/>
        <v>0</v>
      </c>
      <c r="BS42" s="96">
        <f t="shared" si="71"/>
        <v>0</v>
      </c>
      <c r="BT42" s="96">
        <f t="shared" si="49"/>
        <v>0</v>
      </c>
      <c r="BU42" s="92">
        <f t="shared" si="16"/>
        <v>0</v>
      </c>
      <c r="BV42" s="98">
        <f t="shared" si="17"/>
        <v>0</v>
      </c>
      <c r="BW42" s="92">
        <f t="shared" si="18"/>
        <v>0</v>
      </c>
      <c r="BX42" s="98">
        <f t="shared" si="50"/>
        <v>0</v>
      </c>
      <c r="BY42" s="61">
        <f t="shared" si="73"/>
        <v>0</v>
      </c>
      <c r="BZ42" s="62">
        <f t="shared" si="51"/>
        <v>0</v>
      </c>
      <c r="CA42" s="98">
        <f t="shared" si="52"/>
        <v>0</v>
      </c>
      <c r="CB42" s="92">
        <f t="shared" si="97"/>
        <v>0</v>
      </c>
      <c r="CC42" s="92">
        <f t="shared" si="97"/>
        <v>0</v>
      </c>
      <c r="CD42" s="92">
        <f t="shared" si="97"/>
        <v>0</v>
      </c>
      <c r="CE42" s="99"/>
      <c r="CF42" s="99"/>
      <c r="CG42" s="51">
        <f t="shared" si="53"/>
        <v>0</v>
      </c>
      <c r="CH42" s="62">
        <f t="shared" si="54"/>
        <v>0</v>
      </c>
      <c r="CI42" s="89"/>
      <c r="CJ42" s="89"/>
      <c r="CK42" s="89"/>
      <c r="CL42" s="96"/>
      <c r="CM42" s="89"/>
      <c r="CN42" s="89"/>
      <c r="CO42" s="92"/>
      <c r="CP42" s="101"/>
      <c r="CQ42" s="102">
        <f t="shared" si="100"/>
        <v>0</v>
      </c>
      <c r="CR42" s="102">
        <f t="shared" si="100"/>
        <v>0</v>
      </c>
      <c r="CS42" s="102">
        <f t="shared" si="100"/>
        <v>0</v>
      </c>
      <c r="CT42" s="92">
        <f t="shared" si="56"/>
        <v>0</v>
      </c>
      <c r="CU42" s="92">
        <f t="shared" si="101"/>
        <v>0</v>
      </c>
      <c r="CV42" s="103">
        <f t="shared" si="101"/>
        <v>0</v>
      </c>
      <c r="CW42" s="104" t="s">
        <v>147</v>
      </c>
      <c r="CX42" s="105">
        <v>24</v>
      </c>
      <c r="CY42" s="106">
        <f t="shared" si="58"/>
        <v>1620</v>
      </c>
      <c r="CZ42" s="106">
        <f t="shared" si="59"/>
        <v>97.2</v>
      </c>
      <c r="DA42" s="106"/>
      <c r="DB42" s="106"/>
      <c r="DC42" s="105"/>
      <c r="DD42" s="107"/>
      <c r="DE42" s="92">
        <f t="shared" si="21"/>
        <v>0</v>
      </c>
      <c r="DF42" s="108">
        <f t="shared" si="22"/>
        <v>0</v>
      </c>
      <c r="DG42" s="112">
        <f t="shared" si="23"/>
        <v>0</v>
      </c>
      <c r="DH42" s="110">
        <f t="shared" si="24"/>
        <v>0</v>
      </c>
      <c r="DI42" s="108">
        <f t="shared" si="25"/>
        <v>0</v>
      </c>
      <c r="DJ42" s="112">
        <f t="shared" si="26"/>
        <v>0</v>
      </c>
      <c r="DK42" s="110">
        <f t="shared" si="86"/>
        <v>0</v>
      </c>
      <c r="DL42" s="108">
        <f t="shared" si="86"/>
        <v>0</v>
      </c>
      <c r="DM42" s="111">
        <f t="shared" si="86"/>
        <v>0</v>
      </c>
      <c r="DN42" s="76">
        <f t="shared" si="60"/>
        <v>0</v>
      </c>
      <c r="DO42" s="76">
        <f t="shared" si="60"/>
        <v>0</v>
      </c>
      <c r="DP42" s="112"/>
      <c r="DQ42" s="112"/>
      <c r="DR42" s="113"/>
      <c r="DS42" s="112"/>
      <c r="DT42" s="112"/>
      <c r="DU42" s="111"/>
      <c r="DV42" s="114"/>
      <c r="DW42" s="80">
        <f t="shared" si="98"/>
        <v>0</v>
      </c>
      <c r="DX42" s="81">
        <f t="shared" si="28"/>
        <v>0</v>
      </c>
      <c r="DY42" s="80">
        <f t="shared" si="62"/>
        <v>0</v>
      </c>
      <c r="DZ42" s="82">
        <f t="shared" si="63"/>
        <v>0</v>
      </c>
      <c r="EA42" s="82">
        <f t="shared" si="64"/>
        <v>0</v>
      </c>
      <c r="EB42" s="82">
        <f t="shared" si="65"/>
        <v>0</v>
      </c>
      <c r="EC42" s="82">
        <f t="shared" si="99"/>
        <v>0</v>
      </c>
      <c r="EF42" s="83">
        <f t="shared" si="91"/>
        <v>0</v>
      </c>
    </row>
    <row r="43" spans="1:136" ht="14.1" customHeight="1">
      <c r="A43" s="84">
        <v>36</v>
      </c>
      <c r="B43" s="85" t="s">
        <v>242</v>
      </c>
      <c r="C43" s="86"/>
      <c r="D43" s="166">
        <v>2401</v>
      </c>
      <c r="E43" s="88">
        <v>163</v>
      </c>
      <c r="F43" s="89" t="s">
        <v>147</v>
      </c>
      <c r="G43" s="45" t="str">
        <f t="shared" si="30"/>
        <v>IBC3604-5.5x3-H9A14</v>
      </c>
      <c r="H43" s="46" t="str">
        <f t="shared" si="31"/>
        <v>C3604IB5.50DH9</v>
      </c>
      <c r="I43" s="46" t="str">
        <f t="shared" si="32"/>
        <v>C3604IB5.50DH93A14</v>
      </c>
      <c r="J43" s="90" t="s">
        <v>148</v>
      </c>
      <c r="K43" s="90" t="s">
        <v>156</v>
      </c>
      <c r="L43" s="90">
        <v>5.5</v>
      </c>
      <c r="M43" s="90">
        <v>0</v>
      </c>
      <c r="N43" s="90" t="s">
        <v>128</v>
      </c>
      <c r="O43" s="90" t="s">
        <v>131</v>
      </c>
      <c r="P43" s="90">
        <v>3</v>
      </c>
      <c r="Q43" s="91">
        <v>0.60399999999999998</v>
      </c>
      <c r="R43" s="90" t="s">
        <v>139</v>
      </c>
      <c r="S43" s="89">
        <f t="shared" si="33"/>
        <v>16</v>
      </c>
      <c r="T43" s="51">
        <f>'07.02'!BG43</f>
        <v>13</v>
      </c>
      <c r="U43" s="92">
        <v>57</v>
      </c>
      <c r="V43" s="100">
        <v>1.1000000000000001</v>
      </c>
      <c r="W43" s="93">
        <f t="shared" si="5"/>
        <v>0</v>
      </c>
      <c r="X43" s="93">
        <f t="shared" si="6"/>
        <v>0</v>
      </c>
      <c r="Y43" s="93">
        <f t="shared" si="7"/>
        <v>0</v>
      </c>
      <c r="Z43" s="93">
        <f t="shared" si="8"/>
        <v>0</v>
      </c>
      <c r="AA43" s="93">
        <f t="shared" si="9"/>
        <v>0</v>
      </c>
      <c r="AB43" s="93">
        <f t="shared" si="10"/>
        <v>0</v>
      </c>
      <c r="AC43" s="93">
        <f t="shared" si="11"/>
        <v>0</v>
      </c>
      <c r="AD43" s="93">
        <f t="shared" si="12"/>
        <v>0</v>
      </c>
      <c r="AE43" s="93">
        <f t="shared" si="34"/>
        <v>0</v>
      </c>
      <c r="AF43" s="54">
        <f>AE43+'07.02'!AF43</f>
        <v>47170</v>
      </c>
      <c r="AG43" s="94">
        <f t="shared" si="66"/>
        <v>13</v>
      </c>
      <c r="AH43" s="56">
        <f t="shared" si="13"/>
        <v>0</v>
      </c>
      <c r="AI43" s="93"/>
      <c r="AJ43" s="93">
        <f t="shared" si="67"/>
        <v>0</v>
      </c>
      <c r="AK43" s="95">
        <f t="shared" si="35"/>
        <v>1</v>
      </c>
      <c r="AL43" s="58">
        <f t="shared" si="36"/>
        <v>0</v>
      </c>
      <c r="AM43" s="55">
        <f t="shared" si="68"/>
        <v>70</v>
      </c>
      <c r="AN43" s="93"/>
      <c r="AO43" s="96"/>
      <c r="AP43" s="96">
        <f>$CJ43</f>
        <v>0</v>
      </c>
      <c r="AQ43" s="96"/>
      <c r="AR43" s="96"/>
      <c r="AS43" s="96"/>
      <c r="AT43" s="96"/>
      <c r="AU43" s="96">
        <f>CK43</f>
        <v>0</v>
      </c>
      <c r="AV43" s="96">
        <f>CL43</f>
        <v>0</v>
      </c>
      <c r="AW43" s="96">
        <f>SUM(AO43:AV43)</f>
        <v>0</v>
      </c>
      <c r="AX43" s="96">
        <f>IF(V43="","",INT(AW43/$V43))</f>
        <v>0</v>
      </c>
      <c r="AY43" s="94">
        <f t="shared" si="69"/>
        <v>0</v>
      </c>
      <c r="AZ43" s="94">
        <f t="shared" si="40"/>
        <v>0</v>
      </c>
      <c r="BA43" s="94">
        <f t="shared" si="41"/>
        <v>70</v>
      </c>
      <c r="BB43" s="97">
        <f t="shared" si="42"/>
        <v>0</v>
      </c>
      <c r="BC43" s="93"/>
      <c r="BD43" s="93">
        <f t="shared" si="43"/>
        <v>0</v>
      </c>
      <c r="BE43" s="95">
        <f t="shared" si="44"/>
        <v>1</v>
      </c>
      <c r="BF43" s="58">
        <f t="shared" si="45"/>
        <v>0</v>
      </c>
      <c r="BG43" s="94">
        <f t="shared" si="46"/>
        <v>70</v>
      </c>
      <c r="BH43" s="89"/>
      <c r="BI43" s="89"/>
      <c r="BJ43" s="92">
        <f>$CN43</f>
        <v>0</v>
      </c>
      <c r="BK43" s="89"/>
      <c r="BL43" s="89"/>
      <c r="BM43" s="92"/>
      <c r="BN43" s="89"/>
      <c r="BO43" s="92">
        <f t="shared" si="70"/>
        <v>0</v>
      </c>
      <c r="BP43" s="92">
        <f t="shared" si="70"/>
        <v>0</v>
      </c>
      <c r="BQ43" s="96">
        <f t="shared" si="47"/>
        <v>0</v>
      </c>
      <c r="BR43" s="96">
        <f>IF(AA43="","",INT(BQ43/$V43))</f>
        <v>0</v>
      </c>
      <c r="BS43" s="96">
        <f t="shared" si="71"/>
        <v>0</v>
      </c>
      <c r="BT43" s="96">
        <f t="shared" si="49"/>
        <v>0</v>
      </c>
      <c r="BU43" s="92">
        <f t="shared" si="16"/>
        <v>0</v>
      </c>
      <c r="BV43" s="98">
        <f t="shared" si="17"/>
        <v>0</v>
      </c>
      <c r="BW43" s="92">
        <f t="shared" si="18"/>
        <v>0</v>
      </c>
      <c r="BX43" s="98">
        <f t="shared" si="50"/>
        <v>0</v>
      </c>
      <c r="BY43" s="61">
        <f t="shared" si="73"/>
        <v>0</v>
      </c>
      <c r="BZ43" s="62">
        <f t="shared" si="51"/>
        <v>0</v>
      </c>
      <c r="CA43" s="98">
        <f t="shared" si="52"/>
        <v>0</v>
      </c>
      <c r="CB43" s="92">
        <f t="shared" si="97"/>
        <v>0</v>
      </c>
      <c r="CC43" s="92">
        <f t="shared" si="97"/>
        <v>0</v>
      </c>
      <c r="CD43" s="92">
        <f t="shared" si="97"/>
        <v>0</v>
      </c>
      <c r="CE43" s="99"/>
      <c r="CF43" s="99"/>
      <c r="CG43" s="51">
        <f t="shared" si="53"/>
        <v>0</v>
      </c>
      <c r="CH43" s="62">
        <f t="shared" si="54"/>
        <v>0</v>
      </c>
      <c r="CI43" s="89"/>
      <c r="CJ43" s="89"/>
      <c r="CK43" s="89"/>
      <c r="CL43" s="96"/>
      <c r="CM43" s="89"/>
      <c r="CN43" s="89"/>
      <c r="CO43" s="92"/>
      <c r="CP43" s="101"/>
      <c r="CQ43" s="102">
        <f t="shared" si="100"/>
        <v>0</v>
      </c>
      <c r="CR43" s="102">
        <f t="shared" si="100"/>
        <v>0</v>
      </c>
      <c r="CS43" s="102">
        <f t="shared" si="100"/>
        <v>0</v>
      </c>
      <c r="CT43" s="92">
        <f t="shared" si="56"/>
        <v>0</v>
      </c>
      <c r="CU43" s="92">
        <f t="shared" si="101"/>
        <v>0</v>
      </c>
      <c r="CV43" s="103">
        <f t="shared" si="101"/>
        <v>0</v>
      </c>
      <c r="CW43" s="104" t="s">
        <v>147</v>
      </c>
      <c r="CX43" s="105">
        <v>32</v>
      </c>
      <c r="CY43" s="106">
        <f t="shared" si="58"/>
        <v>1299</v>
      </c>
      <c r="CZ43" s="106">
        <f t="shared" si="59"/>
        <v>129.60000000000002</v>
      </c>
      <c r="DA43" s="106"/>
      <c r="DB43" s="106"/>
      <c r="DC43" s="105"/>
      <c r="DD43" s="107"/>
      <c r="DE43" s="92">
        <f t="shared" si="21"/>
        <v>0</v>
      </c>
      <c r="DF43" s="108">
        <f t="shared" si="22"/>
        <v>0</v>
      </c>
      <c r="DG43" s="115">
        <f t="shared" si="23"/>
        <v>0</v>
      </c>
      <c r="DH43" s="110">
        <f t="shared" si="24"/>
        <v>0</v>
      </c>
      <c r="DI43" s="108">
        <f t="shared" si="25"/>
        <v>0</v>
      </c>
      <c r="DJ43" s="112">
        <f t="shared" si="26"/>
        <v>0</v>
      </c>
      <c r="DK43" s="110">
        <f t="shared" si="86"/>
        <v>0</v>
      </c>
      <c r="DL43" s="108">
        <f t="shared" si="86"/>
        <v>0</v>
      </c>
      <c r="DM43" s="111">
        <f t="shared" si="86"/>
        <v>0</v>
      </c>
      <c r="DN43" s="76">
        <v>30</v>
      </c>
      <c r="DO43" s="76"/>
      <c r="DP43" s="112"/>
      <c r="DQ43" s="112"/>
      <c r="DR43" s="113" t="s">
        <v>532</v>
      </c>
      <c r="DS43" s="112"/>
      <c r="DT43" s="112"/>
      <c r="DU43" s="111"/>
      <c r="DV43" s="114"/>
      <c r="DW43" s="80">
        <f t="shared" si="61"/>
        <v>0</v>
      </c>
      <c r="DX43" s="81">
        <f t="shared" si="28"/>
        <v>0</v>
      </c>
      <c r="DY43" s="80">
        <f t="shared" si="62"/>
        <v>0</v>
      </c>
      <c r="DZ43" s="82">
        <f t="shared" si="63"/>
        <v>0</v>
      </c>
      <c r="EA43" s="82">
        <f t="shared" si="64"/>
        <v>0</v>
      </c>
      <c r="EB43" s="82">
        <f t="shared" si="65"/>
        <v>0</v>
      </c>
      <c r="EC43" s="82">
        <f t="shared" si="75"/>
        <v>0</v>
      </c>
      <c r="EF43" s="83">
        <f t="shared" si="91"/>
        <v>0</v>
      </c>
    </row>
    <row r="44" spans="1:136" ht="14.1" customHeight="1">
      <c r="A44" s="84">
        <v>37</v>
      </c>
      <c r="B44" s="147" t="s">
        <v>244</v>
      </c>
      <c r="C44" s="148"/>
      <c r="D44" s="116" t="s">
        <v>495</v>
      </c>
      <c r="E44" s="149">
        <v>189</v>
      </c>
      <c r="F44" s="89" t="s">
        <v>136</v>
      </c>
      <c r="G44" s="45" t="str">
        <f t="shared" si="30"/>
        <v>MESUS303-4x3-H9A11</v>
      </c>
      <c r="H44" s="46" t="str">
        <f t="shared" si="31"/>
        <v>SUS303ME40DH9</v>
      </c>
      <c r="I44" s="46" t="str">
        <f t="shared" si="32"/>
        <v>SUS303ME40DH93A11</v>
      </c>
      <c r="J44" s="90" t="s">
        <v>226</v>
      </c>
      <c r="K44" s="90" t="s">
        <v>227</v>
      </c>
      <c r="L44" s="90">
        <v>4</v>
      </c>
      <c r="M44" s="90">
        <v>0</v>
      </c>
      <c r="N44" s="90" t="s">
        <v>128</v>
      </c>
      <c r="O44" s="90" t="s">
        <v>131</v>
      </c>
      <c r="P44" s="90">
        <v>3</v>
      </c>
      <c r="Q44" s="91">
        <v>0.29599999999999999</v>
      </c>
      <c r="R44" s="90" t="s">
        <v>500</v>
      </c>
      <c r="S44" s="89">
        <f t="shared" si="33"/>
        <v>34</v>
      </c>
      <c r="T44" s="51">
        <v>12</v>
      </c>
      <c r="U44" s="146">
        <v>18</v>
      </c>
      <c r="V44" s="100">
        <v>0.41</v>
      </c>
      <c r="W44" s="151">
        <f t="shared" si="5"/>
        <v>0</v>
      </c>
      <c r="X44" s="151">
        <f t="shared" si="6"/>
        <v>0</v>
      </c>
      <c r="Y44" s="151">
        <f t="shared" si="7"/>
        <v>0</v>
      </c>
      <c r="Z44" s="151">
        <f t="shared" si="8"/>
        <v>0</v>
      </c>
      <c r="AA44" s="151">
        <f t="shared" si="9"/>
        <v>0</v>
      </c>
      <c r="AB44" s="151">
        <f t="shared" si="10"/>
        <v>0</v>
      </c>
      <c r="AC44" s="151">
        <f t="shared" si="11"/>
        <v>0</v>
      </c>
      <c r="AD44" s="151">
        <f t="shared" si="12"/>
        <v>0</v>
      </c>
      <c r="AE44" s="151">
        <f>IF(V44="","",SUM(W44:AC44))</f>
        <v>0</v>
      </c>
      <c r="AF44" s="54">
        <f>AE44+'07.02'!AF44</f>
        <v>8613</v>
      </c>
      <c r="AG44" s="94">
        <f t="shared" si="66"/>
        <v>12</v>
      </c>
      <c r="AH44" s="56">
        <f t="shared" si="13"/>
        <v>0</v>
      </c>
      <c r="AI44" s="151"/>
      <c r="AJ44" s="93">
        <f t="shared" si="67"/>
        <v>0</v>
      </c>
      <c r="AK44" s="95">
        <f t="shared" si="35"/>
        <v>1</v>
      </c>
      <c r="AL44" s="58">
        <f t="shared" si="36"/>
        <v>0</v>
      </c>
      <c r="AM44" s="55">
        <f t="shared" si="68"/>
        <v>30</v>
      </c>
      <c r="AN44" s="151"/>
      <c r="AO44" s="145"/>
      <c r="AP44" s="145">
        <f>$CJ44</f>
        <v>0</v>
      </c>
      <c r="AQ44" s="145"/>
      <c r="AR44" s="145"/>
      <c r="AS44" s="145"/>
      <c r="AT44" s="145"/>
      <c r="AU44" s="145">
        <f t="shared" si="37"/>
        <v>0</v>
      </c>
      <c r="AV44" s="145">
        <f t="shared" si="37"/>
        <v>0</v>
      </c>
      <c r="AW44" s="145">
        <f t="shared" si="38"/>
        <v>0</v>
      </c>
      <c r="AX44" s="145">
        <f t="shared" si="39"/>
        <v>0</v>
      </c>
      <c r="AY44" s="94">
        <f t="shared" si="69"/>
        <v>0</v>
      </c>
      <c r="AZ44" s="94">
        <f t="shared" si="40"/>
        <v>0</v>
      </c>
      <c r="BA44" s="94">
        <f t="shared" si="41"/>
        <v>30</v>
      </c>
      <c r="BB44" s="97">
        <f t="shared" si="42"/>
        <v>0</v>
      </c>
      <c r="BC44" s="151"/>
      <c r="BD44" s="93">
        <f t="shared" si="43"/>
        <v>0</v>
      </c>
      <c r="BE44" s="152">
        <f t="shared" si="44"/>
        <v>1</v>
      </c>
      <c r="BF44" s="58">
        <f t="shared" si="45"/>
        <v>0</v>
      </c>
      <c r="BG44" s="94">
        <f t="shared" si="46"/>
        <v>30</v>
      </c>
      <c r="BH44" s="150"/>
      <c r="BI44" s="150"/>
      <c r="BJ44" s="146">
        <f>$CN44</f>
        <v>0</v>
      </c>
      <c r="BK44" s="150"/>
      <c r="BL44" s="150"/>
      <c r="BM44" s="146"/>
      <c r="BN44" s="146"/>
      <c r="BO44" s="146">
        <f t="shared" si="70"/>
        <v>0</v>
      </c>
      <c r="BP44" s="146">
        <f t="shared" si="70"/>
        <v>0</v>
      </c>
      <c r="BQ44" s="145">
        <f>SUM(BI44:BP44)</f>
        <v>0</v>
      </c>
      <c r="BR44" s="145">
        <f>IF(AA44="","",INT(BQ44/$V44))</f>
        <v>0</v>
      </c>
      <c r="BS44" s="96">
        <f t="shared" si="71"/>
        <v>0</v>
      </c>
      <c r="BT44" s="145">
        <f t="shared" si="49"/>
        <v>0</v>
      </c>
      <c r="BU44" s="146">
        <f t="shared" si="16"/>
        <v>0</v>
      </c>
      <c r="BV44" s="98">
        <f t="shared" si="17"/>
        <v>0</v>
      </c>
      <c r="BW44" s="146">
        <f t="shared" si="18"/>
        <v>0</v>
      </c>
      <c r="BX44" s="153">
        <f t="shared" si="50"/>
        <v>0</v>
      </c>
      <c r="BY44" s="61">
        <f>IFERROR(BF44+AL44,0)</f>
        <v>0</v>
      </c>
      <c r="BZ44" s="62">
        <f t="shared" si="51"/>
        <v>0</v>
      </c>
      <c r="CA44" s="98">
        <f t="shared" si="52"/>
        <v>0</v>
      </c>
      <c r="CB44" s="146">
        <f t="shared" si="97"/>
        <v>0</v>
      </c>
      <c r="CC44" s="146">
        <f t="shared" si="97"/>
        <v>0</v>
      </c>
      <c r="CD44" s="146">
        <f t="shared" si="97"/>
        <v>0</v>
      </c>
      <c r="CE44" s="99"/>
      <c r="CF44" s="99"/>
      <c r="CG44" s="51">
        <f t="shared" si="53"/>
        <v>0</v>
      </c>
      <c r="CH44" s="62">
        <f t="shared" si="54"/>
        <v>0</v>
      </c>
      <c r="CI44" s="150"/>
      <c r="CJ44" s="150"/>
      <c r="CK44" s="150"/>
      <c r="CL44" s="145"/>
      <c r="CM44" s="150"/>
      <c r="CN44" s="150"/>
      <c r="CO44" s="146"/>
      <c r="CP44" s="154"/>
      <c r="CQ44" s="102">
        <f t="shared" si="100"/>
        <v>0</v>
      </c>
      <c r="CR44" s="102">
        <f t="shared" si="100"/>
        <v>0</v>
      </c>
      <c r="CS44" s="102">
        <f t="shared" si="100"/>
        <v>0</v>
      </c>
      <c r="CT44" s="92">
        <f t="shared" si="56"/>
        <v>0</v>
      </c>
      <c r="CU44" s="92">
        <f t="shared" si="101"/>
        <v>0</v>
      </c>
      <c r="CV44" s="103">
        <f t="shared" si="101"/>
        <v>0</v>
      </c>
      <c r="CW44" s="155" t="s">
        <v>147</v>
      </c>
      <c r="CX44" s="156">
        <v>12</v>
      </c>
      <c r="CY44" s="157">
        <f t="shared" si="58"/>
        <v>3300</v>
      </c>
      <c r="CZ44" s="157">
        <f t="shared" si="59"/>
        <v>48.6</v>
      </c>
      <c r="DA44" s="157"/>
      <c r="DB44" s="157"/>
      <c r="DC44" s="156"/>
      <c r="DD44" s="158"/>
      <c r="DE44" s="92">
        <f t="shared" si="21"/>
        <v>0</v>
      </c>
      <c r="DF44" s="108">
        <f t="shared" si="22"/>
        <v>0</v>
      </c>
      <c r="DG44" s="112">
        <f t="shared" si="23"/>
        <v>0</v>
      </c>
      <c r="DH44" s="110">
        <f t="shared" si="24"/>
        <v>0</v>
      </c>
      <c r="DI44" s="108">
        <f t="shared" si="25"/>
        <v>0</v>
      </c>
      <c r="DJ44" s="112">
        <f t="shared" si="26"/>
        <v>0</v>
      </c>
      <c r="DK44" s="110">
        <f t="shared" si="86"/>
        <v>0</v>
      </c>
      <c r="DL44" s="108">
        <f t="shared" si="86"/>
        <v>0</v>
      </c>
      <c r="DM44" s="111">
        <f t="shared" si="86"/>
        <v>0</v>
      </c>
      <c r="DN44" s="76">
        <v>12</v>
      </c>
      <c r="DO44" s="76"/>
      <c r="DP44" s="112"/>
      <c r="DQ44" s="112"/>
      <c r="DR44" s="113" t="s">
        <v>533</v>
      </c>
      <c r="DS44" s="112"/>
      <c r="DT44" s="112"/>
      <c r="DU44" s="111"/>
      <c r="DV44" s="114"/>
      <c r="DW44" s="80">
        <f>IFERROR(AL44+BF44,"")</f>
        <v>0</v>
      </c>
      <c r="DX44" s="159">
        <f t="shared" si="28"/>
        <v>0</v>
      </c>
      <c r="DY44" s="80">
        <f t="shared" si="62"/>
        <v>0</v>
      </c>
      <c r="DZ44" s="82">
        <f t="shared" si="63"/>
        <v>0</v>
      </c>
      <c r="EA44" s="82">
        <f t="shared" si="64"/>
        <v>0</v>
      </c>
      <c r="EB44" s="82">
        <f t="shared" si="65"/>
        <v>0</v>
      </c>
      <c r="EC44" s="82">
        <f t="shared" si="75"/>
        <v>0</v>
      </c>
      <c r="EF44" s="83">
        <f t="shared" si="91"/>
        <v>0</v>
      </c>
    </row>
    <row r="45" spans="1:136" ht="14.1" hidden="1" customHeight="1">
      <c r="A45" s="84">
        <v>38</v>
      </c>
      <c r="B45" s="85" t="s">
        <v>248</v>
      </c>
      <c r="C45" s="86"/>
      <c r="D45" s="119" t="s">
        <v>249</v>
      </c>
      <c r="E45" s="88">
        <v>92</v>
      </c>
      <c r="F45" s="89" t="s">
        <v>147</v>
      </c>
      <c r="G45" s="45" t="str">
        <f t="shared" si="30"/>
        <v>IBC3604-6.2x3-H9A14</v>
      </c>
      <c r="H45" s="46" t="str">
        <f t="shared" si="31"/>
        <v>C3604IB6.20DH9</v>
      </c>
      <c r="I45" s="46" t="str">
        <f t="shared" si="32"/>
        <v>C3604IB6.20DH93A14</v>
      </c>
      <c r="J45" s="90" t="s">
        <v>148</v>
      </c>
      <c r="K45" s="90" t="s">
        <v>156</v>
      </c>
      <c r="L45" s="90">
        <v>6.2</v>
      </c>
      <c r="M45" s="90">
        <v>0</v>
      </c>
      <c r="N45" s="90" t="s">
        <v>128</v>
      </c>
      <c r="O45" s="90" t="s">
        <v>131</v>
      </c>
      <c r="P45" s="90">
        <v>3</v>
      </c>
      <c r="Q45" s="91">
        <v>0.76400000000000001</v>
      </c>
      <c r="R45" s="90" t="s">
        <v>139</v>
      </c>
      <c r="S45" s="89">
        <f t="shared" si="33"/>
        <v>54</v>
      </c>
      <c r="T45" s="51">
        <f>'07.02'!BG45</f>
        <v>0</v>
      </c>
      <c r="U45" s="92"/>
      <c r="V45" s="100">
        <v>4.25</v>
      </c>
      <c r="W45" s="93">
        <f t="shared" si="5"/>
        <v>0</v>
      </c>
      <c r="X45" s="93">
        <f t="shared" si="6"/>
        <v>0</v>
      </c>
      <c r="Y45" s="93">
        <f t="shared" si="7"/>
        <v>0</v>
      </c>
      <c r="Z45" s="93">
        <f t="shared" si="8"/>
        <v>0</v>
      </c>
      <c r="AA45" s="93">
        <f t="shared" si="9"/>
        <v>0</v>
      </c>
      <c r="AB45" s="93">
        <f t="shared" si="10"/>
        <v>0</v>
      </c>
      <c r="AC45" s="93">
        <f t="shared" si="11"/>
        <v>0</v>
      </c>
      <c r="AD45" s="93">
        <f t="shared" si="12"/>
        <v>0</v>
      </c>
      <c r="AE45" s="93">
        <f t="shared" si="34"/>
        <v>0</v>
      </c>
      <c r="AF45" s="54">
        <f>AE45+'07.02'!AF45</f>
        <v>0</v>
      </c>
      <c r="AG45" s="94">
        <f t="shared" si="66"/>
        <v>0</v>
      </c>
      <c r="AH45" s="56">
        <f t="shared" si="13"/>
        <v>0</v>
      </c>
      <c r="AI45" s="93"/>
      <c r="AJ45" s="93">
        <f t="shared" si="67"/>
        <v>0</v>
      </c>
      <c r="AK45" s="95">
        <f t="shared" si="35"/>
        <v>1</v>
      </c>
      <c r="AL45" s="58">
        <f t="shared" si="36"/>
        <v>0</v>
      </c>
      <c r="AM45" s="55">
        <f t="shared" si="68"/>
        <v>0</v>
      </c>
      <c r="AN45" s="93"/>
      <c r="AO45" s="96"/>
      <c r="AP45" s="96">
        <f>$CJ45</f>
        <v>0</v>
      </c>
      <c r="AQ45" s="96"/>
      <c r="AR45" s="96"/>
      <c r="AS45" s="96"/>
      <c r="AT45" s="96"/>
      <c r="AU45" s="96">
        <f t="shared" si="37"/>
        <v>0</v>
      </c>
      <c r="AV45" s="96">
        <f t="shared" si="37"/>
        <v>0</v>
      </c>
      <c r="AW45" s="96">
        <f t="shared" si="38"/>
        <v>0</v>
      </c>
      <c r="AX45" s="96">
        <f t="shared" si="39"/>
        <v>0</v>
      </c>
      <c r="AY45" s="94">
        <f t="shared" si="69"/>
        <v>0</v>
      </c>
      <c r="AZ45" s="94">
        <f t="shared" si="40"/>
        <v>0</v>
      </c>
      <c r="BA45" s="94">
        <f t="shared" si="41"/>
        <v>0</v>
      </c>
      <c r="BB45" s="97">
        <f t="shared" si="42"/>
        <v>0</v>
      </c>
      <c r="BC45" s="93"/>
      <c r="BD45" s="93">
        <f t="shared" si="43"/>
        <v>0</v>
      </c>
      <c r="BE45" s="95">
        <f t="shared" si="44"/>
        <v>1</v>
      </c>
      <c r="BF45" s="58">
        <f t="shared" si="45"/>
        <v>0</v>
      </c>
      <c r="BG45" s="94">
        <f t="shared" si="46"/>
        <v>0</v>
      </c>
      <c r="BH45" s="89"/>
      <c r="BI45" s="89"/>
      <c r="BJ45" s="92">
        <f>$CN45</f>
        <v>0</v>
      </c>
      <c r="BK45" s="89"/>
      <c r="BL45" s="89"/>
      <c r="BM45" s="89"/>
      <c r="BN45" s="89"/>
      <c r="BO45" s="92">
        <f t="shared" si="70"/>
        <v>0</v>
      </c>
      <c r="BP45" s="92">
        <f t="shared" si="70"/>
        <v>0</v>
      </c>
      <c r="BQ45" s="96">
        <f t="shared" si="47"/>
        <v>0</v>
      </c>
      <c r="BR45" s="96">
        <f t="shared" si="48"/>
        <v>0</v>
      </c>
      <c r="BS45" s="96">
        <f t="shared" si="71"/>
        <v>0</v>
      </c>
      <c r="BT45" s="96">
        <f t="shared" si="49"/>
        <v>0</v>
      </c>
      <c r="BU45" s="92">
        <f t="shared" si="16"/>
        <v>0</v>
      </c>
      <c r="BV45" s="98">
        <f t="shared" si="17"/>
        <v>0</v>
      </c>
      <c r="BW45" s="92">
        <f t="shared" si="18"/>
        <v>0</v>
      </c>
      <c r="BX45" s="98">
        <f t="shared" si="50"/>
        <v>0</v>
      </c>
      <c r="BY45" s="61">
        <f t="shared" si="73"/>
        <v>0</v>
      </c>
      <c r="BZ45" s="62">
        <f t="shared" si="51"/>
        <v>0</v>
      </c>
      <c r="CA45" s="98">
        <f t="shared" si="52"/>
        <v>0</v>
      </c>
      <c r="CB45" s="92">
        <f t="shared" si="97"/>
        <v>0</v>
      </c>
      <c r="CC45" s="92">
        <f t="shared" si="97"/>
        <v>0</v>
      </c>
      <c r="CD45" s="92">
        <f t="shared" si="97"/>
        <v>0</v>
      </c>
      <c r="CE45" s="99"/>
      <c r="CF45" s="99"/>
      <c r="CG45" s="51">
        <f t="shared" si="53"/>
        <v>0</v>
      </c>
      <c r="CH45" s="62">
        <f t="shared" si="54"/>
        <v>0</v>
      </c>
      <c r="CI45" s="89"/>
      <c r="CJ45" s="89"/>
      <c r="CK45" s="89"/>
      <c r="CL45" s="96"/>
      <c r="CM45" s="89"/>
      <c r="CN45" s="89"/>
      <c r="CO45" s="92"/>
      <c r="CP45" s="101"/>
      <c r="CQ45" s="102">
        <f t="shared" si="100"/>
        <v>0</v>
      </c>
      <c r="CR45" s="102">
        <f t="shared" si="100"/>
        <v>0</v>
      </c>
      <c r="CS45" s="102">
        <f t="shared" si="100"/>
        <v>0</v>
      </c>
      <c r="CT45" s="92">
        <f t="shared" si="56"/>
        <v>0</v>
      </c>
      <c r="CU45" s="92">
        <f t="shared" si="101"/>
        <v>0</v>
      </c>
      <c r="CV45" s="103">
        <f t="shared" si="101"/>
        <v>0</v>
      </c>
      <c r="CW45" s="104" t="s">
        <v>147</v>
      </c>
      <c r="CX45" s="105">
        <v>15</v>
      </c>
      <c r="CY45" s="106">
        <f t="shared" si="58"/>
        <v>2496</v>
      </c>
      <c r="CZ45" s="106">
        <f t="shared" si="59"/>
        <v>60.750000000000007</v>
      </c>
      <c r="DA45" s="106"/>
      <c r="DB45" s="106"/>
      <c r="DC45" s="105"/>
      <c r="DD45" s="107"/>
      <c r="DE45" s="92">
        <f t="shared" si="21"/>
        <v>0</v>
      </c>
      <c r="DF45" s="108">
        <f t="shared" si="22"/>
        <v>0</v>
      </c>
      <c r="DG45" s="112">
        <f t="shared" si="23"/>
        <v>0</v>
      </c>
      <c r="DH45" s="110">
        <f t="shared" si="24"/>
        <v>0</v>
      </c>
      <c r="DI45" s="108">
        <f t="shared" si="25"/>
        <v>0</v>
      </c>
      <c r="DJ45" s="112">
        <f t="shared" si="26"/>
        <v>0</v>
      </c>
      <c r="DK45" s="110">
        <f t="shared" si="86"/>
        <v>0</v>
      </c>
      <c r="DL45" s="108">
        <f t="shared" si="86"/>
        <v>0</v>
      </c>
      <c r="DM45" s="111">
        <f t="shared" si="86"/>
        <v>0</v>
      </c>
      <c r="DN45" s="76">
        <f t="shared" si="60"/>
        <v>0</v>
      </c>
      <c r="DO45" s="76">
        <f t="shared" si="60"/>
        <v>0</v>
      </c>
      <c r="DP45" s="112"/>
      <c r="DQ45" s="112"/>
      <c r="DR45" s="113"/>
      <c r="DS45" s="112"/>
      <c r="DT45" s="112"/>
      <c r="DU45" s="111"/>
      <c r="DV45" s="114"/>
      <c r="DW45" s="80">
        <f t="shared" si="61"/>
        <v>0</v>
      </c>
      <c r="DX45" s="81">
        <f t="shared" si="28"/>
        <v>0</v>
      </c>
      <c r="DY45" s="80">
        <f t="shared" si="62"/>
        <v>0</v>
      </c>
      <c r="DZ45" s="82">
        <f t="shared" si="63"/>
        <v>0</v>
      </c>
      <c r="EA45" s="82">
        <f t="shared" si="64"/>
        <v>0</v>
      </c>
      <c r="EB45" s="82">
        <f t="shared" si="65"/>
        <v>0</v>
      </c>
      <c r="EC45" s="82">
        <f t="shared" si="75"/>
        <v>0</v>
      </c>
      <c r="EF45" s="83">
        <f t="shared" si="91"/>
        <v>0</v>
      </c>
    </row>
    <row r="46" spans="1:136" ht="14.1" customHeight="1">
      <c r="A46" s="84">
        <v>39</v>
      </c>
      <c r="B46" s="85" t="s">
        <v>250</v>
      </c>
      <c r="C46" s="86"/>
      <c r="D46" s="167" t="s">
        <v>251</v>
      </c>
      <c r="E46" s="88">
        <v>88</v>
      </c>
      <c r="F46" s="89" t="s">
        <v>136</v>
      </c>
      <c r="G46" s="45" t="str">
        <f t="shared" si="30"/>
        <v>TV12L14-4.76x2.5-H9B14</v>
      </c>
      <c r="H46" s="46" t="str">
        <f t="shared" si="31"/>
        <v>12L14TV4.760DH9</v>
      </c>
      <c r="I46" s="46" t="str">
        <f t="shared" si="32"/>
        <v>12L14TV4.760DH92.5B14</v>
      </c>
      <c r="J46" s="90" t="s">
        <v>137</v>
      </c>
      <c r="K46" s="90" t="s">
        <v>138</v>
      </c>
      <c r="L46" s="90">
        <v>4.76</v>
      </c>
      <c r="M46" s="90">
        <v>0</v>
      </c>
      <c r="N46" s="90" t="s">
        <v>128</v>
      </c>
      <c r="O46" s="90" t="s">
        <v>131</v>
      </c>
      <c r="P46" s="90">
        <v>2.5</v>
      </c>
      <c r="Q46" s="91">
        <v>0.34699999999999998</v>
      </c>
      <c r="R46" s="90" t="s">
        <v>171</v>
      </c>
      <c r="S46" s="89">
        <f t="shared" si="33"/>
        <v>44</v>
      </c>
      <c r="T46" s="51">
        <f>'07.02'!BG46</f>
        <v>69</v>
      </c>
      <c r="U46" s="92"/>
      <c r="V46" s="100">
        <v>2.25</v>
      </c>
      <c r="W46" s="93">
        <f t="shared" si="5"/>
        <v>0</v>
      </c>
      <c r="X46" s="93">
        <f t="shared" si="6"/>
        <v>0</v>
      </c>
      <c r="Y46" s="93">
        <f t="shared" si="7"/>
        <v>0</v>
      </c>
      <c r="Z46" s="93">
        <f t="shared" si="8"/>
        <v>0</v>
      </c>
      <c r="AA46" s="93">
        <f t="shared" si="9"/>
        <v>0</v>
      </c>
      <c r="AB46" s="93">
        <f t="shared" si="10"/>
        <v>0</v>
      </c>
      <c r="AC46" s="93">
        <f t="shared" si="11"/>
        <v>0</v>
      </c>
      <c r="AD46" s="93">
        <f t="shared" si="12"/>
        <v>0</v>
      </c>
      <c r="AE46" s="93">
        <f t="shared" si="34"/>
        <v>0</v>
      </c>
      <c r="AF46" s="54">
        <f>AE46+'07.02'!AF46</f>
        <v>19319</v>
      </c>
      <c r="AG46" s="94">
        <f t="shared" si="66"/>
        <v>69</v>
      </c>
      <c r="AH46" s="56">
        <f t="shared" si="13"/>
        <v>0</v>
      </c>
      <c r="AI46" s="93"/>
      <c r="AJ46" s="93">
        <f t="shared" si="67"/>
        <v>0</v>
      </c>
      <c r="AK46" s="95">
        <f t="shared" si="35"/>
        <v>1</v>
      </c>
      <c r="AL46" s="58">
        <f t="shared" si="36"/>
        <v>0</v>
      </c>
      <c r="AM46" s="55">
        <f t="shared" si="68"/>
        <v>69</v>
      </c>
      <c r="AN46" s="93"/>
      <c r="AO46" s="96"/>
      <c r="AP46" s="96"/>
      <c r="AQ46" s="96"/>
      <c r="AR46" s="96"/>
      <c r="AS46" s="96">
        <f>$CJ46</f>
        <v>0</v>
      </c>
      <c r="AT46" s="96"/>
      <c r="AU46" s="96">
        <f t="shared" si="37"/>
        <v>0</v>
      </c>
      <c r="AV46" s="96">
        <f t="shared" si="37"/>
        <v>0</v>
      </c>
      <c r="AW46" s="96">
        <f t="shared" si="38"/>
        <v>0</v>
      </c>
      <c r="AX46" s="96">
        <f t="shared" si="39"/>
        <v>0</v>
      </c>
      <c r="AY46" s="94">
        <f t="shared" si="69"/>
        <v>0</v>
      </c>
      <c r="AZ46" s="94">
        <f t="shared" si="40"/>
        <v>0</v>
      </c>
      <c r="BA46" s="94">
        <f t="shared" si="41"/>
        <v>69</v>
      </c>
      <c r="BB46" s="97">
        <f t="shared" si="42"/>
        <v>0</v>
      </c>
      <c r="BC46" s="93"/>
      <c r="BD46" s="93">
        <f t="shared" si="43"/>
        <v>0</v>
      </c>
      <c r="BE46" s="95">
        <f t="shared" si="44"/>
        <v>1</v>
      </c>
      <c r="BF46" s="58">
        <f t="shared" si="45"/>
        <v>0</v>
      </c>
      <c r="BG46" s="94">
        <f t="shared" si="46"/>
        <v>69</v>
      </c>
      <c r="BH46" s="89"/>
      <c r="BI46" s="89"/>
      <c r="BJ46" s="89"/>
      <c r="BK46" s="89"/>
      <c r="BL46" s="89"/>
      <c r="BM46" s="92">
        <f>$CN46</f>
        <v>0</v>
      </c>
      <c r="BN46" s="89"/>
      <c r="BO46" s="92">
        <f t="shared" si="70"/>
        <v>0</v>
      </c>
      <c r="BP46" s="92">
        <f t="shared" si="70"/>
        <v>0</v>
      </c>
      <c r="BQ46" s="96">
        <f t="shared" si="47"/>
        <v>0</v>
      </c>
      <c r="BR46" s="96">
        <f t="shared" si="48"/>
        <v>0</v>
      </c>
      <c r="BS46" s="96">
        <f t="shared" si="71"/>
        <v>0</v>
      </c>
      <c r="BT46" s="96">
        <f t="shared" si="49"/>
        <v>0</v>
      </c>
      <c r="BU46" s="92">
        <f t="shared" si="16"/>
        <v>0</v>
      </c>
      <c r="BV46" s="98">
        <f t="shared" si="17"/>
        <v>0</v>
      </c>
      <c r="BW46" s="92">
        <f t="shared" si="18"/>
        <v>0</v>
      </c>
      <c r="BX46" s="98">
        <f t="shared" si="50"/>
        <v>0</v>
      </c>
      <c r="BY46" s="61">
        <f t="shared" si="73"/>
        <v>0</v>
      </c>
      <c r="BZ46" s="62">
        <f t="shared" si="51"/>
        <v>0</v>
      </c>
      <c r="CA46" s="98">
        <f t="shared" si="52"/>
        <v>0</v>
      </c>
      <c r="CB46" s="92">
        <f t="shared" si="97"/>
        <v>0</v>
      </c>
      <c r="CC46" s="92">
        <f t="shared" si="97"/>
        <v>0</v>
      </c>
      <c r="CD46" s="92">
        <f t="shared" si="97"/>
        <v>0</v>
      </c>
      <c r="CE46" s="99"/>
      <c r="CF46" s="99"/>
      <c r="CG46" s="51">
        <f t="shared" si="53"/>
        <v>0</v>
      </c>
      <c r="CH46" s="62">
        <f t="shared" si="54"/>
        <v>0</v>
      </c>
      <c r="CI46" s="89"/>
      <c r="CJ46" s="89"/>
      <c r="CK46" s="89"/>
      <c r="CL46" s="96"/>
      <c r="CM46" s="89"/>
      <c r="CN46" s="89"/>
      <c r="CO46" s="92"/>
      <c r="CP46" s="101"/>
      <c r="CQ46" s="102">
        <f t="shared" si="100"/>
        <v>0</v>
      </c>
      <c r="CR46" s="102">
        <f t="shared" si="100"/>
        <v>0</v>
      </c>
      <c r="CS46" s="102">
        <f t="shared" si="100"/>
        <v>0</v>
      </c>
      <c r="CT46" s="92">
        <f t="shared" si="56"/>
        <v>0</v>
      </c>
      <c r="CU46" s="92">
        <f t="shared" si="101"/>
        <v>0</v>
      </c>
      <c r="CV46" s="103">
        <f t="shared" si="101"/>
        <v>0</v>
      </c>
      <c r="CW46" s="104" t="s">
        <v>147</v>
      </c>
      <c r="CX46" s="105">
        <v>20</v>
      </c>
      <c r="CY46" s="106">
        <f t="shared" si="58"/>
        <v>1935</v>
      </c>
      <c r="CZ46" s="106">
        <f t="shared" si="59"/>
        <v>81</v>
      </c>
      <c r="DA46" s="106"/>
      <c r="DB46" s="106"/>
      <c r="DC46" s="105"/>
      <c r="DD46" s="107"/>
      <c r="DE46" s="92">
        <f t="shared" si="21"/>
        <v>0</v>
      </c>
      <c r="DF46" s="108">
        <f t="shared" si="22"/>
        <v>0</v>
      </c>
      <c r="DG46" s="112">
        <f t="shared" si="23"/>
        <v>0</v>
      </c>
      <c r="DH46" s="110">
        <f t="shared" si="24"/>
        <v>0</v>
      </c>
      <c r="DI46" s="108">
        <f t="shared" si="25"/>
        <v>0</v>
      </c>
      <c r="DJ46" s="112">
        <f t="shared" si="26"/>
        <v>0</v>
      </c>
      <c r="DK46" s="110">
        <f t="shared" si="86"/>
        <v>0</v>
      </c>
      <c r="DL46" s="108">
        <f t="shared" si="86"/>
        <v>0</v>
      </c>
      <c r="DM46" s="111">
        <f t="shared" si="86"/>
        <v>0</v>
      </c>
      <c r="DN46" s="76">
        <v>53</v>
      </c>
      <c r="DO46" s="76"/>
      <c r="DP46" s="112"/>
      <c r="DQ46" s="112"/>
      <c r="DR46" s="113" t="s">
        <v>534</v>
      </c>
      <c r="DS46" s="112"/>
      <c r="DT46" s="112"/>
      <c r="DU46" s="111"/>
      <c r="DV46" s="114"/>
      <c r="DW46" s="80">
        <f>IFERROR(AL46+BF46,"")</f>
        <v>0</v>
      </c>
      <c r="DX46" s="81">
        <f t="shared" si="28"/>
        <v>0</v>
      </c>
      <c r="DY46" s="80">
        <f t="shared" si="62"/>
        <v>0</v>
      </c>
      <c r="DZ46" s="82">
        <f t="shared" si="63"/>
        <v>0</v>
      </c>
      <c r="EA46" s="82">
        <f t="shared" si="64"/>
        <v>0</v>
      </c>
      <c r="EB46" s="82">
        <f t="shared" si="65"/>
        <v>0</v>
      </c>
      <c r="EC46" s="82">
        <f t="shared" si="75"/>
        <v>0</v>
      </c>
      <c r="EF46" s="83">
        <f t="shared" si="91"/>
        <v>0</v>
      </c>
    </row>
    <row r="47" spans="1:136" ht="14.1" hidden="1" customHeight="1">
      <c r="A47" s="84">
        <v>40</v>
      </c>
      <c r="B47" s="85" t="s">
        <v>253</v>
      </c>
      <c r="C47" s="86"/>
      <c r="D47" s="87" t="s">
        <v>254</v>
      </c>
      <c r="E47" s="144">
        <v>69</v>
      </c>
      <c r="F47" s="89" t="s">
        <v>191</v>
      </c>
      <c r="G47" s="45" t="str">
        <f t="shared" si="30"/>
        <v>MESUS303-2.5x3-H9B14</v>
      </c>
      <c r="H47" s="46" t="str">
        <f t="shared" si="31"/>
        <v>SUS303ME2.50DH9</v>
      </c>
      <c r="I47" s="46" t="str">
        <f t="shared" si="32"/>
        <v>SUS303ME2.50DH93B14</v>
      </c>
      <c r="J47" s="90" t="s">
        <v>226</v>
      </c>
      <c r="K47" s="90" t="s">
        <v>227</v>
      </c>
      <c r="L47" s="90">
        <v>2.5</v>
      </c>
      <c r="M47" s="90">
        <v>0</v>
      </c>
      <c r="N47" s="90" t="s">
        <v>128</v>
      </c>
      <c r="O47" s="90" t="s">
        <v>131</v>
      </c>
      <c r="P47" s="90">
        <v>3</v>
      </c>
      <c r="Q47" s="91">
        <v>0.11700000000000001</v>
      </c>
      <c r="R47" s="90" t="s">
        <v>171</v>
      </c>
      <c r="S47" s="89">
        <f t="shared" si="33"/>
        <v>62</v>
      </c>
      <c r="T47" s="51">
        <f>'07.02'!BG47</f>
        <v>0</v>
      </c>
      <c r="U47" s="92"/>
      <c r="V47" s="100">
        <v>1.46</v>
      </c>
      <c r="W47" s="93">
        <f t="shared" si="5"/>
        <v>0</v>
      </c>
      <c r="X47" s="93">
        <f t="shared" si="6"/>
        <v>0</v>
      </c>
      <c r="Y47" s="93">
        <f t="shared" si="7"/>
        <v>0</v>
      </c>
      <c r="Z47" s="93">
        <f t="shared" si="8"/>
        <v>0</v>
      </c>
      <c r="AA47" s="93">
        <f t="shared" si="9"/>
        <v>0</v>
      </c>
      <c r="AB47" s="93">
        <f t="shared" si="10"/>
        <v>0</v>
      </c>
      <c r="AC47" s="93">
        <f t="shared" si="11"/>
        <v>0</v>
      </c>
      <c r="AD47" s="93">
        <f t="shared" si="12"/>
        <v>0</v>
      </c>
      <c r="AE47" s="93">
        <f t="shared" si="34"/>
        <v>0</v>
      </c>
      <c r="AF47" s="54">
        <f>AE47+'07.02'!AF47</f>
        <v>0</v>
      </c>
      <c r="AG47" s="94">
        <f t="shared" si="66"/>
        <v>0</v>
      </c>
      <c r="AH47" s="56">
        <f t="shared" si="13"/>
        <v>0</v>
      </c>
      <c r="AI47" s="93"/>
      <c r="AJ47" s="93">
        <f t="shared" si="67"/>
        <v>0</v>
      </c>
      <c r="AK47" s="95">
        <f t="shared" si="35"/>
        <v>1</v>
      </c>
      <c r="AL47" s="58">
        <f t="shared" si="36"/>
        <v>0</v>
      </c>
      <c r="AM47" s="55">
        <f t="shared" si="68"/>
        <v>0</v>
      </c>
      <c r="AN47" s="93"/>
      <c r="AO47" s="96"/>
      <c r="AP47" s="96">
        <f>$CJ47</f>
        <v>0</v>
      </c>
      <c r="AQ47" s="96"/>
      <c r="AR47" s="96"/>
      <c r="AS47" s="96"/>
      <c r="AT47" s="96"/>
      <c r="AU47" s="96">
        <f t="shared" si="37"/>
        <v>0</v>
      </c>
      <c r="AV47" s="96">
        <f t="shared" si="37"/>
        <v>0</v>
      </c>
      <c r="AW47" s="96">
        <f t="shared" si="38"/>
        <v>0</v>
      </c>
      <c r="AX47" s="96">
        <f t="shared" si="39"/>
        <v>0</v>
      </c>
      <c r="AY47" s="94">
        <f t="shared" si="69"/>
        <v>0</v>
      </c>
      <c r="AZ47" s="94">
        <f t="shared" si="40"/>
        <v>0</v>
      </c>
      <c r="BA47" s="94">
        <f t="shared" si="41"/>
        <v>0</v>
      </c>
      <c r="BB47" s="97">
        <f t="shared" si="42"/>
        <v>0</v>
      </c>
      <c r="BC47" s="93"/>
      <c r="BD47" s="93">
        <f t="shared" si="43"/>
        <v>0</v>
      </c>
      <c r="BE47" s="95">
        <f t="shared" si="44"/>
        <v>1</v>
      </c>
      <c r="BF47" s="58">
        <f t="shared" si="45"/>
        <v>0</v>
      </c>
      <c r="BG47" s="94">
        <f t="shared" si="46"/>
        <v>0</v>
      </c>
      <c r="BH47" s="89"/>
      <c r="BI47" s="89"/>
      <c r="BJ47" s="92">
        <f>$CN47</f>
        <v>0</v>
      </c>
      <c r="BK47" s="89"/>
      <c r="BL47" s="92"/>
      <c r="BM47" s="89"/>
      <c r="BN47" s="89"/>
      <c r="BO47" s="92">
        <f t="shared" si="70"/>
        <v>0</v>
      </c>
      <c r="BP47" s="92">
        <f t="shared" si="70"/>
        <v>0</v>
      </c>
      <c r="BQ47" s="96">
        <f t="shared" si="47"/>
        <v>0</v>
      </c>
      <c r="BR47" s="96">
        <f t="shared" si="48"/>
        <v>0</v>
      </c>
      <c r="BS47" s="96">
        <f t="shared" si="71"/>
        <v>0</v>
      </c>
      <c r="BT47" s="96">
        <f t="shared" si="49"/>
        <v>0</v>
      </c>
      <c r="BU47" s="92">
        <f t="shared" si="16"/>
        <v>0</v>
      </c>
      <c r="BV47" s="98">
        <f t="shared" si="17"/>
        <v>0</v>
      </c>
      <c r="BW47" s="92">
        <f t="shared" si="18"/>
        <v>0</v>
      </c>
      <c r="BX47" s="98">
        <f t="shared" si="50"/>
        <v>0</v>
      </c>
      <c r="BY47" s="61">
        <f t="shared" si="73"/>
        <v>0</v>
      </c>
      <c r="BZ47" s="62">
        <f t="shared" si="51"/>
        <v>0</v>
      </c>
      <c r="CA47" s="98">
        <f t="shared" si="52"/>
        <v>0</v>
      </c>
      <c r="CB47" s="92">
        <f t="shared" si="97"/>
        <v>0</v>
      </c>
      <c r="CC47" s="92">
        <f t="shared" si="97"/>
        <v>0</v>
      </c>
      <c r="CD47" s="92">
        <f t="shared" si="97"/>
        <v>0</v>
      </c>
      <c r="CE47" s="99"/>
      <c r="CF47" s="99"/>
      <c r="CG47" s="51">
        <f t="shared" si="53"/>
        <v>0</v>
      </c>
      <c r="CH47" s="62">
        <f t="shared" si="54"/>
        <v>0</v>
      </c>
      <c r="CI47" s="89"/>
      <c r="CJ47" s="89"/>
      <c r="CK47" s="89"/>
      <c r="CL47" s="96"/>
      <c r="CM47" s="89"/>
      <c r="CN47" s="89"/>
      <c r="CO47" s="92"/>
      <c r="CP47" s="101"/>
      <c r="CQ47" s="102">
        <f t="shared" si="100"/>
        <v>0</v>
      </c>
      <c r="CR47" s="102">
        <f t="shared" si="100"/>
        <v>0</v>
      </c>
      <c r="CS47" s="102">
        <f t="shared" si="100"/>
        <v>0</v>
      </c>
      <c r="CT47" s="92">
        <f t="shared" si="56"/>
        <v>0</v>
      </c>
      <c r="CU47" s="92">
        <f t="shared" si="101"/>
        <v>0</v>
      </c>
      <c r="CV47" s="103">
        <f t="shared" si="101"/>
        <v>0</v>
      </c>
      <c r="CW47" s="104" t="s">
        <v>147</v>
      </c>
      <c r="CX47" s="105">
        <v>17</v>
      </c>
      <c r="CY47" s="106">
        <f t="shared" si="58"/>
        <v>2149</v>
      </c>
      <c r="CZ47" s="106">
        <f t="shared" si="59"/>
        <v>68.850000000000009</v>
      </c>
      <c r="DA47" s="106"/>
      <c r="DB47" s="106"/>
      <c r="DC47" s="105"/>
      <c r="DD47" s="107"/>
      <c r="DE47" s="92">
        <f t="shared" si="21"/>
        <v>0</v>
      </c>
      <c r="DF47" s="108">
        <f t="shared" si="22"/>
        <v>0</v>
      </c>
      <c r="DG47" s="115">
        <f t="shared" si="23"/>
        <v>0</v>
      </c>
      <c r="DH47" s="110">
        <f t="shared" si="24"/>
        <v>0</v>
      </c>
      <c r="DI47" s="108">
        <f t="shared" si="25"/>
        <v>0</v>
      </c>
      <c r="DJ47" s="112">
        <f t="shared" si="26"/>
        <v>0</v>
      </c>
      <c r="DK47" s="110">
        <f t="shared" si="86"/>
        <v>0</v>
      </c>
      <c r="DL47" s="108">
        <f t="shared" si="86"/>
        <v>0</v>
      </c>
      <c r="DM47" s="111">
        <f t="shared" si="86"/>
        <v>0</v>
      </c>
      <c r="DN47" s="76">
        <f t="shared" si="60"/>
        <v>0</v>
      </c>
      <c r="DO47" s="76">
        <f t="shared" si="60"/>
        <v>0</v>
      </c>
      <c r="DP47" s="112"/>
      <c r="DQ47" s="112"/>
      <c r="DR47" s="113"/>
      <c r="DS47" s="112"/>
      <c r="DT47" s="112"/>
      <c r="DU47" s="111"/>
      <c r="DV47" s="114"/>
      <c r="DW47" s="80">
        <f t="shared" si="61"/>
        <v>0</v>
      </c>
      <c r="DX47" s="81">
        <f t="shared" si="28"/>
        <v>0</v>
      </c>
      <c r="DY47" s="80">
        <f t="shared" si="62"/>
        <v>0</v>
      </c>
      <c r="DZ47" s="82">
        <f t="shared" si="63"/>
        <v>0</v>
      </c>
      <c r="EA47" s="82">
        <f t="shared" si="64"/>
        <v>0</v>
      </c>
      <c r="EB47" s="82">
        <f t="shared" si="65"/>
        <v>0</v>
      </c>
      <c r="EC47" s="82">
        <f t="shared" si="75"/>
        <v>0</v>
      </c>
      <c r="EF47" s="83">
        <f t="shared" si="91"/>
        <v>0</v>
      </c>
    </row>
    <row r="48" spans="1:136" ht="14.1" customHeight="1">
      <c r="A48" s="84">
        <v>41</v>
      </c>
      <c r="B48" s="85" t="s">
        <v>255</v>
      </c>
      <c r="C48" s="86"/>
      <c r="D48" s="116" t="s">
        <v>256</v>
      </c>
      <c r="E48" s="88">
        <v>261</v>
      </c>
      <c r="F48" s="89" t="s">
        <v>136</v>
      </c>
      <c r="G48" s="45" t="str">
        <f t="shared" si="30"/>
        <v>TV12L14-3.975x2.5-H7A12</v>
      </c>
      <c r="H48" s="46" t="str">
        <f t="shared" si="31"/>
        <v>12L14TV3.9750DH7</v>
      </c>
      <c r="I48" s="46" t="str">
        <f t="shared" si="32"/>
        <v>12L14TV3.9750DH72.5A12</v>
      </c>
      <c r="J48" s="90" t="s">
        <v>137</v>
      </c>
      <c r="K48" s="90" t="s">
        <v>138</v>
      </c>
      <c r="L48" s="90">
        <v>3.9750000000000001</v>
      </c>
      <c r="M48" s="90">
        <v>0</v>
      </c>
      <c r="N48" s="90" t="s">
        <v>128</v>
      </c>
      <c r="O48" s="90" t="s">
        <v>154</v>
      </c>
      <c r="P48" s="90">
        <v>2.5</v>
      </c>
      <c r="Q48" s="91">
        <v>0.24099999999999999</v>
      </c>
      <c r="R48" s="90" t="s">
        <v>257</v>
      </c>
      <c r="S48" s="89">
        <f t="shared" si="33"/>
        <v>16</v>
      </c>
      <c r="T48" s="51">
        <f>'07.02'!BG48</f>
        <v>24</v>
      </c>
      <c r="U48" s="92"/>
      <c r="V48" s="100">
        <v>0.3</v>
      </c>
      <c r="W48" s="93">
        <f t="shared" si="5"/>
        <v>0</v>
      </c>
      <c r="X48" s="93">
        <f t="shared" si="6"/>
        <v>0</v>
      </c>
      <c r="Y48" s="93">
        <f t="shared" si="7"/>
        <v>0</v>
      </c>
      <c r="Z48" s="93">
        <f t="shared" si="8"/>
        <v>0</v>
      </c>
      <c r="AA48" s="93">
        <f t="shared" si="9"/>
        <v>0</v>
      </c>
      <c r="AB48" s="93">
        <f t="shared" si="10"/>
        <v>0</v>
      </c>
      <c r="AC48" s="93">
        <f t="shared" si="11"/>
        <v>0</v>
      </c>
      <c r="AD48" s="93">
        <f t="shared" si="12"/>
        <v>0</v>
      </c>
      <c r="AE48" s="93">
        <f t="shared" si="34"/>
        <v>0</v>
      </c>
      <c r="AF48" s="54">
        <f>AE48+'07.02'!AF48</f>
        <v>0</v>
      </c>
      <c r="AG48" s="94">
        <f t="shared" si="66"/>
        <v>24</v>
      </c>
      <c r="AH48" s="56">
        <f t="shared" si="13"/>
        <v>0</v>
      </c>
      <c r="AI48" s="93"/>
      <c r="AJ48" s="93">
        <f t="shared" si="67"/>
        <v>0</v>
      </c>
      <c r="AK48" s="95">
        <f t="shared" si="35"/>
        <v>1</v>
      </c>
      <c r="AL48" s="58">
        <f t="shared" si="36"/>
        <v>0</v>
      </c>
      <c r="AM48" s="55">
        <f t="shared" si="68"/>
        <v>24</v>
      </c>
      <c r="AN48" s="93"/>
      <c r="AO48" s="96"/>
      <c r="AP48" s="96">
        <f>$CJ48</f>
        <v>0</v>
      </c>
      <c r="AQ48" s="96"/>
      <c r="AR48" s="96"/>
      <c r="AS48" s="96"/>
      <c r="AT48" s="96"/>
      <c r="AU48" s="96">
        <f t="shared" si="37"/>
        <v>0</v>
      </c>
      <c r="AV48" s="96">
        <f t="shared" si="37"/>
        <v>0</v>
      </c>
      <c r="AW48" s="96">
        <f t="shared" si="38"/>
        <v>0</v>
      </c>
      <c r="AX48" s="96">
        <f t="shared" si="39"/>
        <v>0</v>
      </c>
      <c r="AY48" s="94">
        <f t="shared" si="69"/>
        <v>0</v>
      </c>
      <c r="AZ48" s="94">
        <f t="shared" si="40"/>
        <v>0</v>
      </c>
      <c r="BA48" s="94">
        <f t="shared" si="41"/>
        <v>24</v>
      </c>
      <c r="BB48" s="97">
        <f t="shared" si="42"/>
        <v>0</v>
      </c>
      <c r="BC48" s="93"/>
      <c r="BD48" s="93">
        <f t="shared" si="43"/>
        <v>0</v>
      </c>
      <c r="BE48" s="95">
        <f t="shared" si="44"/>
        <v>1</v>
      </c>
      <c r="BF48" s="58">
        <f t="shared" si="45"/>
        <v>0</v>
      </c>
      <c r="BG48" s="94">
        <f t="shared" si="46"/>
        <v>24</v>
      </c>
      <c r="BH48" s="89"/>
      <c r="BI48" s="89"/>
      <c r="BJ48" s="92">
        <f>$CN48</f>
        <v>0</v>
      </c>
      <c r="BK48" s="92"/>
      <c r="BL48" s="89"/>
      <c r="BM48" s="92"/>
      <c r="BN48" s="89"/>
      <c r="BO48" s="92">
        <f t="shared" si="70"/>
        <v>0</v>
      </c>
      <c r="BP48" s="92">
        <f t="shared" si="70"/>
        <v>0</v>
      </c>
      <c r="BQ48" s="96">
        <f t="shared" si="47"/>
        <v>0</v>
      </c>
      <c r="BR48" s="96">
        <f t="shared" si="48"/>
        <v>0</v>
      </c>
      <c r="BS48" s="96">
        <f t="shared" si="71"/>
        <v>0</v>
      </c>
      <c r="BT48" s="96">
        <f t="shared" si="49"/>
        <v>0</v>
      </c>
      <c r="BU48" s="92">
        <f t="shared" si="16"/>
        <v>0</v>
      </c>
      <c r="BV48" s="98">
        <f t="shared" si="17"/>
        <v>0</v>
      </c>
      <c r="BW48" s="92">
        <f t="shared" si="18"/>
        <v>0</v>
      </c>
      <c r="BX48" s="98">
        <f t="shared" si="50"/>
        <v>0</v>
      </c>
      <c r="BY48" s="61">
        <f t="shared" si="73"/>
        <v>0</v>
      </c>
      <c r="BZ48" s="62">
        <f t="shared" si="51"/>
        <v>0</v>
      </c>
      <c r="CA48" s="98">
        <f t="shared" si="52"/>
        <v>0</v>
      </c>
      <c r="CB48" s="92">
        <f t="shared" si="97"/>
        <v>0</v>
      </c>
      <c r="CC48" s="92">
        <f t="shared" si="97"/>
        <v>0</v>
      </c>
      <c r="CD48" s="92">
        <f t="shared" si="97"/>
        <v>0</v>
      </c>
      <c r="CE48" s="99"/>
      <c r="CF48" s="99"/>
      <c r="CG48" s="51">
        <f t="shared" si="53"/>
        <v>0</v>
      </c>
      <c r="CH48" s="62">
        <f t="shared" si="54"/>
        <v>0</v>
      </c>
      <c r="CI48" s="89"/>
      <c r="CJ48" s="89"/>
      <c r="CK48" s="89"/>
      <c r="CL48" s="96"/>
      <c r="CM48" s="89"/>
      <c r="CN48" s="89"/>
      <c r="CO48" s="92"/>
      <c r="CP48" s="101"/>
      <c r="CQ48" s="102">
        <f t="shared" si="100"/>
        <v>0</v>
      </c>
      <c r="CR48" s="102">
        <f t="shared" si="100"/>
        <v>0</v>
      </c>
      <c r="CS48" s="102">
        <f t="shared" si="100"/>
        <v>0</v>
      </c>
      <c r="CT48" s="92">
        <f t="shared" si="56"/>
        <v>0</v>
      </c>
      <c r="CU48" s="92">
        <f t="shared" si="101"/>
        <v>0</v>
      </c>
      <c r="CV48" s="103">
        <f t="shared" si="101"/>
        <v>0</v>
      </c>
      <c r="CW48" s="104" t="s">
        <v>147</v>
      </c>
      <c r="CX48" s="105">
        <v>21</v>
      </c>
      <c r="CY48" s="106">
        <f t="shared" si="58"/>
        <v>1988</v>
      </c>
      <c r="CZ48" s="106">
        <f t="shared" si="59"/>
        <v>85.050000000000011</v>
      </c>
      <c r="DA48" s="106"/>
      <c r="DB48" s="106"/>
      <c r="DC48" s="105"/>
      <c r="DD48" s="107"/>
      <c r="DE48" s="92">
        <f t="shared" si="21"/>
        <v>0</v>
      </c>
      <c r="DF48" s="108">
        <f t="shared" si="22"/>
        <v>0</v>
      </c>
      <c r="DG48" s="112">
        <f t="shared" si="23"/>
        <v>0</v>
      </c>
      <c r="DH48" s="110">
        <f t="shared" si="24"/>
        <v>0</v>
      </c>
      <c r="DI48" s="108">
        <f t="shared" si="25"/>
        <v>0</v>
      </c>
      <c r="DJ48" s="112">
        <f t="shared" si="26"/>
        <v>0</v>
      </c>
      <c r="DK48" s="110">
        <f t="shared" si="86"/>
        <v>0</v>
      </c>
      <c r="DL48" s="108">
        <f t="shared" si="86"/>
        <v>0</v>
      </c>
      <c r="DM48" s="111">
        <f t="shared" si="86"/>
        <v>0</v>
      </c>
      <c r="DN48" s="76">
        <v>24</v>
      </c>
      <c r="DO48" s="76"/>
      <c r="DP48" s="112"/>
      <c r="DQ48" s="112"/>
      <c r="DR48" s="113" t="s">
        <v>535</v>
      </c>
      <c r="DS48" s="112"/>
      <c r="DT48" s="112"/>
      <c r="DU48" s="111"/>
      <c r="DV48" s="114"/>
      <c r="DW48" s="80">
        <f t="shared" si="61"/>
        <v>0</v>
      </c>
      <c r="DX48" s="81">
        <f t="shared" si="28"/>
        <v>0</v>
      </c>
      <c r="DY48" s="80">
        <f t="shared" si="62"/>
        <v>0</v>
      </c>
      <c r="DZ48" s="82">
        <f t="shared" si="63"/>
        <v>0</v>
      </c>
      <c r="EA48" s="82">
        <f t="shared" si="64"/>
        <v>0</v>
      </c>
      <c r="EB48" s="82">
        <f t="shared" si="65"/>
        <v>0</v>
      </c>
      <c r="EC48" s="82">
        <f t="shared" si="75"/>
        <v>0</v>
      </c>
      <c r="EF48" s="83">
        <f t="shared" si="91"/>
        <v>0</v>
      </c>
    </row>
    <row r="49" spans="1:136" ht="14.1" customHeight="1">
      <c r="A49" s="84">
        <v>42</v>
      </c>
      <c r="B49" s="85" t="s">
        <v>259</v>
      </c>
      <c r="C49" s="86"/>
      <c r="D49" s="87" t="s">
        <v>260</v>
      </c>
      <c r="E49" s="88">
        <v>240</v>
      </c>
      <c r="F49" s="89" t="s">
        <v>128</v>
      </c>
      <c r="G49" s="45" t="str">
        <f t="shared" si="30"/>
        <v>GAA5052-5.7x3-H9A14</v>
      </c>
      <c r="H49" s="46" t="str">
        <f t="shared" si="31"/>
        <v>A5052GA5.70DH9</v>
      </c>
      <c r="I49" s="46" t="str">
        <f t="shared" si="32"/>
        <v>A5052GA5.70DH93A14</v>
      </c>
      <c r="J49" s="90" t="s">
        <v>221</v>
      </c>
      <c r="K49" s="90" t="s">
        <v>222</v>
      </c>
      <c r="L49" s="90">
        <v>5.7</v>
      </c>
      <c r="M49" s="90">
        <v>0</v>
      </c>
      <c r="N49" s="90" t="s">
        <v>128</v>
      </c>
      <c r="O49" s="90" t="s">
        <v>131</v>
      </c>
      <c r="P49" s="90">
        <v>3</v>
      </c>
      <c r="Q49" s="91">
        <v>0.20399999999999999</v>
      </c>
      <c r="R49" s="90" t="s">
        <v>139</v>
      </c>
      <c r="S49" s="89">
        <f t="shared" si="33"/>
        <v>14</v>
      </c>
      <c r="T49" s="51">
        <f>'07.02'!BG49</f>
        <v>29.999999999999993</v>
      </c>
      <c r="U49" s="92"/>
      <c r="V49" s="100">
        <v>0.15</v>
      </c>
      <c r="W49" s="93">
        <f t="shared" si="5"/>
        <v>0</v>
      </c>
      <c r="X49" s="93">
        <f t="shared" si="6"/>
        <v>0</v>
      </c>
      <c r="Y49" s="93">
        <f t="shared" si="7"/>
        <v>0</v>
      </c>
      <c r="Z49" s="93">
        <f t="shared" si="8"/>
        <v>0</v>
      </c>
      <c r="AA49" s="93">
        <f t="shared" si="9"/>
        <v>0</v>
      </c>
      <c r="AB49" s="93">
        <f t="shared" si="10"/>
        <v>0</v>
      </c>
      <c r="AC49" s="93">
        <f t="shared" si="11"/>
        <v>0</v>
      </c>
      <c r="AD49" s="93">
        <f t="shared" si="12"/>
        <v>0</v>
      </c>
      <c r="AE49" s="93">
        <f t="shared" si="34"/>
        <v>0</v>
      </c>
      <c r="AF49" s="54">
        <f>AE49+'07.02'!AF49</f>
        <v>15704</v>
      </c>
      <c r="AG49" s="94">
        <f t="shared" si="66"/>
        <v>29.999999999999993</v>
      </c>
      <c r="AH49" s="56">
        <f t="shared" si="13"/>
        <v>0</v>
      </c>
      <c r="AI49" s="93"/>
      <c r="AJ49" s="93">
        <f t="shared" si="67"/>
        <v>0</v>
      </c>
      <c r="AK49" s="95">
        <f t="shared" si="35"/>
        <v>1</v>
      </c>
      <c r="AL49" s="58">
        <f t="shared" si="36"/>
        <v>0</v>
      </c>
      <c r="AM49" s="55">
        <f t="shared" si="68"/>
        <v>29.999999999999993</v>
      </c>
      <c r="AN49" s="93"/>
      <c r="AO49" s="96"/>
      <c r="AP49" s="96"/>
      <c r="AQ49" s="96"/>
      <c r="AR49" s="96"/>
      <c r="AS49" s="96"/>
      <c r="AT49" s="96">
        <f>$CJ49</f>
        <v>0</v>
      </c>
      <c r="AU49" s="96">
        <f t="shared" si="37"/>
        <v>0</v>
      </c>
      <c r="AV49" s="96">
        <f t="shared" si="37"/>
        <v>0</v>
      </c>
      <c r="AW49" s="96">
        <f t="shared" si="38"/>
        <v>0</v>
      </c>
      <c r="AX49" s="96">
        <f t="shared" si="39"/>
        <v>0</v>
      </c>
      <c r="AY49" s="94">
        <f t="shared" si="69"/>
        <v>0</v>
      </c>
      <c r="AZ49" s="94">
        <f t="shared" si="40"/>
        <v>0</v>
      </c>
      <c r="BA49" s="94">
        <f t="shared" si="41"/>
        <v>29.999999999999993</v>
      </c>
      <c r="BB49" s="97">
        <f t="shared" si="42"/>
        <v>0</v>
      </c>
      <c r="BC49" s="93"/>
      <c r="BD49" s="93">
        <f t="shared" si="43"/>
        <v>0</v>
      </c>
      <c r="BE49" s="95">
        <f t="shared" si="44"/>
        <v>1</v>
      </c>
      <c r="BF49" s="58">
        <f t="shared" si="45"/>
        <v>0</v>
      </c>
      <c r="BG49" s="94">
        <f t="shared" si="46"/>
        <v>29.999999999999993</v>
      </c>
      <c r="BH49" s="89"/>
      <c r="BI49" s="89"/>
      <c r="BJ49" s="89"/>
      <c r="BK49" s="89"/>
      <c r="BL49" s="89"/>
      <c r="BM49" s="89"/>
      <c r="BN49" s="146">
        <f>$CN49</f>
        <v>0</v>
      </c>
      <c r="BO49" s="92">
        <f t="shared" si="70"/>
        <v>0</v>
      </c>
      <c r="BP49" s="92">
        <f t="shared" si="70"/>
        <v>0</v>
      </c>
      <c r="BQ49" s="96">
        <f t="shared" si="47"/>
        <v>0</v>
      </c>
      <c r="BR49" s="96">
        <f t="shared" si="48"/>
        <v>0</v>
      </c>
      <c r="BS49" s="96">
        <f t="shared" si="71"/>
        <v>0</v>
      </c>
      <c r="BT49" s="96">
        <f t="shared" si="49"/>
        <v>0</v>
      </c>
      <c r="BU49" s="92">
        <f t="shared" si="16"/>
        <v>0</v>
      </c>
      <c r="BV49" s="98">
        <f t="shared" si="17"/>
        <v>0</v>
      </c>
      <c r="BW49" s="92">
        <f t="shared" si="18"/>
        <v>0</v>
      </c>
      <c r="BX49" s="98">
        <f t="shared" si="50"/>
        <v>0</v>
      </c>
      <c r="BY49" s="61">
        <f t="shared" si="73"/>
        <v>0</v>
      </c>
      <c r="BZ49" s="62">
        <f t="shared" si="51"/>
        <v>0</v>
      </c>
      <c r="CA49" s="98">
        <f t="shared" si="52"/>
        <v>0</v>
      </c>
      <c r="CB49" s="92">
        <f t="shared" si="97"/>
        <v>0</v>
      </c>
      <c r="CC49" s="92">
        <f t="shared" si="97"/>
        <v>0</v>
      </c>
      <c r="CD49" s="92">
        <f t="shared" si="97"/>
        <v>0</v>
      </c>
      <c r="CE49" s="99"/>
      <c r="CF49" s="99"/>
      <c r="CG49" s="51">
        <f t="shared" si="53"/>
        <v>0</v>
      </c>
      <c r="CH49" s="62">
        <f t="shared" si="54"/>
        <v>0</v>
      </c>
      <c r="CI49" s="89"/>
      <c r="CJ49" s="89"/>
      <c r="CK49" s="89"/>
      <c r="CL49" s="96"/>
      <c r="CM49" s="89"/>
      <c r="CN49" s="89"/>
      <c r="CO49" s="92"/>
      <c r="CP49" s="101"/>
      <c r="CQ49" s="102">
        <f t="shared" si="100"/>
        <v>0</v>
      </c>
      <c r="CR49" s="102">
        <f t="shared" si="100"/>
        <v>0</v>
      </c>
      <c r="CS49" s="102">
        <f t="shared" si="100"/>
        <v>0</v>
      </c>
      <c r="CT49" s="92">
        <f t="shared" si="56"/>
        <v>0</v>
      </c>
      <c r="CU49" s="92">
        <f t="shared" si="101"/>
        <v>0</v>
      </c>
      <c r="CV49" s="103">
        <f t="shared" si="101"/>
        <v>0</v>
      </c>
      <c r="CW49" s="104" t="s">
        <v>147</v>
      </c>
      <c r="CX49" s="105">
        <v>26</v>
      </c>
      <c r="CY49" s="106">
        <f t="shared" si="58"/>
        <v>1613</v>
      </c>
      <c r="CZ49" s="106">
        <f t="shared" si="59"/>
        <v>105.30000000000001</v>
      </c>
      <c r="DA49" s="106"/>
      <c r="DB49" s="106"/>
      <c r="DC49" s="105"/>
      <c r="DD49" s="107"/>
      <c r="DE49" s="92">
        <f t="shared" si="21"/>
        <v>0</v>
      </c>
      <c r="DF49" s="108">
        <f t="shared" si="22"/>
        <v>0</v>
      </c>
      <c r="DG49" s="112">
        <f t="shared" si="23"/>
        <v>0</v>
      </c>
      <c r="DH49" s="110">
        <f t="shared" si="24"/>
        <v>0</v>
      </c>
      <c r="DI49" s="108">
        <f t="shared" si="25"/>
        <v>0</v>
      </c>
      <c r="DJ49" s="112">
        <f t="shared" si="26"/>
        <v>0</v>
      </c>
      <c r="DK49" s="110">
        <f t="shared" si="86"/>
        <v>0</v>
      </c>
      <c r="DL49" s="108">
        <f t="shared" si="86"/>
        <v>0</v>
      </c>
      <c r="DM49" s="111">
        <f t="shared" si="86"/>
        <v>0</v>
      </c>
      <c r="DN49" s="76">
        <v>19</v>
      </c>
      <c r="DO49" s="76"/>
      <c r="DP49" s="112"/>
      <c r="DQ49" s="112"/>
      <c r="DR49" s="113" t="s">
        <v>536</v>
      </c>
      <c r="DS49" s="112"/>
      <c r="DT49" s="112"/>
      <c r="DU49" s="111"/>
      <c r="DV49" s="114"/>
      <c r="DW49" s="80">
        <f t="shared" si="61"/>
        <v>0</v>
      </c>
      <c r="DX49" s="81">
        <f t="shared" si="28"/>
        <v>0</v>
      </c>
      <c r="DY49" s="80">
        <f t="shared" si="62"/>
        <v>0</v>
      </c>
      <c r="DZ49" s="82">
        <f t="shared" si="63"/>
        <v>0</v>
      </c>
      <c r="EA49" s="82">
        <f t="shared" si="64"/>
        <v>0</v>
      </c>
      <c r="EB49" s="82">
        <f t="shared" si="65"/>
        <v>0</v>
      </c>
      <c r="EC49" s="82">
        <f t="shared" si="75"/>
        <v>0</v>
      </c>
      <c r="EF49" s="83">
        <f t="shared" si="91"/>
        <v>0</v>
      </c>
    </row>
    <row r="50" spans="1:136" ht="14.1" customHeight="1">
      <c r="A50" s="84">
        <v>43</v>
      </c>
      <c r="B50" s="85" t="s">
        <v>262</v>
      </c>
      <c r="C50" s="86"/>
      <c r="D50" s="87" t="s">
        <v>263</v>
      </c>
      <c r="E50" s="88">
        <v>500</v>
      </c>
      <c r="F50" s="89" t="s">
        <v>191</v>
      </c>
      <c r="G50" s="45" t="str">
        <f t="shared" si="30"/>
        <v>MESUS303CU-3.5x3-H9B14</v>
      </c>
      <c r="H50" s="46" t="str">
        <f t="shared" si="31"/>
        <v>SUS303CUME3.50DH9</v>
      </c>
      <c r="I50" s="46" t="str">
        <f t="shared" si="32"/>
        <v>SUS303CUME3.50DH93B14</v>
      </c>
      <c r="J50" s="90" t="s">
        <v>264</v>
      </c>
      <c r="K50" s="90" t="s">
        <v>227</v>
      </c>
      <c r="L50" s="90">
        <v>3.5</v>
      </c>
      <c r="M50" s="90">
        <v>0</v>
      </c>
      <c r="N50" s="90" t="s">
        <v>128</v>
      </c>
      <c r="O50" s="90" t="s">
        <v>131</v>
      </c>
      <c r="P50" s="90">
        <v>3</v>
      </c>
      <c r="Q50" s="91">
        <v>0.23</v>
      </c>
      <c r="R50" s="90" t="s">
        <v>171</v>
      </c>
      <c r="S50" s="89">
        <f t="shared" si="33"/>
        <v>8</v>
      </c>
      <c r="T50" s="51">
        <f>'07.02'!BG50</f>
        <v>25</v>
      </c>
      <c r="U50" s="92"/>
      <c r="V50" s="100">
        <v>0.16300000000000001</v>
      </c>
      <c r="W50" s="93">
        <f t="shared" si="5"/>
        <v>0</v>
      </c>
      <c r="X50" s="93">
        <f t="shared" si="6"/>
        <v>0</v>
      </c>
      <c r="Y50" s="93">
        <f t="shared" si="7"/>
        <v>0</v>
      </c>
      <c r="Z50" s="93">
        <f t="shared" si="8"/>
        <v>0</v>
      </c>
      <c r="AA50" s="93">
        <f t="shared" si="9"/>
        <v>0</v>
      </c>
      <c r="AB50" s="93">
        <f t="shared" si="10"/>
        <v>0</v>
      </c>
      <c r="AC50" s="93">
        <f t="shared" si="11"/>
        <v>0</v>
      </c>
      <c r="AD50" s="93">
        <f t="shared" si="12"/>
        <v>0</v>
      </c>
      <c r="AE50" s="93">
        <f t="shared" si="34"/>
        <v>0</v>
      </c>
      <c r="AF50" s="54">
        <f>AE50+'07.02'!AF50</f>
        <v>23207</v>
      </c>
      <c r="AG50" s="94">
        <f t="shared" si="66"/>
        <v>25</v>
      </c>
      <c r="AH50" s="56">
        <f t="shared" si="13"/>
        <v>0</v>
      </c>
      <c r="AI50" s="93"/>
      <c r="AJ50" s="93">
        <f t="shared" si="67"/>
        <v>0</v>
      </c>
      <c r="AK50" s="95">
        <f t="shared" si="35"/>
        <v>1</v>
      </c>
      <c r="AL50" s="58">
        <f t="shared" si="36"/>
        <v>0</v>
      </c>
      <c r="AM50" s="55">
        <f t="shared" si="68"/>
        <v>25</v>
      </c>
      <c r="AN50" s="93"/>
      <c r="AO50" s="96"/>
      <c r="AP50" s="96"/>
      <c r="AQ50" s="96"/>
      <c r="AR50" s="96">
        <f>$CJ50</f>
        <v>0</v>
      </c>
      <c r="AS50" s="96"/>
      <c r="AT50" s="96"/>
      <c r="AU50" s="96">
        <f t="shared" si="37"/>
        <v>0</v>
      </c>
      <c r="AV50" s="96">
        <f t="shared" si="37"/>
        <v>0</v>
      </c>
      <c r="AW50" s="96">
        <f t="shared" si="38"/>
        <v>0</v>
      </c>
      <c r="AX50" s="96">
        <f t="shared" si="39"/>
        <v>0</v>
      </c>
      <c r="AY50" s="94">
        <f t="shared" si="69"/>
        <v>0</v>
      </c>
      <c r="AZ50" s="94">
        <f t="shared" si="40"/>
        <v>0</v>
      </c>
      <c r="BA50" s="94">
        <f t="shared" si="41"/>
        <v>25</v>
      </c>
      <c r="BB50" s="97">
        <f t="shared" si="42"/>
        <v>0</v>
      </c>
      <c r="BC50" s="93"/>
      <c r="BD50" s="93">
        <f t="shared" si="43"/>
        <v>0</v>
      </c>
      <c r="BE50" s="95">
        <f t="shared" si="44"/>
        <v>1</v>
      </c>
      <c r="BF50" s="58">
        <f t="shared" si="45"/>
        <v>0</v>
      </c>
      <c r="BG50" s="94">
        <f t="shared" si="46"/>
        <v>25</v>
      </c>
      <c r="BH50" s="89"/>
      <c r="BI50" s="89"/>
      <c r="BJ50" s="89"/>
      <c r="BK50" s="89"/>
      <c r="BL50" s="92">
        <f>$CN50</f>
        <v>0</v>
      </c>
      <c r="BM50" s="92"/>
      <c r="BN50" s="89"/>
      <c r="BO50" s="92">
        <f t="shared" si="70"/>
        <v>0</v>
      </c>
      <c r="BP50" s="92">
        <f t="shared" si="70"/>
        <v>0</v>
      </c>
      <c r="BQ50" s="96">
        <f t="shared" si="47"/>
        <v>0</v>
      </c>
      <c r="BR50" s="96">
        <f t="shared" si="48"/>
        <v>0</v>
      </c>
      <c r="BS50" s="96">
        <f t="shared" si="71"/>
        <v>0</v>
      </c>
      <c r="BT50" s="96">
        <f t="shared" si="49"/>
        <v>0</v>
      </c>
      <c r="BU50" s="92">
        <f t="shared" si="16"/>
        <v>0</v>
      </c>
      <c r="BV50" s="98">
        <f t="shared" si="17"/>
        <v>0</v>
      </c>
      <c r="BW50" s="92">
        <f t="shared" si="18"/>
        <v>0</v>
      </c>
      <c r="BX50" s="98">
        <f t="shared" si="50"/>
        <v>0</v>
      </c>
      <c r="BY50" s="61">
        <f t="shared" si="73"/>
        <v>0</v>
      </c>
      <c r="BZ50" s="62">
        <f t="shared" si="51"/>
        <v>0</v>
      </c>
      <c r="CA50" s="98">
        <f t="shared" si="52"/>
        <v>0</v>
      </c>
      <c r="CB50" s="92">
        <f t="shared" si="97"/>
        <v>0</v>
      </c>
      <c r="CC50" s="92">
        <f t="shared" si="97"/>
        <v>0</v>
      </c>
      <c r="CD50" s="92">
        <f t="shared" si="97"/>
        <v>0</v>
      </c>
      <c r="CE50" s="99"/>
      <c r="CF50" s="99"/>
      <c r="CG50" s="51">
        <f t="shared" si="53"/>
        <v>0</v>
      </c>
      <c r="CH50" s="62">
        <f t="shared" si="54"/>
        <v>0</v>
      </c>
      <c r="CI50" s="89"/>
      <c r="CJ50" s="89"/>
      <c r="CK50" s="89"/>
      <c r="CL50" s="96"/>
      <c r="CM50" s="89"/>
      <c r="CN50" s="89"/>
      <c r="CO50" s="92"/>
      <c r="CP50" s="101"/>
      <c r="CQ50" s="102">
        <f t="shared" si="100"/>
        <v>0</v>
      </c>
      <c r="CR50" s="102">
        <f t="shared" si="100"/>
        <v>0</v>
      </c>
      <c r="CS50" s="102">
        <f t="shared" si="100"/>
        <v>0</v>
      </c>
      <c r="CT50" s="92">
        <f t="shared" si="56"/>
        <v>0</v>
      </c>
      <c r="CU50" s="92">
        <f t="shared" si="101"/>
        <v>0</v>
      </c>
      <c r="CV50" s="103">
        <f t="shared" si="101"/>
        <v>0</v>
      </c>
      <c r="CW50" s="104" t="s">
        <v>147</v>
      </c>
      <c r="CX50" s="105">
        <v>23</v>
      </c>
      <c r="CY50" s="106">
        <f t="shared" si="58"/>
        <v>1846</v>
      </c>
      <c r="CZ50" s="106">
        <f t="shared" si="59"/>
        <v>93.15</v>
      </c>
      <c r="DA50" s="106"/>
      <c r="DB50" s="106"/>
      <c r="DC50" s="105"/>
      <c r="DD50" s="107"/>
      <c r="DE50" s="92">
        <f t="shared" si="21"/>
        <v>0</v>
      </c>
      <c r="DF50" s="108">
        <f t="shared" si="22"/>
        <v>0</v>
      </c>
      <c r="DG50" s="112">
        <f t="shared" si="23"/>
        <v>0</v>
      </c>
      <c r="DH50" s="110">
        <f t="shared" si="24"/>
        <v>0</v>
      </c>
      <c r="DI50" s="108">
        <f t="shared" si="25"/>
        <v>0</v>
      </c>
      <c r="DJ50" s="112">
        <f t="shared" si="26"/>
        <v>0</v>
      </c>
      <c r="DK50" s="110">
        <f t="shared" si="86"/>
        <v>0</v>
      </c>
      <c r="DL50" s="108">
        <f t="shared" si="86"/>
        <v>0</v>
      </c>
      <c r="DM50" s="111">
        <f t="shared" si="86"/>
        <v>0</v>
      </c>
      <c r="DN50" s="76">
        <v>15</v>
      </c>
      <c r="DO50" s="76"/>
      <c r="DP50" s="112"/>
      <c r="DQ50" s="112"/>
      <c r="DR50" s="113" t="s">
        <v>537</v>
      </c>
      <c r="DS50" s="112"/>
      <c r="DT50" s="112"/>
      <c r="DU50" s="111"/>
      <c r="DV50" s="114"/>
      <c r="DW50" s="80">
        <f t="shared" ref="DW50:DW52" si="102">IFERROR(AL50+BF50,"")</f>
        <v>0</v>
      </c>
      <c r="DX50" s="81">
        <f t="shared" si="28"/>
        <v>0</v>
      </c>
      <c r="DY50" s="80">
        <f t="shared" si="62"/>
        <v>0</v>
      </c>
      <c r="DZ50" s="82">
        <f t="shared" si="63"/>
        <v>0</v>
      </c>
      <c r="EA50" s="82">
        <f t="shared" si="64"/>
        <v>0</v>
      </c>
      <c r="EB50" s="82">
        <f t="shared" si="65"/>
        <v>0</v>
      </c>
      <c r="EC50" s="82">
        <f t="shared" si="75"/>
        <v>0</v>
      </c>
      <c r="EF50" s="83">
        <f t="shared" si="91"/>
        <v>0</v>
      </c>
    </row>
    <row r="51" spans="1:136" ht="14.1" hidden="1" customHeight="1">
      <c r="A51" s="84">
        <v>44</v>
      </c>
      <c r="B51" s="85" t="s">
        <v>266</v>
      </c>
      <c r="C51" s="86"/>
      <c r="D51" s="116" t="s">
        <v>267</v>
      </c>
      <c r="E51" s="88">
        <v>103</v>
      </c>
      <c r="F51" s="89" t="s">
        <v>191</v>
      </c>
      <c r="G51" s="45" t="str">
        <f t="shared" si="30"/>
        <v>MESUS303-2.5x3-H9B14</v>
      </c>
      <c r="H51" s="46" t="str">
        <f t="shared" si="31"/>
        <v>SUS303ME2.50DH9</v>
      </c>
      <c r="I51" s="46" t="str">
        <f t="shared" si="32"/>
        <v>SUS303ME2.50DH93B14</v>
      </c>
      <c r="J51" s="90" t="s">
        <v>226</v>
      </c>
      <c r="K51" s="90" t="s">
        <v>227</v>
      </c>
      <c r="L51" s="90">
        <v>2.5</v>
      </c>
      <c r="M51" s="90">
        <v>0</v>
      </c>
      <c r="N51" s="90" t="s">
        <v>128</v>
      </c>
      <c r="O51" s="90" t="s">
        <v>131</v>
      </c>
      <c r="P51" s="90">
        <v>3</v>
      </c>
      <c r="Q51" s="91">
        <v>0.11700000000000001</v>
      </c>
      <c r="R51" s="90" t="s">
        <v>171</v>
      </c>
      <c r="S51" s="89">
        <f t="shared" si="33"/>
        <v>38</v>
      </c>
      <c r="T51" s="51">
        <f>'07.02'!BG51</f>
        <v>0</v>
      </c>
      <c r="U51" s="92"/>
      <c r="V51" s="100">
        <v>0.66</v>
      </c>
      <c r="W51" s="93">
        <f t="shared" si="5"/>
        <v>0</v>
      </c>
      <c r="X51" s="93">
        <f t="shared" si="6"/>
        <v>0</v>
      </c>
      <c r="Y51" s="93">
        <f t="shared" si="7"/>
        <v>0</v>
      </c>
      <c r="Z51" s="93">
        <f t="shared" si="8"/>
        <v>0</v>
      </c>
      <c r="AA51" s="93">
        <f t="shared" si="9"/>
        <v>0</v>
      </c>
      <c r="AB51" s="93">
        <f t="shared" si="10"/>
        <v>0</v>
      </c>
      <c r="AC51" s="93">
        <f t="shared" si="11"/>
        <v>0</v>
      </c>
      <c r="AD51" s="93">
        <f t="shared" si="12"/>
        <v>0</v>
      </c>
      <c r="AE51" s="93">
        <f t="shared" si="34"/>
        <v>0</v>
      </c>
      <c r="AF51" s="54">
        <f>AE51+'07.02'!AF51</f>
        <v>0</v>
      </c>
      <c r="AG51" s="94">
        <f t="shared" si="66"/>
        <v>0</v>
      </c>
      <c r="AH51" s="56">
        <f t="shared" si="13"/>
        <v>0</v>
      </c>
      <c r="AI51" s="93"/>
      <c r="AJ51" s="93">
        <f t="shared" si="67"/>
        <v>0</v>
      </c>
      <c r="AK51" s="95">
        <f t="shared" si="35"/>
        <v>1</v>
      </c>
      <c r="AL51" s="58">
        <f t="shared" si="36"/>
        <v>0</v>
      </c>
      <c r="AM51" s="55">
        <f t="shared" si="68"/>
        <v>0</v>
      </c>
      <c r="AN51" s="93"/>
      <c r="AO51" s="96"/>
      <c r="AP51" s="96">
        <f>$CJ51</f>
        <v>0</v>
      </c>
      <c r="AQ51" s="96"/>
      <c r="AR51" s="96"/>
      <c r="AS51" s="96"/>
      <c r="AT51" s="96"/>
      <c r="AU51" s="96">
        <f t="shared" si="37"/>
        <v>0</v>
      </c>
      <c r="AV51" s="96">
        <f t="shared" si="37"/>
        <v>0</v>
      </c>
      <c r="AW51" s="96">
        <f t="shared" si="38"/>
        <v>0</v>
      </c>
      <c r="AX51" s="96">
        <f t="shared" si="39"/>
        <v>0</v>
      </c>
      <c r="AY51" s="94">
        <f t="shared" si="69"/>
        <v>0</v>
      </c>
      <c r="AZ51" s="94">
        <f t="shared" si="40"/>
        <v>0</v>
      </c>
      <c r="BA51" s="94">
        <f t="shared" si="41"/>
        <v>0</v>
      </c>
      <c r="BB51" s="97">
        <f t="shared" si="42"/>
        <v>0</v>
      </c>
      <c r="BC51" s="93"/>
      <c r="BD51" s="93">
        <f t="shared" si="43"/>
        <v>0</v>
      </c>
      <c r="BE51" s="95">
        <f t="shared" si="44"/>
        <v>1</v>
      </c>
      <c r="BF51" s="58">
        <f t="shared" si="45"/>
        <v>0</v>
      </c>
      <c r="BG51" s="94">
        <f t="shared" si="46"/>
        <v>0</v>
      </c>
      <c r="BH51" s="89"/>
      <c r="BI51" s="89"/>
      <c r="BJ51" s="92">
        <f>$CN51</f>
        <v>0</v>
      </c>
      <c r="BK51" s="89"/>
      <c r="BL51" s="92"/>
      <c r="BM51" s="92"/>
      <c r="BN51" s="92"/>
      <c r="BO51" s="92">
        <f t="shared" si="70"/>
        <v>0</v>
      </c>
      <c r="BP51" s="92">
        <f t="shared" si="70"/>
        <v>0</v>
      </c>
      <c r="BQ51" s="96">
        <f t="shared" si="47"/>
        <v>0</v>
      </c>
      <c r="BR51" s="96">
        <f t="shared" si="48"/>
        <v>0</v>
      </c>
      <c r="BS51" s="96">
        <f t="shared" si="71"/>
        <v>0</v>
      </c>
      <c r="BT51" s="96">
        <f t="shared" si="49"/>
        <v>0</v>
      </c>
      <c r="BU51" s="92">
        <f t="shared" si="16"/>
        <v>0</v>
      </c>
      <c r="BV51" s="98">
        <f t="shared" si="17"/>
        <v>0</v>
      </c>
      <c r="BW51" s="92">
        <f t="shared" si="18"/>
        <v>0</v>
      </c>
      <c r="BX51" s="98">
        <f t="shared" si="50"/>
        <v>0</v>
      </c>
      <c r="BY51" s="61">
        <f t="shared" si="73"/>
        <v>0</v>
      </c>
      <c r="BZ51" s="62">
        <f t="shared" si="51"/>
        <v>0</v>
      </c>
      <c r="CA51" s="98">
        <f t="shared" si="52"/>
        <v>0</v>
      </c>
      <c r="CB51" s="92">
        <f t="shared" si="97"/>
        <v>0</v>
      </c>
      <c r="CC51" s="92">
        <f t="shared" si="97"/>
        <v>0</v>
      </c>
      <c r="CD51" s="92">
        <f t="shared" si="97"/>
        <v>0</v>
      </c>
      <c r="CE51" s="99"/>
      <c r="CF51" s="99"/>
      <c r="CG51" s="51">
        <f t="shared" si="53"/>
        <v>0</v>
      </c>
      <c r="CH51" s="62">
        <f t="shared" si="54"/>
        <v>0</v>
      </c>
      <c r="CI51" s="89"/>
      <c r="CJ51" s="89"/>
      <c r="CK51" s="89"/>
      <c r="CL51" s="96"/>
      <c r="CM51" s="89"/>
      <c r="CN51" s="89"/>
      <c r="CO51" s="92"/>
      <c r="CP51" s="101"/>
      <c r="CQ51" s="102">
        <f t="shared" si="100"/>
        <v>0</v>
      </c>
      <c r="CR51" s="102">
        <f t="shared" si="100"/>
        <v>0</v>
      </c>
      <c r="CS51" s="102">
        <f t="shared" si="100"/>
        <v>0</v>
      </c>
      <c r="CT51" s="92">
        <f t="shared" si="56"/>
        <v>0</v>
      </c>
      <c r="CU51" s="92">
        <f t="shared" si="101"/>
        <v>0</v>
      </c>
      <c r="CV51" s="103">
        <f t="shared" si="101"/>
        <v>0</v>
      </c>
      <c r="CW51" s="104" t="s">
        <v>147</v>
      </c>
      <c r="CX51" s="105">
        <v>20</v>
      </c>
      <c r="CY51" s="106">
        <f t="shared" si="58"/>
        <v>1971</v>
      </c>
      <c r="CZ51" s="106">
        <f t="shared" si="59"/>
        <v>81</v>
      </c>
      <c r="DA51" s="106"/>
      <c r="DB51" s="106"/>
      <c r="DC51" s="105"/>
      <c r="DD51" s="107"/>
      <c r="DE51" s="92">
        <f t="shared" si="21"/>
        <v>0</v>
      </c>
      <c r="DF51" s="108">
        <f t="shared" si="22"/>
        <v>0</v>
      </c>
      <c r="DG51" s="115">
        <f t="shared" si="23"/>
        <v>0</v>
      </c>
      <c r="DH51" s="110">
        <f t="shared" si="24"/>
        <v>0</v>
      </c>
      <c r="DI51" s="108">
        <f t="shared" si="25"/>
        <v>0</v>
      </c>
      <c r="DJ51" s="112">
        <f t="shared" si="26"/>
        <v>0</v>
      </c>
      <c r="DK51" s="110">
        <f t="shared" si="86"/>
        <v>0</v>
      </c>
      <c r="DL51" s="108">
        <f t="shared" si="86"/>
        <v>0</v>
      </c>
      <c r="DM51" s="111">
        <f t="shared" si="86"/>
        <v>0</v>
      </c>
      <c r="DN51" s="76">
        <f t="shared" si="60"/>
        <v>0</v>
      </c>
      <c r="DO51" s="76">
        <f t="shared" si="60"/>
        <v>0</v>
      </c>
      <c r="DP51" s="112"/>
      <c r="DQ51" s="112"/>
      <c r="DR51" s="113"/>
      <c r="DS51" s="112"/>
      <c r="DT51" s="112"/>
      <c r="DU51" s="111"/>
      <c r="DV51" s="114"/>
      <c r="DW51" s="80">
        <f t="shared" si="102"/>
        <v>0</v>
      </c>
      <c r="DX51" s="81">
        <f t="shared" si="28"/>
        <v>0</v>
      </c>
      <c r="DY51" s="80">
        <f t="shared" si="62"/>
        <v>0</v>
      </c>
      <c r="DZ51" s="82">
        <f t="shared" si="63"/>
        <v>0</v>
      </c>
      <c r="EA51" s="82">
        <f t="shared" si="64"/>
        <v>0</v>
      </c>
      <c r="EB51" s="82">
        <f t="shared" si="65"/>
        <v>0</v>
      </c>
      <c r="EC51" s="82">
        <f t="shared" si="75"/>
        <v>0</v>
      </c>
      <c r="EF51" s="83">
        <f t="shared" si="91"/>
        <v>0</v>
      </c>
    </row>
    <row r="52" spans="1:136" ht="14.1" hidden="1" customHeight="1">
      <c r="A52" s="84">
        <v>45</v>
      </c>
      <c r="B52" s="85" t="s">
        <v>268</v>
      </c>
      <c r="C52" s="86"/>
      <c r="D52" s="87" t="s">
        <v>263</v>
      </c>
      <c r="E52" s="88">
        <v>500</v>
      </c>
      <c r="F52" s="89" t="s">
        <v>191</v>
      </c>
      <c r="G52" s="45" t="str">
        <f t="shared" si="30"/>
        <v>MESUS303CU-3.5x3-H9B14</v>
      </c>
      <c r="H52" s="46" t="str">
        <f t="shared" si="31"/>
        <v>SUS303CUME3.50DH9</v>
      </c>
      <c r="I52" s="46" t="str">
        <f t="shared" si="32"/>
        <v>SUS303CUME3.50DH93B14</v>
      </c>
      <c r="J52" s="90" t="s">
        <v>264</v>
      </c>
      <c r="K52" s="90" t="s">
        <v>227</v>
      </c>
      <c r="L52" s="90">
        <v>3.5</v>
      </c>
      <c r="M52" s="90">
        <v>0</v>
      </c>
      <c r="N52" s="90" t="s">
        <v>128</v>
      </c>
      <c r="O52" s="90" t="s">
        <v>131</v>
      </c>
      <c r="P52" s="90">
        <v>3</v>
      </c>
      <c r="Q52" s="91">
        <v>0.23</v>
      </c>
      <c r="R52" s="90" t="s">
        <v>171</v>
      </c>
      <c r="S52" s="89">
        <f t="shared" si="33"/>
        <v>14</v>
      </c>
      <c r="T52" s="51">
        <f>'07.02'!BG52</f>
        <v>0</v>
      </c>
      <c r="U52" s="92"/>
      <c r="V52" s="100">
        <v>0.16300000000000001</v>
      </c>
      <c r="W52" s="93">
        <f t="shared" si="5"/>
        <v>0</v>
      </c>
      <c r="X52" s="93">
        <f t="shared" si="6"/>
        <v>0</v>
      </c>
      <c r="Y52" s="93">
        <f t="shared" si="7"/>
        <v>0</v>
      </c>
      <c r="Z52" s="93">
        <f t="shared" si="8"/>
        <v>0</v>
      </c>
      <c r="AA52" s="93">
        <f t="shared" si="9"/>
        <v>0</v>
      </c>
      <c r="AB52" s="93">
        <f t="shared" si="10"/>
        <v>0</v>
      </c>
      <c r="AC52" s="93">
        <f t="shared" si="11"/>
        <v>0</v>
      </c>
      <c r="AD52" s="93">
        <f t="shared" si="12"/>
        <v>0</v>
      </c>
      <c r="AE52" s="93">
        <f t="shared" si="34"/>
        <v>0</v>
      </c>
      <c r="AF52" s="54">
        <f>AE52+'07.02'!AF52</f>
        <v>0</v>
      </c>
      <c r="AG52" s="94">
        <f t="shared" si="66"/>
        <v>0</v>
      </c>
      <c r="AH52" s="56">
        <f t="shared" si="13"/>
        <v>0</v>
      </c>
      <c r="AI52" s="93"/>
      <c r="AJ52" s="93">
        <f t="shared" si="67"/>
        <v>0</v>
      </c>
      <c r="AK52" s="95">
        <f t="shared" si="35"/>
        <v>1</v>
      </c>
      <c r="AL52" s="58">
        <f t="shared" si="36"/>
        <v>0</v>
      </c>
      <c r="AM52" s="55">
        <f t="shared" si="68"/>
        <v>0</v>
      </c>
      <c r="AN52" s="93"/>
      <c r="AO52" s="96"/>
      <c r="AP52" s="96"/>
      <c r="AQ52" s="96"/>
      <c r="AR52" s="96">
        <f>$CJ52</f>
        <v>0</v>
      </c>
      <c r="AS52" s="96"/>
      <c r="AT52" s="96"/>
      <c r="AU52" s="96">
        <f t="shared" si="37"/>
        <v>0</v>
      </c>
      <c r="AV52" s="96">
        <f t="shared" si="37"/>
        <v>0</v>
      </c>
      <c r="AW52" s="96">
        <f t="shared" si="38"/>
        <v>0</v>
      </c>
      <c r="AX52" s="96">
        <f t="shared" si="39"/>
        <v>0</v>
      </c>
      <c r="AY52" s="94">
        <f t="shared" si="69"/>
        <v>0</v>
      </c>
      <c r="AZ52" s="94">
        <f t="shared" si="40"/>
        <v>0</v>
      </c>
      <c r="BA52" s="94">
        <f t="shared" si="41"/>
        <v>0</v>
      </c>
      <c r="BB52" s="97">
        <f t="shared" si="42"/>
        <v>0</v>
      </c>
      <c r="BC52" s="93"/>
      <c r="BD52" s="93">
        <f t="shared" si="43"/>
        <v>0</v>
      </c>
      <c r="BE52" s="95">
        <f t="shared" si="44"/>
        <v>1</v>
      </c>
      <c r="BF52" s="58">
        <f t="shared" si="45"/>
        <v>0</v>
      </c>
      <c r="BG52" s="94">
        <f t="shared" si="46"/>
        <v>0</v>
      </c>
      <c r="BH52" s="89"/>
      <c r="BI52" s="89"/>
      <c r="BJ52" s="89"/>
      <c r="BK52" s="89"/>
      <c r="BL52" s="92">
        <f>$CN52</f>
        <v>0</v>
      </c>
      <c r="BM52" s="89"/>
      <c r="BN52" s="92"/>
      <c r="BO52" s="92">
        <f t="shared" si="70"/>
        <v>0</v>
      </c>
      <c r="BP52" s="92">
        <f t="shared" si="70"/>
        <v>0</v>
      </c>
      <c r="BQ52" s="96">
        <f t="shared" si="47"/>
        <v>0</v>
      </c>
      <c r="BR52" s="96">
        <f t="shared" si="48"/>
        <v>0</v>
      </c>
      <c r="BS52" s="96">
        <f t="shared" si="71"/>
        <v>0</v>
      </c>
      <c r="BT52" s="96">
        <f t="shared" si="49"/>
        <v>0</v>
      </c>
      <c r="BU52" s="92">
        <f t="shared" si="16"/>
        <v>0</v>
      </c>
      <c r="BV52" s="98">
        <f t="shared" si="17"/>
        <v>0</v>
      </c>
      <c r="BW52" s="92">
        <f t="shared" si="18"/>
        <v>0</v>
      </c>
      <c r="BX52" s="98">
        <f t="shared" si="50"/>
        <v>0</v>
      </c>
      <c r="BY52" s="61">
        <f t="shared" si="73"/>
        <v>0</v>
      </c>
      <c r="BZ52" s="62">
        <f t="shared" si="51"/>
        <v>0</v>
      </c>
      <c r="CA52" s="98">
        <f t="shared" si="52"/>
        <v>0</v>
      </c>
      <c r="CB52" s="92">
        <f t="shared" si="97"/>
        <v>0</v>
      </c>
      <c r="CC52" s="92">
        <f t="shared" si="97"/>
        <v>0</v>
      </c>
      <c r="CD52" s="92">
        <f t="shared" si="97"/>
        <v>0</v>
      </c>
      <c r="CE52" s="99"/>
      <c r="CF52" s="99"/>
      <c r="CG52" s="51">
        <f t="shared" si="53"/>
        <v>0</v>
      </c>
      <c r="CH52" s="62">
        <f t="shared" si="54"/>
        <v>0</v>
      </c>
      <c r="CI52" s="89"/>
      <c r="CJ52" s="89"/>
      <c r="CK52" s="89"/>
      <c r="CL52" s="96"/>
      <c r="CM52" s="89"/>
      <c r="CN52" s="89"/>
      <c r="CO52" s="92"/>
      <c r="CP52" s="101"/>
      <c r="CQ52" s="102">
        <f t="shared" si="100"/>
        <v>0</v>
      </c>
      <c r="CR52" s="102">
        <f t="shared" si="100"/>
        <v>0</v>
      </c>
      <c r="CS52" s="102">
        <f t="shared" si="100"/>
        <v>0</v>
      </c>
      <c r="CT52" s="92">
        <f t="shared" si="56"/>
        <v>0</v>
      </c>
      <c r="CU52" s="92">
        <f t="shared" si="101"/>
        <v>0</v>
      </c>
      <c r="CV52" s="103">
        <f t="shared" si="101"/>
        <v>0</v>
      </c>
      <c r="CW52" s="104" t="s">
        <v>147</v>
      </c>
      <c r="CX52" s="105">
        <v>12</v>
      </c>
      <c r="CY52" s="106">
        <f t="shared" si="58"/>
        <v>3480</v>
      </c>
      <c r="CZ52" s="106">
        <f t="shared" si="59"/>
        <v>48.6</v>
      </c>
      <c r="DA52" s="106"/>
      <c r="DB52" s="106"/>
      <c r="DC52" s="105"/>
      <c r="DD52" s="107"/>
      <c r="DE52" s="92">
        <f t="shared" si="21"/>
        <v>0</v>
      </c>
      <c r="DF52" s="108">
        <f t="shared" si="22"/>
        <v>0</v>
      </c>
      <c r="DG52" s="112">
        <f t="shared" si="23"/>
        <v>0</v>
      </c>
      <c r="DH52" s="110">
        <f t="shared" si="24"/>
        <v>0</v>
      </c>
      <c r="DI52" s="108">
        <f t="shared" si="25"/>
        <v>0</v>
      </c>
      <c r="DJ52" s="112">
        <f t="shared" si="26"/>
        <v>0</v>
      </c>
      <c r="DK52" s="110">
        <f t="shared" si="86"/>
        <v>0</v>
      </c>
      <c r="DL52" s="108">
        <f t="shared" si="86"/>
        <v>0</v>
      </c>
      <c r="DM52" s="111">
        <f t="shared" si="86"/>
        <v>0</v>
      </c>
      <c r="DN52" s="76">
        <f t="shared" si="60"/>
        <v>0</v>
      </c>
      <c r="DO52" s="76">
        <f t="shared" si="60"/>
        <v>0</v>
      </c>
      <c r="DP52" s="112"/>
      <c r="DQ52" s="112"/>
      <c r="DR52" s="113"/>
      <c r="DS52" s="112"/>
      <c r="DT52" s="112"/>
      <c r="DU52" s="111"/>
      <c r="DV52" s="114"/>
      <c r="DW52" s="80">
        <f t="shared" si="102"/>
        <v>0</v>
      </c>
      <c r="DX52" s="81">
        <f t="shared" si="28"/>
        <v>0</v>
      </c>
      <c r="DY52" s="80">
        <f t="shared" si="62"/>
        <v>0</v>
      </c>
      <c r="DZ52" s="82">
        <f t="shared" si="63"/>
        <v>0</v>
      </c>
      <c r="EA52" s="82">
        <f t="shared" si="64"/>
        <v>0</v>
      </c>
      <c r="EB52" s="82">
        <f t="shared" si="65"/>
        <v>0</v>
      </c>
      <c r="EC52" s="82">
        <f t="shared" si="75"/>
        <v>0</v>
      </c>
      <c r="EF52" s="83">
        <f t="shared" si="91"/>
        <v>0</v>
      </c>
    </row>
    <row r="53" spans="1:136" ht="14.1" customHeight="1">
      <c r="A53" s="84">
        <v>46</v>
      </c>
      <c r="B53" s="85" t="s">
        <v>269</v>
      </c>
      <c r="C53" s="86"/>
      <c r="D53" s="87" t="s">
        <v>270</v>
      </c>
      <c r="E53" s="88">
        <v>228</v>
      </c>
      <c r="F53" s="89" t="s">
        <v>191</v>
      </c>
      <c r="G53" s="45" t="str">
        <f t="shared" si="30"/>
        <v>MESUS420J2-2x2.5-H9A14</v>
      </c>
      <c r="H53" s="46" t="str">
        <f t="shared" si="31"/>
        <v>SUS420J2ME20DH9</v>
      </c>
      <c r="I53" s="46" t="str">
        <f t="shared" si="32"/>
        <v>SUS420J2ME20DH92.5A14</v>
      </c>
      <c r="J53" s="90" t="s">
        <v>271</v>
      </c>
      <c r="K53" s="90" t="s">
        <v>227</v>
      </c>
      <c r="L53" s="90">
        <v>2</v>
      </c>
      <c r="M53" s="90">
        <v>0</v>
      </c>
      <c r="N53" s="90" t="s">
        <v>128</v>
      </c>
      <c r="O53" s="90" t="s">
        <v>131</v>
      </c>
      <c r="P53" s="90">
        <v>2.5</v>
      </c>
      <c r="Q53" s="91">
        <v>0.06</v>
      </c>
      <c r="R53" s="90" t="s">
        <v>139</v>
      </c>
      <c r="S53" s="89">
        <f t="shared" si="33"/>
        <v>42</v>
      </c>
      <c r="T53" s="51">
        <f>'07.02'!BG53</f>
        <v>20</v>
      </c>
      <c r="U53" s="92"/>
      <c r="V53" s="100">
        <v>0.216</v>
      </c>
      <c r="W53" s="93">
        <f t="shared" si="5"/>
        <v>0</v>
      </c>
      <c r="X53" s="93">
        <f t="shared" si="6"/>
        <v>0</v>
      </c>
      <c r="Y53" s="93">
        <f t="shared" si="7"/>
        <v>0</v>
      </c>
      <c r="Z53" s="93">
        <f t="shared" si="8"/>
        <v>0</v>
      </c>
      <c r="AA53" s="93">
        <f t="shared" si="9"/>
        <v>0</v>
      </c>
      <c r="AB53" s="93">
        <f t="shared" si="10"/>
        <v>0</v>
      </c>
      <c r="AC53" s="93">
        <f t="shared" si="11"/>
        <v>0</v>
      </c>
      <c r="AD53" s="93">
        <f t="shared" si="12"/>
        <v>0</v>
      </c>
      <c r="AE53" s="93">
        <f t="shared" si="34"/>
        <v>0</v>
      </c>
      <c r="AF53" s="54">
        <f>AE53+'07.02'!AF53</f>
        <v>0</v>
      </c>
      <c r="AG53" s="94">
        <f t="shared" si="66"/>
        <v>20</v>
      </c>
      <c r="AH53" s="56">
        <f t="shared" si="13"/>
        <v>0</v>
      </c>
      <c r="AI53" s="93"/>
      <c r="AJ53" s="93">
        <f t="shared" si="67"/>
        <v>0</v>
      </c>
      <c r="AK53" s="95">
        <f t="shared" si="35"/>
        <v>1</v>
      </c>
      <c r="AL53" s="58">
        <f t="shared" si="36"/>
        <v>0</v>
      </c>
      <c r="AM53" s="55">
        <f t="shared" si="68"/>
        <v>20</v>
      </c>
      <c r="AN53" s="93"/>
      <c r="AO53" s="96"/>
      <c r="AP53" s="96"/>
      <c r="AQ53" s="96"/>
      <c r="AR53" s="96"/>
      <c r="AS53" s="96"/>
      <c r="AT53" s="96">
        <f>$CJ53</f>
        <v>0</v>
      </c>
      <c r="AU53" s="96">
        <f t="shared" si="37"/>
        <v>0</v>
      </c>
      <c r="AV53" s="96">
        <f t="shared" si="37"/>
        <v>0</v>
      </c>
      <c r="AW53" s="96">
        <f t="shared" si="38"/>
        <v>0</v>
      </c>
      <c r="AX53" s="96">
        <f t="shared" si="39"/>
        <v>0</v>
      </c>
      <c r="AY53" s="94">
        <f t="shared" si="69"/>
        <v>0</v>
      </c>
      <c r="AZ53" s="94">
        <f t="shared" si="40"/>
        <v>0</v>
      </c>
      <c r="BA53" s="94">
        <f t="shared" si="41"/>
        <v>20</v>
      </c>
      <c r="BB53" s="97">
        <f t="shared" si="42"/>
        <v>0</v>
      </c>
      <c r="BC53" s="93"/>
      <c r="BD53" s="93">
        <f t="shared" si="43"/>
        <v>0</v>
      </c>
      <c r="BE53" s="95">
        <f t="shared" si="44"/>
        <v>1</v>
      </c>
      <c r="BF53" s="58">
        <f t="shared" si="45"/>
        <v>0</v>
      </c>
      <c r="BG53" s="94">
        <f t="shared" si="46"/>
        <v>20</v>
      </c>
      <c r="BH53" s="89"/>
      <c r="BI53" s="89"/>
      <c r="BJ53" s="89"/>
      <c r="BK53" s="89"/>
      <c r="BL53" s="89"/>
      <c r="BM53" s="89"/>
      <c r="BN53" s="92">
        <f>$CN53</f>
        <v>0</v>
      </c>
      <c r="BO53" s="92">
        <f t="shared" si="70"/>
        <v>0</v>
      </c>
      <c r="BP53" s="92">
        <f t="shared" si="70"/>
        <v>0</v>
      </c>
      <c r="BQ53" s="96">
        <f t="shared" si="47"/>
        <v>0</v>
      </c>
      <c r="BR53" s="96">
        <f t="shared" si="48"/>
        <v>0</v>
      </c>
      <c r="BS53" s="96">
        <f t="shared" si="71"/>
        <v>0</v>
      </c>
      <c r="BT53" s="96">
        <f t="shared" si="49"/>
        <v>0</v>
      </c>
      <c r="BU53" s="92">
        <f t="shared" si="16"/>
        <v>0</v>
      </c>
      <c r="BV53" s="98">
        <f t="shared" si="17"/>
        <v>0</v>
      </c>
      <c r="BW53" s="92">
        <f t="shared" si="18"/>
        <v>0</v>
      </c>
      <c r="BX53" s="98">
        <f t="shared" si="50"/>
        <v>0</v>
      </c>
      <c r="BY53" s="61">
        <f t="shared" si="73"/>
        <v>0</v>
      </c>
      <c r="BZ53" s="62">
        <f t="shared" si="51"/>
        <v>0</v>
      </c>
      <c r="CA53" s="98">
        <f t="shared" si="52"/>
        <v>0</v>
      </c>
      <c r="CB53" s="92">
        <f t="shared" si="97"/>
        <v>0</v>
      </c>
      <c r="CC53" s="92">
        <f t="shared" si="97"/>
        <v>0</v>
      </c>
      <c r="CD53" s="92">
        <f t="shared" si="97"/>
        <v>0</v>
      </c>
      <c r="CE53" s="99"/>
      <c r="CF53" s="99"/>
      <c r="CG53" s="51">
        <f t="shared" si="53"/>
        <v>0</v>
      </c>
      <c r="CH53" s="62">
        <f t="shared" si="54"/>
        <v>0</v>
      </c>
      <c r="CI53" s="89"/>
      <c r="CJ53" s="89"/>
      <c r="CK53" s="89"/>
      <c r="CL53" s="96"/>
      <c r="CM53" s="89"/>
      <c r="CN53" s="89"/>
      <c r="CO53" s="92"/>
      <c r="CP53" s="101"/>
      <c r="CQ53" s="102">
        <f t="shared" si="100"/>
        <v>0</v>
      </c>
      <c r="CR53" s="102">
        <f t="shared" si="100"/>
        <v>0</v>
      </c>
      <c r="CS53" s="102">
        <f t="shared" si="100"/>
        <v>0</v>
      </c>
      <c r="CT53" s="92">
        <f t="shared" si="56"/>
        <v>0</v>
      </c>
      <c r="CU53" s="92">
        <f t="shared" si="101"/>
        <v>0</v>
      </c>
      <c r="CV53" s="103">
        <f t="shared" si="101"/>
        <v>0</v>
      </c>
      <c r="CW53" s="104" t="s">
        <v>147</v>
      </c>
      <c r="CX53" s="105">
        <v>8.0500000000000007</v>
      </c>
      <c r="CY53" s="106">
        <f t="shared" si="58"/>
        <v>4829</v>
      </c>
      <c r="CZ53" s="106">
        <f t="shared" si="59"/>
        <v>32.602500000000006</v>
      </c>
      <c r="DA53" s="106"/>
      <c r="DB53" s="106"/>
      <c r="DC53" s="105"/>
      <c r="DD53" s="107"/>
      <c r="DE53" s="92">
        <f t="shared" si="21"/>
        <v>0</v>
      </c>
      <c r="DF53" s="108">
        <f t="shared" si="22"/>
        <v>0</v>
      </c>
      <c r="DG53" s="112">
        <f t="shared" si="23"/>
        <v>0</v>
      </c>
      <c r="DH53" s="110">
        <f t="shared" si="24"/>
        <v>0</v>
      </c>
      <c r="DI53" s="108">
        <f t="shared" si="25"/>
        <v>0</v>
      </c>
      <c r="DJ53" s="112">
        <f t="shared" si="26"/>
        <v>0</v>
      </c>
      <c r="DK53" s="110">
        <f t="shared" si="86"/>
        <v>0</v>
      </c>
      <c r="DL53" s="108">
        <f t="shared" si="86"/>
        <v>0</v>
      </c>
      <c r="DM53" s="111">
        <f t="shared" si="86"/>
        <v>0</v>
      </c>
      <c r="DN53" s="76">
        <v>20</v>
      </c>
      <c r="DO53" s="76"/>
      <c r="DP53" s="112"/>
      <c r="DQ53" s="112"/>
      <c r="DR53" s="113" t="s">
        <v>538</v>
      </c>
      <c r="DS53" s="112"/>
      <c r="DT53" s="112"/>
      <c r="DU53" s="111"/>
      <c r="DV53" s="114"/>
      <c r="DW53" s="80">
        <f t="shared" si="61"/>
        <v>0</v>
      </c>
      <c r="DX53" s="81">
        <f t="shared" si="28"/>
        <v>0</v>
      </c>
      <c r="DY53" s="80">
        <f t="shared" si="62"/>
        <v>0</v>
      </c>
      <c r="DZ53" s="82">
        <f t="shared" si="63"/>
        <v>0</v>
      </c>
      <c r="EA53" s="82">
        <f t="shared" si="64"/>
        <v>0</v>
      </c>
      <c r="EB53" s="82">
        <f t="shared" si="65"/>
        <v>0</v>
      </c>
      <c r="EC53" s="82">
        <f t="shared" si="75"/>
        <v>0</v>
      </c>
      <c r="EF53" s="83">
        <f t="shared" si="91"/>
        <v>0</v>
      </c>
    </row>
    <row r="54" spans="1:136" ht="14.1" customHeight="1">
      <c r="A54" s="84">
        <v>47</v>
      </c>
      <c r="B54" s="85" t="s">
        <v>273</v>
      </c>
      <c r="C54" s="86"/>
      <c r="D54" s="116" t="s">
        <v>274</v>
      </c>
      <c r="E54" s="88">
        <v>501</v>
      </c>
      <c r="F54" s="89" t="s">
        <v>191</v>
      </c>
      <c r="G54" s="45" t="str">
        <f t="shared" si="30"/>
        <v>MESUS303CU-3.5x3-H9B14</v>
      </c>
      <c r="H54" s="46" t="str">
        <f t="shared" si="31"/>
        <v>SUS303CUME3.50DH9</v>
      </c>
      <c r="I54" s="46" t="str">
        <f t="shared" si="32"/>
        <v>SUS303CUME3.50DH93B14</v>
      </c>
      <c r="J54" s="90" t="s">
        <v>264</v>
      </c>
      <c r="K54" s="90" t="s">
        <v>227</v>
      </c>
      <c r="L54" s="90">
        <v>3.5</v>
      </c>
      <c r="M54" s="90">
        <v>0</v>
      </c>
      <c r="N54" s="90" t="s">
        <v>128</v>
      </c>
      <c r="O54" s="90" t="s">
        <v>131</v>
      </c>
      <c r="P54" s="90">
        <v>3</v>
      </c>
      <c r="Q54" s="91">
        <v>0.23</v>
      </c>
      <c r="R54" s="90" t="s">
        <v>171</v>
      </c>
      <c r="S54" s="89">
        <f t="shared" si="33"/>
        <v>12</v>
      </c>
      <c r="T54" s="51">
        <f>'07.02'!BG54</f>
        <v>40</v>
      </c>
      <c r="U54" s="92"/>
      <c r="V54" s="100">
        <v>0.183</v>
      </c>
      <c r="W54" s="93">
        <f t="shared" si="5"/>
        <v>0</v>
      </c>
      <c r="X54" s="93">
        <f t="shared" si="6"/>
        <v>0</v>
      </c>
      <c r="Y54" s="93">
        <f t="shared" si="7"/>
        <v>0</v>
      </c>
      <c r="Z54" s="93">
        <f t="shared" si="8"/>
        <v>0</v>
      </c>
      <c r="AA54" s="93">
        <f t="shared" si="9"/>
        <v>0</v>
      </c>
      <c r="AB54" s="93">
        <f t="shared" si="10"/>
        <v>0</v>
      </c>
      <c r="AC54" s="93">
        <f t="shared" si="11"/>
        <v>0</v>
      </c>
      <c r="AD54" s="93">
        <f t="shared" si="12"/>
        <v>0</v>
      </c>
      <c r="AE54" s="93">
        <f t="shared" si="34"/>
        <v>0</v>
      </c>
      <c r="AF54" s="54">
        <f>AE54+'07.02'!AF54</f>
        <v>0</v>
      </c>
      <c r="AG54" s="94">
        <f t="shared" si="66"/>
        <v>40</v>
      </c>
      <c r="AH54" s="56">
        <f t="shared" si="13"/>
        <v>0</v>
      </c>
      <c r="AI54" s="93"/>
      <c r="AJ54" s="93">
        <f t="shared" si="67"/>
        <v>0</v>
      </c>
      <c r="AK54" s="95">
        <f t="shared" si="35"/>
        <v>1</v>
      </c>
      <c r="AL54" s="58">
        <f t="shared" si="36"/>
        <v>0</v>
      </c>
      <c r="AM54" s="55">
        <f t="shared" si="68"/>
        <v>40</v>
      </c>
      <c r="AN54" s="93"/>
      <c r="AO54" s="96"/>
      <c r="AP54" s="96"/>
      <c r="AQ54" s="96"/>
      <c r="AR54" s="96">
        <f>$CJ54</f>
        <v>0</v>
      </c>
      <c r="AS54" s="96"/>
      <c r="AT54" s="96"/>
      <c r="AU54" s="96">
        <f t="shared" si="37"/>
        <v>0</v>
      </c>
      <c r="AV54" s="96">
        <f t="shared" si="37"/>
        <v>0</v>
      </c>
      <c r="AW54" s="96">
        <f t="shared" si="38"/>
        <v>0</v>
      </c>
      <c r="AX54" s="96">
        <f t="shared" si="39"/>
        <v>0</v>
      </c>
      <c r="AY54" s="94">
        <f t="shared" si="69"/>
        <v>0</v>
      </c>
      <c r="AZ54" s="94">
        <f t="shared" si="40"/>
        <v>0</v>
      </c>
      <c r="BA54" s="94">
        <f t="shared" si="41"/>
        <v>40</v>
      </c>
      <c r="BB54" s="97">
        <f t="shared" si="42"/>
        <v>0</v>
      </c>
      <c r="BC54" s="93"/>
      <c r="BD54" s="93">
        <f t="shared" si="43"/>
        <v>0</v>
      </c>
      <c r="BE54" s="95">
        <f t="shared" si="44"/>
        <v>1</v>
      </c>
      <c r="BF54" s="58">
        <f t="shared" si="45"/>
        <v>0</v>
      </c>
      <c r="BG54" s="94">
        <f t="shared" si="46"/>
        <v>40</v>
      </c>
      <c r="BH54" s="89"/>
      <c r="BI54" s="89"/>
      <c r="BJ54" s="89"/>
      <c r="BK54" s="89"/>
      <c r="BL54" s="92">
        <f>$CN54</f>
        <v>0</v>
      </c>
      <c r="BM54" s="89"/>
      <c r="BN54" s="89"/>
      <c r="BO54" s="92">
        <f t="shared" si="70"/>
        <v>0</v>
      </c>
      <c r="BP54" s="92">
        <f t="shared" si="70"/>
        <v>0</v>
      </c>
      <c r="BQ54" s="96">
        <f t="shared" si="47"/>
        <v>0</v>
      </c>
      <c r="BR54" s="96">
        <f t="shared" si="48"/>
        <v>0</v>
      </c>
      <c r="BS54" s="96">
        <f t="shared" si="71"/>
        <v>0</v>
      </c>
      <c r="BT54" s="96">
        <f t="shared" si="49"/>
        <v>0</v>
      </c>
      <c r="BU54" s="92">
        <f t="shared" si="16"/>
        <v>0</v>
      </c>
      <c r="BV54" s="98">
        <f t="shared" si="17"/>
        <v>0</v>
      </c>
      <c r="BW54" s="92">
        <f t="shared" si="18"/>
        <v>0</v>
      </c>
      <c r="BX54" s="98">
        <f t="shared" si="50"/>
        <v>0</v>
      </c>
      <c r="BY54" s="61">
        <f t="shared" si="73"/>
        <v>0</v>
      </c>
      <c r="BZ54" s="62">
        <f t="shared" si="51"/>
        <v>0</v>
      </c>
      <c r="CA54" s="98">
        <f t="shared" si="52"/>
        <v>0</v>
      </c>
      <c r="CB54" s="92">
        <f t="shared" si="97"/>
        <v>0</v>
      </c>
      <c r="CC54" s="92">
        <f t="shared" si="97"/>
        <v>0</v>
      </c>
      <c r="CD54" s="92">
        <f t="shared" si="97"/>
        <v>0</v>
      </c>
      <c r="CE54" s="99"/>
      <c r="CF54" s="99"/>
      <c r="CG54" s="51">
        <f t="shared" si="53"/>
        <v>0</v>
      </c>
      <c r="CH54" s="62">
        <f t="shared" si="54"/>
        <v>0</v>
      </c>
      <c r="CI54" s="89"/>
      <c r="CJ54" s="89"/>
      <c r="CK54" s="89"/>
      <c r="CL54" s="96"/>
      <c r="CM54" s="89"/>
      <c r="CN54" s="89"/>
      <c r="CO54" s="92"/>
      <c r="CP54" s="101"/>
      <c r="CQ54" s="102">
        <f t="shared" si="100"/>
        <v>0</v>
      </c>
      <c r="CR54" s="102">
        <f t="shared" si="100"/>
        <v>0</v>
      </c>
      <c r="CS54" s="102">
        <f t="shared" si="100"/>
        <v>0</v>
      </c>
      <c r="CT54" s="92">
        <f t="shared" si="56"/>
        <v>0</v>
      </c>
      <c r="CU54" s="92">
        <f t="shared" si="101"/>
        <v>0</v>
      </c>
      <c r="CV54" s="103">
        <f t="shared" si="101"/>
        <v>0</v>
      </c>
      <c r="CW54" s="104" t="s">
        <v>147</v>
      </c>
      <c r="CX54" s="105">
        <v>15</v>
      </c>
      <c r="CY54" s="106">
        <f t="shared" si="58"/>
        <v>2808</v>
      </c>
      <c r="CZ54" s="106">
        <f t="shared" si="59"/>
        <v>60.750000000000007</v>
      </c>
      <c r="DA54" s="106"/>
      <c r="DB54" s="106"/>
      <c r="DC54" s="105"/>
      <c r="DD54" s="107"/>
      <c r="DE54" s="92">
        <f t="shared" si="21"/>
        <v>0</v>
      </c>
      <c r="DF54" s="108">
        <f t="shared" si="22"/>
        <v>0</v>
      </c>
      <c r="DG54" s="112">
        <f t="shared" si="23"/>
        <v>0</v>
      </c>
      <c r="DH54" s="110">
        <f t="shared" si="24"/>
        <v>0</v>
      </c>
      <c r="DI54" s="108">
        <f t="shared" si="25"/>
        <v>0</v>
      </c>
      <c r="DJ54" s="112">
        <f t="shared" si="26"/>
        <v>0</v>
      </c>
      <c r="DK54" s="110">
        <f t="shared" si="86"/>
        <v>0</v>
      </c>
      <c r="DL54" s="108">
        <f t="shared" si="86"/>
        <v>0</v>
      </c>
      <c r="DM54" s="111">
        <f t="shared" si="86"/>
        <v>0</v>
      </c>
      <c r="DN54" s="76">
        <v>40</v>
      </c>
      <c r="DO54" s="76"/>
      <c r="DP54" s="112"/>
      <c r="DQ54" s="112"/>
      <c r="DR54" s="113" t="s">
        <v>539</v>
      </c>
      <c r="DS54" s="112"/>
      <c r="DT54" s="112"/>
      <c r="DU54" s="111"/>
      <c r="DV54" s="114"/>
      <c r="DW54" s="80">
        <f t="shared" ref="DW54:DW58" si="103">IFERROR(AL54+BF54,"")</f>
        <v>0</v>
      </c>
      <c r="DX54" s="81">
        <f t="shared" si="28"/>
        <v>0</v>
      </c>
      <c r="DY54" s="80">
        <f t="shared" si="62"/>
        <v>0</v>
      </c>
      <c r="DZ54" s="82">
        <f t="shared" si="63"/>
        <v>0</v>
      </c>
      <c r="EA54" s="82">
        <f t="shared" si="64"/>
        <v>0</v>
      </c>
      <c r="EB54" s="82">
        <f t="shared" si="65"/>
        <v>0</v>
      </c>
      <c r="EC54" s="82">
        <f t="shared" si="75"/>
        <v>0</v>
      </c>
      <c r="EF54" s="83">
        <f t="shared" si="91"/>
        <v>0</v>
      </c>
    </row>
    <row r="55" spans="1:136" ht="15" customHeight="1">
      <c r="A55" s="84">
        <v>48</v>
      </c>
      <c r="B55" s="85" t="s">
        <v>276</v>
      </c>
      <c r="C55" s="86"/>
      <c r="D55" s="119">
        <v>305</v>
      </c>
      <c r="E55" s="88">
        <v>177</v>
      </c>
      <c r="F55" s="89" t="s">
        <v>147</v>
      </c>
      <c r="G55" s="45" t="str">
        <f t="shared" si="30"/>
        <v>YHC3604-4.03x3-H9A14</v>
      </c>
      <c r="H55" s="46" t="str">
        <f t="shared" si="31"/>
        <v>C3604YH4.030DH9</v>
      </c>
      <c r="I55" s="46" t="str">
        <f t="shared" si="32"/>
        <v>C3604YH4.030DH93A14</v>
      </c>
      <c r="J55" s="90" t="s">
        <v>148</v>
      </c>
      <c r="K55" s="90" t="s">
        <v>181</v>
      </c>
      <c r="L55" s="90">
        <v>4.03</v>
      </c>
      <c r="M55" s="90">
        <v>0</v>
      </c>
      <c r="N55" s="90" t="s">
        <v>128</v>
      </c>
      <c r="O55" s="90" t="s">
        <v>131</v>
      </c>
      <c r="P55" s="90">
        <v>3</v>
      </c>
      <c r="Q55" s="91">
        <v>0.32300000000000001</v>
      </c>
      <c r="R55" s="90" t="s">
        <v>139</v>
      </c>
      <c r="S55" s="89">
        <f t="shared" si="33"/>
        <v>60</v>
      </c>
      <c r="T55" s="51">
        <f>'07.02'!BG55</f>
        <v>27</v>
      </c>
      <c r="U55" s="92">
        <v>53</v>
      </c>
      <c r="V55" s="100">
        <v>0.64</v>
      </c>
      <c r="W55" s="93">
        <f t="shared" si="5"/>
        <v>0</v>
      </c>
      <c r="X55" s="93">
        <f t="shared" si="6"/>
        <v>0</v>
      </c>
      <c r="Y55" s="93">
        <f t="shared" si="7"/>
        <v>0</v>
      </c>
      <c r="Z55" s="93">
        <f t="shared" si="8"/>
        <v>0</v>
      </c>
      <c r="AA55" s="93">
        <f t="shared" si="9"/>
        <v>0</v>
      </c>
      <c r="AB55" s="93">
        <f t="shared" si="10"/>
        <v>0</v>
      </c>
      <c r="AC55" s="93">
        <f t="shared" si="11"/>
        <v>0</v>
      </c>
      <c r="AD55" s="93">
        <f t="shared" si="12"/>
        <v>0</v>
      </c>
      <c r="AE55" s="93">
        <f t="shared" si="34"/>
        <v>0</v>
      </c>
      <c r="AF55" s="54">
        <f>AE55+'07.02'!AF55</f>
        <v>64165</v>
      </c>
      <c r="AG55" s="94">
        <f t="shared" si="66"/>
        <v>27</v>
      </c>
      <c r="AH55" s="56">
        <f t="shared" si="13"/>
        <v>0</v>
      </c>
      <c r="AI55" s="93"/>
      <c r="AJ55" s="93">
        <f t="shared" si="67"/>
        <v>0</v>
      </c>
      <c r="AK55" s="95">
        <f t="shared" si="35"/>
        <v>1</v>
      </c>
      <c r="AL55" s="58">
        <f t="shared" si="36"/>
        <v>0</v>
      </c>
      <c r="AM55" s="55">
        <f t="shared" si="68"/>
        <v>80</v>
      </c>
      <c r="AN55" s="93"/>
      <c r="AO55" s="96"/>
      <c r="AP55" s="96"/>
      <c r="AQ55" s="96"/>
      <c r="AR55" s="96"/>
      <c r="AS55" s="96"/>
      <c r="AT55" s="96">
        <f>$CJ55</f>
        <v>0</v>
      </c>
      <c r="AU55" s="96">
        <f t="shared" si="37"/>
        <v>0</v>
      </c>
      <c r="AV55" s="96">
        <f t="shared" si="37"/>
        <v>0</v>
      </c>
      <c r="AW55" s="96">
        <f t="shared" si="38"/>
        <v>0</v>
      </c>
      <c r="AX55" s="96">
        <f t="shared" si="39"/>
        <v>0</v>
      </c>
      <c r="AY55" s="94">
        <f t="shared" si="69"/>
        <v>0</v>
      </c>
      <c r="AZ55" s="94">
        <f t="shared" si="40"/>
        <v>0</v>
      </c>
      <c r="BA55" s="94">
        <f t="shared" si="41"/>
        <v>80</v>
      </c>
      <c r="BB55" s="97">
        <f t="shared" si="42"/>
        <v>0</v>
      </c>
      <c r="BC55" s="93"/>
      <c r="BD55" s="93">
        <f t="shared" si="43"/>
        <v>0</v>
      </c>
      <c r="BE55" s="95">
        <f t="shared" si="44"/>
        <v>1</v>
      </c>
      <c r="BF55" s="58">
        <f t="shared" si="45"/>
        <v>0</v>
      </c>
      <c r="BG55" s="94">
        <f t="shared" si="46"/>
        <v>80</v>
      </c>
      <c r="BH55" s="89"/>
      <c r="BI55" s="89"/>
      <c r="BJ55" s="89"/>
      <c r="BK55" s="89"/>
      <c r="BL55" s="89"/>
      <c r="BM55" s="89"/>
      <c r="BN55" s="92">
        <f>$CN55</f>
        <v>0</v>
      </c>
      <c r="BO55" s="92">
        <f t="shared" si="70"/>
        <v>0</v>
      </c>
      <c r="BP55" s="92">
        <f t="shared" si="70"/>
        <v>0</v>
      </c>
      <c r="BQ55" s="96">
        <f t="shared" si="47"/>
        <v>0</v>
      </c>
      <c r="BR55" s="96">
        <f t="shared" si="48"/>
        <v>0</v>
      </c>
      <c r="BS55" s="96">
        <f t="shared" si="71"/>
        <v>0</v>
      </c>
      <c r="BT55" s="96">
        <f t="shared" si="49"/>
        <v>0</v>
      </c>
      <c r="BU55" s="92">
        <f t="shared" si="16"/>
        <v>0</v>
      </c>
      <c r="BV55" s="98">
        <f t="shared" si="17"/>
        <v>0</v>
      </c>
      <c r="BW55" s="92">
        <f t="shared" si="18"/>
        <v>0</v>
      </c>
      <c r="BX55" s="98">
        <f t="shared" si="50"/>
        <v>0</v>
      </c>
      <c r="BY55" s="61">
        <f t="shared" si="73"/>
        <v>0</v>
      </c>
      <c r="BZ55" s="62">
        <f t="shared" si="51"/>
        <v>0</v>
      </c>
      <c r="CA55" s="98">
        <f t="shared" si="52"/>
        <v>0</v>
      </c>
      <c r="CB55" s="92">
        <f t="shared" si="97"/>
        <v>0</v>
      </c>
      <c r="CC55" s="92">
        <f t="shared" si="97"/>
        <v>0</v>
      </c>
      <c r="CD55" s="92">
        <f t="shared" si="97"/>
        <v>0</v>
      </c>
      <c r="CE55" s="99"/>
      <c r="CF55" s="99"/>
      <c r="CG55" s="51">
        <f t="shared" si="53"/>
        <v>0</v>
      </c>
      <c r="CH55" s="62">
        <f t="shared" si="54"/>
        <v>0</v>
      </c>
      <c r="CI55" s="89"/>
      <c r="CJ55" s="89"/>
      <c r="CK55" s="89"/>
      <c r="CL55" s="96"/>
      <c r="CM55" s="89"/>
      <c r="CN55" s="89"/>
      <c r="CO55" s="92"/>
      <c r="CP55" s="101"/>
      <c r="CQ55" s="102">
        <f t="shared" si="100"/>
        <v>0</v>
      </c>
      <c r="CR55" s="102">
        <f t="shared" si="100"/>
        <v>0</v>
      </c>
      <c r="CS55" s="102">
        <f t="shared" si="100"/>
        <v>0</v>
      </c>
      <c r="CT55" s="92">
        <f t="shared" si="56"/>
        <v>0</v>
      </c>
      <c r="CU55" s="92">
        <f t="shared" si="101"/>
        <v>0</v>
      </c>
      <c r="CV55" s="103">
        <f t="shared" si="101"/>
        <v>0</v>
      </c>
      <c r="CW55" s="104" t="s">
        <v>147</v>
      </c>
      <c r="CX55" s="105">
        <v>7</v>
      </c>
      <c r="CY55" s="106">
        <f t="shared" si="58"/>
        <v>5271</v>
      </c>
      <c r="CZ55" s="106">
        <f t="shared" si="59"/>
        <v>28.35</v>
      </c>
      <c r="DA55" s="106"/>
      <c r="DB55" s="106"/>
      <c r="DC55" s="105"/>
      <c r="DD55" s="107"/>
      <c r="DE55" s="92">
        <f t="shared" si="21"/>
        <v>0</v>
      </c>
      <c r="DF55" s="108">
        <f t="shared" si="22"/>
        <v>0</v>
      </c>
      <c r="DG55" s="112">
        <f t="shared" si="23"/>
        <v>0</v>
      </c>
      <c r="DH55" s="110">
        <f t="shared" si="24"/>
        <v>0</v>
      </c>
      <c r="DI55" s="108">
        <f t="shared" si="25"/>
        <v>0</v>
      </c>
      <c r="DJ55" s="112">
        <f t="shared" si="26"/>
        <v>0</v>
      </c>
      <c r="DK55" s="110">
        <f t="shared" si="86"/>
        <v>0</v>
      </c>
      <c r="DL55" s="108">
        <f t="shared" si="86"/>
        <v>0</v>
      </c>
      <c r="DM55" s="111">
        <f t="shared" si="86"/>
        <v>0</v>
      </c>
      <c r="DN55" s="76">
        <v>25</v>
      </c>
      <c r="DO55" s="76"/>
      <c r="DP55" s="112"/>
      <c r="DQ55" s="112"/>
      <c r="DR55" s="113" t="s">
        <v>540</v>
      </c>
      <c r="DS55" s="112"/>
      <c r="DT55" s="112"/>
      <c r="DU55" s="111"/>
      <c r="DV55" s="114"/>
      <c r="DW55" s="80">
        <f t="shared" si="103"/>
        <v>0</v>
      </c>
      <c r="DX55" s="81">
        <f t="shared" si="28"/>
        <v>0</v>
      </c>
      <c r="DY55" s="80">
        <f t="shared" si="62"/>
        <v>0</v>
      </c>
      <c r="DZ55" s="82">
        <f t="shared" si="63"/>
        <v>0</v>
      </c>
      <c r="EA55" s="82">
        <f t="shared" si="64"/>
        <v>0</v>
      </c>
      <c r="EB55" s="82">
        <f t="shared" si="65"/>
        <v>0</v>
      </c>
      <c r="EC55" s="82">
        <f t="shared" ref="EC55:EC56" si="104">(BX55-CA55)+((AV55+BP55)/1000)</f>
        <v>0</v>
      </c>
      <c r="EF55" s="83">
        <f t="shared" si="91"/>
        <v>0</v>
      </c>
    </row>
    <row r="56" spans="1:136" ht="14.1" customHeight="1">
      <c r="A56" s="84">
        <v>49</v>
      </c>
      <c r="B56" s="85" t="s">
        <v>278</v>
      </c>
      <c r="C56" s="86"/>
      <c r="D56" s="240" t="s">
        <v>279</v>
      </c>
      <c r="E56" s="88">
        <v>51</v>
      </c>
      <c r="F56" s="89" t="s">
        <v>147</v>
      </c>
      <c r="G56" s="45" t="str">
        <f t="shared" si="30"/>
        <v>TVSUS303-6x2.5-H9A14</v>
      </c>
      <c r="H56" s="46" t="str">
        <f t="shared" si="31"/>
        <v>SUS303TV60DH9</v>
      </c>
      <c r="I56" s="46" t="str">
        <f>CONCATENATE(J56,K56,L56,M56,N56,O56,P56,R56)</f>
        <v>SUS303TV60DH92.5A14</v>
      </c>
      <c r="J56" s="169" t="s">
        <v>226</v>
      </c>
      <c r="K56" s="169" t="s">
        <v>138</v>
      </c>
      <c r="L56" s="169">
        <v>6</v>
      </c>
      <c r="M56" s="169">
        <v>0</v>
      </c>
      <c r="N56" s="169" t="s">
        <v>128</v>
      </c>
      <c r="O56" s="169" t="s">
        <v>131</v>
      </c>
      <c r="P56" s="169">
        <v>2.5</v>
      </c>
      <c r="Q56" s="161">
        <v>0.55400000000000005</v>
      </c>
      <c r="R56" s="169" t="s">
        <v>139</v>
      </c>
      <c r="S56" s="89">
        <f t="shared" si="33"/>
        <v>110</v>
      </c>
      <c r="T56" s="51">
        <f>'07.02'!BG56</f>
        <v>30</v>
      </c>
      <c r="U56" s="92"/>
      <c r="V56" s="100">
        <v>7</v>
      </c>
      <c r="W56" s="93">
        <f t="shared" si="5"/>
        <v>0</v>
      </c>
      <c r="X56" s="93">
        <f t="shared" si="6"/>
        <v>0</v>
      </c>
      <c r="Y56" s="93">
        <f t="shared" si="7"/>
        <v>0</v>
      </c>
      <c r="Z56" s="93">
        <f t="shared" si="8"/>
        <v>0</v>
      </c>
      <c r="AA56" s="93">
        <f t="shared" si="9"/>
        <v>0</v>
      </c>
      <c r="AB56" s="93">
        <f t="shared" si="10"/>
        <v>0</v>
      </c>
      <c r="AC56" s="93">
        <f t="shared" si="11"/>
        <v>0</v>
      </c>
      <c r="AD56" s="93">
        <f t="shared" si="12"/>
        <v>0</v>
      </c>
      <c r="AE56" s="93">
        <f t="shared" si="34"/>
        <v>0</v>
      </c>
      <c r="AF56" s="54">
        <f>AE56+'07.02'!AF56</f>
        <v>1582</v>
      </c>
      <c r="AG56" s="94">
        <f t="shared" si="66"/>
        <v>30</v>
      </c>
      <c r="AH56" s="56">
        <f t="shared" si="13"/>
        <v>0</v>
      </c>
      <c r="AI56" s="93"/>
      <c r="AJ56" s="93">
        <f t="shared" si="67"/>
        <v>0</v>
      </c>
      <c r="AK56" s="95">
        <f t="shared" si="35"/>
        <v>1</v>
      </c>
      <c r="AL56" s="58">
        <f t="shared" si="36"/>
        <v>0</v>
      </c>
      <c r="AM56" s="55">
        <f t="shared" si="68"/>
        <v>30</v>
      </c>
      <c r="AN56" s="93"/>
      <c r="AO56" s="96"/>
      <c r="AP56" s="96">
        <f>$CJ56</f>
        <v>0</v>
      </c>
      <c r="AQ56" s="96"/>
      <c r="AR56" s="96"/>
      <c r="AS56" s="96"/>
      <c r="AT56" s="96"/>
      <c r="AU56" s="96">
        <f t="shared" si="37"/>
        <v>0</v>
      </c>
      <c r="AV56" s="96">
        <f t="shared" si="37"/>
        <v>0</v>
      </c>
      <c r="AW56" s="96">
        <f t="shared" si="38"/>
        <v>0</v>
      </c>
      <c r="AX56" s="96">
        <f t="shared" si="39"/>
        <v>0</v>
      </c>
      <c r="AY56" s="94">
        <f t="shared" si="69"/>
        <v>0</v>
      </c>
      <c r="AZ56" s="94">
        <f t="shared" si="40"/>
        <v>0</v>
      </c>
      <c r="BA56" s="94">
        <f t="shared" si="41"/>
        <v>30</v>
      </c>
      <c r="BB56" s="97">
        <f t="shared" si="42"/>
        <v>0</v>
      </c>
      <c r="BC56" s="93"/>
      <c r="BD56" s="93">
        <f t="shared" si="43"/>
        <v>0</v>
      </c>
      <c r="BE56" s="95">
        <f t="shared" si="44"/>
        <v>1</v>
      </c>
      <c r="BF56" s="58">
        <f t="shared" si="45"/>
        <v>0</v>
      </c>
      <c r="BG56" s="94">
        <f t="shared" si="46"/>
        <v>30</v>
      </c>
      <c r="BH56" s="89"/>
      <c r="BI56" s="89"/>
      <c r="BJ56" s="92">
        <f>$CN56</f>
        <v>0</v>
      </c>
      <c r="BK56" s="92"/>
      <c r="BL56" s="92"/>
      <c r="BM56" s="92"/>
      <c r="BN56" s="92"/>
      <c r="BO56" s="92">
        <f t="shared" si="70"/>
        <v>0</v>
      </c>
      <c r="BP56" s="92">
        <f t="shared" si="70"/>
        <v>0</v>
      </c>
      <c r="BQ56" s="96">
        <f t="shared" si="47"/>
        <v>0</v>
      </c>
      <c r="BR56" s="96">
        <f t="shared" si="48"/>
        <v>0</v>
      </c>
      <c r="BS56" s="96">
        <f t="shared" si="71"/>
        <v>0</v>
      </c>
      <c r="BT56" s="96">
        <f t="shared" si="49"/>
        <v>0</v>
      </c>
      <c r="BU56" s="92">
        <f t="shared" si="16"/>
        <v>0</v>
      </c>
      <c r="BV56" s="98">
        <f t="shared" si="17"/>
        <v>0</v>
      </c>
      <c r="BW56" s="92">
        <f t="shared" si="18"/>
        <v>0</v>
      </c>
      <c r="BX56" s="98">
        <f t="shared" si="50"/>
        <v>0</v>
      </c>
      <c r="BY56" s="61">
        <f t="shared" si="73"/>
        <v>0</v>
      </c>
      <c r="BZ56" s="62">
        <f t="shared" si="51"/>
        <v>0</v>
      </c>
      <c r="CA56" s="98">
        <f t="shared" si="52"/>
        <v>0</v>
      </c>
      <c r="CB56" s="92">
        <f t="shared" si="97"/>
        <v>0</v>
      </c>
      <c r="CC56" s="92">
        <f t="shared" si="97"/>
        <v>0</v>
      </c>
      <c r="CD56" s="92">
        <f t="shared" si="97"/>
        <v>0</v>
      </c>
      <c r="CE56" s="99"/>
      <c r="CF56" s="99"/>
      <c r="CG56" s="51">
        <f t="shared" si="53"/>
        <v>0</v>
      </c>
      <c r="CH56" s="62">
        <f t="shared" si="54"/>
        <v>0</v>
      </c>
      <c r="CI56" s="89"/>
      <c r="CJ56" s="89"/>
      <c r="CK56" s="89"/>
      <c r="CL56" s="96"/>
      <c r="CM56" s="89"/>
      <c r="CN56" s="89"/>
      <c r="CO56" s="92"/>
      <c r="CP56" s="101"/>
      <c r="CQ56" s="102">
        <f t="shared" si="100"/>
        <v>0</v>
      </c>
      <c r="CR56" s="102">
        <f t="shared" si="100"/>
        <v>0</v>
      </c>
      <c r="CS56" s="102">
        <f t="shared" si="100"/>
        <v>0</v>
      </c>
      <c r="CT56" s="92">
        <f t="shared" si="56"/>
        <v>0</v>
      </c>
      <c r="CU56" s="92">
        <f t="shared" si="101"/>
        <v>0</v>
      </c>
      <c r="CV56" s="103">
        <f t="shared" si="101"/>
        <v>0</v>
      </c>
      <c r="CW56" s="104" t="s">
        <v>147</v>
      </c>
      <c r="CX56" s="105">
        <v>10</v>
      </c>
      <c r="CY56" s="106">
        <f t="shared" si="58"/>
        <v>2790</v>
      </c>
      <c r="CZ56" s="106">
        <f t="shared" si="59"/>
        <v>40.5</v>
      </c>
      <c r="DA56" s="106"/>
      <c r="DB56" s="106"/>
      <c r="DC56" s="105"/>
      <c r="DD56" s="107"/>
      <c r="DE56" s="92">
        <f t="shared" si="21"/>
        <v>0</v>
      </c>
      <c r="DF56" s="108">
        <f t="shared" si="22"/>
        <v>0</v>
      </c>
      <c r="DG56" s="112">
        <f t="shared" si="23"/>
        <v>0</v>
      </c>
      <c r="DH56" s="136">
        <f t="shared" si="24"/>
        <v>0</v>
      </c>
      <c r="DI56" s="135">
        <f t="shared" si="25"/>
        <v>0</v>
      </c>
      <c r="DJ56" s="115">
        <f t="shared" si="26"/>
        <v>0</v>
      </c>
      <c r="DK56" s="110">
        <f t="shared" si="86"/>
        <v>0</v>
      </c>
      <c r="DL56" s="108">
        <f t="shared" si="86"/>
        <v>0</v>
      </c>
      <c r="DM56" s="111">
        <f t="shared" si="86"/>
        <v>0</v>
      </c>
      <c r="DN56" s="76">
        <v>30</v>
      </c>
      <c r="DO56" s="76"/>
      <c r="DP56" s="112"/>
      <c r="DQ56" s="112"/>
      <c r="DR56" s="113" t="s">
        <v>541</v>
      </c>
      <c r="DS56" s="112"/>
      <c r="DT56" s="112"/>
      <c r="DU56" s="111"/>
      <c r="DV56" s="114"/>
      <c r="DW56" s="80">
        <f t="shared" si="103"/>
        <v>0</v>
      </c>
      <c r="DX56" s="81">
        <f t="shared" si="28"/>
        <v>0</v>
      </c>
      <c r="DY56" s="80">
        <f t="shared" si="62"/>
        <v>0</v>
      </c>
      <c r="DZ56" s="82">
        <f t="shared" si="63"/>
        <v>0</v>
      </c>
      <c r="EA56" s="82">
        <f t="shared" si="64"/>
        <v>0</v>
      </c>
      <c r="EB56" s="82">
        <f t="shared" si="65"/>
        <v>0</v>
      </c>
      <c r="EC56" s="82">
        <f t="shared" si="104"/>
        <v>0</v>
      </c>
      <c r="EF56" s="83">
        <f t="shared" si="91"/>
        <v>0</v>
      </c>
    </row>
    <row r="57" spans="1:136" ht="14.1" customHeight="1">
      <c r="A57" s="84">
        <v>50</v>
      </c>
      <c r="B57" s="85" t="s">
        <v>281</v>
      </c>
      <c r="C57" s="86"/>
      <c r="D57" s="116" t="s">
        <v>282</v>
      </c>
      <c r="E57" s="88">
        <v>329</v>
      </c>
      <c r="F57" s="89" t="s">
        <v>128</v>
      </c>
      <c r="G57" s="45" t="str">
        <f t="shared" si="30"/>
        <v>GWA6063-T5-8.3x3-H9B14</v>
      </c>
      <c r="H57" s="46" t="str">
        <f t="shared" si="31"/>
        <v>A6063-T5GW8.30DH9</v>
      </c>
      <c r="I57" s="46" t="str">
        <f t="shared" si="32"/>
        <v>A6063-T5GW8.30DH93B14</v>
      </c>
      <c r="J57" s="90" t="s">
        <v>129</v>
      </c>
      <c r="K57" s="90" t="s">
        <v>130</v>
      </c>
      <c r="L57" s="90">
        <v>8.3000000000000007</v>
      </c>
      <c r="M57" s="90">
        <v>0</v>
      </c>
      <c r="N57" s="90" t="s">
        <v>128</v>
      </c>
      <c r="O57" s="90" t="s">
        <v>131</v>
      </c>
      <c r="P57" s="90">
        <v>3</v>
      </c>
      <c r="Q57" s="91">
        <v>0.435</v>
      </c>
      <c r="R57" s="90" t="s">
        <v>171</v>
      </c>
      <c r="S57" s="89">
        <f t="shared" si="33"/>
        <v>12</v>
      </c>
      <c r="T57" s="51">
        <f>'07.02'!BG57</f>
        <v>47</v>
      </c>
      <c r="U57" s="92"/>
      <c r="V57" s="100">
        <v>0.92</v>
      </c>
      <c r="W57" s="93">
        <f t="shared" si="5"/>
        <v>0</v>
      </c>
      <c r="X57" s="93">
        <f t="shared" si="6"/>
        <v>0</v>
      </c>
      <c r="Y57" s="93">
        <f t="shared" si="7"/>
        <v>0</v>
      </c>
      <c r="Z57" s="93">
        <f t="shared" si="8"/>
        <v>0</v>
      </c>
      <c r="AA57" s="93">
        <f t="shared" si="9"/>
        <v>0</v>
      </c>
      <c r="AB57" s="93">
        <f t="shared" si="10"/>
        <v>0</v>
      </c>
      <c r="AC57" s="93">
        <f t="shared" si="11"/>
        <v>0</v>
      </c>
      <c r="AD57" s="93">
        <f t="shared" si="12"/>
        <v>0</v>
      </c>
      <c r="AE57" s="93">
        <f t="shared" si="34"/>
        <v>0</v>
      </c>
      <c r="AF57" s="54">
        <f>AE57+'07.02'!AF57</f>
        <v>0</v>
      </c>
      <c r="AG57" s="94">
        <f t="shared" si="66"/>
        <v>47</v>
      </c>
      <c r="AH57" s="56">
        <f t="shared" si="13"/>
        <v>0</v>
      </c>
      <c r="AI57" s="93"/>
      <c r="AJ57" s="93">
        <f t="shared" si="67"/>
        <v>0</v>
      </c>
      <c r="AK57" s="95">
        <f t="shared" si="35"/>
        <v>1</v>
      </c>
      <c r="AL57" s="58">
        <f t="shared" si="36"/>
        <v>0</v>
      </c>
      <c r="AM57" s="55">
        <f t="shared" si="68"/>
        <v>47</v>
      </c>
      <c r="AN57" s="93"/>
      <c r="AO57" s="96"/>
      <c r="AP57" s="96">
        <f>$CJ57</f>
        <v>0</v>
      </c>
      <c r="AQ57" s="96"/>
      <c r="AR57" s="96"/>
      <c r="AS57" s="96"/>
      <c r="AT57" s="96"/>
      <c r="AU57" s="96">
        <f t="shared" si="37"/>
        <v>0</v>
      </c>
      <c r="AV57" s="96">
        <f t="shared" si="37"/>
        <v>0</v>
      </c>
      <c r="AW57" s="96">
        <f t="shared" si="38"/>
        <v>0</v>
      </c>
      <c r="AX57" s="96">
        <f t="shared" si="39"/>
        <v>0</v>
      </c>
      <c r="AY57" s="94">
        <f t="shared" si="69"/>
        <v>0</v>
      </c>
      <c r="AZ57" s="94">
        <f t="shared" si="40"/>
        <v>0</v>
      </c>
      <c r="BA57" s="94">
        <f t="shared" si="41"/>
        <v>47</v>
      </c>
      <c r="BB57" s="97">
        <f t="shared" si="42"/>
        <v>0</v>
      </c>
      <c r="BC57" s="93"/>
      <c r="BD57" s="93">
        <f t="shared" si="43"/>
        <v>0</v>
      </c>
      <c r="BE57" s="95">
        <f t="shared" si="44"/>
        <v>1</v>
      </c>
      <c r="BF57" s="58">
        <f t="shared" si="45"/>
        <v>0</v>
      </c>
      <c r="BG57" s="94">
        <f t="shared" si="46"/>
        <v>47</v>
      </c>
      <c r="BH57" s="89"/>
      <c r="BI57" s="89"/>
      <c r="BJ57" s="92">
        <f>$CN57</f>
        <v>0</v>
      </c>
      <c r="BK57" s="89"/>
      <c r="BL57" s="89"/>
      <c r="BM57" s="89"/>
      <c r="BN57" s="89"/>
      <c r="BO57" s="92">
        <f t="shared" si="70"/>
        <v>0</v>
      </c>
      <c r="BP57" s="92">
        <f t="shared" si="70"/>
        <v>0</v>
      </c>
      <c r="BQ57" s="96">
        <f t="shared" si="47"/>
        <v>0</v>
      </c>
      <c r="BR57" s="96">
        <f t="shared" si="48"/>
        <v>0</v>
      </c>
      <c r="BS57" s="96">
        <f t="shared" si="71"/>
        <v>0</v>
      </c>
      <c r="BT57" s="96">
        <f t="shared" si="49"/>
        <v>0</v>
      </c>
      <c r="BU57" s="92">
        <f t="shared" si="16"/>
        <v>0</v>
      </c>
      <c r="BV57" s="98">
        <f t="shared" si="17"/>
        <v>0</v>
      </c>
      <c r="BW57" s="92">
        <f t="shared" si="18"/>
        <v>0</v>
      </c>
      <c r="BX57" s="98">
        <f t="shared" si="50"/>
        <v>0</v>
      </c>
      <c r="BY57" s="61">
        <f t="shared" si="73"/>
        <v>0</v>
      </c>
      <c r="BZ57" s="62">
        <f t="shared" si="51"/>
        <v>0</v>
      </c>
      <c r="CA57" s="98">
        <f t="shared" si="52"/>
        <v>0</v>
      </c>
      <c r="CB57" s="92">
        <f t="shared" si="97"/>
        <v>0</v>
      </c>
      <c r="CC57" s="92">
        <f t="shared" si="97"/>
        <v>0</v>
      </c>
      <c r="CD57" s="92">
        <f t="shared" si="97"/>
        <v>0</v>
      </c>
      <c r="CE57" s="99"/>
      <c r="CF57" s="99"/>
      <c r="CG57" s="51">
        <f t="shared" si="53"/>
        <v>0</v>
      </c>
      <c r="CH57" s="62">
        <f t="shared" si="54"/>
        <v>0</v>
      </c>
      <c r="CI57" s="89"/>
      <c r="CJ57" s="89"/>
      <c r="CK57" s="89"/>
      <c r="CL57" s="96"/>
      <c r="CM57" s="89"/>
      <c r="CN57" s="89"/>
      <c r="CO57" s="92"/>
      <c r="CP57" s="101"/>
      <c r="CQ57" s="102">
        <f t="shared" si="100"/>
        <v>0</v>
      </c>
      <c r="CR57" s="102">
        <f t="shared" si="100"/>
        <v>0</v>
      </c>
      <c r="CS57" s="102">
        <f t="shared" si="100"/>
        <v>0</v>
      </c>
      <c r="CT57" s="92">
        <f t="shared" si="56"/>
        <v>0</v>
      </c>
      <c r="CU57" s="92">
        <f t="shared" si="101"/>
        <v>0</v>
      </c>
      <c r="CV57" s="103">
        <f t="shared" si="101"/>
        <v>0</v>
      </c>
      <c r="CW57" s="104" t="s">
        <v>147</v>
      </c>
      <c r="CX57" s="105">
        <v>22</v>
      </c>
      <c r="CY57" s="106">
        <f t="shared" si="58"/>
        <v>1914</v>
      </c>
      <c r="CZ57" s="106">
        <f t="shared" si="59"/>
        <v>89.100000000000009</v>
      </c>
      <c r="DA57" s="106"/>
      <c r="DB57" s="106"/>
      <c r="DC57" s="105"/>
      <c r="DD57" s="107"/>
      <c r="DE57" s="92">
        <f t="shared" si="21"/>
        <v>0</v>
      </c>
      <c r="DF57" s="108">
        <f t="shared" si="22"/>
        <v>0</v>
      </c>
      <c r="DG57" s="115">
        <f t="shared" si="23"/>
        <v>0</v>
      </c>
      <c r="DH57" s="110">
        <f t="shared" si="24"/>
        <v>0</v>
      </c>
      <c r="DI57" s="108">
        <f t="shared" si="25"/>
        <v>0</v>
      </c>
      <c r="DJ57" s="112">
        <f t="shared" si="26"/>
        <v>0</v>
      </c>
      <c r="DK57" s="110">
        <f t="shared" si="86"/>
        <v>0</v>
      </c>
      <c r="DL57" s="108">
        <f t="shared" si="86"/>
        <v>0</v>
      </c>
      <c r="DM57" s="111">
        <f t="shared" si="86"/>
        <v>0</v>
      </c>
      <c r="DN57" s="76">
        <v>47</v>
      </c>
      <c r="DO57" s="76"/>
      <c r="DP57" s="112"/>
      <c r="DQ57" s="112"/>
      <c r="DR57" s="113" t="s">
        <v>542</v>
      </c>
      <c r="DS57" s="112"/>
      <c r="DT57" s="112"/>
      <c r="DU57" s="111"/>
      <c r="DV57" s="114"/>
      <c r="DW57" s="80">
        <f t="shared" si="103"/>
        <v>0</v>
      </c>
      <c r="DX57" s="81">
        <f t="shared" si="28"/>
        <v>0</v>
      </c>
      <c r="DY57" s="80">
        <f t="shared" si="62"/>
        <v>0</v>
      </c>
      <c r="DZ57" s="82">
        <f t="shared" si="63"/>
        <v>0</v>
      </c>
      <c r="EA57" s="82">
        <f t="shared" si="64"/>
        <v>0</v>
      </c>
      <c r="EB57" s="82">
        <f t="shared" si="65"/>
        <v>0</v>
      </c>
      <c r="EC57" s="82">
        <f t="shared" si="75"/>
        <v>0</v>
      </c>
      <c r="EF57" s="83">
        <f t="shared" si="91"/>
        <v>0</v>
      </c>
    </row>
    <row r="58" spans="1:136" ht="14.1" customHeight="1">
      <c r="A58" s="84">
        <v>51</v>
      </c>
      <c r="B58" s="85" t="s">
        <v>284</v>
      </c>
      <c r="C58" s="86"/>
      <c r="D58" s="119">
        <v>378</v>
      </c>
      <c r="E58" s="88">
        <v>311</v>
      </c>
      <c r="F58" s="89" t="s">
        <v>147</v>
      </c>
      <c r="G58" s="45" t="str">
        <f t="shared" si="30"/>
        <v>IBC3604-6.5x3-H9A15</v>
      </c>
      <c r="H58" s="46" t="str">
        <f t="shared" si="31"/>
        <v>C3604IB6.50DH9</v>
      </c>
      <c r="I58" s="46" t="str">
        <f t="shared" si="32"/>
        <v>C3604IB6.50DH93A15</v>
      </c>
      <c r="J58" s="90" t="s">
        <v>148</v>
      </c>
      <c r="K58" s="90" t="s">
        <v>156</v>
      </c>
      <c r="L58" s="90">
        <v>6.5</v>
      </c>
      <c r="M58" s="90">
        <v>0</v>
      </c>
      <c r="N58" s="90" t="s">
        <v>128</v>
      </c>
      <c r="O58" s="90" t="s">
        <v>131</v>
      </c>
      <c r="P58" s="90">
        <v>3</v>
      </c>
      <c r="Q58" s="91">
        <v>0.84099999999999997</v>
      </c>
      <c r="R58" s="90" t="s">
        <v>164</v>
      </c>
      <c r="S58" s="89">
        <f t="shared" si="33"/>
        <v>20</v>
      </c>
      <c r="T58" s="51">
        <f>'07.02'!BG58</f>
        <v>8.9999999999999964</v>
      </c>
      <c r="U58" s="92">
        <v>21</v>
      </c>
      <c r="V58" s="135">
        <v>0.61</v>
      </c>
      <c r="W58" s="93">
        <f t="shared" si="5"/>
        <v>0</v>
      </c>
      <c r="X58" s="93">
        <f t="shared" si="6"/>
        <v>0</v>
      </c>
      <c r="Y58" s="93">
        <f t="shared" si="7"/>
        <v>0</v>
      </c>
      <c r="Z58" s="93">
        <f>IF(V58="","",INT((AR58+BL58)/$V58))</f>
        <v>0</v>
      </c>
      <c r="AA58" s="93">
        <f t="shared" si="9"/>
        <v>0</v>
      </c>
      <c r="AB58" s="93">
        <f t="shared" si="10"/>
        <v>0</v>
      </c>
      <c r="AC58" s="93">
        <f t="shared" si="11"/>
        <v>0</v>
      </c>
      <c r="AD58" s="93">
        <f t="shared" si="12"/>
        <v>0</v>
      </c>
      <c r="AE58" s="93">
        <f t="shared" si="34"/>
        <v>0</v>
      </c>
      <c r="AF58" s="54">
        <f>AE58+'07.02'!AF58</f>
        <v>43248</v>
      </c>
      <c r="AG58" s="94">
        <f t="shared" si="66"/>
        <v>8.9999999999999964</v>
      </c>
      <c r="AH58" s="56">
        <f t="shared" si="13"/>
        <v>0</v>
      </c>
      <c r="AI58" s="93"/>
      <c r="AJ58" s="93">
        <f t="shared" si="67"/>
        <v>0</v>
      </c>
      <c r="AK58" s="95">
        <f t="shared" si="35"/>
        <v>1</v>
      </c>
      <c r="AL58" s="58">
        <f t="shared" si="36"/>
        <v>0</v>
      </c>
      <c r="AM58" s="55">
        <f t="shared" si="68"/>
        <v>29.999999999999996</v>
      </c>
      <c r="AN58" s="93"/>
      <c r="AO58" s="96"/>
      <c r="AP58" s="96"/>
      <c r="AQ58" s="96"/>
      <c r="AR58" s="96"/>
      <c r="AS58" s="96"/>
      <c r="AT58" s="96">
        <f>$CJ58</f>
        <v>0</v>
      </c>
      <c r="AU58" s="96">
        <f t="shared" si="37"/>
        <v>0</v>
      </c>
      <c r="AV58" s="96">
        <f t="shared" si="37"/>
        <v>0</v>
      </c>
      <c r="AW58" s="96">
        <f t="shared" si="38"/>
        <v>0</v>
      </c>
      <c r="AX58" s="96">
        <f t="shared" si="39"/>
        <v>0</v>
      </c>
      <c r="AY58" s="94">
        <f t="shared" si="69"/>
        <v>0</v>
      </c>
      <c r="AZ58" s="94">
        <f t="shared" si="40"/>
        <v>0</v>
      </c>
      <c r="BA58" s="94">
        <f t="shared" si="41"/>
        <v>29.999999999999996</v>
      </c>
      <c r="BB58" s="97">
        <f t="shared" si="42"/>
        <v>0</v>
      </c>
      <c r="BC58" s="93"/>
      <c r="BD58" s="93">
        <f t="shared" si="43"/>
        <v>0</v>
      </c>
      <c r="BE58" s="95">
        <f t="shared" si="44"/>
        <v>1</v>
      </c>
      <c r="BF58" s="58">
        <f t="shared" si="45"/>
        <v>0</v>
      </c>
      <c r="BG58" s="94">
        <f t="shared" si="46"/>
        <v>29.999999999999996</v>
      </c>
      <c r="BH58" s="89"/>
      <c r="BI58" s="89"/>
      <c r="BJ58" s="89"/>
      <c r="BK58" s="89"/>
      <c r="BL58" s="89"/>
      <c r="BM58" s="89"/>
      <c r="BN58" s="92">
        <f>$CN58</f>
        <v>0</v>
      </c>
      <c r="BO58" s="92">
        <f t="shared" si="70"/>
        <v>0</v>
      </c>
      <c r="BP58" s="92">
        <f t="shared" si="70"/>
        <v>0</v>
      </c>
      <c r="BQ58" s="96">
        <f t="shared" si="47"/>
        <v>0</v>
      </c>
      <c r="BR58" s="96">
        <f t="shared" si="48"/>
        <v>0</v>
      </c>
      <c r="BS58" s="96">
        <f t="shared" si="71"/>
        <v>0</v>
      </c>
      <c r="BT58" s="96">
        <f t="shared" si="49"/>
        <v>0</v>
      </c>
      <c r="BU58" s="92">
        <f t="shared" si="16"/>
        <v>0</v>
      </c>
      <c r="BV58" s="98">
        <f t="shared" si="17"/>
        <v>0</v>
      </c>
      <c r="BW58" s="92">
        <f t="shared" si="18"/>
        <v>0</v>
      </c>
      <c r="BX58" s="98">
        <f t="shared" si="50"/>
        <v>0</v>
      </c>
      <c r="BY58" s="61">
        <f t="shared" si="73"/>
        <v>0</v>
      </c>
      <c r="BZ58" s="62">
        <f t="shared" si="51"/>
        <v>0</v>
      </c>
      <c r="CA58" s="98">
        <f t="shared" si="52"/>
        <v>0</v>
      </c>
      <c r="CB58" s="92">
        <f t="shared" si="97"/>
        <v>0</v>
      </c>
      <c r="CC58" s="92">
        <f t="shared" si="97"/>
        <v>0</v>
      </c>
      <c r="CD58" s="92">
        <f t="shared" si="97"/>
        <v>0</v>
      </c>
      <c r="CE58" s="99"/>
      <c r="CF58" s="99"/>
      <c r="CG58" s="51">
        <f t="shared" si="53"/>
        <v>0</v>
      </c>
      <c r="CH58" s="62">
        <f t="shared" si="54"/>
        <v>0</v>
      </c>
      <c r="CI58" s="89"/>
      <c r="CJ58" s="89"/>
      <c r="CK58" s="89"/>
      <c r="CL58" s="96"/>
      <c r="CM58" s="89"/>
      <c r="CN58" s="89"/>
      <c r="CO58" s="92"/>
      <c r="CP58" s="101"/>
      <c r="CQ58" s="102">
        <f t="shared" si="100"/>
        <v>0</v>
      </c>
      <c r="CR58" s="102">
        <f t="shared" si="100"/>
        <v>0</v>
      </c>
      <c r="CS58" s="102">
        <f t="shared" si="100"/>
        <v>0</v>
      </c>
      <c r="CT58" s="92">
        <f t="shared" si="56"/>
        <v>0</v>
      </c>
      <c r="CU58" s="92">
        <f t="shared" si="101"/>
        <v>0</v>
      </c>
      <c r="CV58" s="103">
        <f t="shared" si="101"/>
        <v>0</v>
      </c>
      <c r="CW58" s="104" t="s">
        <v>147</v>
      </c>
      <c r="CX58" s="105">
        <v>13</v>
      </c>
      <c r="CY58" s="106">
        <f t="shared" si="58"/>
        <v>3170</v>
      </c>
      <c r="CZ58" s="106">
        <f t="shared" si="59"/>
        <v>52.650000000000006</v>
      </c>
      <c r="DA58" s="106"/>
      <c r="DB58" s="106"/>
      <c r="DC58" s="105"/>
      <c r="DD58" s="107"/>
      <c r="DE58" s="92">
        <f t="shared" si="21"/>
        <v>0</v>
      </c>
      <c r="DF58" s="108">
        <f t="shared" si="22"/>
        <v>0</v>
      </c>
      <c r="DG58" s="112">
        <f t="shared" si="23"/>
        <v>0</v>
      </c>
      <c r="DH58" s="110">
        <f t="shared" si="24"/>
        <v>0</v>
      </c>
      <c r="DI58" s="108">
        <f t="shared" si="25"/>
        <v>0</v>
      </c>
      <c r="DJ58" s="112">
        <f t="shared" si="26"/>
        <v>0</v>
      </c>
      <c r="DK58" s="110">
        <f t="shared" si="86"/>
        <v>0</v>
      </c>
      <c r="DL58" s="108">
        <f t="shared" si="86"/>
        <v>0</v>
      </c>
      <c r="DM58" s="111">
        <f t="shared" si="86"/>
        <v>0</v>
      </c>
      <c r="DN58" s="76">
        <v>14</v>
      </c>
      <c r="DO58" s="76"/>
      <c r="DP58" s="112"/>
      <c r="DQ58" s="112"/>
      <c r="DR58" s="113" t="s">
        <v>543</v>
      </c>
      <c r="DS58" s="112"/>
      <c r="DT58" s="112"/>
      <c r="DU58" s="111"/>
      <c r="DV58" s="114"/>
      <c r="DW58" s="80">
        <f t="shared" si="103"/>
        <v>0</v>
      </c>
      <c r="DX58" s="81">
        <f t="shared" si="28"/>
        <v>0</v>
      </c>
      <c r="DY58" s="80">
        <f t="shared" si="62"/>
        <v>0</v>
      </c>
      <c r="DZ58" s="82">
        <f t="shared" si="63"/>
        <v>0</v>
      </c>
      <c r="EA58" s="82">
        <f t="shared" si="64"/>
        <v>0</v>
      </c>
      <c r="EB58" s="82">
        <f t="shared" si="65"/>
        <v>0</v>
      </c>
      <c r="EC58" s="82">
        <f>(BX58-CA58)+((AV58+BP58)/1000)</f>
        <v>0</v>
      </c>
      <c r="EF58" s="83">
        <f t="shared" si="91"/>
        <v>0</v>
      </c>
    </row>
    <row r="59" spans="1:136" ht="14.1" hidden="1" customHeight="1">
      <c r="A59" s="84">
        <v>52</v>
      </c>
      <c r="B59" s="85" t="s">
        <v>286</v>
      </c>
      <c r="C59" s="86"/>
      <c r="D59" s="87"/>
      <c r="E59" s="88">
        <v>237</v>
      </c>
      <c r="F59" s="89" t="s">
        <v>128</v>
      </c>
      <c r="G59" s="45" t="str">
        <f t="shared" si="30"/>
        <v>GWA6063-T5-7.5x3-H9B14</v>
      </c>
      <c r="H59" s="46" t="str">
        <f t="shared" si="31"/>
        <v>A6063-T5GW7.50DH9</v>
      </c>
      <c r="I59" s="46" t="str">
        <f t="shared" si="32"/>
        <v>A6063-T5GW7.50DH93B14</v>
      </c>
      <c r="J59" s="90" t="s">
        <v>129</v>
      </c>
      <c r="K59" s="90" t="s">
        <v>130</v>
      </c>
      <c r="L59" s="90">
        <v>7.5</v>
      </c>
      <c r="M59" s="90">
        <v>0</v>
      </c>
      <c r="N59" s="90" t="s">
        <v>128</v>
      </c>
      <c r="O59" s="90" t="s">
        <v>131</v>
      </c>
      <c r="P59" s="90">
        <v>3</v>
      </c>
      <c r="Q59" s="91">
        <v>0.35799999999999998</v>
      </c>
      <c r="R59" s="90" t="s">
        <v>171</v>
      </c>
      <c r="S59" s="89">
        <f t="shared" si="33"/>
        <v>22</v>
      </c>
      <c r="T59" s="51">
        <f>'07.02'!BG59</f>
        <v>0</v>
      </c>
      <c r="U59" s="92"/>
      <c r="V59" s="100">
        <v>0.70299999999999996</v>
      </c>
      <c r="W59" s="93">
        <f t="shared" si="5"/>
        <v>0</v>
      </c>
      <c r="X59" s="93">
        <f t="shared" si="6"/>
        <v>0</v>
      </c>
      <c r="Y59" s="93">
        <f t="shared" si="7"/>
        <v>0</v>
      </c>
      <c r="Z59" s="93">
        <f t="shared" si="8"/>
        <v>0</v>
      </c>
      <c r="AA59" s="93">
        <f t="shared" si="9"/>
        <v>0</v>
      </c>
      <c r="AB59" s="93">
        <f t="shared" si="10"/>
        <v>0</v>
      </c>
      <c r="AC59" s="93">
        <f t="shared" si="11"/>
        <v>0</v>
      </c>
      <c r="AD59" s="93">
        <f t="shared" si="12"/>
        <v>0</v>
      </c>
      <c r="AE59" s="93">
        <f t="shared" si="34"/>
        <v>0</v>
      </c>
      <c r="AF59" s="54">
        <f>AE59+'07.02'!AF59</f>
        <v>0</v>
      </c>
      <c r="AG59" s="94">
        <f t="shared" si="66"/>
        <v>0</v>
      </c>
      <c r="AH59" s="56">
        <f t="shared" si="13"/>
        <v>0</v>
      </c>
      <c r="AI59" s="93"/>
      <c r="AJ59" s="93">
        <f t="shared" si="67"/>
        <v>0</v>
      </c>
      <c r="AK59" s="95">
        <f t="shared" si="35"/>
        <v>1</v>
      </c>
      <c r="AL59" s="58">
        <f t="shared" si="36"/>
        <v>0</v>
      </c>
      <c r="AM59" s="55">
        <f t="shared" si="68"/>
        <v>0</v>
      </c>
      <c r="AN59" s="93"/>
      <c r="AO59" s="96"/>
      <c r="AP59" s="96">
        <f>$CJ59</f>
        <v>0</v>
      </c>
      <c r="AQ59" s="96"/>
      <c r="AR59" s="96"/>
      <c r="AS59" s="96"/>
      <c r="AT59" s="96"/>
      <c r="AU59" s="96">
        <f t="shared" si="37"/>
        <v>0</v>
      </c>
      <c r="AV59" s="96">
        <f t="shared" si="37"/>
        <v>0</v>
      </c>
      <c r="AW59" s="96">
        <f t="shared" si="38"/>
        <v>0</v>
      </c>
      <c r="AX59" s="96">
        <f t="shared" si="39"/>
        <v>0</v>
      </c>
      <c r="AY59" s="94">
        <f t="shared" si="69"/>
        <v>0</v>
      </c>
      <c r="AZ59" s="94">
        <f t="shared" si="40"/>
        <v>0</v>
      </c>
      <c r="BA59" s="94">
        <f t="shared" si="41"/>
        <v>0</v>
      </c>
      <c r="BB59" s="97">
        <f t="shared" si="42"/>
        <v>0</v>
      </c>
      <c r="BC59" s="93"/>
      <c r="BD59" s="93">
        <f t="shared" si="43"/>
        <v>0</v>
      </c>
      <c r="BE59" s="95">
        <f t="shared" si="44"/>
        <v>1</v>
      </c>
      <c r="BF59" s="58">
        <f t="shared" si="45"/>
        <v>0</v>
      </c>
      <c r="BG59" s="94">
        <f t="shared" si="46"/>
        <v>0</v>
      </c>
      <c r="BH59" s="89"/>
      <c r="BI59" s="89"/>
      <c r="BJ59" s="92">
        <f>$CN59</f>
        <v>0</v>
      </c>
      <c r="BK59" s="89"/>
      <c r="BL59" s="89"/>
      <c r="BM59" s="89"/>
      <c r="BN59" s="89"/>
      <c r="BO59" s="92">
        <f t="shared" si="70"/>
        <v>0</v>
      </c>
      <c r="BP59" s="92">
        <f t="shared" si="70"/>
        <v>0</v>
      </c>
      <c r="BQ59" s="96">
        <f t="shared" si="47"/>
        <v>0</v>
      </c>
      <c r="BR59" s="96">
        <f t="shared" si="48"/>
        <v>0</v>
      </c>
      <c r="BS59" s="96">
        <f t="shared" si="71"/>
        <v>0</v>
      </c>
      <c r="BT59" s="96">
        <f t="shared" si="49"/>
        <v>0</v>
      </c>
      <c r="BU59" s="92">
        <f t="shared" si="16"/>
        <v>0</v>
      </c>
      <c r="BV59" s="98">
        <f t="shared" si="17"/>
        <v>0</v>
      </c>
      <c r="BW59" s="92">
        <f t="shared" si="18"/>
        <v>0</v>
      </c>
      <c r="BX59" s="98">
        <f t="shared" si="50"/>
        <v>0</v>
      </c>
      <c r="BY59" s="61">
        <f t="shared" si="73"/>
        <v>0</v>
      </c>
      <c r="BZ59" s="62">
        <f t="shared" si="51"/>
        <v>0</v>
      </c>
      <c r="CA59" s="98">
        <f t="shared" si="52"/>
        <v>0</v>
      </c>
      <c r="CB59" s="92">
        <f t="shared" si="97"/>
        <v>0</v>
      </c>
      <c r="CC59" s="92">
        <f t="shared" si="97"/>
        <v>0</v>
      </c>
      <c r="CD59" s="92">
        <f t="shared" si="97"/>
        <v>0</v>
      </c>
      <c r="CE59" s="99"/>
      <c r="CF59" s="99"/>
      <c r="CG59" s="51">
        <f t="shared" si="53"/>
        <v>0</v>
      </c>
      <c r="CH59" s="62">
        <f t="shared" si="54"/>
        <v>0</v>
      </c>
      <c r="CI59" s="89"/>
      <c r="CJ59" s="89"/>
      <c r="CK59" s="89"/>
      <c r="CL59" s="96"/>
      <c r="CM59" s="89"/>
      <c r="CN59" s="89"/>
      <c r="CO59" s="92"/>
      <c r="CP59" s="101"/>
      <c r="CQ59" s="102">
        <f t="shared" si="100"/>
        <v>0</v>
      </c>
      <c r="CR59" s="102">
        <f t="shared" si="100"/>
        <v>0</v>
      </c>
      <c r="CS59" s="102">
        <f t="shared" si="100"/>
        <v>0</v>
      </c>
      <c r="CT59" s="92">
        <f t="shared" si="56"/>
        <v>0</v>
      </c>
      <c r="CU59" s="92">
        <f t="shared" si="101"/>
        <v>0</v>
      </c>
      <c r="CV59" s="103">
        <f t="shared" si="101"/>
        <v>0</v>
      </c>
      <c r="CW59" s="104" t="s">
        <v>147</v>
      </c>
      <c r="CX59" s="105">
        <v>15.56</v>
      </c>
      <c r="CY59" s="106">
        <f t="shared" si="58"/>
        <v>2637</v>
      </c>
      <c r="CZ59" s="106">
        <f t="shared" si="59"/>
        <v>63.018000000000001</v>
      </c>
      <c r="DA59" s="106"/>
      <c r="DB59" s="106"/>
      <c r="DC59" s="105"/>
      <c r="DD59" s="107"/>
      <c r="DE59" s="92">
        <f t="shared" si="21"/>
        <v>0</v>
      </c>
      <c r="DF59" s="108">
        <f t="shared" si="22"/>
        <v>0</v>
      </c>
      <c r="DG59" s="112">
        <f t="shared" si="23"/>
        <v>0</v>
      </c>
      <c r="DH59" s="110">
        <f t="shared" si="24"/>
        <v>0</v>
      </c>
      <c r="DI59" s="108">
        <f t="shared" si="25"/>
        <v>0</v>
      </c>
      <c r="DJ59" s="112">
        <f t="shared" si="26"/>
        <v>0</v>
      </c>
      <c r="DK59" s="110">
        <f t="shared" si="86"/>
        <v>0</v>
      </c>
      <c r="DL59" s="108">
        <f t="shared" si="86"/>
        <v>0</v>
      </c>
      <c r="DM59" s="111">
        <f t="shared" si="86"/>
        <v>0</v>
      </c>
      <c r="DN59" s="76">
        <f t="shared" si="60"/>
        <v>0</v>
      </c>
      <c r="DO59" s="76">
        <f t="shared" si="60"/>
        <v>0</v>
      </c>
      <c r="DP59" s="112"/>
      <c r="DQ59" s="112"/>
      <c r="DR59" s="113"/>
      <c r="DS59" s="112"/>
      <c r="DT59" s="112"/>
      <c r="DU59" s="111"/>
      <c r="DV59" s="114"/>
      <c r="DW59" s="80">
        <f t="shared" si="61"/>
        <v>0</v>
      </c>
      <c r="DX59" s="81">
        <f t="shared" si="28"/>
        <v>0</v>
      </c>
      <c r="DY59" s="80">
        <f t="shared" si="62"/>
        <v>0</v>
      </c>
      <c r="DZ59" s="82">
        <f t="shared" si="63"/>
        <v>0</v>
      </c>
      <c r="EA59" s="82">
        <f t="shared" si="64"/>
        <v>0</v>
      </c>
      <c r="EB59" s="82">
        <f t="shared" si="65"/>
        <v>0</v>
      </c>
      <c r="EC59" s="82">
        <f t="shared" si="75"/>
        <v>0</v>
      </c>
    </row>
    <row r="60" spans="1:136" ht="15" customHeight="1">
      <c r="A60" s="84">
        <v>53</v>
      </c>
      <c r="B60" s="85" t="s">
        <v>287</v>
      </c>
      <c r="C60" s="86"/>
      <c r="D60" s="116" t="s">
        <v>288</v>
      </c>
      <c r="E60" s="88">
        <v>509</v>
      </c>
      <c r="F60" s="89" t="s">
        <v>191</v>
      </c>
      <c r="G60" s="45" t="str">
        <f t="shared" si="30"/>
        <v>TVSUS303-5x3-H7B13</v>
      </c>
      <c r="H60" s="46" t="str">
        <f t="shared" si="31"/>
        <v>SUS303TV50DH7</v>
      </c>
      <c r="I60" s="46" t="str">
        <f t="shared" si="32"/>
        <v>SUS303TV50DH73B13</v>
      </c>
      <c r="J60" s="90" t="s">
        <v>226</v>
      </c>
      <c r="K60" s="90" t="s">
        <v>138</v>
      </c>
      <c r="L60" s="90">
        <v>5</v>
      </c>
      <c r="M60" s="90">
        <v>0</v>
      </c>
      <c r="N60" s="90" t="s">
        <v>128</v>
      </c>
      <c r="O60" s="90" t="s">
        <v>154</v>
      </c>
      <c r="P60" s="90">
        <v>3</v>
      </c>
      <c r="Q60" s="91">
        <v>0.47</v>
      </c>
      <c r="R60" s="90" t="s">
        <v>228</v>
      </c>
      <c r="S60" s="89">
        <f t="shared" si="33"/>
        <v>6</v>
      </c>
      <c r="T60" s="51">
        <f>'07.02'!BG60</f>
        <v>15</v>
      </c>
      <c r="U60" s="92"/>
      <c r="V60" s="170">
        <v>0.36499999999999999</v>
      </c>
      <c r="W60" s="93">
        <f t="shared" si="5"/>
        <v>0</v>
      </c>
      <c r="X60" s="93">
        <f t="shared" si="6"/>
        <v>0</v>
      </c>
      <c r="Y60" s="93">
        <f t="shared" si="7"/>
        <v>0</v>
      </c>
      <c r="Z60" s="93">
        <f t="shared" si="8"/>
        <v>0</v>
      </c>
      <c r="AA60" s="93">
        <f t="shared" si="9"/>
        <v>0</v>
      </c>
      <c r="AB60" s="93">
        <f t="shared" si="10"/>
        <v>0</v>
      </c>
      <c r="AC60" s="93">
        <f t="shared" si="11"/>
        <v>0</v>
      </c>
      <c r="AD60" s="93">
        <f t="shared" si="12"/>
        <v>0</v>
      </c>
      <c r="AE60" s="93">
        <f t="shared" si="34"/>
        <v>0</v>
      </c>
      <c r="AF60" s="54">
        <f>AE60+'07.02'!AF60</f>
        <v>4800</v>
      </c>
      <c r="AG60" s="94">
        <f t="shared" si="66"/>
        <v>15</v>
      </c>
      <c r="AH60" s="56">
        <f t="shared" si="13"/>
        <v>0</v>
      </c>
      <c r="AI60" s="93"/>
      <c r="AJ60" s="93">
        <f t="shared" si="67"/>
        <v>0</v>
      </c>
      <c r="AK60" s="95">
        <f t="shared" si="35"/>
        <v>1</v>
      </c>
      <c r="AL60" s="58">
        <f t="shared" si="36"/>
        <v>0</v>
      </c>
      <c r="AM60" s="55">
        <f t="shared" si="68"/>
        <v>15</v>
      </c>
      <c r="AN60" s="93"/>
      <c r="AO60" s="96"/>
      <c r="AP60" s="96"/>
      <c r="AQ60" s="96"/>
      <c r="AR60" s="96">
        <f t="shared" ref="AR60:AS61" si="105">$CJ60</f>
        <v>0</v>
      </c>
      <c r="AS60" s="96"/>
      <c r="AT60" s="96"/>
      <c r="AU60" s="96">
        <f t="shared" si="37"/>
        <v>0</v>
      </c>
      <c r="AV60" s="96">
        <f t="shared" si="37"/>
        <v>0</v>
      </c>
      <c r="AW60" s="96">
        <f t="shared" si="38"/>
        <v>0</v>
      </c>
      <c r="AX60" s="96">
        <f t="shared" si="39"/>
        <v>0</v>
      </c>
      <c r="AY60" s="94">
        <f t="shared" si="69"/>
        <v>0</v>
      </c>
      <c r="AZ60" s="94">
        <f t="shared" si="40"/>
        <v>0</v>
      </c>
      <c r="BA60" s="94">
        <f t="shared" si="41"/>
        <v>15</v>
      </c>
      <c r="BB60" s="97">
        <f t="shared" si="42"/>
        <v>0</v>
      </c>
      <c r="BC60" s="93"/>
      <c r="BD60" s="93">
        <f t="shared" si="43"/>
        <v>0</v>
      </c>
      <c r="BE60" s="95">
        <f t="shared" si="44"/>
        <v>1</v>
      </c>
      <c r="BF60" s="58">
        <f t="shared" si="45"/>
        <v>0</v>
      </c>
      <c r="BG60" s="94">
        <f t="shared" si="46"/>
        <v>15</v>
      </c>
      <c r="BH60" s="89"/>
      <c r="BI60" s="89"/>
      <c r="BJ60" s="92"/>
      <c r="BK60" s="89"/>
      <c r="BL60" s="92">
        <f>$CN60</f>
        <v>0</v>
      </c>
      <c r="BM60" s="92"/>
      <c r="BN60" s="92"/>
      <c r="BO60" s="92">
        <f t="shared" si="70"/>
        <v>0</v>
      </c>
      <c r="BP60" s="92">
        <f t="shared" si="70"/>
        <v>0</v>
      </c>
      <c r="BQ60" s="96">
        <f t="shared" si="47"/>
        <v>0</v>
      </c>
      <c r="BR60" s="96">
        <f t="shared" si="48"/>
        <v>0</v>
      </c>
      <c r="BS60" s="96">
        <f t="shared" si="71"/>
        <v>0</v>
      </c>
      <c r="BT60" s="96">
        <f t="shared" si="49"/>
        <v>0</v>
      </c>
      <c r="BU60" s="92">
        <f t="shared" si="16"/>
        <v>0</v>
      </c>
      <c r="BV60" s="98">
        <f t="shared" si="17"/>
        <v>0</v>
      </c>
      <c r="BW60" s="92">
        <f t="shared" si="18"/>
        <v>0</v>
      </c>
      <c r="BX60" s="98">
        <f t="shared" si="50"/>
        <v>0</v>
      </c>
      <c r="BY60" s="61">
        <f t="shared" si="73"/>
        <v>0</v>
      </c>
      <c r="BZ60" s="62">
        <f t="shared" si="51"/>
        <v>0</v>
      </c>
      <c r="CA60" s="98">
        <f t="shared" si="52"/>
        <v>0</v>
      </c>
      <c r="CB60" s="92">
        <f t="shared" si="97"/>
        <v>0</v>
      </c>
      <c r="CC60" s="92">
        <f t="shared" si="97"/>
        <v>0</v>
      </c>
      <c r="CD60" s="92">
        <f t="shared" si="97"/>
        <v>0</v>
      </c>
      <c r="CE60" s="99"/>
      <c r="CF60" s="99"/>
      <c r="CG60" s="51">
        <f t="shared" si="53"/>
        <v>0</v>
      </c>
      <c r="CH60" s="62">
        <f t="shared" si="54"/>
        <v>0</v>
      </c>
      <c r="CI60" s="89"/>
      <c r="CJ60" s="89"/>
      <c r="CK60" s="89"/>
      <c r="CL60" s="96"/>
      <c r="CM60" s="89"/>
      <c r="CN60" s="89"/>
      <c r="CO60" s="92"/>
      <c r="CP60" s="101"/>
      <c r="CQ60" s="102">
        <f t="shared" si="100"/>
        <v>0</v>
      </c>
      <c r="CR60" s="102">
        <f t="shared" si="100"/>
        <v>0</v>
      </c>
      <c r="CS60" s="102">
        <f t="shared" si="100"/>
        <v>0</v>
      </c>
      <c r="CT60" s="92">
        <f t="shared" si="56"/>
        <v>0</v>
      </c>
      <c r="CU60" s="92">
        <f t="shared" si="101"/>
        <v>0</v>
      </c>
      <c r="CV60" s="103">
        <f t="shared" si="101"/>
        <v>0</v>
      </c>
      <c r="CW60" s="104" t="s">
        <v>147</v>
      </c>
      <c r="CX60" s="105">
        <v>30</v>
      </c>
      <c r="CY60" s="106">
        <f t="shared" si="58"/>
        <v>1422</v>
      </c>
      <c r="CZ60" s="106">
        <f t="shared" si="59"/>
        <v>121.50000000000001</v>
      </c>
      <c r="DA60" s="106"/>
      <c r="DB60" s="106"/>
      <c r="DC60" s="105"/>
      <c r="DD60" s="107"/>
      <c r="DE60" s="92">
        <f t="shared" si="21"/>
        <v>0</v>
      </c>
      <c r="DF60" s="108">
        <f t="shared" si="22"/>
        <v>0</v>
      </c>
      <c r="DG60" s="115">
        <f t="shared" si="23"/>
        <v>0</v>
      </c>
      <c r="DH60" s="110">
        <f t="shared" si="24"/>
        <v>0</v>
      </c>
      <c r="DI60" s="108">
        <f t="shared" si="25"/>
        <v>0</v>
      </c>
      <c r="DJ60" s="115">
        <f t="shared" si="26"/>
        <v>0</v>
      </c>
      <c r="DK60" s="110">
        <f t="shared" si="86"/>
        <v>0</v>
      </c>
      <c r="DL60" s="108">
        <f t="shared" si="86"/>
        <v>0</v>
      </c>
      <c r="DM60" s="111">
        <f t="shared" si="86"/>
        <v>0</v>
      </c>
      <c r="DN60" s="76">
        <v>10</v>
      </c>
      <c r="DO60" s="76"/>
      <c r="DP60" s="112"/>
      <c r="DQ60" s="112"/>
      <c r="DR60" s="113" t="s">
        <v>544</v>
      </c>
      <c r="DS60" s="112"/>
      <c r="DT60" s="112"/>
      <c r="DU60" s="111"/>
      <c r="DV60" s="114"/>
      <c r="DW60" s="80">
        <f>IFERROR(AL60+BF60,"")</f>
        <v>0</v>
      </c>
      <c r="DX60" s="81">
        <f t="shared" si="28"/>
        <v>0</v>
      </c>
      <c r="DY60" s="80">
        <f t="shared" si="62"/>
        <v>0</v>
      </c>
      <c r="DZ60" s="82">
        <f t="shared" si="63"/>
        <v>0</v>
      </c>
      <c r="EA60" s="82">
        <f t="shared" si="64"/>
        <v>0</v>
      </c>
      <c r="EB60" s="82">
        <f t="shared" si="65"/>
        <v>0</v>
      </c>
      <c r="EC60" s="82">
        <f t="shared" si="75"/>
        <v>0</v>
      </c>
      <c r="EF60" s="83">
        <f t="shared" ref="EF60:EF88" si="106">DG60+DJ60</f>
        <v>0</v>
      </c>
    </row>
    <row r="61" spans="1:136" ht="14.1" customHeight="1">
      <c r="A61" s="84">
        <v>54</v>
      </c>
      <c r="B61" s="85" t="s">
        <v>290</v>
      </c>
      <c r="C61" s="86"/>
      <c r="D61" s="171" t="s">
        <v>496</v>
      </c>
      <c r="E61" s="88">
        <v>61</v>
      </c>
      <c r="F61" s="89" t="s">
        <v>147</v>
      </c>
      <c r="G61" s="45" t="str">
        <f t="shared" si="30"/>
        <v>TV12L14-5x3-H9A14</v>
      </c>
      <c r="H61" s="46" t="str">
        <f t="shared" si="31"/>
        <v>12L14TV50DH9</v>
      </c>
      <c r="I61" s="46" t="str">
        <f t="shared" si="32"/>
        <v>12L14TV50DH93A14</v>
      </c>
      <c r="J61" s="90" t="s">
        <v>137</v>
      </c>
      <c r="K61" s="90" t="s">
        <v>138</v>
      </c>
      <c r="L61" s="90">
        <v>5</v>
      </c>
      <c r="M61" s="90">
        <v>0</v>
      </c>
      <c r="N61" s="90" t="s">
        <v>128</v>
      </c>
      <c r="O61" s="90" t="s">
        <v>131</v>
      </c>
      <c r="P61" s="90">
        <v>3</v>
      </c>
      <c r="Q61" s="91">
        <v>0.98</v>
      </c>
      <c r="R61" s="90" t="s">
        <v>139</v>
      </c>
      <c r="S61" s="89">
        <f t="shared" si="33"/>
        <v>84</v>
      </c>
      <c r="T61" s="51">
        <f>'07.02'!BG61</f>
        <v>50</v>
      </c>
      <c r="U61" s="92"/>
      <c r="V61" s="100">
        <v>2.0499999999999998</v>
      </c>
      <c r="W61" s="93">
        <f t="shared" si="5"/>
        <v>0</v>
      </c>
      <c r="X61" s="93">
        <f t="shared" si="6"/>
        <v>0</v>
      </c>
      <c r="Y61" s="93">
        <f t="shared" si="7"/>
        <v>0</v>
      </c>
      <c r="Z61" s="93">
        <f t="shared" si="8"/>
        <v>0</v>
      </c>
      <c r="AA61" s="93">
        <f t="shared" si="9"/>
        <v>0</v>
      </c>
      <c r="AB61" s="93">
        <f t="shared" si="10"/>
        <v>0</v>
      </c>
      <c r="AC61" s="93">
        <f t="shared" si="11"/>
        <v>0</v>
      </c>
      <c r="AD61" s="93">
        <f t="shared" si="12"/>
        <v>0</v>
      </c>
      <c r="AE61" s="93">
        <f t="shared" si="34"/>
        <v>0</v>
      </c>
      <c r="AF61" s="54">
        <f>AE61+'07.02'!AF61</f>
        <v>608</v>
      </c>
      <c r="AG61" s="94">
        <f t="shared" si="66"/>
        <v>50</v>
      </c>
      <c r="AH61" s="56">
        <f t="shared" si="13"/>
        <v>0</v>
      </c>
      <c r="AI61" s="93"/>
      <c r="AJ61" s="93">
        <f t="shared" si="67"/>
        <v>0</v>
      </c>
      <c r="AK61" s="95">
        <f t="shared" si="35"/>
        <v>1</v>
      </c>
      <c r="AL61" s="58">
        <f t="shared" si="36"/>
        <v>0</v>
      </c>
      <c r="AM61" s="55">
        <f t="shared" si="68"/>
        <v>50</v>
      </c>
      <c r="AN61" s="93"/>
      <c r="AO61" s="96"/>
      <c r="AP61" s="96"/>
      <c r="AQ61" s="96"/>
      <c r="AR61" s="96"/>
      <c r="AS61" s="96">
        <f t="shared" si="105"/>
        <v>0</v>
      </c>
      <c r="AT61" s="96"/>
      <c r="AU61" s="96">
        <f t="shared" si="37"/>
        <v>0</v>
      </c>
      <c r="AV61" s="96">
        <f t="shared" si="37"/>
        <v>0</v>
      </c>
      <c r="AW61" s="96">
        <f t="shared" si="38"/>
        <v>0</v>
      </c>
      <c r="AX61" s="96">
        <f t="shared" si="39"/>
        <v>0</v>
      </c>
      <c r="AY61" s="94">
        <f t="shared" si="69"/>
        <v>0</v>
      </c>
      <c r="AZ61" s="94">
        <f t="shared" si="40"/>
        <v>0</v>
      </c>
      <c r="BA61" s="94">
        <f t="shared" si="41"/>
        <v>50</v>
      </c>
      <c r="BB61" s="97">
        <f t="shared" si="42"/>
        <v>0</v>
      </c>
      <c r="BC61" s="93"/>
      <c r="BD61" s="93">
        <f t="shared" si="43"/>
        <v>0</v>
      </c>
      <c r="BE61" s="95">
        <f t="shared" si="44"/>
        <v>1</v>
      </c>
      <c r="BF61" s="58">
        <f t="shared" si="45"/>
        <v>0</v>
      </c>
      <c r="BG61" s="94">
        <f t="shared" si="46"/>
        <v>50</v>
      </c>
      <c r="BH61" s="89"/>
      <c r="BI61" s="89"/>
      <c r="BJ61" s="92"/>
      <c r="BK61" s="89"/>
      <c r="BL61" s="89"/>
      <c r="BM61" s="92">
        <f>$CN61</f>
        <v>0</v>
      </c>
      <c r="BN61" s="92"/>
      <c r="BO61" s="92">
        <f t="shared" si="70"/>
        <v>0</v>
      </c>
      <c r="BP61" s="92">
        <f t="shared" si="70"/>
        <v>0</v>
      </c>
      <c r="BQ61" s="96">
        <f t="shared" si="47"/>
        <v>0</v>
      </c>
      <c r="BR61" s="96">
        <f t="shared" si="48"/>
        <v>0</v>
      </c>
      <c r="BS61" s="96">
        <f t="shared" si="71"/>
        <v>0</v>
      </c>
      <c r="BT61" s="96">
        <f>IF($V61="","",BS61/$V61)</f>
        <v>0</v>
      </c>
      <c r="BU61" s="92">
        <f t="shared" si="16"/>
        <v>0</v>
      </c>
      <c r="BV61" s="98">
        <f t="shared" si="17"/>
        <v>0</v>
      </c>
      <c r="BW61" s="92">
        <f t="shared" si="18"/>
        <v>0</v>
      </c>
      <c r="BX61" s="98">
        <f t="shared" si="50"/>
        <v>0</v>
      </c>
      <c r="BY61" s="61">
        <f t="shared" si="73"/>
        <v>0</v>
      </c>
      <c r="BZ61" s="62">
        <f t="shared" si="51"/>
        <v>0</v>
      </c>
      <c r="CA61" s="98">
        <f t="shared" si="52"/>
        <v>0</v>
      </c>
      <c r="CB61" s="92">
        <f t="shared" si="97"/>
        <v>0</v>
      </c>
      <c r="CC61" s="92">
        <f t="shared" si="97"/>
        <v>0</v>
      </c>
      <c r="CD61" s="92">
        <f t="shared" si="97"/>
        <v>0</v>
      </c>
      <c r="CE61" s="99"/>
      <c r="CF61" s="99"/>
      <c r="CG61" s="51">
        <f t="shared" si="53"/>
        <v>0</v>
      </c>
      <c r="CH61" s="62">
        <f t="shared" si="54"/>
        <v>0</v>
      </c>
      <c r="CI61" s="89"/>
      <c r="CJ61" s="89"/>
      <c r="CK61" s="89"/>
      <c r="CL61" s="96"/>
      <c r="CM61" s="89"/>
      <c r="CN61" s="89"/>
      <c r="CO61" s="92"/>
      <c r="CP61" s="101"/>
      <c r="CQ61" s="102">
        <f t="shared" si="100"/>
        <v>0</v>
      </c>
      <c r="CR61" s="102">
        <f t="shared" si="100"/>
        <v>0</v>
      </c>
      <c r="CS61" s="102">
        <f t="shared" si="100"/>
        <v>0</v>
      </c>
      <c r="CT61" s="92">
        <f t="shared" si="56"/>
        <v>0</v>
      </c>
      <c r="CU61" s="92">
        <f t="shared" si="101"/>
        <v>0</v>
      </c>
      <c r="CV61" s="103">
        <f t="shared" si="101"/>
        <v>0</v>
      </c>
      <c r="CW61" s="104" t="s">
        <v>147</v>
      </c>
      <c r="CX61" s="105">
        <v>13</v>
      </c>
      <c r="CY61" s="106">
        <f t="shared" si="58"/>
        <v>2561</v>
      </c>
      <c r="CZ61" s="106">
        <f t="shared" si="59"/>
        <v>52.650000000000006</v>
      </c>
      <c r="DA61" s="106"/>
      <c r="DB61" s="106"/>
      <c r="DC61" s="105"/>
      <c r="DD61" s="107"/>
      <c r="DE61" s="92">
        <f t="shared" si="21"/>
        <v>0</v>
      </c>
      <c r="DF61" s="108">
        <f t="shared" si="22"/>
        <v>0</v>
      </c>
      <c r="DG61" s="112">
        <f t="shared" si="23"/>
        <v>0</v>
      </c>
      <c r="DH61" s="110">
        <f t="shared" si="24"/>
        <v>0</v>
      </c>
      <c r="DI61" s="108">
        <f t="shared" si="25"/>
        <v>0</v>
      </c>
      <c r="DJ61" s="112">
        <f t="shared" si="26"/>
        <v>0</v>
      </c>
      <c r="DK61" s="110">
        <f t="shared" si="86"/>
        <v>0</v>
      </c>
      <c r="DL61" s="108">
        <f t="shared" si="86"/>
        <v>0</v>
      </c>
      <c r="DM61" s="111">
        <f t="shared" si="86"/>
        <v>0</v>
      </c>
      <c r="DN61" s="76">
        <v>50</v>
      </c>
      <c r="DO61" s="76"/>
      <c r="DP61" s="112"/>
      <c r="DQ61" s="112"/>
      <c r="DR61" s="113" t="s">
        <v>545</v>
      </c>
      <c r="DS61" s="112"/>
      <c r="DT61" s="112"/>
      <c r="DU61" s="111"/>
      <c r="DV61" s="114"/>
      <c r="DW61" s="80">
        <f t="shared" si="61"/>
        <v>0</v>
      </c>
      <c r="DX61" s="81">
        <f t="shared" si="28"/>
        <v>0</v>
      </c>
      <c r="DY61" s="80">
        <f t="shared" si="62"/>
        <v>0</v>
      </c>
      <c r="DZ61" s="82">
        <f t="shared" si="63"/>
        <v>0</v>
      </c>
      <c r="EA61" s="82">
        <f t="shared" si="64"/>
        <v>0</v>
      </c>
      <c r="EB61" s="82">
        <f t="shared" si="65"/>
        <v>0</v>
      </c>
      <c r="EC61" s="82">
        <f t="shared" ref="EC61:EC65" si="107">(BX61-CA61)+((AV61+BP61)/1000)</f>
        <v>0</v>
      </c>
      <c r="EF61" s="83">
        <f t="shared" si="106"/>
        <v>0</v>
      </c>
    </row>
    <row r="62" spans="1:136" ht="14.1" customHeight="1">
      <c r="A62" s="84">
        <v>55</v>
      </c>
      <c r="B62" s="85" t="s">
        <v>293</v>
      </c>
      <c r="C62" s="86"/>
      <c r="D62" s="116" t="s">
        <v>294</v>
      </c>
      <c r="E62" s="88">
        <v>383</v>
      </c>
      <c r="F62" s="89" t="s">
        <v>147</v>
      </c>
      <c r="G62" s="45" t="str">
        <f t="shared" si="30"/>
        <v>MIC3602-3x2.5-H9A14</v>
      </c>
      <c r="H62" s="46" t="str">
        <f t="shared" si="31"/>
        <v>C3602MI30DH9</v>
      </c>
      <c r="I62" s="46" t="str">
        <f t="shared" si="32"/>
        <v>C3602MI30DH92.5A14</v>
      </c>
      <c r="J62" s="90" t="s">
        <v>155</v>
      </c>
      <c r="K62" s="90" t="s">
        <v>234</v>
      </c>
      <c r="L62" s="90">
        <v>3</v>
      </c>
      <c r="M62" s="90">
        <v>0</v>
      </c>
      <c r="N62" s="90" t="s">
        <v>128</v>
      </c>
      <c r="O62" s="90" t="s">
        <v>131</v>
      </c>
      <c r="P62" s="90">
        <v>2.5</v>
      </c>
      <c r="Q62" s="91">
        <v>0.14799999999999999</v>
      </c>
      <c r="R62" s="160" t="s">
        <v>139</v>
      </c>
      <c r="S62" s="89">
        <f t="shared" si="33"/>
        <v>34</v>
      </c>
      <c r="T62" s="51">
        <f>'07.02'!BG62</f>
        <v>47</v>
      </c>
      <c r="U62" s="92"/>
      <c r="V62" s="100">
        <v>0.188</v>
      </c>
      <c r="W62" s="93">
        <f t="shared" si="5"/>
        <v>0</v>
      </c>
      <c r="X62" s="93">
        <f t="shared" si="6"/>
        <v>0</v>
      </c>
      <c r="Y62" s="93">
        <f t="shared" si="7"/>
        <v>0</v>
      </c>
      <c r="Z62" s="93">
        <f t="shared" si="8"/>
        <v>0</v>
      </c>
      <c r="AA62" s="93">
        <f t="shared" si="9"/>
        <v>0</v>
      </c>
      <c r="AB62" s="93">
        <f t="shared" si="10"/>
        <v>0</v>
      </c>
      <c r="AC62" s="93">
        <f t="shared" si="11"/>
        <v>0</v>
      </c>
      <c r="AD62" s="93">
        <f t="shared" si="12"/>
        <v>0</v>
      </c>
      <c r="AE62" s="93">
        <f t="shared" si="34"/>
        <v>0</v>
      </c>
      <c r="AF62" s="54">
        <f>AE62+'07.02'!AF62</f>
        <v>0</v>
      </c>
      <c r="AG62" s="94">
        <f t="shared" si="66"/>
        <v>47</v>
      </c>
      <c r="AH62" s="56">
        <f t="shared" si="13"/>
        <v>0</v>
      </c>
      <c r="AI62" s="93"/>
      <c r="AJ62" s="93">
        <f t="shared" si="67"/>
        <v>0</v>
      </c>
      <c r="AK62" s="95">
        <f t="shared" si="35"/>
        <v>1</v>
      </c>
      <c r="AL62" s="58">
        <f t="shared" si="36"/>
        <v>0</v>
      </c>
      <c r="AM62" s="55">
        <f t="shared" si="68"/>
        <v>47</v>
      </c>
      <c r="AN62" s="93"/>
      <c r="AO62" s="96"/>
      <c r="AP62" s="96"/>
      <c r="AQ62" s="96"/>
      <c r="AR62" s="96"/>
      <c r="AS62" s="96"/>
      <c r="AT62" s="96">
        <f t="shared" ref="AT62:AT64" si="108">$CJ62</f>
        <v>0</v>
      </c>
      <c r="AU62" s="96">
        <f t="shared" si="37"/>
        <v>0</v>
      </c>
      <c r="AV62" s="96">
        <f t="shared" si="37"/>
        <v>0</v>
      </c>
      <c r="AW62" s="96">
        <f t="shared" si="38"/>
        <v>0</v>
      </c>
      <c r="AX62" s="96">
        <f t="shared" si="39"/>
        <v>0</v>
      </c>
      <c r="AY62" s="94">
        <f t="shared" si="69"/>
        <v>0</v>
      </c>
      <c r="AZ62" s="94">
        <f t="shared" si="40"/>
        <v>0</v>
      </c>
      <c r="BA62" s="94">
        <f t="shared" si="41"/>
        <v>47</v>
      </c>
      <c r="BB62" s="97">
        <f t="shared" si="42"/>
        <v>0</v>
      </c>
      <c r="BC62" s="93"/>
      <c r="BD62" s="93">
        <f t="shared" si="43"/>
        <v>0</v>
      </c>
      <c r="BE62" s="95">
        <f t="shared" si="44"/>
        <v>1</v>
      </c>
      <c r="BF62" s="58">
        <f t="shared" si="45"/>
        <v>0</v>
      </c>
      <c r="BG62" s="94">
        <f t="shared" si="46"/>
        <v>47</v>
      </c>
      <c r="BH62" s="89"/>
      <c r="BI62" s="89"/>
      <c r="BJ62" s="92"/>
      <c r="BK62" s="89"/>
      <c r="BL62" s="89"/>
      <c r="BM62" s="89"/>
      <c r="BN62" s="92">
        <f>$CN62</f>
        <v>0</v>
      </c>
      <c r="BO62" s="92">
        <f t="shared" si="70"/>
        <v>0</v>
      </c>
      <c r="BP62" s="92">
        <f t="shared" si="70"/>
        <v>0</v>
      </c>
      <c r="BQ62" s="96">
        <f t="shared" si="47"/>
        <v>0</v>
      </c>
      <c r="BR62" s="96">
        <f t="shared" si="48"/>
        <v>0</v>
      </c>
      <c r="BS62" s="96">
        <f t="shared" si="71"/>
        <v>0</v>
      </c>
      <c r="BT62" s="96">
        <f t="shared" si="49"/>
        <v>0</v>
      </c>
      <c r="BU62" s="92">
        <f t="shared" si="16"/>
        <v>0</v>
      </c>
      <c r="BV62" s="98">
        <f t="shared" si="17"/>
        <v>0</v>
      </c>
      <c r="BW62" s="92">
        <f t="shared" si="18"/>
        <v>0</v>
      </c>
      <c r="BX62" s="98">
        <f t="shared" si="50"/>
        <v>0</v>
      </c>
      <c r="BY62" s="61">
        <f t="shared" si="73"/>
        <v>0</v>
      </c>
      <c r="BZ62" s="62">
        <f t="shared" si="51"/>
        <v>0</v>
      </c>
      <c r="CA62" s="98">
        <f t="shared" si="52"/>
        <v>0</v>
      </c>
      <c r="CB62" s="92">
        <f t="shared" si="97"/>
        <v>0</v>
      </c>
      <c r="CC62" s="92">
        <f t="shared" si="97"/>
        <v>0</v>
      </c>
      <c r="CD62" s="92">
        <f t="shared" si="97"/>
        <v>0</v>
      </c>
      <c r="CE62" s="99"/>
      <c r="CF62" s="99"/>
      <c r="CG62" s="51">
        <f t="shared" si="53"/>
        <v>0</v>
      </c>
      <c r="CH62" s="62">
        <f t="shared" si="54"/>
        <v>0</v>
      </c>
      <c r="CI62" s="89"/>
      <c r="CJ62" s="89"/>
      <c r="CK62" s="89"/>
      <c r="CL62" s="96"/>
      <c r="CM62" s="89"/>
      <c r="CN62" s="89"/>
      <c r="CO62" s="92"/>
      <c r="CP62" s="101"/>
      <c r="CQ62" s="102">
        <f t="shared" si="100"/>
        <v>0</v>
      </c>
      <c r="CR62" s="102">
        <f t="shared" si="100"/>
        <v>0</v>
      </c>
      <c r="CS62" s="102">
        <f t="shared" si="100"/>
        <v>0</v>
      </c>
      <c r="CT62" s="92">
        <f t="shared" si="56"/>
        <v>0</v>
      </c>
      <c r="CU62" s="92">
        <f t="shared" si="101"/>
        <v>0</v>
      </c>
      <c r="CV62" s="103">
        <f t="shared" si="101"/>
        <v>0</v>
      </c>
      <c r="CW62" s="104" t="s">
        <v>147</v>
      </c>
      <c r="CX62" s="105">
        <v>6</v>
      </c>
      <c r="CY62" s="106">
        <f t="shared" si="58"/>
        <v>6630</v>
      </c>
      <c r="CZ62" s="106">
        <f t="shared" si="59"/>
        <v>24.3</v>
      </c>
      <c r="DA62" s="106"/>
      <c r="DB62" s="106"/>
      <c r="DC62" s="105"/>
      <c r="DD62" s="107"/>
      <c r="DE62" s="92">
        <f t="shared" si="21"/>
        <v>0</v>
      </c>
      <c r="DF62" s="108">
        <f t="shared" si="22"/>
        <v>0</v>
      </c>
      <c r="DG62" s="112">
        <f t="shared" si="23"/>
        <v>0</v>
      </c>
      <c r="DH62" s="110">
        <f t="shared" si="24"/>
        <v>0</v>
      </c>
      <c r="DI62" s="108">
        <f t="shared" si="25"/>
        <v>0</v>
      </c>
      <c r="DJ62" s="112">
        <f t="shared" si="26"/>
        <v>0</v>
      </c>
      <c r="DK62" s="110">
        <f t="shared" si="86"/>
        <v>0</v>
      </c>
      <c r="DL62" s="108">
        <f t="shared" si="86"/>
        <v>0</v>
      </c>
      <c r="DM62" s="111">
        <f t="shared" si="86"/>
        <v>0</v>
      </c>
      <c r="DN62" s="76">
        <v>47</v>
      </c>
      <c r="DO62" s="76"/>
      <c r="DP62" s="112"/>
      <c r="DQ62" s="112"/>
      <c r="DR62" s="113" t="s">
        <v>546</v>
      </c>
      <c r="DS62" s="112"/>
      <c r="DT62" s="112"/>
      <c r="DU62" s="111"/>
      <c r="DV62" s="114"/>
      <c r="DW62" s="80">
        <f t="shared" ref="DW62:DW65" si="109">IFERROR(AL62+BF62,"")</f>
        <v>0</v>
      </c>
      <c r="DX62" s="81">
        <f t="shared" si="28"/>
        <v>0</v>
      </c>
      <c r="DY62" s="80">
        <f t="shared" si="62"/>
        <v>0</v>
      </c>
      <c r="DZ62" s="82">
        <f t="shared" si="63"/>
        <v>0</v>
      </c>
      <c r="EA62" s="82">
        <f t="shared" si="64"/>
        <v>0</v>
      </c>
      <c r="EB62" s="82">
        <f t="shared" si="65"/>
        <v>0</v>
      </c>
      <c r="EC62" s="82">
        <f t="shared" si="107"/>
        <v>0</v>
      </c>
      <c r="EF62" s="83">
        <f t="shared" si="106"/>
        <v>0</v>
      </c>
    </row>
    <row r="63" spans="1:136" ht="11.25" hidden="1" customHeight="1">
      <c r="A63" s="84">
        <v>56</v>
      </c>
      <c r="B63" s="85" t="s">
        <v>296</v>
      </c>
      <c r="C63" s="86"/>
      <c r="D63" s="87" t="s">
        <v>297</v>
      </c>
      <c r="E63" s="88">
        <v>923</v>
      </c>
      <c r="F63" s="89" t="s">
        <v>147</v>
      </c>
      <c r="G63" s="45" t="str">
        <f t="shared" si="30"/>
        <v>FRCuBe2Pb-3.15x3-H9A08</v>
      </c>
      <c r="H63" s="46" t="str">
        <f t="shared" si="31"/>
        <v>CuBe2PbFR3.150DH9</v>
      </c>
      <c r="I63" s="46" t="str">
        <f t="shared" si="32"/>
        <v>CuBe2PbFR3.150DH93A08</v>
      </c>
      <c r="J63" s="90" t="s">
        <v>298</v>
      </c>
      <c r="K63" s="90" t="s">
        <v>299</v>
      </c>
      <c r="L63" s="90">
        <v>3.15</v>
      </c>
      <c r="M63" s="90">
        <v>0</v>
      </c>
      <c r="N63" s="90" t="s">
        <v>128</v>
      </c>
      <c r="O63" s="90" t="s">
        <v>131</v>
      </c>
      <c r="P63" s="90">
        <v>3</v>
      </c>
      <c r="Q63" s="91">
        <v>0.193</v>
      </c>
      <c r="R63" s="160" t="s">
        <v>208</v>
      </c>
      <c r="S63" s="89">
        <f t="shared" si="33"/>
        <v>16</v>
      </c>
      <c r="T63" s="51">
        <f>'07.02'!BG63</f>
        <v>0</v>
      </c>
      <c r="U63" s="92"/>
      <c r="V63" s="100">
        <v>0.05</v>
      </c>
      <c r="W63" s="93">
        <f t="shared" si="5"/>
        <v>0</v>
      </c>
      <c r="X63" s="93">
        <f t="shared" si="6"/>
        <v>0</v>
      </c>
      <c r="Y63" s="93">
        <f t="shared" si="7"/>
        <v>0</v>
      </c>
      <c r="Z63" s="93">
        <f t="shared" si="8"/>
        <v>0</v>
      </c>
      <c r="AA63" s="93">
        <f t="shared" si="9"/>
        <v>0</v>
      </c>
      <c r="AB63" s="93">
        <f t="shared" si="10"/>
        <v>0</v>
      </c>
      <c r="AC63" s="93">
        <f t="shared" si="11"/>
        <v>0</v>
      </c>
      <c r="AD63" s="93">
        <f t="shared" si="12"/>
        <v>0</v>
      </c>
      <c r="AE63" s="93">
        <f t="shared" si="34"/>
        <v>0</v>
      </c>
      <c r="AF63" s="54">
        <f>AE63+'07.02'!AF63</f>
        <v>0</v>
      </c>
      <c r="AG63" s="94">
        <f t="shared" si="66"/>
        <v>0</v>
      </c>
      <c r="AH63" s="56">
        <f t="shared" si="13"/>
        <v>0</v>
      </c>
      <c r="AI63" s="93"/>
      <c r="AJ63" s="93">
        <f t="shared" si="67"/>
        <v>0</v>
      </c>
      <c r="AK63" s="95">
        <f t="shared" si="35"/>
        <v>1</v>
      </c>
      <c r="AL63" s="58">
        <f t="shared" si="36"/>
        <v>0</v>
      </c>
      <c r="AM63" s="55">
        <f t="shared" si="68"/>
        <v>0</v>
      </c>
      <c r="AN63" s="93"/>
      <c r="AO63" s="96"/>
      <c r="AP63" s="96"/>
      <c r="AQ63" s="96">
        <f>$CJ63</f>
        <v>0</v>
      </c>
      <c r="AR63" s="96"/>
      <c r="AS63" s="96"/>
      <c r="AT63" s="96"/>
      <c r="AU63" s="96">
        <f t="shared" si="37"/>
        <v>0</v>
      </c>
      <c r="AV63" s="96">
        <f t="shared" si="37"/>
        <v>0</v>
      </c>
      <c r="AW63" s="96">
        <f t="shared" si="38"/>
        <v>0</v>
      </c>
      <c r="AX63" s="96">
        <f t="shared" si="39"/>
        <v>0</v>
      </c>
      <c r="AY63" s="94">
        <f t="shared" si="69"/>
        <v>0</v>
      </c>
      <c r="AZ63" s="94">
        <f t="shared" si="40"/>
        <v>0</v>
      </c>
      <c r="BA63" s="94">
        <f t="shared" si="41"/>
        <v>0</v>
      </c>
      <c r="BB63" s="97">
        <f t="shared" si="42"/>
        <v>0</v>
      </c>
      <c r="BC63" s="93"/>
      <c r="BD63" s="93">
        <f t="shared" si="43"/>
        <v>0</v>
      </c>
      <c r="BE63" s="95">
        <f t="shared" si="44"/>
        <v>1</v>
      </c>
      <c r="BF63" s="58">
        <f t="shared" si="45"/>
        <v>0</v>
      </c>
      <c r="BG63" s="94">
        <f t="shared" si="46"/>
        <v>0</v>
      </c>
      <c r="BH63" s="89"/>
      <c r="BI63" s="89"/>
      <c r="BJ63" s="89"/>
      <c r="BK63" s="92">
        <f>$CN63</f>
        <v>0</v>
      </c>
      <c r="BL63" s="89"/>
      <c r="BM63" s="89"/>
      <c r="BN63" s="89"/>
      <c r="BO63" s="92">
        <f t="shared" si="70"/>
        <v>0</v>
      </c>
      <c r="BP63" s="92">
        <f t="shared" si="70"/>
        <v>0</v>
      </c>
      <c r="BQ63" s="96">
        <f t="shared" si="47"/>
        <v>0</v>
      </c>
      <c r="BR63" s="96">
        <f>IF(AA63="","",INT(BQ63/$V63))</f>
        <v>0</v>
      </c>
      <c r="BS63" s="96">
        <f t="shared" si="71"/>
        <v>0</v>
      </c>
      <c r="BT63" s="96">
        <f>IF($V63="","",BS63/$V63)</f>
        <v>0</v>
      </c>
      <c r="BU63" s="92">
        <f t="shared" si="16"/>
        <v>0</v>
      </c>
      <c r="BV63" s="98">
        <f t="shared" si="17"/>
        <v>0</v>
      </c>
      <c r="BW63" s="92">
        <f t="shared" si="18"/>
        <v>0</v>
      </c>
      <c r="BX63" s="98">
        <f t="shared" si="50"/>
        <v>0</v>
      </c>
      <c r="BY63" s="61">
        <f t="shared" si="73"/>
        <v>0</v>
      </c>
      <c r="BZ63" s="62">
        <f t="shared" si="51"/>
        <v>0</v>
      </c>
      <c r="CA63" s="98">
        <f t="shared" si="52"/>
        <v>0</v>
      </c>
      <c r="CB63" s="92">
        <f t="shared" si="97"/>
        <v>0</v>
      </c>
      <c r="CC63" s="92">
        <f t="shared" si="97"/>
        <v>0</v>
      </c>
      <c r="CD63" s="92">
        <f t="shared" si="97"/>
        <v>0</v>
      </c>
      <c r="CE63" s="99"/>
      <c r="CF63" s="99"/>
      <c r="CG63" s="51">
        <f t="shared" si="53"/>
        <v>0</v>
      </c>
      <c r="CH63" s="62">
        <f t="shared" si="54"/>
        <v>0</v>
      </c>
      <c r="CI63" s="89"/>
      <c r="CJ63" s="89"/>
      <c r="CK63" s="89"/>
      <c r="CL63" s="96"/>
      <c r="CM63" s="89"/>
      <c r="CN63" s="89"/>
      <c r="CO63" s="92"/>
      <c r="CP63" s="101"/>
      <c r="CQ63" s="102">
        <f t="shared" si="100"/>
        <v>0</v>
      </c>
      <c r="CR63" s="102">
        <f t="shared" si="100"/>
        <v>0</v>
      </c>
      <c r="CS63" s="102">
        <f t="shared" si="100"/>
        <v>0</v>
      </c>
      <c r="CT63" s="92">
        <f t="shared" si="56"/>
        <v>0</v>
      </c>
      <c r="CU63" s="92">
        <f t="shared" si="101"/>
        <v>0</v>
      </c>
      <c r="CV63" s="103">
        <f t="shared" si="101"/>
        <v>0</v>
      </c>
      <c r="CW63" s="104" t="s">
        <v>147</v>
      </c>
      <c r="CX63" s="105">
        <v>6</v>
      </c>
      <c r="CY63" s="106">
        <f t="shared" si="58"/>
        <v>6960</v>
      </c>
      <c r="CZ63" s="106">
        <f t="shared" si="59"/>
        <v>24.3</v>
      </c>
      <c r="DA63" s="106"/>
      <c r="DB63" s="106"/>
      <c r="DC63" s="105"/>
      <c r="DD63" s="107"/>
      <c r="DE63" s="92">
        <f t="shared" si="21"/>
        <v>0</v>
      </c>
      <c r="DF63" s="108">
        <f t="shared" si="22"/>
        <v>0</v>
      </c>
      <c r="DG63" s="115">
        <f t="shared" si="23"/>
        <v>0</v>
      </c>
      <c r="DH63" s="110">
        <f t="shared" si="24"/>
        <v>0</v>
      </c>
      <c r="DI63" s="108">
        <f t="shared" si="25"/>
        <v>0</v>
      </c>
      <c r="DJ63" s="115">
        <f t="shared" si="26"/>
        <v>0</v>
      </c>
      <c r="DK63" s="110">
        <f t="shared" si="86"/>
        <v>0</v>
      </c>
      <c r="DL63" s="108">
        <f t="shared" si="86"/>
        <v>0</v>
      </c>
      <c r="DM63" s="111">
        <f t="shared" si="86"/>
        <v>0</v>
      </c>
      <c r="DN63" s="76">
        <f t="shared" si="60"/>
        <v>0</v>
      </c>
      <c r="DO63" s="76">
        <f t="shared" si="60"/>
        <v>0</v>
      </c>
      <c r="DP63" s="112"/>
      <c r="DQ63" s="112"/>
      <c r="DR63" s="113"/>
      <c r="DS63" s="112"/>
      <c r="DT63" s="112"/>
      <c r="DU63" s="111"/>
      <c r="DV63" s="114"/>
      <c r="DW63" s="80">
        <f t="shared" si="109"/>
        <v>0</v>
      </c>
      <c r="DX63" s="81">
        <f t="shared" si="28"/>
        <v>0</v>
      </c>
      <c r="DY63" s="80">
        <f t="shared" si="62"/>
        <v>0</v>
      </c>
      <c r="DZ63" s="82">
        <f t="shared" si="63"/>
        <v>0</v>
      </c>
      <c r="EA63" s="82">
        <f t="shared" si="64"/>
        <v>0</v>
      </c>
      <c r="EB63" s="82">
        <f t="shared" si="65"/>
        <v>0</v>
      </c>
      <c r="EC63" s="82">
        <f t="shared" si="107"/>
        <v>0</v>
      </c>
      <c r="EF63" s="83">
        <f t="shared" si="106"/>
        <v>0</v>
      </c>
    </row>
    <row r="64" spans="1:136" ht="14.1" customHeight="1">
      <c r="A64" s="84">
        <v>57</v>
      </c>
      <c r="B64" s="85" t="s">
        <v>300</v>
      </c>
      <c r="C64" s="86"/>
      <c r="D64" s="116" t="s">
        <v>301</v>
      </c>
      <c r="E64" s="88">
        <v>474</v>
      </c>
      <c r="F64" s="89" t="s">
        <v>147</v>
      </c>
      <c r="G64" s="45" t="str">
        <f t="shared" si="30"/>
        <v>IBC3604-5x3-H9B14</v>
      </c>
      <c r="H64" s="46" t="str">
        <f t="shared" si="31"/>
        <v>C3604IB50DH9</v>
      </c>
      <c r="I64" s="46" t="str">
        <f t="shared" si="32"/>
        <v>C3604IB50DH93B14</v>
      </c>
      <c r="J64" s="90" t="s">
        <v>148</v>
      </c>
      <c r="K64" s="90" t="s">
        <v>156</v>
      </c>
      <c r="L64" s="90">
        <v>5</v>
      </c>
      <c r="M64" s="90">
        <v>0</v>
      </c>
      <c r="N64" s="90" t="s">
        <v>128</v>
      </c>
      <c r="O64" s="90" t="s">
        <v>131</v>
      </c>
      <c r="P64" s="90">
        <v>3</v>
      </c>
      <c r="Q64" s="91">
        <v>0.5</v>
      </c>
      <c r="R64" s="160" t="s">
        <v>171</v>
      </c>
      <c r="S64" s="89">
        <f t="shared" si="33"/>
        <v>22</v>
      </c>
      <c r="T64" s="51">
        <f>'07.02'!BG64</f>
        <v>13</v>
      </c>
      <c r="U64" s="92">
        <v>17</v>
      </c>
      <c r="V64" s="100">
        <v>0.46</v>
      </c>
      <c r="W64" s="93">
        <f t="shared" si="5"/>
        <v>0</v>
      </c>
      <c r="X64" s="93">
        <f t="shared" si="6"/>
        <v>0</v>
      </c>
      <c r="Y64" s="93">
        <f t="shared" si="7"/>
        <v>0</v>
      </c>
      <c r="Z64" s="93">
        <f t="shared" si="8"/>
        <v>0</v>
      </c>
      <c r="AA64" s="93">
        <f t="shared" si="9"/>
        <v>0</v>
      </c>
      <c r="AB64" s="93">
        <f t="shared" si="10"/>
        <v>0</v>
      </c>
      <c r="AC64" s="93">
        <f t="shared" si="11"/>
        <v>0</v>
      </c>
      <c r="AD64" s="93">
        <f t="shared" si="12"/>
        <v>0</v>
      </c>
      <c r="AE64" s="93">
        <f t="shared" si="34"/>
        <v>0</v>
      </c>
      <c r="AF64" s="54">
        <f>AE64+'07.02'!AF64</f>
        <v>67194</v>
      </c>
      <c r="AG64" s="94">
        <f t="shared" si="66"/>
        <v>13</v>
      </c>
      <c r="AH64" s="56">
        <f t="shared" si="13"/>
        <v>0</v>
      </c>
      <c r="AI64" s="93"/>
      <c r="AJ64" s="93">
        <f t="shared" si="67"/>
        <v>0</v>
      </c>
      <c r="AK64" s="95">
        <f t="shared" si="35"/>
        <v>1</v>
      </c>
      <c r="AL64" s="58">
        <f t="shared" si="36"/>
        <v>0</v>
      </c>
      <c r="AM64" s="55">
        <f t="shared" si="68"/>
        <v>30</v>
      </c>
      <c r="AN64" s="93"/>
      <c r="AO64" s="96"/>
      <c r="AP64" s="96"/>
      <c r="AQ64" s="96"/>
      <c r="AR64" s="96"/>
      <c r="AS64" s="96"/>
      <c r="AT64" s="96">
        <f t="shared" si="108"/>
        <v>0</v>
      </c>
      <c r="AU64" s="96">
        <f t="shared" si="37"/>
        <v>0</v>
      </c>
      <c r="AV64" s="96">
        <f t="shared" si="37"/>
        <v>0</v>
      </c>
      <c r="AW64" s="96">
        <f t="shared" si="38"/>
        <v>0</v>
      </c>
      <c r="AX64" s="96">
        <f t="shared" si="39"/>
        <v>0</v>
      </c>
      <c r="AY64" s="94">
        <f t="shared" si="69"/>
        <v>0</v>
      </c>
      <c r="AZ64" s="94">
        <f t="shared" si="40"/>
        <v>0</v>
      </c>
      <c r="BA64" s="94">
        <f t="shared" si="41"/>
        <v>30</v>
      </c>
      <c r="BB64" s="97">
        <f t="shared" si="42"/>
        <v>0</v>
      </c>
      <c r="BC64" s="93"/>
      <c r="BD64" s="93">
        <f t="shared" si="43"/>
        <v>0</v>
      </c>
      <c r="BE64" s="95">
        <f t="shared" si="44"/>
        <v>1</v>
      </c>
      <c r="BF64" s="58">
        <f t="shared" si="45"/>
        <v>0</v>
      </c>
      <c r="BG64" s="94">
        <f t="shared" si="46"/>
        <v>30</v>
      </c>
      <c r="BH64" s="89"/>
      <c r="BI64" s="89"/>
      <c r="BJ64" s="89"/>
      <c r="BK64" s="89"/>
      <c r="BL64" s="89"/>
      <c r="BM64" s="92"/>
      <c r="BN64" s="92">
        <f>$CN64</f>
        <v>0</v>
      </c>
      <c r="BO64" s="92">
        <f t="shared" si="70"/>
        <v>0</v>
      </c>
      <c r="BP64" s="92">
        <f t="shared" si="70"/>
        <v>0</v>
      </c>
      <c r="BQ64" s="96">
        <f t="shared" si="47"/>
        <v>0</v>
      </c>
      <c r="BR64" s="96">
        <f t="shared" si="48"/>
        <v>0</v>
      </c>
      <c r="BS64" s="96">
        <f t="shared" si="71"/>
        <v>0</v>
      </c>
      <c r="BT64" s="96">
        <f t="shared" si="49"/>
        <v>0</v>
      </c>
      <c r="BU64" s="92">
        <f t="shared" si="16"/>
        <v>0</v>
      </c>
      <c r="BV64" s="98">
        <f t="shared" si="17"/>
        <v>0</v>
      </c>
      <c r="BW64" s="92">
        <f t="shared" si="18"/>
        <v>0</v>
      </c>
      <c r="BX64" s="98">
        <f t="shared" si="50"/>
        <v>0</v>
      </c>
      <c r="BY64" s="61">
        <f>IFERROR(BF64+AL64,0)</f>
        <v>0</v>
      </c>
      <c r="BZ64" s="62">
        <f t="shared" si="51"/>
        <v>0</v>
      </c>
      <c r="CA64" s="98">
        <f t="shared" si="52"/>
        <v>0</v>
      </c>
      <c r="CB64" s="92">
        <f t="shared" si="97"/>
        <v>0</v>
      </c>
      <c r="CC64" s="92">
        <f t="shared" si="97"/>
        <v>0</v>
      </c>
      <c r="CD64" s="92">
        <f t="shared" si="97"/>
        <v>0</v>
      </c>
      <c r="CE64" s="99"/>
      <c r="CF64" s="99"/>
      <c r="CG64" s="51">
        <f t="shared" si="53"/>
        <v>0</v>
      </c>
      <c r="CH64" s="62">
        <f t="shared" si="54"/>
        <v>0</v>
      </c>
      <c r="CI64" s="89"/>
      <c r="CJ64" s="89"/>
      <c r="CK64" s="89"/>
      <c r="CL64" s="96"/>
      <c r="CM64" s="89"/>
      <c r="CN64" s="89"/>
      <c r="CO64" s="92"/>
      <c r="CP64" s="101"/>
      <c r="CQ64" s="102">
        <f t="shared" si="100"/>
        <v>0</v>
      </c>
      <c r="CR64" s="102">
        <f t="shared" si="100"/>
        <v>0</v>
      </c>
      <c r="CS64" s="102">
        <f t="shared" si="100"/>
        <v>0</v>
      </c>
      <c r="CT64" s="92">
        <f t="shared" si="56"/>
        <v>0</v>
      </c>
      <c r="CU64" s="92">
        <f t="shared" si="101"/>
        <v>0</v>
      </c>
      <c r="CV64" s="103">
        <f t="shared" si="101"/>
        <v>0</v>
      </c>
      <c r="CW64" s="104" t="s">
        <v>147</v>
      </c>
      <c r="CX64" s="105">
        <v>8</v>
      </c>
      <c r="CY64" s="106">
        <f t="shared" si="58"/>
        <v>5130</v>
      </c>
      <c r="CZ64" s="106">
        <f t="shared" si="59"/>
        <v>32.400000000000006</v>
      </c>
      <c r="DA64" s="106"/>
      <c r="DB64" s="106"/>
      <c r="DC64" s="105"/>
      <c r="DD64" s="107"/>
      <c r="DE64" s="92">
        <f t="shared" si="21"/>
        <v>0</v>
      </c>
      <c r="DF64" s="108">
        <f t="shared" si="22"/>
        <v>0</v>
      </c>
      <c r="DG64" s="112">
        <f t="shared" si="23"/>
        <v>0</v>
      </c>
      <c r="DH64" s="110">
        <f t="shared" si="24"/>
        <v>0</v>
      </c>
      <c r="DI64" s="108">
        <f t="shared" si="25"/>
        <v>0</v>
      </c>
      <c r="DJ64" s="112">
        <f t="shared" si="26"/>
        <v>0</v>
      </c>
      <c r="DK64" s="110">
        <f t="shared" si="86"/>
        <v>0</v>
      </c>
      <c r="DL64" s="108">
        <f t="shared" si="86"/>
        <v>0</v>
      </c>
      <c r="DM64" s="111">
        <f t="shared" si="86"/>
        <v>0</v>
      </c>
      <c r="DN64" s="76">
        <v>9</v>
      </c>
      <c r="DO64" s="76"/>
      <c r="DP64" s="112"/>
      <c r="DQ64" s="112"/>
      <c r="DR64" s="113" t="s">
        <v>547</v>
      </c>
      <c r="DS64" s="112"/>
      <c r="DT64" s="112"/>
      <c r="DU64" s="111"/>
      <c r="DV64" s="114"/>
      <c r="DW64" s="80">
        <f t="shared" si="109"/>
        <v>0</v>
      </c>
      <c r="DX64" s="81">
        <f t="shared" si="28"/>
        <v>0</v>
      </c>
      <c r="DY64" s="80">
        <f t="shared" si="62"/>
        <v>0</v>
      </c>
      <c r="DZ64" s="82">
        <f t="shared" si="63"/>
        <v>0</v>
      </c>
      <c r="EA64" s="82">
        <f t="shared" si="64"/>
        <v>0</v>
      </c>
      <c r="EB64" s="82">
        <f t="shared" si="65"/>
        <v>0</v>
      </c>
      <c r="EC64" s="82">
        <f t="shared" si="107"/>
        <v>0</v>
      </c>
      <c r="EF64" s="83">
        <f t="shared" si="106"/>
        <v>0</v>
      </c>
    </row>
    <row r="65" spans="1:136" ht="14.1" customHeight="1">
      <c r="A65" s="84">
        <v>58</v>
      </c>
      <c r="B65" s="85" t="s">
        <v>303</v>
      </c>
      <c r="C65" s="86"/>
      <c r="D65" s="119" t="s">
        <v>304</v>
      </c>
      <c r="E65" s="88">
        <v>443</v>
      </c>
      <c r="F65" s="89" t="s">
        <v>128</v>
      </c>
      <c r="G65" s="45" t="str">
        <f t="shared" si="30"/>
        <v>TVA2011-T3-6x3-H9B14</v>
      </c>
      <c r="H65" s="46" t="str">
        <f t="shared" si="31"/>
        <v>A2011-T3TV60DH9</v>
      </c>
      <c r="I65" s="46" t="str">
        <f t="shared" si="32"/>
        <v>A2011-T3TV60DH93B14</v>
      </c>
      <c r="J65" s="90" t="s">
        <v>305</v>
      </c>
      <c r="K65" s="90" t="s">
        <v>138</v>
      </c>
      <c r="L65" s="90">
        <v>6</v>
      </c>
      <c r="M65" s="90">
        <v>0</v>
      </c>
      <c r="N65" s="90" t="s">
        <v>128</v>
      </c>
      <c r="O65" s="90" t="s">
        <v>131</v>
      </c>
      <c r="P65" s="90">
        <v>3</v>
      </c>
      <c r="Q65" s="91">
        <v>0.24</v>
      </c>
      <c r="R65" s="90" t="s">
        <v>171</v>
      </c>
      <c r="S65" s="89" t="e">
        <f t="shared" si="33"/>
        <v>#DIV/0!</v>
      </c>
      <c r="T65" s="51">
        <f>'07.02'!BG65</f>
        <v>40</v>
      </c>
      <c r="U65" s="92"/>
      <c r="V65" s="100">
        <v>0.27500000000000002</v>
      </c>
      <c r="W65" s="93">
        <f t="shared" si="5"/>
        <v>0</v>
      </c>
      <c r="X65" s="93">
        <f t="shared" si="6"/>
        <v>0</v>
      </c>
      <c r="Y65" s="93">
        <f t="shared" si="7"/>
        <v>0</v>
      </c>
      <c r="Z65" s="93">
        <f t="shared" si="8"/>
        <v>0</v>
      </c>
      <c r="AA65" s="93">
        <f t="shared" si="9"/>
        <v>0</v>
      </c>
      <c r="AB65" s="93">
        <f t="shared" si="10"/>
        <v>0</v>
      </c>
      <c r="AC65" s="93">
        <f t="shared" si="11"/>
        <v>0</v>
      </c>
      <c r="AD65" s="93">
        <f t="shared" si="12"/>
        <v>0</v>
      </c>
      <c r="AE65" s="93">
        <f t="shared" si="34"/>
        <v>0</v>
      </c>
      <c r="AF65" s="54">
        <f>AE65+'07.02'!AF65</f>
        <v>9679</v>
      </c>
      <c r="AG65" s="94">
        <f t="shared" si="66"/>
        <v>40</v>
      </c>
      <c r="AH65" s="56">
        <f t="shared" si="13"/>
        <v>0</v>
      </c>
      <c r="AI65" s="93"/>
      <c r="AJ65" s="93">
        <f t="shared" si="67"/>
        <v>0</v>
      </c>
      <c r="AK65" s="95">
        <f t="shared" si="35"/>
        <v>1</v>
      </c>
      <c r="AL65" s="58">
        <f t="shared" si="36"/>
        <v>0</v>
      </c>
      <c r="AM65" s="55">
        <f t="shared" si="68"/>
        <v>40</v>
      </c>
      <c r="AN65" s="93"/>
      <c r="AO65" s="96"/>
      <c r="AP65" s="96"/>
      <c r="AQ65" s="96"/>
      <c r="AR65" s="96"/>
      <c r="AS65" s="96"/>
      <c r="AT65" s="96">
        <f>$CJ65</f>
        <v>0</v>
      </c>
      <c r="AU65" s="96">
        <f t="shared" si="37"/>
        <v>0</v>
      </c>
      <c r="AV65" s="96">
        <f t="shared" si="37"/>
        <v>0</v>
      </c>
      <c r="AW65" s="96">
        <f t="shared" si="38"/>
        <v>0</v>
      </c>
      <c r="AX65" s="96">
        <f t="shared" si="39"/>
        <v>0</v>
      </c>
      <c r="AY65" s="94">
        <f t="shared" si="69"/>
        <v>0</v>
      </c>
      <c r="AZ65" s="94">
        <f t="shared" si="40"/>
        <v>0</v>
      </c>
      <c r="BA65" s="94">
        <f t="shared" si="41"/>
        <v>40</v>
      </c>
      <c r="BB65" s="97">
        <f t="shared" si="42"/>
        <v>0</v>
      </c>
      <c r="BC65" s="93"/>
      <c r="BD65" s="93">
        <f t="shared" si="43"/>
        <v>0</v>
      </c>
      <c r="BE65" s="95">
        <f t="shared" si="44"/>
        <v>1</v>
      </c>
      <c r="BF65" s="58">
        <f t="shared" si="45"/>
        <v>0</v>
      </c>
      <c r="BG65" s="94">
        <f t="shared" si="46"/>
        <v>40</v>
      </c>
      <c r="BH65" s="89"/>
      <c r="BI65" s="89"/>
      <c r="BJ65" s="92"/>
      <c r="BK65" s="89"/>
      <c r="BL65" s="89"/>
      <c r="BM65" s="89"/>
      <c r="BN65" s="92">
        <f>$CN65</f>
        <v>0</v>
      </c>
      <c r="BO65" s="92">
        <f t="shared" si="70"/>
        <v>0</v>
      </c>
      <c r="BP65" s="92">
        <f t="shared" si="70"/>
        <v>0</v>
      </c>
      <c r="BQ65" s="96">
        <f t="shared" si="47"/>
        <v>0</v>
      </c>
      <c r="BR65" s="96">
        <f t="shared" si="48"/>
        <v>0</v>
      </c>
      <c r="BS65" s="96">
        <f t="shared" si="71"/>
        <v>0</v>
      </c>
      <c r="BT65" s="96">
        <f t="shared" si="49"/>
        <v>0</v>
      </c>
      <c r="BU65" s="92">
        <f t="shared" si="16"/>
        <v>0</v>
      </c>
      <c r="BV65" s="98">
        <f t="shared" si="17"/>
        <v>0</v>
      </c>
      <c r="BW65" s="92">
        <f t="shared" si="18"/>
        <v>0</v>
      </c>
      <c r="BX65" s="98">
        <f t="shared" si="50"/>
        <v>0</v>
      </c>
      <c r="BY65" s="61">
        <f t="shared" si="73"/>
        <v>0</v>
      </c>
      <c r="BZ65" s="62">
        <f t="shared" si="51"/>
        <v>0</v>
      </c>
      <c r="CA65" s="98">
        <f t="shared" si="52"/>
        <v>0</v>
      </c>
      <c r="CB65" s="92">
        <f t="shared" si="97"/>
        <v>0</v>
      </c>
      <c r="CC65" s="92">
        <f t="shared" si="97"/>
        <v>0</v>
      </c>
      <c r="CD65" s="92">
        <f t="shared" si="97"/>
        <v>0</v>
      </c>
      <c r="CE65" s="99"/>
      <c r="CF65" s="99"/>
      <c r="CG65" s="51">
        <f t="shared" si="53"/>
        <v>0</v>
      </c>
      <c r="CH65" s="62">
        <f t="shared" si="54"/>
        <v>0</v>
      </c>
      <c r="CI65" s="89"/>
      <c r="CJ65" s="89"/>
      <c r="CK65" s="89"/>
      <c r="CL65" s="96"/>
      <c r="CM65" s="89"/>
      <c r="CN65" s="89"/>
      <c r="CO65" s="92"/>
      <c r="CP65" s="101"/>
      <c r="CQ65" s="102">
        <f t="shared" si="100"/>
        <v>0</v>
      </c>
      <c r="CR65" s="102">
        <f t="shared" si="100"/>
        <v>0</v>
      </c>
      <c r="CS65" s="102">
        <f t="shared" si="100"/>
        <v>0</v>
      </c>
      <c r="CT65" s="92">
        <f t="shared" si="56"/>
        <v>0</v>
      </c>
      <c r="CU65" s="92">
        <f t="shared" si="101"/>
        <v>0</v>
      </c>
      <c r="CV65" s="103">
        <f t="shared" si="101"/>
        <v>0</v>
      </c>
      <c r="CW65" s="104" t="s">
        <v>147</v>
      </c>
      <c r="CX65" s="105"/>
      <c r="CY65" s="106" t="e">
        <f t="shared" si="58"/>
        <v>#DIV/0!</v>
      </c>
      <c r="CZ65" s="106">
        <f t="shared" si="59"/>
        <v>0</v>
      </c>
      <c r="DA65" s="106"/>
      <c r="DB65" s="106"/>
      <c r="DC65" s="105"/>
      <c r="DD65" s="107"/>
      <c r="DE65" s="92">
        <f t="shared" si="21"/>
        <v>0</v>
      </c>
      <c r="DF65" s="108">
        <f t="shared" si="22"/>
        <v>0</v>
      </c>
      <c r="DG65" s="115">
        <f t="shared" si="23"/>
        <v>0</v>
      </c>
      <c r="DH65" s="110">
        <f t="shared" si="24"/>
        <v>0</v>
      </c>
      <c r="DI65" s="108">
        <f t="shared" si="25"/>
        <v>0</v>
      </c>
      <c r="DJ65" s="115">
        <f t="shared" si="26"/>
        <v>0</v>
      </c>
      <c r="DK65" s="110">
        <f t="shared" si="86"/>
        <v>0</v>
      </c>
      <c r="DL65" s="108">
        <f t="shared" si="86"/>
        <v>0</v>
      </c>
      <c r="DM65" s="111">
        <f t="shared" si="86"/>
        <v>0</v>
      </c>
      <c r="DN65" s="76">
        <v>40</v>
      </c>
      <c r="DO65" s="76"/>
      <c r="DP65" s="112"/>
      <c r="DQ65" s="112"/>
      <c r="DR65" s="113" t="s">
        <v>548</v>
      </c>
      <c r="DS65" s="112"/>
      <c r="DT65" s="112"/>
      <c r="DU65" s="111"/>
      <c r="DV65" s="114"/>
      <c r="DW65" s="80">
        <f t="shared" si="109"/>
        <v>0</v>
      </c>
      <c r="DX65" s="81">
        <f t="shared" si="28"/>
        <v>0</v>
      </c>
      <c r="DY65" s="80">
        <f t="shared" si="62"/>
        <v>0</v>
      </c>
      <c r="DZ65" s="82">
        <f t="shared" si="63"/>
        <v>0</v>
      </c>
      <c r="EA65" s="82">
        <f t="shared" si="64"/>
        <v>0</v>
      </c>
      <c r="EB65" s="82">
        <f t="shared" si="65"/>
        <v>0</v>
      </c>
      <c r="EC65" s="82">
        <f t="shared" si="107"/>
        <v>0</v>
      </c>
      <c r="EF65" s="83">
        <f t="shared" si="106"/>
        <v>0</v>
      </c>
    </row>
    <row r="66" spans="1:136" ht="14.1" customHeight="1">
      <c r="A66" s="84">
        <v>59</v>
      </c>
      <c r="B66" s="85" t="s">
        <v>307</v>
      </c>
      <c r="C66" s="86"/>
      <c r="D66" s="87" t="s">
        <v>260</v>
      </c>
      <c r="E66" s="88">
        <v>240</v>
      </c>
      <c r="F66" s="89" t="s">
        <v>147</v>
      </c>
      <c r="G66" s="45" t="str">
        <f t="shared" si="30"/>
        <v>GAA5052-5.7x3-H9A14</v>
      </c>
      <c r="H66" s="46" t="str">
        <f t="shared" si="31"/>
        <v>A5052GA5.70DH9</v>
      </c>
      <c r="I66" s="46" t="str">
        <f t="shared" si="32"/>
        <v>A5052GA5.70DH93A14</v>
      </c>
      <c r="J66" s="90" t="s">
        <v>221</v>
      </c>
      <c r="K66" s="90" t="s">
        <v>222</v>
      </c>
      <c r="L66" s="90">
        <v>5.7</v>
      </c>
      <c r="M66" s="90">
        <v>0</v>
      </c>
      <c r="N66" s="90" t="s">
        <v>128</v>
      </c>
      <c r="O66" s="90" t="s">
        <v>131</v>
      </c>
      <c r="P66" s="90">
        <v>3</v>
      </c>
      <c r="Q66" s="91">
        <v>0.20399999999999999</v>
      </c>
      <c r="R66" s="90" t="s">
        <v>139</v>
      </c>
      <c r="S66" s="89">
        <f t="shared" si="33"/>
        <v>52</v>
      </c>
      <c r="T66" s="51">
        <f>'07.02'!BG66</f>
        <v>25</v>
      </c>
      <c r="U66" s="92"/>
      <c r="V66" s="100">
        <v>0.15</v>
      </c>
      <c r="W66" s="93">
        <f t="shared" si="5"/>
        <v>0</v>
      </c>
      <c r="X66" s="93">
        <f t="shared" si="6"/>
        <v>0</v>
      </c>
      <c r="Y66" s="93">
        <f t="shared" si="7"/>
        <v>0</v>
      </c>
      <c r="Z66" s="93">
        <f t="shared" si="8"/>
        <v>0</v>
      </c>
      <c r="AA66" s="93">
        <f t="shared" si="9"/>
        <v>0</v>
      </c>
      <c r="AB66" s="93">
        <f t="shared" si="10"/>
        <v>0</v>
      </c>
      <c r="AC66" s="93">
        <f t="shared" si="11"/>
        <v>0</v>
      </c>
      <c r="AD66" s="93">
        <f t="shared" si="12"/>
        <v>0</v>
      </c>
      <c r="AE66" s="93">
        <f t="shared" si="34"/>
        <v>0</v>
      </c>
      <c r="AF66" s="54">
        <f>AE66+'07.02'!AF66</f>
        <v>20911</v>
      </c>
      <c r="AG66" s="94">
        <f t="shared" si="66"/>
        <v>25</v>
      </c>
      <c r="AH66" s="56">
        <f t="shared" si="13"/>
        <v>0</v>
      </c>
      <c r="AI66" s="93"/>
      <c r="AJ66" s="93">
        <f t="shared" si="67"/>
        <v>0</v>
      </c>
      <c r="AK66" s="95">
        <f t="shared" si="35"/>
        <v>1</v>
      </c>
      <c r="AL66" s="58">
        <f t="shared" si="36"/>
        <v>0</v>
      </c>
      <c r="AM66" s="55">
        <f t="shared" si="68"/>
        <v>25</v>
      </c>
      <c r="AN66" s="93"/>
      <c r="AO66" s="96"/>
      <c r="AP66" s="96"/>
      <c r="AQ66" s="96"/>
      <c r="AR66" s="96"/>
      <c r="AS66" s="96"/>
      <c r="AT66" s="96">
        <f>$CJ66</f>
        <v>0</v>
      </c>
      <c r="AU66" s="96">
        <f t="shared" si="37"/>
        <v>0</v>
      </c>
      <c r="AV66" s="96">
        <f t="shared" si="37"/>
        <v>0</v>
      </c>
      <c r="AW66" s="96">
        <f t="shared" si="38"/>
        <v>0</v>
      </c>
      <c r="AX66" s="96">
        <f t="shared" si="39"/>
        <v>0</v>
      </c>
      <c r="AY66" s="94">
        <f t="shared" si="69"/>
        <v>0</v>
      </c>
      <c r="AZ66" s="94">
        <f t="shared" si="40"/>
        <v>0</v>
      </c>
      <c r="BA66" s="94">
        <f t="shared" si="41"/>
        <v>25</v>
      </c>
      <c r="BB66" s="97">
        <f t="shared" si="42"/>
        <v>0</v>
      </c>
      <c r="BC66" s="93"/>
      <c r="BD66" s="93">
        <f t="shared" si="43"/>
        <v>0</v>
      </c>
      <c r="BE66" s="95">
        <f t="shared" si="44"/>
        <v>1</v>
      </c>
      <c r="BF66" s="58">
        <f t="shared" si="45"/>
        <v>0</v>
      </c>
      <c r="BG66" s="94">
        <f t="shared" si="46"/>
        <v>25</v>
      </c>
      <c r="BH66" s="89"/>
      <c r="BI66" s="89"/>
      <c r="BJ66" s="89"/>
      <c r="BK66" s="92"/>
      <c r="BL66" s="89"/>
      <c r="BM66" s="92"/>
      <c r="BN66" s="92">
        <f>$CN66</f>
        <v>0</v>
      </c>
      <c r="BO66" s="92">
        <f t="shared" si="70"/>
        <v>0</v>
      </c>
      <c r="BP66" s="92">
        <f t="shared" si="70"/>
        <v>0</v>
      </c>
      <c r="BQ66" s="96">
        <f t="shared" si="47"/>
        <v>0</v>
      </c>
      <c r="BR66" s="96">
        <f t="shared" si="48"/>
        <v>0</v>
      </c>
      <c r="BS66" s="96">
        <f t="shared" si="71"/>
        <v>0</v>
      </c>
      <c r="BT66" s="96">
        <f t="shared" si="49"/>
        <v>0</v>
      </c>
      <c r="BU66" s="92">
        <f t="shared" si="16"/>
        <v>0</v>
      </c>
      <c r="BV66" s="98">
        <f t="shared" si="17"/>
        <v>0</v>
      </c>
      <c r="BW66" s="92">
        <f t="shared" si="18"/>
        <v>0</v>
      </c>
      <c r="BX66" s="98">
        <f t="shared" si="50"/>
        <v>0</v>
      </c>
      <c r="BY66" s="61">
        <f t="shared" si="73"/>
        <v>0</v>
      </c>
      <c r="BZ66" s="62">
        <f t="shared" si="51"/>
        <v>0</v>
      </c>
      <c r="CA66" s="98">
        <f t="shared" si="52"/>
        <v>0</v>
      </c>
      <c r="CB66" s="92">
        <f t="shared" si="97"/>
        <v>0</v>
      </c>
      <c r="CC66" s="92">
        <f t="shared" si="97"/>
        <v>0</v>
      </c>
      <c r="CD66" s="92">
        <f t="shared" si="97"/>
        <v>0</v>
      </c>
      <c r="CE66" s="99" t="s">
        <v>2</v>
      </c>
      <c r="CF66" s="99"/>
      <c r="CG66" s="51">
        <f t="shared" si="53"/>
        <v>0</v>
      </c>
      <c r="CH66" s="62">
        <f t="shared" si="54"/>
        <v>0</v>
      </c>
      <c r="CI66" s="89"/>
      <c r="CJ66" s="89"/>
      <c r="CK66" s="89"/>
      <c r="CL66" s="96"/>
      <c r="CM66" s="89"/>
      <c r="CN66" s="89"/>
      <c r="CO66" s="92"/>
      <c r="CP66" s="101"/>
      <c r="CQ66" s="102">
        <f t="shared" si="100"/>
        <v>0</v>
      </c>
      <c r="CR66" s="102">
        <f t="shared" si="100"/>
        <v>0</v>
      </c>
      <c r="CS66" s="102">
        <f t="shared" si="100"/>
        <v>0</v>
      </c>
      <c r="CT66" s="92">
        <f t="shared" si="56"/>
        <v>0</v>
      </c>
      <c r="CU66" s="92">
        <f t="shared" si="101"/>
        <v>0</v>
      </c>
      <c r="CV66" s="103">
        <f t="shared" si="101"/>
        <v>0</v>
      </c>
      <c r="CW66" s="104" t="s">
        <v>147</v>
      </c>
      <c r="CX66" s="105">
        <v>6</v>
      </c>
      <c r="CY66" s="106">
        <f t="shared" si="58"/>
        <v>6300</v>
      </c>
      <c r="CZ66" s="106">
        <f t="shared" si="59"/>
        <v>24.3</v>
      </c>
      <c r="DA66" s="106"/>
      <c r="DB66" s="106"/>
      <c r="DC66" s="105"/>
      <c r="DD66" s="107"/>
      <c r="DE66" s="92">
        <f t="shared" si="21"/>
        <v>0</v>
      </c>
      <c r="DF66" s="108">
        <f t="shared" si="22"/>
        <v>0</v>
      </c>
      <c r="DG66" s="115">
        <f t="shared" si="23"/>
        <v>0</v>
      </c>
      <c r="DH66" s="110">
        <f t="shared" si="24"/>
        <v>0</v>
      </c>
      <c r="DI66" s="108">
        <f t="shared" si="25"/>
        <v>0</v>
      </c>
      <c r="DJ66" s="112">
        <f t="shared" si="26"/>
        <v>0</v>
      </c>
      <c r="DK66" s="110">
        <f t="shared" si="86"/>
        <v>0</v>
      </c>
      <c r="DL66" s="108">
        <f t="shared" si="86"/>
        <v>0</v>
      </c>
      <c r="DM66" s="111">
        <f t="shared" si="86"/>
        <v>0</v>
      </c>
      <c r="DN66" s="76">
        <v>13</v>
      </c>
      <c r="DO66" s="76"/>
      <c r="DP66" s="112"/>
      <c r="DQ66" s="112"/>
      <c r="DR66" s="113" t="s">
        <v>549</v>
      </c>
      <c r="DS66" s="112"/>
      <c r="DT66" s="112"/>
      <c r="DU66" s="111"/>
      <c r="DV66" s="114"/>
      <c r="DW66" s="80">
        <f t="shared" si="61"/>
        <v>0</v>
      </c>
      <c r="DX66" s="81">
        <f t="shared" si="28"/>
        <v>0</v>
      </c>
      <c r="DY66" s="80">
        <f t="shared" si="62"/>
        <v>0</v>
      </c>
      <c r="DZ66" s="82">
        <f t="shared" si="63"/>
        <v>0</v>
      </c>
      <c r="EA66" s="82">
        <f t="shared" si="64"/>
        <v>0</v>
      </c>
      <c r="EB66" s="82">
        <f t="shared" si="65"/>
        <v>0</v>
      </c>
      <c r="EC66" s="82">
        <f t="shared" si="75"/>
        <v>0</v>
      </c>
      <c r="EF66" s="83">
        <f t="shared" si="106"/>
        <v>0</v>
      </c>
    </row>
    <row r="67" spans="1:136" ht="14.1" hidden="1" customHeight="1">
      <c r="A67" s="84">
        <v>60</v>
      </c>
      <c r="B67" s="147" t="s">
        <v>309</v>
      </c>
      <c r="C67" s="148"/>
      <c r="D67" s="172" t="s">
        <v>310</v>
      </c>
      <c r="E67" s="149">
        <v>175</v>
      </c>
      <c r="F67" s="150" t="s">
        <v>147</v>
      </c>
      <c r="G67" s="45" t="str">
        <f t="shared" si="30"/>
        <v>IBC3604-H7x3-H11C14</v>
      </c>
      <c r="H67" s="46" t="str">
        <f t="shared" si="31"/>
        <v>C3604IB70HH11</v>
      </c>
      <c r="I67" s="46" t="str">
        <f t="shared" si="32"/>
        <v>C3604IB70HH113C14</v>
      </c>
      <c r="J67" s="90" t="s">
        <v>148</v>
      </c>
      <c r="K67" s="90" t="s">
        <v>156</v>
      </c>
      <c r="L67" s="90">
        <v>7</v>
      </c>
      <c r="M67" s="90">
        <v>0</v>
      </c>
      <c r="N67" s="90" t="s">
        <v>160</v>
      </c>
      <c r="O67" s="90" t="s">
        <v>161</v>
      </c>
      <c r="P67" s="90">
        <v>3</v>
      </c>
      <c r="Q67" s="91">
        <v>1.08</v>
      </c>
      <c r="R67" s="90" t="s">
        <v>144</v>
      </c>
      <c r="S67" s="89">
        <f t="shared" si="33"/>
        <v>30</v>
      </c>
      <c r="T67" s="51">
        <v>0</v>
      </c>
      <c r="U67" s="146"/>
      <c r="V67" s="100">
        <v>2.44</v>
      </c>
      <c r="W67" s="151">
        <f t="shared" si="5"/>
        <v>0</v>
      </c>
      <c r="X67" s="151">
        <f t="shared" si="6"/>
        <v>0</v>
      </c>
      <c r="Y67" s="151">
        <f t="shared" si="7"/>
        <v>0</v>
      </c>
      <c r="Z67" s="151">
        <f t="shared" si="8"/>
        <v>0</v>
      </c>
      <c r="AA67" s="151">
        <f t="shared" si="9"/>
        <v>0</v>
      </c>
      <c r="AB67" s="151">
        <f t="shared" si="10"/>
        <v>0</v>
      </c>
      <c r="AC67" s="151">
        <f t="shared" si="11"/>
        <v>0</v>
      </c>
      <c r="AD67" s="151">
        <f t="shared" si="12"/>
        <v>0</v>
      </c>
      <c r="AE67" s="151">
        <f t="shared" si="34"/>
        <v>0</v>
      </c>
      <c r="AF67" s="54">
        <f>AE67+'07.02'!AF67</f>
        <v>103</v>
      </c>
      <c r="AG67" s="94">
        <f t="shared" si="66"/>
        <v>0</v>
      </c>
      <c r="AH67" s="56">
        <f t="shared" si="13"/>
        <v>0</v>
      </c>
      <c r="AI67" s="151"/>
      <c r="AJ67" s="93">
        <f t="shared" si="67"/>
        <v>0</v>
      </c>
      <c r="AK67" s="95">
        <f t="shared" si="35"/>
        <v>1</v>
      </c>
      <c r="AL67" s="58">
        <f t="shared" si="36"/>
        <v>0</v>
      </c>
      <c r="AM67" s="55">
        <f t="shared" si="68"/>
        <v>0</v>
      </c>
      <c r="AN67" s="151"/>
      <c r="AO67" s="145"/>
      <c r="AP67" s="145">
        <f>$CJ67</f>
        <v>0</v>
      </c>
      <c r="AQ67" s="145"/>
      <c r="AR67" s="145"/>
      <c r="AS67" s="145"/>
      <c r="AT67" s="145"/>
      <c r="AU67" s="145">
        <f t="shared" si="37"/>
        <v>0</v>
      </c>
      <c r="AV67" s="145">
        <f t="shared" si="37"/>
        <v>0</v>
      </c>
      <c r="AW67" s="145">
        <f t="shared" si="38"/>
        <v>0</v>
      </c>
      <c r="AX67" s="145">
        <f t="shared" si="39"/>
        <v>0</v>
      </c>
      <c r="AY67" s="94">
        <f t="shared" si="69"/>
        <v>0</v>
      </c>
      <c r="AZ67" s="94">
        <f t="shared" si="40"/>
        <v>0</v>
      </c>
      <c r="BA67" s="94">
        <f t="shared" si="41"/>
        <v>0</v>
      </c>
      <c r="BB67" s="97">
        <f t="shared" si="42"/>
        <v>0</v>
      </c>
      <c r="BC67" s="151"/>
      <c r="BD67" s="93">
        <f t="shared" si="43"/>
        <v>0</v>
      </c>
      <c r="BE67" s="152">
        <f t="shared" si="44"/>
        <v>1</v>
      </c>
      <c r="BF67" s="58">
        <f t="shared" si="45"/>
        <v>0</v>
      </c>
      <c r="BG67" s="94">
        <f t="shared" si="46"/>
        <v>0</v>
      </c>
      <c r="BH67" s="150"/>
      <c r="BI67" s="150"/>
      <c r="BJ67" s="92">
        <f>$CN67</f>
        <v>0</v>
      </c>
      <c r="BK67" s="92"/>
      <c r="BL67" s="146"/>
      <c r="BM67" s="146"/>
      <c r="BN67" s="92"/>
      <c r="BO67" s="146">
        <f t="shared" si="70"/>
        <v>0</v>
      </c>
      <c r="BP67" s="146">
        <f t="shared" si="70"/>
        <v>0</v>
      </c>
      <c r="BQ67" s="145">
        <f t="shared" si="47"/>
        <v>0</v>
      </c>
      <c r="BR67" s="145">
        <f t="shared" si="48"/>
        <v>0</v>
      </c>
      <c r="BS67" s="96">
        <f t="shared" si="71"/>
        <v>0</v>
      </c>
      <c r="BT67" s="145">
        <f t="shared" si="49"/>
        <v>0</v>
      </c>
      <c r="BU67" s="146">
        <f t="shared" si="16"/>
        <v>0</v>
      </c>
      <c r="BV67" s="153">
        <f t="shared" si="17"/>
        <v>0</v>
      </c>
      <c r="BW67" s="146">
        <f t="shared" si="18"/>
        <v>0</v>
      </c>
      <c r="BX67" s="153">
        <f t="shared" si="50"/>
        <v>0</v>
      </c>
      <c r="BY67" s="61">
        <f t="shared" si="73"/>
        <v>0</v>
      </c>
      <c r="BZ67" s="62">
        <f t="shared" si="51"/>
        <v>0</v>
      </c>
      <c r="CA67" s="153">
        <f t="shared" si="52"/>
        <v>0</v>
      </c>
      <c r="CB67" s="146">
        <f t="shared" si="97"/>
        <v>0</v>
      </c>
      <c r="CC67" s="146">
        <f t="shared" si="97"/>
        <v>0</v>
      </c>
      <c r="CD67" s="146">
        <f t="shared" si="97"/>
        <v>0</v>
      </c>
      <c r="CE67" s="150"/>
      <c r="CF67" s="150"/>
      <c r="CG67" s="51">
        <f t="shared" si="53"/>
        <v>0</v>
      </c>
      <c r="CH67" s="62">
        <f t="shared" si="54"/>
        <v>0</v>
      </c>
      <c r="CI67" s="150"/>
      <c r="CJ67" s="150"/>
      <c r="CK67" s="150"/>
      <c r="CL67" s="145"/>
      <c r="CM67" s="150"/>
      <c r="CN67" s="150"/>
      <c r="CO67" s="146"/>
      <c r="CP67" s="154"/>
      <c r="CQ67" s="102">
        <f t="shared" si="100"/>
        <v>0</v>
      </c>
      <c r="CR67" s="102">
        <f t="shared" si="100"/>
        <v>0</v>
      </c>
      <c r="CS67" s="102">
        <f t="shared" si="100"/>
        <v>0</v>
      </c>
      <c r="CT67" s="92">
        <f t="shared" si="56"/>
        <v>0</v>
      </c>
      <c r="CU67" s="92">
        <f t="shared" si="101"/>
        <v>0</v>
      </c>
      <c r="CV67" s="103">
        <f t="shared" si="101"/>
        <v>0</v>
      </c>
      <c r="CW67" s="155" t="s">
        <v>147</v>
      </c>
      <c r="CX67" s="156">
        <v>15</v>
      </c>
      <c r="CY67" s="157">
        <f t="shared" si="58"/>
        <v>2676</v>
      </c>
      <c r="CZ67" s="157">
        <f t="shared" si="59"/>
        <v>60.750000000000007</v>
      </c>
      <c r="DA67" s="157"/>
      <c r="DB67" s="157"/>
      <c r="DC67" s="156"/>
      <c r="DD67" s="158"/>
      <c r="DE67" s="92">
        <f t="shared" si="21"/>
        <v>0</v>
      </c>
      <c r="DF67" s="108">
        <f t="shared" si="22"/>
        <v>0</v>
      </c>
      <c r="DG67" s="115">
        <f t="shared" si="23"/>
        <v>0</v>
      </c>
      <c r="DH67" s="110">
        <f t="shared" si="24"/>
        <v>0</v>
      </c>
      <c r="DI67" s="108">
        <f t="shared" si="25"/>
        <v>0</v>
      </c>
      <c r="DJ67" s="173">
        <f t="shared" si="26"/>
        <v>0</v>
      </c>
      <c r="DK67" s="110">
        <f t="shared" si="86"/>
        <v>0</v>
      </c>
      <c r="DL67" s="108">
        <f t="shared" si="86"/>
        <v>0</v>
      </c>
      <c r="DM67" s="111">
        <f t="shared" si="86"/>
        <v>0</v>
      </c>
      <c r="DN67" s="76">
        <f t="shared" si="60"/>
        <v>0</v>
      </c>
      <c r="DO67" s="76">
        <f t="shared" si="60"/>
        <v>0</v>
      </c>
      <c r="DP67" s="112"/>
      <c r="DQ67" s="112"/>
      <c r="DR67" s="113"/>
      <c r="DS67" s="112"/>
      <c r="DT67" s="112"/>
      <c r="DU67" s="111"/>
      <c r="DV67" s="114"/>
      <c r="DW67" s="80">
        <f t="shared" ref="DW67:DW68" si="110">IFERROR(AL67+BF67,"")</f>
        <v>0</v>
      </c>
      <c r="DX67" s="159">
        <f t="shared" si="28"/>
        <v>0</v>
      </c>
      <c r="DY67" s="80">
        <f t="shared" si="62"/>
        <v>0</v>
      </c>
      <c r="DZ67" s="82">
        <f t="shared" si="63"/>
        <v>0</v>
      </c>
      <c r="EA67" s="82">
        <f t="shared" si="64"/>
        <v>0</v>
      </c>
      <c r="EB67" s="82">
        <f t="shared" si="65"/>
        <v>0</v>
      </c>
      <c r="EC67" s="82">
        <f>(BX67-CA67)+((AV67+BP67)/1000)</f>
        <v>0</v>
      </c>
      <c r="EF67" s="83">
        <f t="shared" si="106"/>
        <v>0</v>
      </c>
    </row>
    <row r="68" spans="1:136" ht="14.1" customHeight="1">
      <c r="A68" s="84">
        <v>61</v>
      </c>
      <c r="B68" s="85" t="s">
        <v>311</v>
      </c>
      <c r="C68" s="86"/>
      <c r="D68" s="116" t="s">
        <v>312</v>
      </c>
      <c r="E68" s="88">
        <v>441</v>
      </c>
      <c r="F68" s="89" t="s">
        <v>136</v>
      </c>
      <c r="G68" s="45" t="str">
        <f t="shared" si="30"/>
        <v>TVA2011-T3-6.35x3-H9A14</v>
      </c>
      <c r="H68" s="46" t="str">
        <f t="shared" si="31"/>
        <v>A2011-T3TV6.350DH9</v>
      </c>
      <c r="I68" s="46" t="str">
        <f t="shared" si="32"/>
        <v>A2011-T3TV6.350DH93A14</v>
      </c>
      <c r="J68" s="90" t="s">
        <v>305</v>
      </c>
      <c r="K68" s="90" t="s">
        <v>138</v>
      </c>
      <c r="L68" s="90">
        <v>6.35</v>
      </c>
      <c r="M68" s="90">
        <v>0</v>
      </c>
      <c r="N68" s="90" t="s">
        <v>128</v>
      </c>
      <c r="O68" s="90" t="s">
        <v>131</v>
      </c>
      <c r="P68" s="90">
        <v>3</v>
      </c>
      <c r="Q68" s="91">
        <v>0.26</v>
      </c>
      <c r="R68" s="90" t="s">
        <v>139</v>
      </c>
      <c r="S68" s="89">
        <f t="shared" si="33"/>
        <v>8</v>
      </c>
      <c r="T68" s="51">
        <f>'07.02'!BG68</f>
        <v>8</v>
      </c>
      <c r="U68" s="92">
        <v>22</v>
      </c>
      <c r="V68" s="100">
        <v>0.39400000000000002</v>
      </c>
      <c r="W68" s="93">
        <f t="shared" si="5"/>
        <v>0</v>
      </c>
      <c r="X68" s="93">
        <f t="shared" si="6"/>
        <v>0</v>
      </c>
      <c r="Y68" s="93">
        <f t="shared" si="7"/>
        <v>0</v>
      </c>
      <c r="Z68" s="93">
        <f t="shared" si="8"/>
        <v>0</v>
      </c>
      <c r="AA68" s="93">
        <f t="shared" si="9"/>
        <v>0</v>
      </c>
      <c r="AB68" s="93">
        <f t="shared" si="10"/>
        <v>0</v>
      </c>
      <c r="AC68" s="93">
        <f t="shared" si="11"/>
        <v>0</v>
      </c>
      <c r="AD68" s="93">
        <f t="shared" si="12"/>
        <v>0</v>
      </c>
      <c r="AE68" s="93">
        <f t="shared" si="34"/>
        <v>0</v>
      </c>
      <c r="AF68" s="54">
        <f>AE68+'07.02'!AF68</f>
        <v>76685</v>
      </c>
      <c r="AG68" s="94">
        <f t="shared" si="66"/>
        <v>8</v>
      </c>
      <c r="AH68" s="56">
        <f t="shared" si="13"/>
        <v>0</v>
      </c>
      <c r="AI68" s="93"/>
      <c r="AJ68" s="93">
        <f t="shared" si="67"/>
        <v>0</v>
      </c>
      <c r="AK68" s="95">
        <f t="shared" si="35"/>
        <v>1</v>
      </c>
      <c r="AL68" s="58">
        <f t="shared" si="36"/>
        <v>0</v>
      </c>
      <c r="AM68" s="55">
        <f t="shared" si="68"/>
        <v>30</v>
      </c>
      <c r="AN68" s="93"/>
      <c r="AO68" s="96"/>
      <c r="AP68" s="96"/>
      <c r="AQ68" s="96"/>
      <c r="AR68" s="96"/>
      <c r="AS68" s="96"/>
      <c r="AT68" s="96">
        <f t="shared" ref="AT68:AT73" si="111">$CJ68</f>
        <v>0</v>
      </c>
      <c r="AU68" s="96">
        <f t="shared" si="37"/>
        <v>0</v>
      </c>
      <c r="AV68" s="96">
        <f t="shared" si="37"/>
        <v>0</v>
      </c>
      <c r="AW68" s="96">
        <f t="shared" si="38"/>
        <v>0</v>
      </c>
      <c r="AX68" s="96">
        <f t="shared" si="39"/>
        <v>0</v>
      </c>
      <c r="AY68" s="94">
        <f t="shared" si="69"/>
        <v>0</v>
      </c>
      <c r="AZ68" s="94">
        <f t="shared" si="40"/>
        <v>0</v>
      </c>
      <c r="BA68" s="94">
        <f t="shared" si="41"/>
        <v>30</v>
      </c>
      <c r="BB68" s="97">
        <f t="shared" si="42"/>
        <v>0</v>
      </c>
      <c r="BC68" s="93"/>
      <c r="BD68" s="93">
        <f t="shared" si="43"/>
        <v>0</v>
      </c>
      <c r="BE68" s="95">
        <f t="shared" si="44"/>
        <v>1</v>
      </c>
      <c r="BF68" s="58">
        <f t="shared" si="45"/>
        <v>0</v>
      </c>
      <c r="BG68" s="94">
        <f t="shared" si="46"/>
        <v>30</v>
      </c>
      <c r="BH68" s="89"/>
      <c r="BI68" s="89"/>
      <c r="BJ68" s="92"/>
      <c r="BK68" s="89"/>
      <c r="BL68" s="89"/>
      <c r="BM68" s="89"/>
      <c r="BN68" s="92">
        <f t="shared" ref="BN68:BN73" si="112">$CN68</f>
        <v>0</v>
      </c>
      <c r="BO68" s="92">
        <f t="shared" si="70"/>
        <v>0</v>
      </c>
      <c r="BP68" s="92">
        <f t="shared" si="70"/>
        <v>0</v>
      </c>
      <c r="BQ68" s="96">
        <f t="shared" si="47"/>
        <v>0</v>
      </c>
      <c r="BR68" s="96">
        <f t="shared" si="48"/>
        <v>0</v>
      </c>
      <c r="BS68" s="96">
        <f t="shared" si="71"/>
        <v>0</v>
      </c>
      <c r="BT68" s="96">
        <f t="shared" si="49"/>
        <v>0</v>
      </c>
      <c r="BU68" s="92">
        <f t="shared" si="16"/>
        <v>0</v>
      </c>
      <c r="BV68" s="98">
        <f t="shared" si="17"/>
        <v>0</v>
      </c>
      <c r="BW68" s="92">
        <f t="shared" si="18"/>
        <v>0</v>
      </c>
      <c r="BX68" s="98">
        <f t="shared" si="50"/>
        <v>0</v>
      </c>
      <c r="BY68" s="61">
        <f t="shared" si="73"/>
        <v>0</v>
      </c>
      <c r="BZ68" s="62">
        <f t="shared" si="51"/>
        <v>0</v>
      </c>
      <c r="CA68" s="98">
        <f t="shared" si="52"/>
        <v>0</v>
      </c>
      <c r="CB68" s="92">
        <f t="shared" si="97"/>
        <v>0</v>
      </c>
      <c r="CC68" s="92">
        <f t="shared" si="97"/>
        <v>0</v>
      </c>
      <c r="CD68" s="92">
        <f t="shared" si="97"/>
        <v>0</v>
      </c>
      <c r="CE68" s="99"/>
      <c r="CF68" s="99"/>
      <c r="CG68" s="51">
        <f t="shared" si="53"/>
        <v>0</v>
      </c>
      <c r="CH68" s="62">
        <f t="shared" si="54"/>
        <v>0</v>
      </c>
      <c r="CI68" s="89"/>
      <c r="CJ68" s="89"/>
      <c r="CK68" s="89"/>
      <c r="CL68" s="96"/>
      <c r="CM68" s="89"/>
      <c r="CN68" s="89"/>
      <c r="CO68" s="92"/>
      <c r="CP68" s="101"/>
      <c r="CQ68" s="102">
        <f t="shared" si="100"/>
        <v>0</v>
      </c>
      <c r="CR68" s="102">
        <f t="shared" si="100"/>
        <v>0</v>
      </c>
      <c r="CS68" s="102">
        <f t="shared" si="100"/>
        <v>0</v>
      </c>
      <c r="CT68" s="92">
        <f t="shared" si="56"/>
        <v>0</v>
      </c>
      <c r="CU68" s="92">
        <f t="shared" si="101"/>
        <v>0</v>
      </c>
      <c r="CV68" s="103">
        <f t="shared" si="101"/>
        <v>0</v>
      </c>
      <c r="CW68" s="104" t="s">
        <v>147</v>
      </c>
      <c r="CX68" s="105">
        <v>23.98</v>
      </c>
      <c r="CY68" s="106">
        <f t="shared" si="58"/>
        <v>1763</v>
      </c>
      <c r="CZ68" s="106">
        <f t="shared" si="59"/>
        <v>97.119</v>
      </c>
      <c r="DA68" s="106"/>
      <c r="DB68" s="106"/>
      <c r="DC68" s="105"/>
      <c r="DD68" s="107"/>
      <c r="DE68" s="92">
        <f t="shared" si="21"/>
        <v>0</v>
      </c>
      <c r="DF68" s="108">
        <f t="shared" si="22"/>
        <v>0</v>
      </c>
      <c r="DG68" s="115">
        <f t="shared" si="23"/>
        <v>0</v>
      </c>
      <c r="DH68" s="110">
        <f t="shared" si="24"/>
        <v>0</v>
      </c>
      <c r="DI68" s="108">
        <f t="shared" si="25"/>
        <v>0</v>
      </c>
      <c r="DJ68" s="115">
        <f t="shared" si="26"/>
        <v>0</v>
      </c>
      <c r="DK68" s="110">
        <f t="shared" si="86"/>
        <v>0</v>
      </c>
      <c r="DL68" s="108">
        <f t="shared" si="86"/>
        <v>0</v>
      </c>
      <c r="DM68" s="111">
        <f t="shared" si="86"/>
        <v>0</v>
      </c>
      <c r="DN68" s="76">
        <v>5</v>
      </c>
      <c r="DO68" s="76"/>
      <c r="DP68" s="112"/>
      <c r="DQ68" s="112"/>
      <c r="DR68" s="113" t="s">
        <v>550</v>
      </c>
      <c r="DS68" s="112"/>
      <c r="DT68" s="112"/>
      <c r="DU68" s="111"/>
      <c r="DV68" s="114"/>
      <c r="DW68" s="80">
        <f t="shared" si="110"/>
        <v>0</v>
      </c>
      <c r="DX68" s="81">
        <f t="shared" si="28"/>
        <v>0</v>
      </c>
      <c r="DY68" s="80">
        <f t="shared" si="62"/>
        <v>0</v>
      </c>
      <c r="DZ68" s="82">
        <f t="shared" si="63"/>
        <v>0</v>
      </c>
      <c r="EA68" s="82">
        <f t="shared" si="64"/>
        <v>0</v>
      </c>
      <c r="EB68" s="82">
        <f t="shared" si="65"/>
        <v>0</v>
      </c>
      <c r="EC68" s="82">
        <f t="shared" si="75"/>
        <v>0</v>
      </c>
      <c r="EF68" s="83">
        <f t="shared" si="106"/>
        <v>0</v>
      </c>
    </row>
    <row r="69" spans="1:136" ht="14.1" customHeight="1">
      <c r="A69" s="84">
        <v>62</v>
      </c>
      <c r="B69" s="85" t="s">
        <v>314</v>
      </c>
      <c r="C69" s="86"/>
      <c r="D69" s="87" t="s">
        <v>260</v>
      </c>
      <c r="E69" s="88">
        <v>240</v>
      </c>
      <c r="F69" s="89" t="s">
        <v>128</v>
      </c>
      <c r="G69" s="45" t="str">
        <f t="shared" si="30"/>
        <v>GAA5052-5.7x3-H9A14</v>
      </c>
      <c r="H69" s="46" t="str">
        <f t="shared" si="31"/>
        <v>A5052GA5.70DH9</v>
      </c>
      <c r="I69" s="46" t="str">
        <f t="shared" si="32"/>
        <v>A5052GA5.70DH93A14</v>
      </c>
      <c r="J69" s="90" t="s">
        <v>221</v>
      </c>
      <c r="K69" s="90" t="s">
        <v>222</v>
      </c>
      <c r="L69" s="90">
        <v>5.7</v>
      </c>
      <c r="M69" s="90">
        <v>0</v>
      </c>
      <c r="N69" s="90" t="s">
        <v>128</v>
      </c>
      <c r="O69" s="90" t="s">
        <v>131</v>
      </c>
      <c r="P69" s="90">
        <v>3</v>
      </c>
      <c r="Q69" s="91">
        <v>0.20399999999999999</v>
      </c>
      <c r="R69" s="90" t="s">
        <v>139</v>
      </c>
      <c r="S69" s="89">
        <f t="shared" si="33"/>
        <v>20</v>
      </c>
      <c r="T69" s="51">
        <f>'07.02'!BG69</f>
        <v>32.36</v>
      </c>
      <c r="U69" s="92"/>
      <c r="V69" s="100">
        <v>0.15</v>
      </c>
      <c r="W69" s="93">
        <f t="shared" si="5"/>
        <v>0</v>
      </c>
      <c r="X69" s="93">
        <f t="shared" si="6"/>
        <v>0</v>
      </c>
      <c r="Y69" s="93">
        <f t="shared" si="7"/>
        <v>0</v>
      </c>
      <c r="Z69" s="93">
        <f t="shared" si="8"/>
        <v>0</v>
      </c>
      <c r="AA69" s="93">
        <f t="shared" si="9"/>
        <v>0</v>
      </c>
      <c r="AB69" s="93">
        <f t="shared" si="10"/>
        <v>0</v>
      </c>
      <c r="AC69" s="93">
        <f t="shared" si="11"/>
        <v>0</v>
      </c>
      <c r="AD69" s="93">
        <f t="shared" si="12"/>
        <v>0</v>
      </c>
      <c r="AE69" s="93">
        <f t="shared" si="34"/>
        <v>0</v>
      </c>
      <c r="AF69" s="54">
        <f>AE69+'07.02'!AF69</f>
        <v>18804</v>
      </c>
      <c r="AG69" s="94">
        <f t="shared" si="66"/>
        <v>32.36</v>
      </c>
      <c r="AH69" s="56">
        <f t="shared" si="13"/>
        <v>0.36</v>
      </c>
      <c r="AI69" s="93"/>
      <c r="AJ69" s="93">
        <f t="shared" si="67"/>
        <v>0</v>
      </c>
      <c r="AK69" s="95">
        <f t="shared" si="35"/>
        <v>1</v>
      </c>
      <c r="AL69" s="58">
        <f t="shared" si="36"/>
        <v>0</v>
      </c>
      <c r="AM69" s="55">
        <f t="shared" si="68"/>
        <v>32.36</v>
      </c>
      <c r="AN69" s="93"/>
      <c r="AO69" s="96"/>
      <c r="AP69" s="96"/>
      <c r="AQ69" s="96"/>
      <c r="AR69" s="96"/>
      <c r="AS69" s="96"/>
      <c r="AT69" s="96">
        <f t="shared" si="111"/>
        <v>0</v>
      </c>
      <c r="AU69" s="96">
        <f t="shared" si="37"/>
        <v>0</v>
      </c>
      <c r="AV69" s="96">
        <f t="shared" si="37"/>
        <v>0</v>
      </c>
      <c r="AW69" s="96">
        <f t="shared" si="38"/>
        <v>0</v>
      </c>
      <c r="AX69" s="96">
        <f t="shared" si="39"/>
        <v>0</v>
      </c>
      <c r="AY69" s="94">
        <f t="shared" si="69"/>
        <v>0</v>
      </c>
      <c r="AZ69" s="94">
        <f t="shared" si="40"/>
        <v>0</v>
      </c>
      <c r="BA69" s="94">
        <f t="shared" si="41"/>
        <v>32.36</v>
      </c>
      <c r="BB69" s="97">
        <f t="shared" si="42"/>
        <v>0.36</v>
      </c>
      <c r="BC69" s="93"/>
      <c r="BD69" s="93">
        <f t="shared" si="43"/>
        <v>0</v>
      </c>
      <c r="BE69" s="95">
        <f t="shared" si="44"/>
        <v>1</v>
      </c>
      <c r="BF69" s="58">
        <f t="shared" si="45"/>
        <v>0</v>
      </c>
      <c r="BG69" s="94">
        <f t="shared" si="46"/>
        <v>32.36</v>
      </c>
      <c r="BH69" s="89"/>
      <c r="BI69" s="89"/>
      <c r="BJ69" s="89"/>
      <c r="BK69" s="89"/>
      <c r="BL69" s="89"/>
      <c r="BM69" s="89"/>
      <c r="BN69" s="92">
        <f t="shared" si="112"/>
        <v>0</v>
      </c>
      <c r="BO69" s="92">
        <f t="shared" si="70"/>
        <v>0</v>
      </c>
      <c r="BP69" s="92">
        <f t="shared" si="70"/>
        <v>0</v>
      </c>
      <c r="BQ69" s="96">
        <f t="shared" si="47"/>
        <v>0</v>
      </c>
      <c r="BR69" s="96">
        <f t="shared" si="48"/>
        <v>0</v>
      </c>
      <c r="BS69" s="96">
        <f t="shared" si="71"/>
        <v>0</v>
      </c>
      <c r="BT69" s="96">
        <f>IF($V69="","",BS69/$V69)</f>
        <v>0</v>
      </c>
      <c r="BU69" s="92">
        <f t="shared" si="16"/>
        <v>0</v>
      </c>
      <c r="BV69" s="98">
        <f t="shared" si="17"/>
        <v>0</v>
      </c>
      <c r="BW69" s="92">
        <f t="shared" si="18"/>
        <v>0</v>
      </c>
      <c r="BX69" s="98">
        <f t="shared" si="50"/>
        <v>0</v>
      </c>
      <c r="BY69" s="61">
        <f t="shared" si="73"/>
        <v>0</v>
      </c>
      <c r="BZ69" s="62">
        <f t="shared" si="51"/>
        <v>0</v>
      </c>
      <c r="CA69" s="98">
        <f t="shared" si="52"/>
        <v>0</v>
      </c>
      <c r="CB69" s="92">
        <f t="shared" si="97"/>
        <v>0</v>
      </c>
      <c r="CC69" s="92">
        <f t="shared" si="97"/>
        <v>0</v>
      </c>
      <c r="CD69" s="92">
        <f t="shared" si="97"/>
        <v>0</v>
      </c>
      <c r="CE69" s="99"/>
      <c r="CF69" s="99"/>
      <c r="CG69" s="51">
        <f t="shared" si="53"/>
        <v>0</v>
      </c>
      <c r="CH69" s="62">
        <f t="shared" si="54"/>
        <v>0</v>
      </c>
      <c r="CI69" s="89"/>
      <c r="CJ69" s="89"/>
      <c r="CK69" s="89"/>
      <c r="CL69" s="96"/>
      <c r="CM69" s="89"/>
      <c r="CN69" s="89"/>
      <c r="CO69" s="92"/>
      <c r="CP69" s="101"/>
      <c r="CQ69" s="102">
        <f t="shared" si="100"/>
        <v>0</v>
      </c>
      <c r="CR69" s="102">
        <f t="shared" si="100"/>
        <v>0</v>
      </c>
      <c r="CS69" s="102">
        <f t="shared" si="100"/>
        <v>0</v>
      </c>
      <c r="CT69" s="92">
        <f t="shared" si="56"/>
        <v>0</v>
      </c>
      <c r="CU69" s="92">
        <f t="shared" si="101"/>
        <v>0</v>
      </c>
      <c r="CV69" s="103">
        <f t="shared" si="101"/>
        <v>0</v>
      </c>
      <c r="CW69" s="104" t="s">
        <v>147</v>
      </c>
      <c r="CX69" s="105">
        <v>16.8</v>
      </c>
      <c r="CY69" s="106">
        <f t="shared" si="58"/>
        <v>2453</v>
      </c>
      <c r="CZ69" s="106">
        <f t="shared" si="59"/>
        <v>68.040000000000006</v>
      </c>
      <c r="DA69" s="106"/>
      <c r="DB69" s="106"/>
      <c r="DC69" s="105"/>
      <c r="DD69" s="107"/>
      <c r="DE69" s="92">
        <f t="shared" si="21"/>
        <v>0</v>
      </c>
      <c r="DF69" s="108">
        <f t="shared" si="22"/>
        <v>0</v>
      </c>
      <c r="DG69" s="115">
        <f t="shared" si="23"/>
        <v>0</v>
      </c>
      <c r="DH69" s="110">
        <f t="shared" si="24"/>
        <v>0</v>
      </c>
      <c r="DI69" s="108">
        <f t="shared" si="25"/>
        <v>0</v>
      </c>
      <c r="DJ69" s="112">
        <f t="shared" si="26"/>
        <v>0</v>
      </c>
      <c r="DK69" s="110">
        <f t="shared" si="86"/>
        <v>0</v>
      </c>
      <c r="DL69" s="108">
        <f t="shared" si="86"/>
        <v>0</v>
      </c>
      <c r="DM69" s="111">
        <f t="shared" si="86"/>
        <v>0</v>
      </c>
      <c r="DN69" s="76">
        <v>20</v>
      </c>
      <c r="DO69" s="76"/>
      <c r="DP69" s="112"/>
      <c r="DQ69" s="112"/>
      <c r="DR69" s="113" t="s">
        <v>551</v>
      </c>
      <c r="DS69" s="112"/>
      <c r="DT69" s="112"/>
      <c r="DU69" s="111"/>
      <c r="DV69" s="114"/>
      <c r="DW69" s="80">
        <f t="shared" si="61"/>
        <v>0</v>
      </c>
      <c r="DX69" s="81">
        <f t="shared" si="28"/>
        <v>0</v>
      </c>
      <c r="DY69" s="80">
        <f t="shared" si="62"/>
        <v>0</v>
      </c>
      <c r="DZ69" s="82">
        <f t="shared" si="63"/>
        <v>0</v>
      </c>
      <c r="EA69" s="82">
        <f t="shared" si="64"/>
        <v>0</v>
      </c>
      <c r="EB69" s="82">
        <f t="shared" si="65"/>
        <v>0</v>
      </c>
      <c r="EC69" s="82">
        <f t="shared" si="75"/>
        <v>0</v>
      </c>
      <c r="EF69" s="83">
        <f t="shared" si="106"/>
        <v>0</v>
      </c>
    </row>
    <row r="70" spans="1:136" ht="14.1" hidden="1" customHeight="1">
      <c r="A70" s="84">
        <v>63</v>
      </c>
      <c r="B70" s="85" t="s">
        <v>316</v>
      </c>
      <c r="C70" s="86"/>
      <c r="D70" s="116" t="s">
        <v>317</v>
      </c>
      <c r="E70" s="88">
        <v>165</v>
      </c>
      <c r="F70" s="89" t="s">
        <v>147</v>
      </c>
      <c r="G70" s="45" t="str">
        <f t="shared" si="30"/>
        <v>YHC2700-5.5x3-H9A14</v>
      </c>
      <c r="H70" s="46" t="str">
        <f t="shared" si="31"/>
        <v>C2700YH5.50DH9</v>
      </c>
      <c r="I70" s="46" t="str">
        <f t="shared" si="32"/>
        <v>C2700YH5.50DH93A14</v>
      </c>
      <c r="J70" s="90" t="s">
        <v>318</v>
      </c>
      <c r="K70" s="90" t="s">
        <v>181</v>
      </c>
      <c r="L70" s="90">
        <v>5.5</v>
      </c>
      <c r="M70" s="90">
        <v>0</v>
      </c>
      <c r="N70" s="90" t="s">
        <v>128</v>
      </c>
      <c r="O70" s="90" t="s">
        <v>131</v>
      </c>
      <c r="P70" s="90">
        <v>3</v>
      </c>
      <c r="Q70" s="91">
        <v>0.59899999999999998</v>
      </c>
      <c r="R70" s="90" t="s">
        <v>139</v>
      </c>
      <c r="S70" s="89">
        <f t="shared" si="33"/>
        <v>24</v>
      </c>
      <c r="T70" s="51">
        <f>'07.02'!BG70</f>
        <v>0</v>
      </c>
      <c r="U70" s="92"/>
      <c r="V70" s="100">
        <v>1.1000000000000001</v>
      </c>
      <c r="W70" s="93">
        <f>IF(V70="","",INT((AO70+BI70)/$V70))</f>
        <v>0</v>
      </c>
      <c r="X70" s="93">
        <f>IF(V70="","",INT((AP70+BJ70)/$V70))</f>
        <v>0</v>
      </c>
      <c r="Y70" s="93">
        <f>IF(V70="","",INT((AQ70+BK70)/$V70))</f>
        <v>0</v>
      </c>
      <c r="Z70" s="93">
        <f>IF(V70="","",INT((AR70+BL70)/$V70))</f>
        <v>0</v>
      </c>
      <c r="AA70" s="93">
        <f>IF(V70="","",INT((AS70+BM70)/$V70))</f>
        <v>0</v>
      </c>
      <c r="AB70" s="93">
        <f>IF(V70="","",INT((AT70+BN70)/$V70))</f>
        <v>0</v>
      </c>
      <c r="AC70" s="93">
        <f>IF(V70="","",INT((AU70+BO70)/$V70))</f>
        <v>0</v>
      </c>
      <c r="AD70" s="93">
        <f>IF(V70="","",INT((AV70+BP70)/$V70))</f>
        <v>0</v>
      </c>
      <c r="AE70" s="93">
        <f>IF(V70="","",SUM(W70:AC70))</f>
        <v>0</v>
      </c>
      <c r="AF70" s="54">
        <f>AE70+'07.02'!AF70</f>
        <v>0</v>
      </c>
      <c r="AG70" s="94">
        <f t="shared" si="66"/>
        <v>0</v>
      </c>
      <c r="AH70" s="56">
        <f t="shared" si="13"/>
        <v>0</v>
      </c>
      <c r="AI70" s="93"/>
      <c r="AJ70" s="93">
        <f t="shared" si="67"/>
        <v>0</v>
      </c>
      <c r="AK70" s="95">
        <f t="shared" si="35"/>
        <v>1</v>
      </c>
      <c r="AL70" s="58">
        <f t="shared" si="36"/>
        <v>0</v>
      </c>
      <c r="AM70" s="55">
        <f t="shared" si="68"/>
        <v>0</v>
      </c>
      <c r="AN70" s="93"/>
      <c r="AO70" s="96"/>
      <c r="AP70" s="96">
        <f>$CJ70</f>
        <v>0</v>
      </c>
      <c r="AQ70" s="96"/>
      <c r="AR70" s="96"/>
      <c r="AS70" s="96"/>
      <c r="AT70" s="96"/>
      <c r="AU70" s="96">
        <f t="shared" si="37"/>
        <v>0</v>
      </c>
      <c r="AV70" s="96">
        <f t="shared" si="37"/>
        <v>0</v>
      </c>
      <c r="AW70" s="96">
        <f t="shared" si="38"/>
        <v>0</v>
      </c>
      <c r="AX70" s="96">
        <f>IF(V70="","",INT(AW70/$V70))</f>
        <v>0</v>
      </c>
      <c r="AY70" s="94">
        <f t="shared" si="69"/>
        <v>0</v>
      </c>
      <c r="AZ70" s="94">
        <f t="shared" si="40"/>
        <v>0</v>
      </c>
      <c r="BA70" s="94">
        <f t="shared" si="41"/>
        <v>0</v>
      </c>
      <c r="BB70" s="97">
        <f t="shared" si="42"/>
        <v>0</v>
      </c>
      <c r="BC70" s="93"/>
      <c r="BD70" s="93">
        <f t="shared" si="43"/>
        <v>0</v>
      </c>
      <c r="BE70" s="95">
        <f t="shared" si="44"/>
        <v>1</v>
      </c>
      <c r="BF70" s="58">
        <f t="shared" si="45"/>
        <v>0</v>
      </c>
      <c r="BG70" s="94">
        <f t="shared" si="46"/>
        <v>0</v>
      </c>
      <c r="BH70" s="89"/>
      <c r="BI70" s="89"/>
      <c r="BJ70" s="92">
        <f>$CN70</f>
        <v>0</v>
      </c>
      <c r="BK70" s="89"/>
      <c r="BL70" s="89"/>
      <c r="BM70" s="89"/>
      <c r="BN70" s="89"/>
      <c r="BO70" s="92">
        <f t="shared" si="70"/>
        <v>0</v>
      </c>
      <c r="BP70" s="92">
        <f t="shared" si="70"/>
        <v>0</v>
      </c>
      <c r="BQ70" s="96">
        <f t="shared" si="47"/>
        <v>0</v>
      </c>
      <c r="BR70" s="96">
        <f t="shared" si="48"/>
        <v>0</v>
      </c>
      <c r="BS70" s="96">
        <f t="shared" si="71"/>
        <v>0</v>
      </c>
      <c r="BT70" s="96">
        <f t="shared" si="49"/>
        <v>0</v>
      </c>
      <c r="BU70" s="92">
        <f t="shared" si="16"/>
        <v>0</v>
      </c>
      <c r="BV70" s="98">
        <f t="shared" si="17"/>
        <v>0</v>
      </c>
      <c r="BW70" s="92">
        <f t="shared" si="18"/>
        <v>0</v>
      </c>
      <c r="BX70" s="98">
        <f t="shared" si="50"/>
        <v>0</v>
      </c>
      <c r="BY70" s="61">
        <f t="shared" si="73"/>
        <v>0</v>
      </c>
      <c r="BZ70" s="62">
        <f t="shared" si="51"/>
        <v>0</v>
      </c>
      <c r="CA70" s="98">
        <f t="shared" si="52"/>
        <v>0</v>
      </c>
      <c r="CB70" s="92">
        <f t="shared" si="97"/>
        <v>0</v>
      </c>
      <c r="CC70" s="92">
        <f t="shared" si="97"/>
        <v>0</v>
      </c>
      <c r="CD70" s="92">
        <f t="shared" si="97"/>
        <v>0</v>
      </c>
      <c r="CE70" s="99"/>
      <c r="CF70" s="99"/>
      <c r="CG70" s="51">
        <f t="shared" si="53"/>
        <v>0</v>
      </c>
      <c r="CH70" s="62">
        <f t="shared" si="54"/>
        <v>0</v>
      </c>
      <c r="CI70" s="89"/>
      <c r="CJ70" s="89"/>
      <c r="CK70" s="89"/>
      <c r="CL70" s="96"/>
      <c r="CM70" s="89"/>
      <c r="CN70" s="89"/>
      <c r="CO70" s="92"/>
      <c r="CP70" s="101"/>
      <c r="CQ70" s="102">
        <f t="shared" si="100"/>
        <v>0</v>
      </c>
      <c r="CR70" s="102">
        <f t="shared" si="100"/>
        <v>0</v>
      </c>
      <c r="CS70" s="102">
        <f t="shared" si="100"/>
        <v>0</v>
      </c>
      <c r="CT70" s="92">
        <f t="shared" si="56"/>
        <v>0</v>
      </c>
      <c r="CU70" s="92">
        <f t="shared" si="101"/>
        <v>0</v>
      </c>
      <c r="CV70" s="103">
        <f t="shared" si="101"/>
        <v>0</v>
      </c>
      <c r="CW70" s="104" t="s">
        <v>147</v>
      </c>
      <c r="CX70" s="105">
        <v>20</v>
      </c>
      <c r="CY70" s="106">
        <f t="shared" si="58"/>
        <v>2034</v>
      </c>
      <c r="CZ70" s="106">
        <f t="shared" si="59"/>
        <v>81</v>
      </c>
      <c r="DA70" s="106"/>
      <c r="DB70" s="106"/>
      <c r="DC70" s="105"/>
      <c r="DD70" s="107"/>
      <c r="DE70" s="92">
        <f t="shared" si="21"/>
        <v>0</v>
      </c>
      <c r="DF70" s="108">
        <f t="shared" si="22"/>
        <v>0</v>
      </c>
      <c r="DG70" s="115">
        <f t="shared" si="23"/>
        <v>0</v>
      </c>
      <c r="DH70" s="136">
        <f t="shared" si="24"/>
        <v>0</v>
      </c>
      <c r="DI70" s="135">
        <f t="shared" si="25"/>
        <v>0</v>
      </c>
      <c r="DJ70" s="115">
        <f t="shared" si="26"/>
        <v>0</v>
      </c>
      <c r="DK70" s="110">
        <f t="shared" si="86"/>
        <v>0</v>
      </c>
      <c r="DL70" s="108">
        <f t="shared" si="86"/>
        <v>0</v>
      </c>
      <c r="DM70" s="111">
        <f t="shared" si="86"/>
        <v>0</v>
      </c>
      <c r="DN70" s="76">
        <f t="shared" si="60"/>
        <v>0</v>
      </c>
      <c r="DO70" s="76">
        <f t="shared" si="60"/>
        <v>0</v>
      </c>
      <c r="DP70" s="112"/>
      <c r="DQ70" s="112"/>
      <c r="DR70" s="113"/>
      <c r="DS70" s="112"/>
      <c r="DT70" s="112"/>
      <c r="DU70" s="111"/>
      <c r="DV70" s="114"/>
      <c r="DW70" s="80">
        <f t="shared" si="61"/>
        <v>0</v>
      </c>
      <c r="DX70" s="81">
        <f t="shared" si="28"/>
        <v>0</v>
      </c>
      <c r="DY70" s="80">
        <f t="shared" si="62"/>
        <v>0</v>
      </c>
      <c r="DZ70" s="82">
        <f t="shared" si="63"/>
        <v>0</v>
      </c>
      <c r="EA70" s="82">
        <f t="shared" si="64"/>
        <v>0</v>
      </c>
      <c r="EB70" s="82">
        <f t="shared" si="65"/>
        <v>0</v>
      </c>
      <c r="EC70" s="82">
        <f>(BX70-CA70)+((AV70+BP70)/1000)</f>
        <v>0</v>
      </c>
      <c r="EF70" s="83">
        <f t="shared" si="106"/>
        <v>0</v>
      </c>
    </row>
    <row r="71" spans="1:136">
      <c r="A71" s="84">
        <v>64</v>
      </c>
      <c r="B71" s="85" t="s">
        <v>319</v>
      </c>
      <c r="C71" s="86"/>
      <c r="D71" s="119" t="s">
        <v>505</v>
      </c>
      <c r="E71" s="88">
        <v>92</v>
      </c>
      <c r="F71" s="89" t="s">
        <v>147</v>
      </c>
      <c r="G71" s="45" t="str">
        <f t="shared" si="30"/>
        <v>IBC3604-6.2x3-H9B14</v>
      </c>
      <c r="H71" s="46" t="str">
        <f t="shared" si="31"/>
        <v>C3604IB6.20DH9</v>
      </c>
      <c r="I71" s="46" t="str">
        <f t="shared" si="32"/>
        <v>C3604IB6.20DH93B14</v>
      </c>
      <c r="J71" s="90" t="s">
        <v>148</v>
      </c>
      <c r="K71" s="90" t="s">
        <v>156</v>
      </c>
      <c r="L71" s="90">
        <v>6.2</v>
      </c>
      <c r="M71" s="90">
        <v>0</v>
      </c>
      <c r="N71" s="90" t="s">
        <v>128</v>
      </c>
      <c r="O71" s="90" t="s">
        <v>131</v>
      </c>
      <c r="P71" s="90">
        <v>3</v>
      </c>
      <c r="Q71" s="91">
        <v>0.76400000000000001</v>
      </c>
      <c r="R71" s="90" t="s">
        <v>171</v>
      </c>
      <c r="S71" s="89">
        <f t="shared" si="33"/>
        <v>38</v>
      </c>
      <c r="T71" s="51">
        <v>5</v>
      </c>
      <c r="U71" s="92">
        <v>13</v>
      </c>
      <c r="V71" s="100">
        <v>4.3</v>
      </c>
      <c r="W71" s="93">
        <f t="shared" si="5"/>
        <v>0</v>
      </c>
      <c r="X71" s="93">
        <f t="shared" si="6"/>
        <v>0</v>
      </c>
      <c r="Y71" s="93">
        <f t="shared" si="7"/>
        <v>0</v>
      </c>
      <c r="Z71" s="93">
        <f t="shared" si="8"/>
        <v>0</v>
      </c>
      <c r="AA71" s="93">
        <f t="shared" si="9"/>
        <v>0</v>
      </c>
      <c r="AB71" s="93">
        <f t="shared" si="10"/>
        <v>0</v>
      </c>
      <c r="AC71" s="93">
        <f t="shared" si="11"/>
        <v>0</v>
      </c>
      <c r="AD71" s="93">
        <f t="shared" si="12"/>
        <v>0</v>
      </c>
      <c r="AE71" s="93">
        <f t="shared" si="34"/>
        <v>0</v>
      </c>
      <c r="AF71" s="54">
        <f>AE71+'07.02'!AF71</f>
        <v>1223</v>
      </c>
      <c r="AG71" s="94">
        <f t="shared" si="66"/>
        <v>5</v>
      </c>
      <c r="AH71" s="56">
        <f t="shared" si="13"/>
        <v>0</v>
      </c>
      <c r="AI71" s="93"/>
      <c r="AJ71" s="93">
        <f t="shared" si="67"/>
        <v>0</v>
      </c>
      <c r="AK71" s="95">
        <f t="shared" si="35"/>
        <v>1</v>
      </c>
      <c r="AL71" s="58">
        <f t="shared" si="36"/>
        <v>0</v>
      </c>
      <c r="AM71" s="55">
        <f t="shared" si="68"/>
        <v>18</v>
      </c>
      <c r="AN71" s="93"/>
      <c r="AO71" s="96"/>
      <c r="AP71" s="96">
        <f>$CJ71</f>
        <v>0</v>
      </c>
      <c r="AQ71" s="96"/>
      <c r="AR71" s="96"/>
      <c r="AS71" s="96"/>
      <c r="AT71" s="96"/>
      <c r="AU71" s="96">
        <f t="shared" si="37"/>
        <v>0</v>
      </c>
      <c r="AV71" s="96">
        <f t="shared" si="37"/>
        <v>0</v>
      </c>
      <c r="AW71" s="96">
        <f t="shared" si="38"/>
        <v>0</v>
      </c>
      <c r="AX71" s="96">
        <f t="shared" si="39"/>
        <v>0</v>
      </c>
      <c r="AY71" s="94">
        <f t="shared" si="69"/>
        <v>0</v>
      </c>
      <c r="AZ71" s="94">
        <f t="shared" si="40"/>
        <v>0</v>
      </c>
      <c r="BA71" s="94">
        <f t="shared" si="41"/>
        <v>18</v>
      </c>
      <c r="BB71" s="97">
        <f t="shared" si="42"/>
        <v>0</v>
      </c>
      <c r="BC71" s="93"/>
      <c r="BD71" s="93">
        <f t="shared" si="43"/>
        <v>0</v>
      </c>
      <c r="BE71" s="95">
        <f t="shared" si="44"/>
        <v>1</v>
      </c>
      <c r="BF71" s="58">
        <f t="shared" si="45"/>
        <v>0</v>
      </c>
      <c r="BG71" s="94">
        <f t="shared" si="46"/>
        <v>18</v>
      </c>
      <c r="BH71" s="89"/>
      <c r="BI71" s="89"/>
      <c r="BJ71" s="92">
        <f>$CN71</f>
        <v>0</v>
      </c>
      <c r="BK71" s="89"/>
      <c r="BL71" s="89"/>
      <c r="BM71" s="89"/>
      <c r="BN71" s="89"/>
      <c r="BO71" s="92">
        <f t="shared" si="70"/>
        <v>0</v>
      </c>
      <c r="BP71" s="92">
        <f t="shared" si="70"/>
        <v>0</v>
      </c>
      <c r="BQ71" s="96">
        <f t="shared" si="47"/>
        <v>0</v>
      </c>
      <c r="BR71" s="96">
        <f t="shared" si="48"/>
        <v>0</v>
      </c>
      <c r="BS71" s="96">
        <f t="shared" si="71"/>
        <v>0</v>
      </c>
      <c r="BT71" s="96">
        <f t="shared" si="49"/>
        <v>0</v>
      </c>
      <c r="BU71" s="92">
        <f t="shared" si="16"/>
        <v>0</v>
      </c>
      <c r="BV71" s="98">
        <f t="shared" si="17"/>
        <v>0</v>
      </c>
      <c r="BW71" s="92">
        <f t="shared" si="18"/>
        <v>0</v>
      </c>
      <c r="BX71" s="98">
        <f t="shared" si="50"/>
        <v>0</v>
      </c>
      <c r="BY71" s="61">
        <f t="shared" si="73"/>
        <v>0</v>
      </c>
      <c r="BZ71" s="62">
        <f t="shared" si="51"/>
        <v>0</v>
      </c>
      <c r="CA71" s="98">
        <f t="shared" si="52"/>
        <v>0</v>
      </c>
      <c r="CB71" s="92">
        <f t="shared" si="97"/>
        <v>0</v>
      </c>
      <c r="CC71" s="92">
        <f t="shared" si="97"/>
        <v>0</v>
      </c>
      <c r="CD71" s="92">
        <f t="shared" si="97"/>
        <v>0</v>
      </c>
      <c r="CE71" s="99"/>
      <c r="CF71" s="99"/>
      <c r="CG71" s="51">
        <f t="shared" si="53"/>
        <v>0</v>
      </c>
      <c r="CH71" s="62">
        <f t="shared" si="54"/>
        <v>0</v>
      </c>
      <c r="CI71" s="89"/>
      <c r="CJ71" s="89"/>
      <c r="CK71" s="89"/>
      <c r="CL71" s="96"/>
      <c r="CM71" s="89"/>
      <c r="CN71" s="89"/>
      <c r="CO71" s="92"/>
      <c r="CP71" s="101"/>
      <c r="CQ71" s="102">
        <f t="shared" si="100"/>
        <v>0</v>
      </c>
      <c r="CR71" s="102">
        <f t="shared" si="100"/>
        <v>0</v>
      </c>
      <c r="CS71" s="102">
        <f t="shared" si="100"/>
        <v>0</v>
      </c>
      <c r="CT71" s="92">
        <f t="shared" si="56"/>
        <v>0</v>
      </c>
      <c r="CU71" s="92">
        <f t="shared" si="101"/>
        <v>0</v>
      </c>
      <c r="CV71" s="103">
        <f t="shared" si="101"/>
        <v>0</v>
      </c>
      <c r="CW71" s="104" t="s">
        <v>147</v>
      </c>
      <c r="CX71" s="105">
        <v>23</v>
      </c>
      <c r="CY71" s="106">
        <f t="shared" si="58"/>
        <v>1713</v>
      </c>
      <c r="CZ71" s="106">
        <f t="shared" si="59"/>
        <v>93.15</v>
      </c>
      <c r="DA71" s="106"/>
      <c r="DB71" s="106"/>
      <c r="DC71" s="105"/>
      <c r="DD71" s="107"/>
      <c r="DE71" s="92">
        <f t="shared" si="21"/>
        <v>0</v>
      </c>
      <c r="DF71" s="108">
        <f t="shared" si="22"/>
        <v>0</v>
      </c>
      <c r="DG71" s="115">
        <f t="shared" si="23"/>
        <v>0</v>
      </c>
      <c r="DH71" s="110">
        <f t="shared" si="24"/>
        <v>0</v>
      </c>
      <c r="DI71" s="108">
        <f t="shared" si="25"/>
        <v>0</v>
      </c>
      <c r="DJ71" s="112">
        <f t="shared" si="26"/>
        <v>0</v>
      </c>
      <c r="DK71" s="110">
        <f t="shared" si="86"/>
        <v>0</v>
      </c>
      <c r="DL71" s="108">
        <f t="shared" si="86"/>
        <v>0</v>
      </c>
      <c r="DM71" s="111">
        <f t="shared" si="86"/>
        <v>0</v>
      </c>
      <c r="DN71" s="76">
        <v>0</v>
      </c>
      <c r="DO71" s="76"/>
      <c r="DP71" s="112"/>
      <c r="DQ71" s="112"/>
      <c r="DR71" s="113" t="s">
        <v>552</v>
      </c>
      <c r="DS71" s="112"/>
      <c r="DT71" s="112"/>
      <c r="DU71" s="111"/>
      <c r="DV71" s="114"/>
      <c r="DW71" s="80">
        <f t="shared" si="61"/>
        <v>0</v>
      </c>
      <c r="DX71" s="81">
        <f t="shared" si="28"/>
        <v>0</v>
      </c>
      <c r="DY71" s="80">
        <f t="shared" si="62"/>
        <v>0</v>
      </c>
      <c r="DZ71" s="82">
        <f t="shared" si="63"/>
        <v>0</v>
      </c>
      <c r="EA71" s="82">
        <f t="shared" si="64"/>
        <v>0</v>
      </c>
      <c r="EB71" s="82">
        <f t="shared" si="65"/>
        <v>0</v>
      </c>
      <c r="EC71" s="82">
        <f t="shared" si="75"/>
        <v>0</v>
      </c>
      <c r="EF71" s="83">
        <f t="shared" si="106"/>
        <v>0</v>
      </c>
    </row>
    <row r="72" spans="1:136" ht="14.1" customHeight="1">
      <c r="A72" s="84">
        <v>65</v>
      </c>
      <c r="B72" s="85" t="s">
        <v>320</v>
      </c>
      <c r="C72" s="86"/>
      <c r="D72" s="116" t="s">
        <v>321</v>
      </c>
      <c r="E72" s="88">
        <v>438</v>
      </c>
      <c r="F72" s="89" t="s">
        <v>128</v>
      </c>
      <c r="G72" s="45" t="str">
        <f t="shared" si="30"/>
        <v>TVA2011-T3-7.5x3-H9B14</v>
      </c>
      <c r="H72" s="46" t="str">
        <f t="shared" si="31"/>
        <v>A2011-T3TV7.50DH9</v>
      </c>
      <c r="I72" s="46" t="str">
        <f t="shared" si="32"/>
        <v>A2011-T3TV7.50DH93B14</v>
      </c>
      <c r="J72" s="90" t="s">
        <v>305</v>
      </c>
      <c r="K72" s="90" t="s">
        <v>138</v>
      </c>
      <c r="L72" s="90">
        <v>7.5</v>
      </c>
      <c r="M72" s="90">
        <v>0</v>
      </c>
      <c r="N72" s="90" t="s">
        <v>128</v>
      </c>
      <c r="O72" s="90" t="s">
        <v>131</v>
      </c>
      <c r="P72" s="90">
        <v>3</v>
      </c>
      <c r="Q72" s="91">
        <v>0.376</v>
      </c>
      <c r="R72" s="90" t="s">
        <v>171</v>
      </c>
      <c r="S72" s="89">
        <f t="shared" si="33"/>
        <v>24</v>
      </c>
      <c r="T72" s="51">
        <f>'07.02'!BG72</f>
        <v>30</v>
      </c>
      <c r="U72" s="92"/>
      <c r="V72" s="100">
        <v>0.58299999999999996</v>
      </c>
      <c r="W72" s="93">
        <f t="shared" ref="W72:W103" si="113">IF(V72="","",INT((AO72+BI72)/$V72))</f>
        <v>0</v>
      </c>
      <c r="X72" s="93">
        <f t="shared" ref="X72:X106" si="114">IF(V72="","",INT((AP72+BJ72)/$V72))</f>
        <v>0</v>
      </c>
      <c r="Y72" s="93">
        <f t="shared" ref="Y72:Y106" si="115">IF(V72="","",INT((AQ72+BK72)/$V72))</f>
        <v>0</v>
      </c>
      <c r="Z72" s="93">
        <f t="shared" ref="Z72:Z106" si="116">IF(V72="","",INT((AR72+BL72)/$V72))</f>
        <v>0</v>
      </c>
      <c r="AA72" s="93">
        <f t="shared" ref="AA72:AA106" si="117">IF(V72="","",INT((AS72+BM72)/$V72))</f>
        <v>0</v>
      </c>
      <c r="AB72" s="93">
        <f t="shared" ref="AB72:AB106" si="118">IF(V72="","",INT((AT72+BN72)/$V72))</f>
        <v>0</v>
      </c>
      <c r="AC72" s="93">
        <f t="shared" ref="AC72:AC106" si="119">IF(V72="","",INT((AU72+BO72)/$V72))</f>
        <v>0</v>
      </c>
      <c r="AD72" s="93">
        <f t="shared" ref="AD72:AD106" si="120">IF(V72="","",INT((AV72+BP72)/$V72))</f>
        <v>0</v>
      </c>
      <c r="AE72" s="93">
        <f t="shared" si="34"/>
        <v>0</v>
      </c>
      <c r="AF72" s="54">
        <f>AE72+'07.02'!AF72</f>
        <v>0</v>
      </c>
      <c r="AG72" s="94">
        <f t="shared" si="66"/>
        <v>30</v>
      </c>
      <c r="AH72" s="56">
        <f t="shared" si="13"/>
        <v>0</v>
      </c>
      <c r="AI72" s="93"/>
      <c r="AJ72" s="93">
        <f t="shared" si="67"/>
        <v>0</v>
      </c>
      <c r="AK72" s="95">
        <f t="shared" si="35"/>
        <v>1</v>
      </c>
      <c r="AL72" s="58">
        <f t="shared" si="36"/>
        <v>0</v>
      </c>
      <c r="AM72" s="55">
        <f t="shared" si="68"/>
        <v>30</v>
      </c>
      <c r="AN72" s="93"/>
      <c r="AO72" s="96"/>
      <c r="AP72" s="96"/>
      <c r="AQ72" s="96"/>
      <c r="AR72" s="96"/>
      <c r="AS72" s="96"/>
      <c r="AT72" s="96">
        <f t="shared" si="111"/>
        <v>0</v>
      </c>
      <c r="AU72" s="96">
        <f t="shared" si="37"/>
        <v>0</v>
      </c>
      <c r="AV72" s="96">
        <f t="shared" si="37"/>
        <v>0</v>
      </c>
      <c r="AW72" s="96">
        <f t="shared" si="38"/>
        <v>0</v>
      </c>
      <c r="AX72" s="96">
        <f t="shared" si="39"/>
        <v>0</v>
      </c>
      <c r="AY72" s="94">
        <f t="shared" si="69"/>
        <v>0</v>
      </c>
      <c r="AZ72" s="94">
        <f t="shared" si="40"/>
        <v>0</v>
      </c>
      <c r="BA72" s="94">
        <f t="shared" si="41"/>
        <v>30</v>
      </c>
      <c r="BB72" s="97">
        <f t="shared" si="42"/>
        <v>0</v>
      </c>
      <c r="BC72" s="93"/>
      <c r="BD72" s="93">
        <f t="shared" si="43"/>
        <v>0</v>
      </c>
      <c r="BE72" s="95">
        <f t="shared" si="44"/>
        <v>1</v>
      </c>
      <c r="BF72" s="58">
        <f t="shared" si="45"/>
        <v>0</v>
      </c>
      <c r="BG72" s="94">
        <f t="shared" si="46"/>
        <v>30</v>
      </c>
      <c r="BH72" s="89"/>
      <c r="BI72" s="89"/>
      <c r="BJ72" s="89"/>
      <c r="BK72" s="89"/>
      <c r="BL72" s="89"/>
      <c r="BM72" s="89"/>
      <c r="BN72" s="92">
        <f t="shared" si="112"/>
        <v>0</v>
      </c>
      <c r="BO72" s="92">
        <f t="shared" si="70"/>
        <v>0</v>
      </c>
      <c r="BP72" s="92">
        <f t="shared" si="70"/>
        <v>0</v>
      </c>
      <c r="BQ72" s="96">
        <f t="shared" si="47"/>
        <v>0</v>
      </c>
      <c r="BR72" s="96">
        <f t="shared" si="48"/>
        <v>0</v>
      </c>
      <c r="BS72" s="96">
        <f t="shared" si="71"/>
        <v>0</v>
      </c>
      <c r="BT72" s="96">
        <f t="shared" si="49"/>
        <v>0</v>
      </c>
      <c r="BU72" s="92">
        <f t="shared" ref="BU72:BU106" si="121">IFERROR(AE72,"")</f>
        <v>0</v>
      </c>
      <c r="BV72" s="98">
        <f t="shared" si="17"/>
        <v>0</v>
      </c>
      <c r="BW72" s="92">
        <f t="shared" ref="BW72:BW106" si="122">IFERROR(BT72+AZ72,"")</f>
        <v>0</v>
      </c>
      <c r="BX72" s="98">
        <f t="shared" si="50"/>
        <v>0</v>
      </c>
      <c r="BY72" s="61">
        <f t="shared" si="73"/>
        <v>0</v>
      </c>
      <c r="BZ72" s="62">
        <f t="shared" si="51"/>
        <v>0</v>
      </c>
      <c r="CA72" s="98">
        <f t="shared" si="52"/>
        <v>0</v>
      </c>
      <c r="CB72" s="92">
        <f t="shared" ref="CB72:CD106" si="123">IFERROR(BR72+AX72,"")</f>
        <v>0</v>
      </c>
      <c r="CC72" s="92">
        <f t="shared" si="123"/>
        <v>0</v>
      </c>
      <c r="CD72" s="92">
        <f t="shared" si="123"/>
        <v>0</v>
      </c>
      <c r="CE72" s="99"/>
      <c r="CF72" s="99"/>
      <c r="CG72" s="51">
        <f t="shared" si="53"/>
        <v>0</v>
      </c>
      <c r="CH72" s="62">
        <f t="shared" si="54"/>
        <v>0</v>
      </c>
      <c r="CI72" s="89"/>
      <c r="CJ72" s="89"/>
      <c r="CK72" s="89"/>
      <c r="CL72" s="96"/>
      <c r="CM72" s="89"/>
      <c r="CN72" s="89"/>
      <c r="CO72" s="92"/>
      <c r="CP72" s="101"/>
      <c r="CQ72" s="102">
        <f t="shared" si="100"/>
        <v>0</v>
      </c>
      <c r="CR72" s="102">
        <f t="shared" si="100"/>
        <v>0</v>
      </c>
      <c r="CS72" s="102">
        <f t="shared" si="100"/>
        <v>0</v>
      </c>
      <c r="CT72" s="92">
        <f t="shared" si="56"/>
        <v>0</v>
      </c>
      <c r="CU72" s="92">
        <f t="shared" si="101"/>
        <v>0</v>
      </c>
      <c r="CV72" s="103">
        <f t="shared" si="101"/>
        <v>0</v>
      </c>
      <c r="CW72" s="104" t="s">
        <v>147</v>
      </c>
      <c r="CX72" s="105">
        <v>8</v>
      </c>
      <c r="CY72" s="106">
        <f t="shared" si="58"/>
        <v>5107</v>
      </c>
      <c r="CZ72" s="106">
        <f t="shared" si="59"/>
        <v>32.400000000000006</v>
      </c>
      <c r="DA72" s="106"/>
      <c r="DB72" s="106"/>
      <c r="DC72" s="105"/>
      <c r="DD72" s="107"/>
      <c r="DE72" s="92">
        <f t="shared" ref="DE72:DE106" si="124">IFERROR(CQ72+CR72,"")</f>
        <v>0</v>
      </c>
      <c r="DF72" s="108">
        <f t="shared" ref="DF72:DF106" si="125">IFERROR(AL72,"")</f>
        <v>0</v>
      </c>
      <c r="DG72" s="115">
        <f t="shared" ref="DG72:DG106" si="126">IFERROR(AZ72,"")</f>
        <v>0</v>
      </c>
      <c r="DH72" s="110">
        <f t="shared" ref="DH72:DH106" si="127">IFERROR(CT72+CU72,"")</f>
        <v>0</v>
      </c>
      <c r="DI72" s="108">
        <f t="shared" ref="DI72:DI106" si="128">IFERROR(BF72,"")</f>
        <v>0</v>
      </c>
      <c r="DJ72" s="112">
        <f t="shared" ref="DJ72:DJ106" si="129">IFERROR(BT72,"")</f>
        <v>0</v>
      </c>
      <c r="DK72" s="110">
        <f t="shared" si="86"/>
        <v>0</v>
      </c>
      <c r="DL72" s="108">
        <f t="shared" si="86"/>
        <v>0</v>
      </c>
      <c r="DM72" s="111">
        <f t="shared" si="86"/>
        <v>0</v>
      </c>
      <c r="DN72" s="76">
        <v>30</v>
      </c>
      <c r="DO72" s="76"/>
      <c r="DP72" s="112"/>
      <c r="DQ72" s="112"/>
      <c r="DR72" s="113" t="s">
        <v>553</v>
      </c>
      <c r="DS72" s="112"/>
      <c r="DT72" s="112"/>
      <c r="DU72" s="111"/>
      <c r="DV72" s="114"/>
      <c r="DW72" s="80">
        <f>IFERROR(AL72+BF72,"")</f>
        <v>0</v>
      </c>
      <c r="DX72" s="81">
        <f t="shared" ref="DX72:DX106" si="130">IFERROR(DK72+DL72+DM72,"")</f>
        <v>0</v>
      </c>
      <c r="DY72" s="80">
        <f t="shared" si="62"/>
        <v>0</v>
      </c>
      <c r="DZ72" s="82">
        <f t="shared" si="63"/>
        <v>0</v>
      </c>
      <c r="EA72" s="82">
        <f t="shared" si="64"/>
        <v>0</v>
      </c>
      <c r="EB72" s="82">
        <f t="shared" si="65"/>
        <v>0</v>
      </c>
      <c r="EC72" s="82">
        <f t="shared" si="75"/>
        <v>0</v>
      </c>
      <c r="EF72" s="83">
        <f t="shared" si="106"/>
        <v>0</v>
      </c>
    </row>
    <row r="73" spans="1:136" ht="14.1" customHeight="1">
      <c r="A73" s="84">
        <v>66</v>
      </c>
      <c r="B73" s="85" t="s">
        <v>323</v>
      </c>
      <c r="C73" s="86"/>
      <c r="D73" s="87" t="s">
        <v>260</v>
      </c>
      <c r="E73" s="88">
        <v>246</v>
      </c>
      <c r="F73" s="89" t="s">
        <v>128</v>
      </c>
      <c r="G73" s="45" t="str">
        <f t="shared" ref="G73:G106" si="131">CONCATENATE(K73,J73,"-",IF(N73="D",L73,IF(N73="H",CONCATENATE(N73,L73),CONCATENATE(N73,L73,"x",M73))),"x",P73,"-",O73,R73)</f>
        <v>GAA5052-5.7x3-H9A14</v>
      </c>
      <c r="H73" s="46" t="str">
        <f t="shared" ref="H73:H106" si="132">CONCATENATE(J73,,K73,L73,M73,N73,O73)</f>
        <v>A5052GA5.70DH9</v>
      </c>
      <c r="I73" s="46" t="str">
        <f t="shared" ref="I73:I106" si="133">CONCATENATE(J73,K73,L73,M73,N73,O73,P73,R73)</f>
        <v>A5052GA5.70DH93A14</v>
      </c>
      <c r="J73" s="90" t="s">
        <v>221</v>
      </c>
      <c r="K73" s="90" t="s">
        <v>222</v>
      </c>
      <c r="L73" s="90">
        <v>5.7</v>
      </c>
      <c r="M73" s="90">
        <v>0</v>
      </c>
      <c r="N73" s="90" t="s">
        <v>128</v>
      </c>
      <c r="O73" s="90" t="s">
        <v>131</v>
      </c>
      <c r="P73" s="90">
        <v>3</v>
      </c>
      <c r="Q73" s="91">
        <v>0.20399999999999999</v>
      </c>
      <c r="R73" s="90" t="s">
        <v>139</v>
      </c>
      <c r="S73" s="89">
        <f t="shared" ref="S73:S106" si="134">ROUND(CY73/E73,0)*2</f>
        <v>14</v>
      </c>
      <c r="T73" s="51">
        <v>30</v>
      </c>
      <c r="U73" s="92"/>
      <c r="V73" s="100">
        <v>0.15</v>
      </c>
      <c r="W73" s="93">
        <f t="shared" si="113"/>
        <v>0</v>
      </c>
      <c r="X73" s="93">
        <f t="shared" si="114"/>
        <v>0</v>
      </c>
      <c r="Y73" s="93">
        <f t="shared" si="115"/>
        <v>0</v>
      </c>
      <c r="Z73" s="93">
        <f t="shared" si="116"/>
        <v>0</v>
      </c>
      <c r="AA73" s="93">
        <f t="shared" si="117"/>
        <v>0</v>
      </c>
      <c r="AB73" s="93">
        <f t="shared" si="118"/>
        <v>0</v>
      </c>
      <c r="AC73" s="93">
        <f t="shared" si="119"/>
        <v>0</v>
      </c>
      <c r="AD73" s="93">
        <f t="shared" si="120"/>
        <v>0</v>
      </c>
      <c r="AE73" s="93">
        <f t="shared" ref="AE73:AE106" si="135">IF(V73="","",SUM(W73:AC73))</f>
        <v>0</v>
      </c>
      <c r="AF73" s="54">
        <f>AE73+'07.02'!AF73</f>
        <v>18145</v>
      </c>
      <c r="AG73" s="94">
        <f t="shared" si="66"/>
        <v>30</v>
      </c>
      <c r="AH73" s="56">
        <f t="shared" ref="AH73:AH106" si="136">IFERROR(VALUE("0"&amp;RIGHT(AG73,(LEN(AG73)-LEN(TRUNC(AG73))))),"")</f>
        <v>0</v>
      </c>
      <c r="AI73" s="93"/>
      <c r="AJ73" s="93">
        <f t="shared" si="67"/>
        <v>0</v>
      </c>
      <c r="AK73" s="95">
        <f t="shared" ref="AK73:AK107" si="137">IF(V73="","",IF(AJ73=0,1,AJ73/$V73/$E73))</f>
        <v>1</v>
      </c>
      <c r="AL73" s="58">
        <f t="shared" si="36"/>
        <v>0</v>
      </c>
      <c r="AM73" s="55">
        <f t="shared" si="68"/>
        <v>30</v>
      </c>
      <c r="AN73" s="93"/>
      <c r="AO73" s="96"/>
      <c r="AP73" s="96"/>
      <c r="AQ73" s="96"/>
      <c r="AR73" s="96"/>
      <c r="AS73" s="96"/>
      <c r="AT73" s="96">
        <f t="shared" si="111"/>
        <v>0</v>
      </c>
      <c r="AU73" s="96">
        <f t="shared" ref="AU73:AV106" si="138">CK73</f>
        <v>0</v>
      </c>
      <c r="AV73" s="96">
        <f t="shared" si="138"/>
        <v>0</v>
      </c>
      <c r="AW73" s="96">
        <f t="shared" ref="AW73:AW106" si="139">SUM(AO73:AV73)</f>
        <v>0</v>
      </c>
      <c r="AX73" s="96">
        <f t="shared" ref="AX73:AX106" si="140">IF(V73="","",INT(AW73/$V73))</f>
        <v>0</v>
      </c>
      <c r="AY73" s="94">
        <f t="shared" si="69"/>
        <v>0</v>
      </c>
      <c r="AZ73" s="94">
        <f t="shared" ref="AZ73:AZ106" si="141">IF($V73="","",AY73/$V73)</f>
        <v>0</v>
      </c>
      <c r="BA73" s="94">
        <f t="shared" si="41"/>
        <v>30</v>
      </c>
      <c r="BB73" s="97">
        <f t="shared" si="42"/>
        <v>0</v>
      </c>
      <c r="BC73" s="93"/>
      <c r="BD73" s="93">
        <f t="shared" ref="BD73:BD106" si="142">$CM73</f>
        <v>0</v>
      </c>
      <c r="BE73" s="95">
        <f t="shared" ref="BE73:BE106" si="143">IF(AA73="","",IF(BD73=0,1,BD73/$V73/$E73))</f>
        <v>1</v>
      </c>
      <c r="BF73" s="58">
        <f t="shared" si="45"/>
        <v>0</v>
      </c>
      <c r="BG73" s="94">
        <f t="shared" ref="BG73:BG106" si="144">IF(AA73="","",BA73-BF73)</f>
        <v>30</v>
      </c>
      <c r="BH73" s="89"/>
      <c r="BI73" s="89"/>
      <c r="BJ73" s="89"/>
      <c r="BK73" s="89"/>
      <c r="BL73" s="89"/>
      <c r="BM73" s="89"/>
      <c r="BN73" s="92">
        <f t="shared" si="112"/>
        <v>0</v>
      </c>
      <c r="BO73" s="92">
        <f t="shared" si="70"/>
        <v>0</v>
      </c>
      <c r="BP73" s="92">
        <f t="shared" si="70"/>
        <v>0</v>
      </c>
      <c r="BQ73" s="96">
        <f t="shared" ref="BQ73:BQ106" si="145">SUM(BI73:BP73)</f>
        <v>0</v>
      </c>
      <c r="BR73" s="96">
        <f t="shared" ref="BR73:BR106" si="146">IF(AA73="","",INT(BQ73/$V73))</f>
        <v>0</v>
      </c>
      <c r="BS73" s="96">
        <f t="shared" si="71"/>
        <v>0</v>
      </c>
      <c r="BT73" s="96">
        <f t="shared" ref="BT73:BT106" si="147">IF($V73="","",BS73/$V73)</f>
        <v>0</v>
      </c>
      <c r="BU73" s="92">
        <f t="shared" si="121"/>
        <v>0</v>
      </c>
      <c r="BV73" s="98">
        <f t="shared" si="17"/>
        <v>0</v>
      </c>
      <c r="BW73" s="92">
        <f t="shared" si="122"/>
        <v>0</v>
      </c>
      <c r="BX73" s="98">
        <f t="shared" ref="BX73:BX106" si="148">IF($Q73="","",(BF73+AL73)*$Q73)</f>
        <v>0</v>
      </c>
      <c r="BY73" s="61">
        <f t="shared" si="73"/>
        <v>0</v>
      </c>
      <c r="BZ73" s="62">
        <f t="shared" ref="BZ73:BZ108" si="149">BY73</f>
        <v>0</v>
      </c>
      <c r="CA73" s="98">
        <f t="shared" ref="CA73:CA106" si="150">IFERROR((BQ73+AW73)/1000,"")</f>
        <v>0</v>
      </c>
      <c r="CB73" s="92">
        <f t="shared" si="123"/>
        <v>0</v>
      </c>
      <c r="CC73" s="92">
        <f t="shared" si="123"/>
        <v>0</v>
      </c>
      <c r="CD73" s="92">
        <f t="shared" si="123"/>
        <v>0</v>
      </c>
      <c r="CE73" s="99"/>
      <c r="CF73" s="99"/>
      <c r="CG73" s="51">
        <f t="shared" ref="CG73:CG106" si="151">IF(BX73="",0,(BX73-CA73)+((AV73+BP73)/1000))</f>
        <v>0</v>
      </c>
      <c r="CH73" s="62">
        <f t="shared" ref="CH73:CH108" si="152">CG73</f>
        <v>0</v>
      </c>
      <c r="CI73" s="89"/>
      <c r="CJ73" s="89"/>
      <c r="CK73" s="89"/>
      <c r="CL73" s="96"/>
      <c r="CM73" s="89"/>
      <c r="CN73" s="89"/>
      <c r="CO73" s="92"/>
      <c r="CP73" s="101"/>
      <c r="CQ73" s="102">
        <f t="shared" si="100"/>
        <v>0</v>
      </c>
      <c r="CR73" s="102">
        <f t="shared" si="100"/>
        <v>0</v>
      </c>
      <c r="CS73" s="102">
        <f t="shared" si="100"/>
        <v>0</v>
      </c>
      <c r="CT73" s="92">
        <f t="shared" ref="CT73:CT106" si="153">INT(IFERROR( AE73-CQ73-CU73-CR73,0))</f>
        <v>0</v>
      </c>
      <c r="CU73" s="92">
        <f t="shared" si="101"/>
        <v>0</v>
      </c>
      <c r="CV73" s="103">
        <f t="shared" si="101"/>
        <v>0</v>
      </c>
      <c r="CW73" s="104" t="s">
        <v>147</v>
      </c>
      <c r="CX73" s="105">
        <v>23.04</v>
      </c>
      <c r="CY73" s="106">
        <f t="shared" ref="CY73:CY106" si="154">INT(60/CX73*60*(12-(CEILING((60/CX73*60*12)/E73,1)*IF(CW73="T",0.45,IF(CW73="",5,3))/60)))</f>
        <v>1812</v>
      </c>
      <c r="CZ73" s="106">
        <f t="shared" ref="CZ73:CZ106" si="155">IF(CX73="",0,(IF(CW73="",360,180)/(60/CX73))*1.35)</f>
        <v>93.311999999999998</v>
      </c>
      <c r="DA73" s="106"/>
      <c r="DB73" s="106"/>
      <c r="DC73" s="105"/>
      <c r="DD73" s="107"/>
      <c r="DE73" s="92">
        <f t="shared" si="124"/>
        <v>0</v>
      </c>
      <c r="DF73" s="108">
        <f t="shared" si="125"/>
        <v>0</v>
      </c>
      <c r="DG73" s="115">
        <f t="shared" si="126"/>
        <v>0</v>
      </c>
      <c r="DH73" s="110">
        <f t="shared" si="127"/>
        <v>0</v>
      </c>
      <c r="DI73" s="108">
        <f t="shared" si="128"/>
        <v>0</v>
      </c>
      <c r="DJ73" s="112">
        <f t="shared" si="129"/>
        <v>0</v>
      </c>
      <c r="DK73" s="110">
        <f t="shared" si="86"/>
        <v>0</v>
      </c>
      <c r="DL73" s="108">
        <f t="shared" si="86"/>
        <v>0</v>
      </c>
      <c r="DM73" s="111">
        <f t="shared" si="86"/>
        <v>0</v>
      </c>
      <c r="DN73" s="76">
        <v>19</v>
      </c>
      <c r="DO73" s="76"/>
      <c r="DP73" s="112"/>
      <c r="DQ73" s="112"/>
      <c r="DR73" s="113" t="s">
        <v>554</v>
      </c>
      <c r="DS73" s="112"/>
      <c r="DT73" s="112"/>
      <c r="DU73" s="111"/>
      <c r="DV73" s="114"/>
      <c r="DW73" s="80">
        <f t="shared" ref="DW73:DW106" si="156">IFERROR(BU73+BV73,"")</f>
        <v>0</v>
      </c>
      <c r="DX73" s="81">
        <f t="shared" si="130"/>
        <v>0</v>
      </c>
      <c r="DY73" s="80">
        <f t="shared" ref="DY73:DY106" si="157">CQ73+CR73+CS73+CT73+CU73+CV73</f>
        <v>0</v>
      </c>
      <c r="DZ73" s="82">
        <f t="shared" ref="DZ73:DZ106" si="158">IFERROR((AD73*V73/1000),0)</f>
        <v>0</v>
      </c>
      <c r="EA73" s="82">
        <f t="shared" ref="EA73:EA106" si="159">IFERROR((AE73*V73/1000),0)</f>
        <v>0</v>
      </c>
      <c r="EB73" s="82">
        <f t="shared" ref="EB73:EB106" si="160">BX73-EA73</f>
        <v>0</v>
      </c>
      <c r="EC73" s="82">
        <f t="shared" si="75"/>
        <v>0</v>
      </c>
      <c r="EF73" s="83">
        <f t="shared" si="106"/>
        <v>0</v>
      </c>
    </row>
    <row r="74" spans="1:136" ht="14.1" customHeight="1">
      <c r="A74" s="84">
        <v>67</v>
      </c>
      <c r="B74" s="85" t="s">
        <v>325</v>
      </c>
      <c r="C74" s="86"/>
      <c r="D74" s="87" t="s">
        <v>326</v>
      </c>
      <c r="E74" s="88">
        <v>135</v>
      </c>
      <c r="F74" s="89" t="s">
        <v>147</v>
      </c>
      <c r="G74" s="45" t="str">
        <f t="shared" si="131"/>
        <v>IBC3604-7x3-H9D14</v>
      </c>
      <c r="H74" s="46" t="str">
        <f t="shared" si="132"/>
        <v>C3604IB70DH9</v>
      </c>
      <c r="I74" s="46" t="str">
        <f t="shared" si="133"/>
        <v>C3604IB70DH93D14</v>
      </c>
      <c r="J74" s="90" t="s">
        <v>148</v>
      </c>
      <c r="K74" s="90" t="s">
        <v>156</v>
      </c>
      <c r="L74" s="90">
        <v>7</v>
      </c>
      <c r="M74" s="90">
        <v>0</v>
      </c>
      <c r="N74" s="90" t="s">
        <v>128</v>
      </c>
      <c r="O74" s="90" t="s">
        <v>131</v>
      </c>
      <c r="P74" s="90">
        <v>3</v>
      </c>
      <c r="Q74" s="91">
        <v>0.98</v>
      </c>
      <c r="R74" s="90" t="s">
        <v>327</v>
      </c>
      <c r="S74" s="89">
        <f t="shared" si="134"/>
        <v>28</v>
      </c>
      <c r="T74" s="51">
        <f>'07.02'!BG74</f>
        <v>25</v>
      </c>
      <c r="U74" s="92">
        <v>25</v>
      </c>
      <c r="V74" s="100">
        <v>3.3769999999999998</v>
      </c>
      <c r="W74" s="93">
        <f t="shared" si="113"/>
        <v>0</v>
      </c>
      <c r="X74" s="93">
        <f t="shared" si="114"/>
        <v>0</v>
      </c>
      <c r="Y74" s="93">
        <f t="shared" si="115"/>
        <v>0</v>
      </c>
      <c r="Z74" s="93">
        <f t="shared" si="116"/>
        <v>0</v>
      </c>
      <c r="AA74" s="93">
        <f t="shared" si="117"/>
        <v>0</v>
      </c>
      <c r="AB74" s="93">
        <f t="shared" si="118"/>
        <v>0</v>
      </c>
      <c r="AC74" s="93">
        <f t="shared" si="119"/>
        <v>0</v>
      </c>
      <c r="AD74" s="93">
        <f t="shared" si="120"/>
        <v>0</v>
      </c>
      <c r="AE74" s="93">
        <f t="shared" si="135"/>
        <v>0</v>
      </c>
      <c r="AF74" s="54">
        <f>AE74+'07.02'!AF74</f>
        <v>22678</v>
      </c>
      <c r="AG74" s="94">
        <f t="shared" ref="AG74:AG106" si="161">T74</f>
        <v>25</v>
      </c>
      <c r="AH74" s="56">
        <f t="shared" si="136"/>
        <v>0</v>
      </c>
      <c r="AI74" s="93"/>
      <c r="AJ74" s="93">
        <f t="shared" ref="AJ74:AJ106" si="162">$CI74</f>
        <v>0</v>
      </c>
      <c r="AK74" s="95">
        <f t="shared" si="137"/>
        <v>1</v>
      </c>
      <c r="AL74" s="58">
        <f t="shared" si="36"/>
        <v>0</v>
      </c>
      <c r="AM74" s="55">
        <f t="shared" ref="AM74:AM106" si="163">IF(V74="","",AG74+U74-AL74)</f>
        <v>50</v>
      </c>
      <c r="AN74" s="93"/>
      <c r="AO74" s="96"/>
      <c r="AP74" s="96">
        <f>$CJ74</f>
        <v>0</v>
      </c>
      <c r="AQ74" s="96"/>
      <c r="AR74" s="96"/>
      <c r="AS74" s="96"/>
      <c r="AT74" s="96"/>
      <c r="AU74" s="96">
        <f t="shared" si="138"/>
        <v>0</v>
      </c>
      <c r="AV74" s="96">
        <f t="shared" si="138"/>
        <v>0</v>
      </c>
      <c r="AW74" s="96">
        <f t="shared" si="139"/>
        <v>0</v>
      </c>
      <c r="AX74" s="96">
        <f t="shared" si="140"/>
        <v>0</v>
      </c>
      <c r="AY74" s="94">
        <f t="shared" ref="AY74:AY106" si="164">IF(V74="","",AW74-AL74*$E74*$V74)</f>
        <v>0</v>
      </c>
      <c r="AZ74" s="94">
        <f t="shared" si="141"/>
        <v>0</v>
      </c>
      <c r="BA74" s="94">
        <f t="shared" si="41"/>
        <v>50</v>
      </c>
      <c r="BB74" s="97">
        <f t="shared" si="42"/>
        <v>0</v>
      </c>
      <c r="BC74" s="93"/>
      <c r="BD74" s="93">
        <f t="shared" si="142"/>
        <v>0</v>
      </c>
      <c r="BE74" s="95">
        <f t="shared" si="143"/>
        <v>1</v>
      </c>
      <c r="BF74" s="58">
        <f t="shared" si="45"/>
        <v>0</v>
      </c>
      <c r="BG74" s="94">
        <f t="shared" si="144"/>
        <v>50</v>
      </c>
      <c r="BH74" s="89"/>
      <c r="BI74" s="89"/>
      <c r="BJ74" s="92">
        <f>$CN74</f>
        <v>0</v>
      </c>
      <c r="BK74" s="89"/>
      <c r="BL74" s="89"/>
      <c r="BM74" s="89"/>
      <c r="BN74" s="89"/>
      <c r="BO74" s="92">
        <f t="shared" ref="BO74:BP103" si="165">CO74</f>
        <v>0</v>
      </c>
      <c r="BP74" s="92">
        <f t="shared" si="165"/>
        <v>0</v>
      </c>
      <c r="BQ74" s="96">
        <f t="shared" si="145"/>
        <v>0</v>
      </c>
      <c r="BR74" s="96">
        <f t="shared" si="146"/>
        <v>0</v>
      </c>
      <c r="BS74" s="96">
        <f t="shared" ref="BS74:BS106" si="166">IF(AA74="","",-BF74*$E74*$V74+BQ74)</f>
        <v>0</v>
      </c>
      <c r="BT74" s="96">
        <f t="shared" si="147"/>
        <v>0</v>
      </c>
      <c r="BU74" s="92">
        <f t="shared" si="121"/>
        <v>0</v>
      </c>
      <c r="BV74" s="98">
        <f t="shared" ref="BV74:BV106" si="167">IFERROR(BF74+AL74,"")</f>
        <v>0</v>
      </c>
      <c r="BW74" s="92">
        <f t="shared" si="122"/>
        <v>0</v>
      </c>
      <c r="BX74" s="98">
        <f t="shared" si="148"/>
        <v>0</v>
      </c>
      <c r="BY74" s="61">
        <f>IFERROR(BF74+AL74,0)</f>
        <v>0</v>
      </c>
      <c r="BZ74" s="62">
        <f t="shared" si="149"/>
        <v>0</v>
      </c>
      <c r="CA74" s="98">
        <f t="shared" si="150"/>
        <v>0</v>
      </c>
      <c r="CB74" s="92">
        <f t="shared" si="123"/>
        <v>0</v>
      </c>
      <c r="CC74" s="92">
        <f t="shared" si="123"/>
        <v>0</v>
      </c>
      <c r="CD74" s="92">
        <f t="shared" si="123"/>
        <v>0</v>
      </c>
      <c r="CE74" s="99"/>
      <c r="CF74" s="99"/>
      <c r="CG74" s="51">
        <f t="shared" si="151"/>
        <v>0</v>
      </c>
      <c r="CH74" s="62">
        <f t="shared" si="152"/>
        <v>0</v>
      </c>
      <c r="CI74" s="89"/>
      <c r="CJ74" s="89"/>
      <c r="CK74" s="89"/>
      <c r="CL74" s="96"/>
      <c r="CM74" s="89"/>
      <c r="CN74" s="89"/>
      <c r="CO74" s="92"/>
      <c r="CP74" s="101"/>
      <c r="CQ74" s="102">
        <f t="shared" si="100"/>
        <v>0</v>
      </c>
      <c r="CR74" s="102">
        <f t="shared" si="100"/>
        <v>0</v>
      </c>
      <c r="CS74" s="102">
        <f t="shared" si="100"/>
        <v>0</v>
      </c>
      <c r="CT74" s="92">
        <f t="shared" si="153"/>
        <v>0</v>
      </c>
      <c r="CU74" s="92">
        <f t="shared" si="101"/>
        <v>0</v>
      </c>
      <c r="CV74" s="103">
        <f t="shared" si="101"/>
        <v>0</v>
      </c>
      <c r="CW74" s="104" t="s">
        <v>147</v>
      </c>
      <c r="CX74" s="105">
        <v>22</v>
      </c>
      <c r="CY74" s="106">
        <f t="shared" si="154"/>
        <v>1840</v>
      </c>
      <c r="CZ74" s="106">
        <f t="shared" si="155"/>
        <v>89.100000000000009</v>
      </c>
      <c r="DA74" s="106"/>
      <c r="DB74" s="106"/>
      <c r="DC74" s="105"/>
      <c r="DD74" s="107"/>
      <c r="DE74" s="92">
        <f t="shared" si="124"/>
        <v>0</v>
      </c>
      <c r="DF74" s="108">
        <f t="shared" si="125"/>
        <v>0</v>
      </c>
      <c r="DG74" s="115">
        <f t="shared" si="126"/>
        <v>0</v>
      </c>
      <c r="DH74" s="110">
        <f t="shared" si="127"/>
        <v>0</v>
      </c>
      <c r="DI74" s="108">
        <f t="shared" si="128"/>
        <v>0</v>
      </c>
      <c r="DJ74" s="112">
        <f t="shared" si="129"/>
        <v>0</v>
      </c>
      <c r="DK74" s="110">
        <f t="shared" si="86"/>
        <v>0</v>
      </c>
      <c r="DL74" s="108">
        <f t="shared" si="86"/>
        <v>0</v>
      </c>
      <c r="DM74" s="111">
        <f t="shared" si="86"/>
        <v>0</v>
      </c>
      <c r="DN74" s="76">
        <v>24</v>
      </c>
      <c r="DO74" s="76"/>
      <c r="DP74" s="112"/>
      <c r="DQ74" s="112"/>
      <c r="DR74" s="113" t="s">
        <v>555</v>
      </c>
      <c r="DS74" s="112"/>
      <c r="DT74" s="112"/>
      <c r="DU74" s="111"/>
      <c r="DV74" s="114"/>
      <c r="DW74" s="80">
        <f t="shared" ref="DW74:DW76" si="168">IFERROR(AL74+BF74,"")</f>
        <v>0</v>
      </c>
      <c r="DX74" s="81">
        <f t="shared" si="130"/>
        <v>0</v>
      </c>
      <c r="DY74" s="80">
        <f t="shared" si="157"/>
        <v>0</v>
      </c>
      <c r="DZ74" s="82">
        <f t="shared" si="158"/>
        <v>0</v>
      </c>
      <c r="EA74" s="82">
        <f t="shared" si="159"/>
        <v>0</v>
      </c>
      <c r="EB74" s="82">
        <f t="shared" si="160"/>
        <v>0</v>
      </c>
      <c r="EC74" s="82">
        <f t="shared" ref="EC74:EC75" si="169">(BX74-CA74)+((AV74+BP74)/1000)</f>
        <v>0</v>
      </c>
      <c r="EF74" s="83">
        <f t="shared" si="106"/>
        <v>0</v>
      </c>
    </row>
    <row r="75" spans="1:136" ht="14.1" customHeight="1">
      <c r="A75" s="84">
        <v>68</v>
      </c>
      <c r="B75" s="85" t="s">
        <v>329</v>
      </c>
      <c r="C75" s="86"/>
      <c r="D75" s="116" t="s">
        <v>330</v>
      </c>
      <c r="E75" s="88">
        <v>74</v>
      </c>
      <c r="F75" s="89" t="s">
        <v>147</v>
      </c>
      <c r="G75" s="45" t="str">
        <f t="shared" si="131"/>
        <v>IBC3604-5x3-H9B14</v>
      </c>
      <c r="H75" s="46" t="str">
        <f t="shared" si="132"/>
        <v>C3604IB50DH9</v>
      </c>
      <c r="I75" s="46" t="str">
        <f t="shared" si="133"/>
        <v>C3604IB50DH93B14</v>
      </c>
      <c r="J75" s="90" t="s">
        <v>148</v>
      </c>
      <c r="K75" s="90" t="s">
        <v>156</v>
      </c>
      <c r="L75" s="90">
        <v>5</v>
      </c>
      <c r="M75" s="90">
        <v>0</v>
      </c>
      <c r="N75" s="90" t="s">
        <v>128</v>
      </c>
      <c r="O75" s="90" t="s">
        <v>131</v>
      </c>
      <c r="P75" s="90">
        <v>3</v>
      </c>
      <c r="Q75" s="91">
        <v>0.5</v>
      </c>
      <c r="R75" s="160" t="s">
        <v>171</v>
      </c>
      <c r="S75" s="89">
        <f t="shared" si="134"/>
        <v>82</v>
      </c>
      <c r="T75" s="51">
        <f>'07.02'!BG75</f>
        <v>220</v>
      </c>
      <c r="U75" s="92"/>
      <c r="V75" s="100">
        <v>2.65</v>
      </c>
      <c r="W75" s="93">
        <f t="shared" si="113"/>
        <v>0</v>
      </c>
      <c r="X75" s="93">
        <f t="shared" si="114"/>
        <v>0</v>
      </c>
      <c r="Y75" s="93">
        <f t="shared" si="115"/>
        <v>0</v>
      </c>
      <c r="Z75" s="93">
        <f t="shared" si="116"/>
        <v>0</v>
      </c>
      <c r="AA75" s="93">
        <f t="shared" si="117"/>
        <v>0</v>
      </c>
      <c r="AB75" s="93">
        <f t="shared" si="118"/>
        <v>0</v>
      </c>
      <c r="AC75" s="93">
        <f t="shared" si="119"/>
        <v>0</v>
      </c>
      <c r="AD75" s="93">
        <f t="shared" si="120"/>
        <v>0</v>
      </c>
      <c r="AE75" s="93">
        <f t="shared" si="135"/>
        <v>0</v>
      </c>
      <c r="AF75" s="54">
        <f>AE75+'07.02'!AF75</f>
        <v>0</v>
      </c>
      <c r="AG75" s="94">
        <f t="shared" si="161"/>
        <v>220</v>
      </c>
      <c r="AH75" s="56">
        <f t="shared" si="136"/>
        <v>0</v>
      </c>
      <c r="AI75" s="93"/>
      <c r="AJ75" s="93">
        <f t="shared" si="162"/>
        <v>0</v>
      </c>
      <c r="AK75" s="95">
        <f t="shared" si="137"/>
        <v>1</v>
      </c>
      <c r="AL75" s="58">
        <f t="shared" si="36"/>
        <v>0</v>
      </c>
      <c r="AM75" s="55">
        <f t="shared" si="163"/>
        <v>220</v>
      </c>
      <c r="AN75" s="93"/>
      <c r="AO75" s="96"/>
      <c r="AP75" s="96"/>
      <c r="AQ75" s="96"/>
      <c r="AR75" s="96"/>
      <c r="AS75" s="96"/>
      <c r="AT75" s="96">
        <f>$CJ75</f>
        <v>0</v>
      </c>
      <c r="AU75" s="96">
        <f t="shared" si="138"/>
        <v>0</v>
      </c>
      <c r="AV75" s="96">
        <f t="shared" si="138"/>
        <v>0</v>
      </c>
      <c r="AW75" s="96">
        <f t="shared" si="139"/>
        <v>0</v>
      </c>
      <c r="AX75" s="96">
        <f t="shared" si="140"/>
        <v>0</v>
      </c>
      <c r="AY75" s="94">
        <f t="shared" si="164"/>
        <v>0</v>
      </c>
      <c r="AZ75" s="94">
        <f t="shared" si="141"/>
        <v>0</v>
      </c>
      <c r="BA75" s="94">
        <f t="shared" ref="BA75:BA106" si="170">AM75</f>
        <v>220</v>
      </c>
      <c r="BB75" s="97">
        <f t="shared" ref="BB75:BB106" si="171">VALUE("0"&amp;RIGHT(BA75,(LEN(BA75)-LEN(TRUNC(BA75)))))</f>
        <v>0</v>
      </c>
      <c r="BC75" s="93"/>
      <c r="BD75" s="93">
        <f t="shared" si="142"/>
        <v>0</v>
      </c>
      <c r="BE75" s="95">
        <f t="shared" si="143"/>
        <v>1</v>
      </c>
      <c r="BF75" s="58">
        <f t="shared" si="45"/>
        <v>0</v>
      </c>
      <c r="BG75" s="94">
        <f t="shared" si="144"/>
        <v>220</v>
      </c>
      <c r="BH75" s="89"/>
      <c r="BI75" s="89"/>
      <c r="BJ75" s="92"/>
      <c r="BK75" s="92"/>
      <c r="BL75" s="89"/>
      <c r="BM75" s="92"/>
      <c r="BN75" s="92">
        <f>$CN75</f>
        <v>0</v>
      </c>
      <c r="BO75" s="92">
        <f t="shared" si="165"/>
        <v>0</v>
      </c>
      <c r="BP75" s="92">
        <f t="shared" si="165"/>
        <v>0</v>
      </c>
      <c r="BQ75" s="96">
        <f t="shared" si="145"/>
        <v>0</v>
      </c>
      <c r="BR75" s="96">
        <f t="shared" si="146"/>
        <v>0</v>
      </c>
      <c r="BS75" s="96">
        <f t="shared" si="166"/>
        <v>0</v>
      </c>
      <c r="BT75" s="96">
        <f t="shared" si="147"/>
        <v>0</v>
      </c>
      <c r="BU75" s="92">
        <f t="shared" si="121"/>
        <v>0</v>
      </c>
      <c r="BV75" s="98">
        <f t="shared" si="167"/>
        <v>0</v>
      </c>
      <c r="BW75" s="92">
        <f t="shared" si="122"/>
        <v>0</v>
      </c>
      <c r="BX75" s="98">
        <f t="shared" si="148"/>
        <v>0</v>
      </c>
      <c r="BY75" s="61">
        <f t="shared" ref="BY75:BY106" si="172">IFERROR(BF75+AL75,0)</f>
        <v>0</v>
      </c>
      <c r="BZ75" s="62">
        <f t="shared" si="149"/>
        <v>0</v>
      </c>
      <c r="CA75" s="98">
        <f t="shared" si="150"/>
        <v>0</v>
      </c>
      <c r="CB75" s="92">
        <f t="shared" si="123"/>
        <v>0</v>
      </c>
      <c r="CC75" s="92">
        <f t="shared" si="123"/>
        <v>0</v>
      </c>
      <c r="CD75" s="92">
        <f t="shared" si="123"/>
        <v>0</v>
      </c>
      <c r="CE75" s="99"/>
      <c r="CF75" s="99"/>
      <c r="CG75" s="51">
        <f t="shared" si="151"/>
        <v>0</v>
      </c>
      <c r="CH75" s="62">
        <f t="shared" si="152"/>
        <v>0</v>
      </c>
      <c r="CI75" s="89"/>
      <c r="CJ75" s="89"/>
      <c r="CK75" s="89"/>
      <c r="CL75" s="96"/>
      <c r="CM75" s="89"/>
      <c r="CN75" s="89"/>
      <c r="CO75" s="92"/>
      <c r="CP75" s="101"/>
      <c r="CQ75" s="102">
        <f t="shared" si="100"/>
        <v>0</v>
      </c>
      <c r="CR75" s="102">
        <f t="shared" si="100"/>
        <v>0</v>
      </c>
      <c r="CS75" s="102">
        <f t="shared" si="100"/>
        <v>0</v>
      </c>
      <c r="CT75" s="92">
        <f t="shared" si="153"/>
        <v>0</v>
      </c>
      <c r="CU75" s="92">
        <f t="shared" si="101"/>
        <v>0</v>
      </c>
      <c r="CV75" s="103">
        <f t="shared" si="101"/>
        <v>0</v>
      </c>
      <c r="CW75" s="104" t="s">
        <v>147</v>
      </c>
      <c r="CX75" s="105">
        <v>11</v>
      </c>
      <c r="CY75" s="106">
        <f t="shared" si="154"/>
        <v>3043</v>
      </c>
      <c r="CZ75" s="106">
        <f t="shared" si="155"/>
        <v>44.550000000000004</v>
      </c>
      <c r="DA75" s="106"/>
      <c r="DB75" s="106"/>
      <c r="DC75" s="105"/>
      <c r="DD75" s="107"/>
      <c r="DE75" s="92">
        <f t="shared" si="124"/>
        <v>0</v>
      </c>
      <c r="DF75" s="108">
        <f t="shared" si="125"/>
        <v>0</v>
      </c>
      <c r="DG75" s="115">
        <f t="shared" si="126"/>
        <v>0</v>
      </c>
      <c r="DH75" s="110">
        <f t="shared" si="127"/>
        <v>0</v>
      </c>
      <c r="DI75" s="108">
        <f t="shared" si="128"/>
        <v>0</v>
      </c>
      <c r="DJ75" s="112">
        <f t="shared" si="129"/>
        <v>0</v>
      </c>
      <c r="DK75" s="110">
        <f t="shared" si="86"/>
        <v>0</v>
      </c>
      <c r="DL75" s="108">
        <f t="shared" si="86"/>
        <v>0</v>
      </c>
      <c r="DM75" s="111">
        <f t="shared" si="86"/>
        <v>0</v>
      </c>
      <c r="DN75" s="76">
        <v>220</v>
      </c>
      <c r="DO75" s="76"/>
      <c r="DP75" s="112"/>
      <c r="DQ75" s="112"/>
      <c r="DR75" s="113" t="s">
        <v>556</v>
      </c>
      <c r="DS75" s="112"/>
      <c r="DT75" s="112"/>
      <c r="DU75" s="111"/>
      <c r="DV75" s="114"/>
      <c r="DW75" s="80">
        <f t="shared" si="168"/>
        <v>0</v>
      </c>
      <c r="DX75" s="81">
        <f t="shared" si="130"/>
        <v>0</v>
      </c>
      <c r="DY75" s="80">
        <f t="shared" si="157"/>
        <v>0</v>
      </c>
      <c r="DZ75" s="82">
        <f t="shared" si="158"/>
        <v>0</v>
      </c>
      <c r="EA75" s="82">
        <f t="shared" si="159"/>
        <v>0</v>
      </c>
      <c r="EB75" s="82">
        <f t="shared" si="160"/>
        <v>0</v>
      </c>
      <c r="EC75" s="82">
        <f t="shared" si="169"/>
        <v>0</v>
      </c>
      <c r="EF75" s="83">
        <f t="shared" si="106"/>
        <v>0</v>
      </c>
    </row>
    <row r="76" spans="1:136" ht="14.1" customHeight="1">
      <c r="A76" s="84">
        <v>69</v>
      </c>
      <c r="B76" s="85" t="s">
        <v>332</v>
      </c>
      <c r="C76" s="86"/>
      <c r="D76" s="87" t="s">
        <v>260</v>
      </c>
      <c r="E76" s="144">
        <v>240</v>
      </c>
      <c r="F76" s="89" t="s">
        <v>136</v>
      </c>
      <c r="G76" s="45" t="str">
        <f t="shared" si="131"/>
        <v>GAA5052-5.7x3-H9A14</v>
      </c>
      <c r="H76" s="46" t="str">
        <f t="shared" si="132"/>
        <v>A5052GA5.70DH9</v>
      </c>
      <c r="I76" s="46" t="str">
        <f t="shared" si="133"/>
        <v>A5052GA5.70DH93A14</v>
      </c>
      <c r="J76" s="90" t="s">
        <v>221</v>
      </c>
      <c r="K76" s="90" t="s">
        <v>222</v>
      </c>
      <c r="L76" s="90">
        <v>5.7</v>
      </c>
      <c r="M76" s="90">
        <v>0</v>
      </c>
      <c r="N76" s="90" t="s">
        <v>128</v>
      </c>
      <c r="O76" s="90" t="s">
        <v>131</v>
      </c>
      <c r="P76" s="90">
        <v>3</v>
      </c>
      <c r="Q76" s="91">
        <v>0.20399999999999999</v>
      </c>
      <c r="R76" s="90" t="s">
        <v>139</v>
      </c>
      <c r="S76" s="89">
        <f t="shared" si="134"/>
        <v>22</v>
      </c>
      <c r="T76" s="51">
        <f>'07.02'!BG76</f>
        <v>35</v>
      </c>
      <c r="U76" s="92"/>
      <c r="V76" s="100">
        <v>0.15</v>
      </c>
      <c r="W76" s="93">
        <f t="shared" si="113"/>
        <v>0</v>
      </c>
      <c r="X76" s="93">
        <f t="shared" si="114"/>
        <v>0</v>
      </c>
      <c r="Y76" s="93">
        <f t="shared" si="115"/>
        <v>0</v>
      </c>
      <c r="Z76" s="93">
        <f t="shared" si="116"/>
        <v>0</v>
      </c>
      <c r="AA76" s="93">
        <f t="shared" si="117"/>
        <v>0</v>
      </c>
      <c r="AB76" s="93">
        <f t="shared" si="118"/>
        <v>0</v>
      </c>
      <c r="AC76" s="93">
        <f t="shared" si="119"/>
        <v>0</v>
      </c>
      <c r="AD76" s="93">
        <f t="shared" si="120"/>
        <v>0</v>
      </c>
      <c r="AE76" s="93">
        <f t="shared" si="135"/>
        <v>0</v>
      </c>
      <c r="AF76" s="54">
        <f>AE76+'07.02'!AF76</f>
        <v>17678</v>
      </c>
      <c r="AG76" s="94">
        <f t="shared" si="161"/>
        <v>35</v>
      </c>
      <c r="AH76" s="56">
        <f t="shared" si="136"/>
        <v>0</v>
      </c>
      <c r="AI76" s="93"/>
      <c r="AJ76" s="93">
        <f t="shared" si="162"/>
        <v>0</v>
      </c>
      <c r="AK76" s="95">
        <f t="shared" si="137"/>
        <v>1</v>
      </c>
      <c r="AL76" s="58">
        <f t="shared" ref="AL76:AL108" si="173">IF(V76="","",MAX(ROUNDUP((IF(AI76+AJ76=0,0,AH76)+AI76+AK76-1),2),0))</f>
        <v>0</v>
      </c>
      <c r="AM76" s="55">
        <f t="shared" si="163"/>
        <v>35</v>
      </c>
      <c r="AN76" s="93"/>
      <c r="AO76" s="96"/>
      <c r="AP76" s="96"/>
      <c r="AQ76" s="96"/>
      <c r="AR76" s="96"/>
      <c r="AS76" s="96"/>
      <c r="AT76" s="96">
        <f>$CJ76</f>
        <v>0</v>
      </c>
      <c r="AU76" s="96">
        <f t="shared" si="138"/>
        <v>0</v>
      </c>
      <c r="AV76" s="96">
        <f t="shared" si="138"/>
        <v>0</v>
      </c>
      <c r="AW76" s="96">
        <f t="shared" si="139"/>
        <v>0</v>
      </c>
      <c r="AX76" s="96">
        <f t="shared" si="140"/>
        <v>0</v>
      </c>
      <c r="AY76" s="94">
        <f t="shared" si="164"/>
        <v>0</v>
      </c>
      <c r="AZ76" s="94">
        <f t="shared" si="141"/>
        <v>0</v>
      </c>
      <c r="BA76" s="94">
        <f t="shared" si="170"/>
        <v>35</v>
      </c>
      <c r="BB76" s="97">
        <f t="shared" si="171"/>
        <v>0</v>
      </c>
      <c r="BC76" s="93"/>
      <c r="BD76" s="93">
        <f t="shared" si="142"/>
        <v>0</v>
      </c>
      <c r="BE76" s="95">
        <f t="shared" si="143"/>
        <v>1</v>
      </c>
      <c r="BF76" s="58">
        <f t="shared" si="45"/>
        <v>0</v>
      </c>
      <c r="BG76" s="94">
        <f t="shared" si="144"/>
        <v>35</v>
      </c>
      <c r="BH76" s="89"/>
      <c r="BI76" s="89"/>
      <c r="BJ76" s="92"/>
      <c r="BK76" s="89"/>
      <c r="BL76" s="89"/>
      <c r="BM76" s="89"/>
      <c r="BN76" s="92">
        <f>$CN76</f>
        <v>0</v>
      </c>
      <c r="BO76" s="92">
        <f t="shared" si="165"/>
        <v>0</v>
      </c>
      <c r="BP76" s="92">
        <f t="shared" si="165"/>
        <v>0</v>
      </c>
      <c r="BQ76" s="96">
        <f t="shared" si="145"/>
        <v>0</v>
      </c>
      <c r="BR76" s="96">
        <f t="shared" si="146"/>
        <v>0</v>
      </c>
      <c r="BS76" s="96">
        <f t="shared" si="166"/>
        <v>0</v>
      </c>
      <c r="BT76" s="96">
        <f t="shared" si="147"/>
        <v>0</v>
      </c>
      <c r="BU76" s="92">
        <f t="shared" si="121"/>
        <v>0</v>
      </c>
      <c r="BV76" s="98">
        <f t="shared" si="167"/>
        <v>0</v>
      </c>
      <c r="BW76" s="92">
        <f t="shared" si="122"/>
        <v>0</v>
      </c>
      <c r="BX76" s="98">
        <f t="shared" si="148"/>
        <v>0</v>
      </c>
      <c r="BY76" s="61">
        <f>IFERROR(BF76+AL76,0)</f>
        <v>0</v>
      </c>
      <c r="BZ76" s="62">
        <f t="shared" si="149"/>
        <v>0</v>
      </c>
      <c r="CA76" s="98">
        <f t="shared" si="150"/>
        <v>0</v>
      </c>
      <c r="CB76" s="92">
        <f t="shared" si="123"/>
        <v>0</v>
      </c>
      <c r="CC76" s="92">
        <f t="shared" si="123"/>
        <v>0</v>
      </c>
      <c r="CD76" s="92">
        <f t="shared" si="123"/>
        <v>0</v>
      </c>
      <c r="CE76" s="99"/>
      <c r="CF76" s="99"/>
      <c r="CG76" s="51">
        <f t="shared" si="151"/>
        <v>0</v>
      </c>
      <c r="CH76" s="62">
        <f t="shared" si="152"/>
        <v>0</v>
      </c>
      <c r="CI76" s="89"/>
      <c r="CJ76" s="89"/>
      <c r="CK76" s="89"/>
      <c r="CL76" s="96"/>
      <c r="CM76" s="89"/>
      <c r="CN76" s="89"/>
      <c r="CO76" s="92"/>
      <c r="CP76" s="101"/>
      <c r="CQ76" s="102">
        <f t="shared" si="100"/>
        <v>0</v>
      </c>
      <c r="CR76" s="102">
        <f t="shared" si="100"/>
        <v>0</v>
      </c>
      <c r="CS76" s="102">
        <f t="shared" si="100"/>
        <v>0</v>
      </c>
      <c r="CT76" s="92">
        <f t="shared" si="153"/>
        <v>0</v>
      </c>
      <c r="CU76" s="92">
        <f t="shared" si="101"/>
        <v>0</v>
      </c>
      <c r="CV76" s="103">
        <f t="shared" si="101"/>
        <v>0</v>
      </c>
      <c r="CW76" s="104" t="s">
        <v>147</v>
      </c>
      <c r="CX76" s="105">
        <v>16</v>
      </c>
      <c r="CY76" s="106">
        <f t="shared" si="154"/>
        <v>2565</v>
      </c>
      <c r="CZ76" s="106">
        <f t="shared" si="155"/>
        <v>64.800000000000011</v>
      </c>
      <c r="DA76" s="106"/>
      <c r="DB76" s="106"/>
      <c r="DC76" s="105"/>
      <c r="DD76" s="107"/>
      <c r="DE76" s="92">
        <f t="shared" si="124"/>
        <v>0</v>
      </c>
      <c r="DF76" s="108">
        <f t="shared" si="125"/>
        <v>0</v>
      </c>
      <c r="DG76" s="115">
        <f t="shared" si="126"/>
        <v>0</v>
      </c>
      <c r="DH76" s="110">
        <f t="shared" si="127"/>
        <v>0</v>
      </c>
      <c r="DI76" s="108">
        <f t="shared" si="128"/>
        <v>0</v>
      </c>
      <c r="DJ76" s="112">
        <f t="shared" si="129"/>
        <v>0</v>
      </c>
      <c r="DK76" s="110">
        <f t="shared" si="86"/>
        <v>0</v>
      </c>
      <c r="DL76" s="108">
        <f t="shared" si="86"/>
        <v>0</v>
      </c>
      <c r="DM76" s="111">
        <f t="shared" si="86"/>
        <v>0</v>
      </c>
      <c r="DN76" s="76">
        <v>21</v>
      </c>
      <c r="DO76" s="76"/>
      <c r="DP76" s="112"/>
      <c r="DQ76" s="112"/>
      <c r="DR76" s="113" t="s">
        <v>557</v>
      </c>
      <c r="DS76" s="112"/>
      <c r="DT76" s="112"/>
      <c r="DU76" s="111"/>
      <c r="DV76" s="114"/>
      <c r="DW76" s="80">
        <f t="shared" si="168"/>
        <v>0</v>
      </c>
      <c r="DX76" s="81">
        <f t="shared" si="130"/>
        <v>0</v>
      </c>
      <c r="DY76" s="80">
        <f t="shared" si="157"/>
        <v>0</v>
      </c>
      <c r="DZ76" s="82">
        <f t="shared" si="158"/>
        <v>0</v>
      </c>
      <c r="EA76" s="82">
        <f t="shared" si="159"/>
        <v>0</v>
      </c>
      <c r="EB76" s="82">
        <f t="shared" si="160"/>
        <v>0</v>
      </c>
      <c r="EC76" s="82">
        <f t="shared" si="75"/>
        <v>0</v>
      </c>
      <c r="EF76" s="83">
        <f t="shared" si="106"/>
        <v>0</v>
      </c>
    </row>
    <row r="77" spans="1:136" ht="14.1" customHeight="1">
      <c r="A77" s="84">
        <v>70</v>
      </c>
      <c r="B77" s="85" t="s">
        <v>334</v>
      </c>
      <c r="C77" s="86"/>
      <c r="D77" s="87" t="s">
        <v>260</v>
      </c>
      <c r="E77" s="88">
        <v>240</v>
      </c>
      <c r="F77" s="89" t="s">
        <v>128</v>
      </c>
      <c r="G77" s="45" t="str">
        <f t="shared" si="131"/>
        <v>GAA5052-5.7x3-H9A14</v>
      </c>
      <c r="H77" s="46" t="str">
        <f t="shared" si="132"/>
        <v>A5052GA5.70DH9</v>
      </c>
      <c r="I77" s="46" t="str">
        <f t="shared" si="133"/>
        <v>A5052GA5.70DH93A14</v>
      </c>
      <c r="J77" s="90" t="s">
        <v>221</v>
      </c>
      <c r="K77" s="90" t="s">
        <v>222</v>
      </c>
      <c r="L77" s="90">
        <v>5.7</v>
      </c>
      <c r="M77" s="90">
        <v>0</v>
      </c>
      <c r="N77" s="90" t="s">
        <v>128</v>
      </c>
      <c r="O77" s="90" t="s">
        <v>131</v>
      </c>
      <c r="P77" s="90">
        <v>3</v>
      </c>
      <c r="Q77" s="91">
        <v>0.20399999999999999</v>
      </c>
      <c r="R77" s="90" t="s">
        <v>139</v>
      </c>
      <c r="S77" s="89">
        <f t="shared" si="134"/>
        <v>16</v>
      </c>
      <c r="T77" s="51">
        <f>'07.02'!BG77</f>
        <v>26</v>
      </c>
      <c r="U77" s="92"/>
      <c r="V77" s="100">
        <v>0.15</v>
      </c>
      <c r="W77" s="93">
        <f t="shared" si="113"/>
        <v>0</v>
      </c>
      <c r="X77" s="93">
        <f t="shared" si="114"/>
        <v>0</v>
      </c>
      <c r="Y77" s="93">
        <f t="shared" si="115"/>
        <v>0</v>
      </c>
      <c r="Z77" s="93">
        <f t="shared" si="116"/>
        <v>0</v>
      </c>
      <c r="AA77" s="93">
        <f t="shared" si="117"/>
        <v>0</v>
      </c>
      <c r="AB77" s="93">
        <f t="shared" si="118"/>
        <v>0</v>
      </c>
      <c r="AC77" s="93">
        <f t="shared" si="119"/>
        <v>0</v>
      </c>
      <c r="AD77" s="93">
        <f t="shared" si="120"/>
        <v>0</v>
      </c>
      <c r="AE77" s="93">
        <f t="shared" si="135"/>
        <v>0</v>
      </c>
      <c r="AF77" s="54">
        <f>AE77+'07.02'!AF77</f>
        <v>16232</v>
      </c>
      <c r="AG77" s="94">
        <f t="shared" si="161"/>
        <v>26</v>
      </c>
      <c r="AH77" s="56">
        <f t="shared" si="136"/>
        <v>0</v>
      </c>
      <c r="AI77" s="93"/>
      <c r="AJ77" s="93">
        <f t="shared" si="162"/>
        <v>0</v>
      </c>
      <c r="AK77" s="95">
        <f t="shared" si="137"/>
        <v>1</v>
      </c>
      <c r="AL77" s="58">
        <f t="shared" si="173"/>
        <v>0</v>
      </c>
      <c r="AM77" s="55">
        <f t="shared" si="163"/>
        <v>26</v>
      </c>
      <c r="AN77" s="93"/>
      <c r="AO77" s="96"/>
      <c r="AP77" s="96"/>
      <c r="AQ77" s="96"/>
      <c r="AR77" s="96"/>
      <c r="AS77" s="96"/>
      <c r="AT77" s="96">
        <f>$CJ77</f>
        <v>0</v>
      </c>
      <c r="AU77" s="96">
        <f t="shared" si="138"/>
        <v>0</v>
      </c>
      <c r="AV77" s="96">
        <f t="shared" si="138"/>
        <v>0</v>
      </c>
      <c r="AW77" s="96">
        <f t="shared" si="139"/>
        <v>0</v>
      </c>
      <c r="AX77" s="96">
        <f t="shared" si="140"/>
        <v>0</v>
      </c>
      <c r="AY77" s="94">
        <f t="shared" si="164"/>
        <v>0</v>
      </c>
      <c r="AZ77" s="94">
        <f t="shared" si="141"/>
        <v>0</v>
      </c>
      <c r="BA77" s="94">
        <f t="shared" si="170"/>
        <v>26</v>
      </c>
      <c r="BB77" s="97">
        <f t="shared" si="171"/>
        <v>0</v>
      </c>
      <c r="BC77" s="93"/>
      <c r="BD77" s="93">
        <f t="shared" si="142"/>
        <v>0</v>
      </c>
      <c r="BE77" s="95">
        <f t="shared" si="143"/>
        <v>1</v>
      </c>
      <c r="BF77" s="58">
        <f t="shared" ref="BF77:BF106" si="174">IF(V77="","",MAX(ROUNDUP((IF(BC77+BD77=0,0,BB77)+BC77+BE77-1),2),0))</f>
        <v>0</v>
      </c>
      <c r="BG77" s="94">
        <f t="shared" si="144"/>
        <v>26</v>
      </c>
      <c r="BH77" s="89"/>
      <c r="BI77" s="89"/>
      <c r="BJ77" s="89"/>
      <c r="BK77" s="89"/>
      <c r="BL77" s="89"/>
      <c r="BM77" s="89"/>
      <c r="BN77" s="92">
        <f>$CN77</f>
        <v>0</v>
      </c>
      <c r="BO77" s="92">
        <f t="shared" si="165"/>
        <v>0</v>
      </c>
      <c r="BP77" s="92">
        <f t="shared" si="165"/>
        <v>0</v>
      </c>
      <c r="BQ77" s="96">
        <f t="shared" si="145"/>
        <v>0</v>
      </c>
      <c r="BR77" s="96">
        <f t="shared" si="146"/>
        <v>0</v>
      </c>
      <c r="BS77" s="96">
        <f t="shared" si="166"/>
        <v>0</v>
      </c>
      <c r="BT77" s="96">
        <f t="shared" si="147"/>
        <v>0</v>
      </c>
      <c r="BU77" s="92">
        <f t="shared" si="121"/>
        <v>0</v>
      </c>
      <c r="BV77" s="98">
        <f t="shared" si="167"/>
        <v>0</v>
      </c>
      <c r="BW77" s="92">
        <f t="shared" si="122"/>
        <v>0</v>
      </c>
      <c r="BX77" s="98">
        <f t="shared" si="148"/>
        <v>0</v>
      </c>
      <c r="BY77" s="61">
        <f t="shared" si="172"/>
        <v>0</v>
      </c>
      <c r="BZ77" s="62">
        <f t="shared" si="149"/>
        <v>0</v>
      </c>
      <c r="CA77" s="98">
        <f t="shared" si="150"/>
        <v>0</v>
      </c>
      <c r="CB77" s="92">
        <f t="shared" si="123"/>
        <v>0</v>
      </c>
      <c r="CC77" s="92">
        <f t="shared" si="123"/>
        <v>0</v>
      </c>
      <c r="CD77" s="92">
        <f t="shared" si="123"/>
        <v>0</v>
      </c>
      <c r="CE77" s="99"/>
      <c r="CF77" s="99"/>
      <c r="CG77" s="51">
        <f t="shared" si="151"/>
        <v>0</v>
      </c>
      <c r="CH77" s="62">
        <f t="shared" si="152"/>
        <v>0</v>
      </c>
      <c r="CI77" s="89"/>
      <c r="CJ77" s="89"/>
      <c r="CK77" s="89"/>
      <c r="CL77" s="96"/>
      <c r="CM77" s="89"/>
      <c r="CN77" s="89"/>
      <c r="CO77" s="92"/>
      <c r="CP77" s="101"/>
      <c r="CQ77" s="102">
        <f t="shared" si="100"/>
        <v>0</v>
      </c>
      <c r="CR77" s="102">
        <f t="shared" si="100"/>
        <v>0</v>
      </c>
      <c r="CS77" s="102">
        <f t="shared" si="100"/>
        <v>0</v>
      </c>
      <c r="CT77" s="92">
        <f t="shared" si="153"/>
        <v>0</v>
      </c>
      <c r="CU77" s="92">
        <f t="shared" si="101"/>
        <v>0</v>
      </c>
      <c r="CV77" s="103">
        <f t="shared" si="101"/>
        <v>0</v>
      </c>
      <c r="CW77" s="104" t="s">
        <v>147</v>
      </c>
      <c r="CX77" s="105">
        <v>21.26</v>
      </c>
      <c r="CY77" s="106">
        <f t="shared" si="154"/>
        <v>1955</v>
      </c>
      <c r="CZ77" s="106">
        <f t="shared" si="155"/>
        <v>86.103000000000023</v>
      </c>
      <c r="DA77" s="106"/>
      <c r="DB77" s="106"/>
      <c r="DC77" s="105"/>
      <c r="DD77" s="107"/>
      <c r="DE77" s="92">
        <f t="shared" si="124"/>
        <v>0</v>
      </c>
      <c r="DF77" s="108">
        <f t="shared" si="125"/>
        <v>0</v>
      </c>
      <c r="DG77" s="115">
        <f t="shared" si="126"/>
        <v>0</v>
      </c>
      <c r="DH77" s="110">
        <f t="shared" si="127"/>
        <v>0</v>
      </c>
      <c r="DI77" s="108">
        <f t="shared" si="128"/>
        <v>0</v>
      </c>
      <c r="DJ77" s="112">
        <f t="shared" si="129"/>
        <v>0</v>
      </c>
      <c r="DK77" s="110">
        <f t="shared" si="86"/>
        <v>0</v>
      </c>
      <c r="DL77" s="108">
        <f t="shared" si="86"/>
        <v>0</v>
      </c>
      <c r="DM77" s="111">
        <f t="shared" si="86"/>
        <v>0</v>
      </c>
      <c r="DN77" s="76">
        <v>13</v>
      </c>
      <c r="DO77" s="76"/>
      <c r="DP77" s="112"/>
      <c r="DQ77" s="112"/>
      <c r="DR77" s="113" t="s">
        <v>558</v>
      </c>
      <c r="DS77" s="112"/>
      <c r="DT77" s="112"/>
      <c r="DU77" s="111"/>
      <c r="DV77" s="114"/>
      <c r="DW77" s="80">
        <f t="shared" si="156"/>
        <v>0</v>
      </c>
      <c r="DX77" s="81">
        <f t="shared" si="130"/>
        <v>0</v>
      </c>
      <c r="DY77" s="80">
        <f t="shared" si="157"/>
        <v>0</v>
      </c>
      <c r="DZ77" s="82">
        <f t="shared" si="158"/>
        <v>0</v>
      </c>
      <c r="EA77" s="82">
        <f t="shared" si="159"/>
        <v>0</v>
      </c>
      <c r="EB77" s="82">
        <f t="shared" si="160"/>
        <v>0</v>
      </c>
      <c r="EC77" s="82">
        <f t="shared" si="75"/>
        <v>0</v>
      </c>
      <c r="EF77" s="83">
        <f t="shared" si="106"/>
        <v>0</v>
      </c>
    </row>
    <row r="78" spans="1:136" ht="14.1" customHeight="1">
      <c r="A78" s="84">
        <v>71</v>
      </c>
      <c r="B78" s="85" t="s">
        <v>336</v>
      </c>
      <c r="C78" s="86"/>
      <c r="D78" s="87" t="s">
        <v>337</v>
      </c>
      <c r="E78" s="88">
        <v>501</v>
      </c>
      <c r="F78" s="89"/>
      <c r="G78" s="45" t="str">
        <f t="shared" si="131"/>
        <v>TTS22C-2x2-H9A12</v>
      </c>
      <c r="H78" s="46" t="str">
        <f t="shared" si="132"/>
        <v>S22CTT20DH9</v>
      </c>
      <c r="I78" s="46" t="str">
        <f t="shared" si="133"/>
        <v>S22CTT20DH92A12</v>
      </c>
      <c r="J78" s="90" t="s">
        <v>338</v>
      </c>
      <c r="K78" s="90" t="s">
        <v>339</v>
      </c>
      <c r="L78" s="90">
        <v>2</v>
      </c>
      <c r="M78" s="90">
        <v>0</v>
      </c>
      <c r="N78" s="90" t="s">
        <v>128</v>
      </c>
      <c r="O78" s="90" t="s">
        <v>131</v>
      </c>
      <c r="P78" s="90">
        <v>2</v>
      </c>
      <c r="Q78" s="91"/>
      <c r="R78" s="90" t="s">
        <v>257</v>
      </c>
      <c r="S78" s="89">
        <f t="shared" si="134"/>
        <v>16</v>
      </c>
      <c r="T78" s="51">
        <f>'07.02'!BG78</f>
        <v>29</v>
      </c>
      <c r="U78" s="92"/>
      <c r="V78" s="100">
        <v>3.5000000000000003E-2</v>
      </c>
      <c r="W78" s="93">
        <f t="shared" si="113"/>
        <v>0</v>
      </c>
      <c r="X78" s="93">
        <f t="shared" si="114"/>
        <v>0</v>
      </c>
      <c r="Y78" s="93">
        <f t="shared" si="115"/>
        <v>0</v>
      </c>
      <c r="Z78" s="93">
        <f t="shared" si="116"/>
        <v>0</v>
      </c>
      <c r="AA78" s="93">
        <f t="shared" si="117"/>
        <v>0</v>
      </c>
      <c r="AB78" s="93">
        <f t="shared" si="118"/>
        <v>0</v>
      </c>
      <c r="AC78" s="93">
        <f t="shared" si="119"/>
        <v>0</v>
      </c>
      <c r="AD78" s="93">
        <f t="shared" si="120"/>
        <v>0</v>
      </c>
      <c r="AE78" s="93">
        <f t="shared" si="135"/>
        <v>0</v>
      </c>
      <c r="AF78" s="54">
        <f>AE78+'07.02'!AF78</f>
        <v>45710</v>
      </c>
      <c r="AG78" s="94">
        <f t="shared" si="161"/>
        <v>29</v>
      </c>
      <c r="AH78" s="56">
        <f t="shared" si="136"/>
        <v>0</v>
      </c>
      <c r="AI78" s="93"/>
      <c r="AJ78" s="93">
        <f t="shared" si="162"/>
        <v>0</v>
      </c>
      <c r="AK78" s="95">
        <f t="shared" si="137"/>
        <v>1</v>
      </c>
      <c r="AL78" s="58">
        <f t="shared" si="173"/>
        <v>0</v>
      </c>
      <c r="AM78" s="55">
        <f t="shared" si="163"/>
        <v>29</v>
      </c>
      <c r="AN78" s="93"/>
      <c r="AO78" s="96"/>
      <c r="AP78" s="96"/>
      <c r="AQ78" s="96"/>
      <c r="AR78" s="96">
        <f>$CJ78</f>
        <v>0</v>
      </c>
      <c r="AS78" s="96"/>
      <c r="AT78" s="96"/>
      <c r="AU78" s="96">
        <f t="shared" si="138"/>
        <v>0</v>
      </c>
      <c r="AV78" s="96">
        <f t="shared" si="138"/>
        <v>0</v>
      </c>
      <c r="AW78" s="96">
        <f t="shared" si="139"/>
        <v>0</v>
      </c>
      <c r="AX78" s="96">
        <f t="shared" si="140"/>
        <v>0</v>
      </c>
      <c r="AY78" s="94">
        <f t="shared" si="164"/>
        <v>0</v>
      </c>
      <c r="AZ78" s="94">
        <f t="shared" si="141"/>
        <v>0</v>
      </c>
      <c r="BA78" s="94">
        <f t="shared" si="170"/>
        <v>29</v>
      </c>
      <c r="BB78" s="97">
        <f t="shared" si="171"/>
        <v>0</v>
      </c>
      <c r="BC78" s="93"/>
      <c r="BD78" s="93">
        <f t="shared" si="142"/>
        <v>0</v>
      </c>
      <c r="BE78" s="95">
        <f t="shared" si="143"/>
        <v>1</v>
      </c>
      <c r="BF78" s="58">
        <f t="shared" si="174"/>
        <v>0</v>
      </c>
      <c r="BG78" s="94">
        <f t="shared" si="144"/>
        <v>29</v>
      </c>
      <c r="BH78" s="89"/>
      <c r="BI78" s="89"/>
      <c r="BJ78" s="89"/>
      <c r="BK78" s="89"/>
      <c r="BL78" s="92">
        <f>$CN78</f>
        <v>0</v>
      </c>
      <c r="BM78" s="89"/>
      <c r="BN78" s="89"/>
      <c r="BO78" s="92">
        <f t="shared" si="165"/>
        <v>0</v>
      </c>
      <c r="BP78" s="92">
        <f t="shared" si="165"/>
        <v>0</v>
      </c>
      <c r="BQ78" s="96">
        <f t="shared" si="145"/>
        <v>0</v>
      </c>
      <c r="BR78" s="96">
        <f t="shared" si="146"/>
        <v>0</v>
      </c>
      <c r="BS78" s="96">
        <f t="shared" si="166"/>
        <v>0</v>
      </c>
      <c r="BT78" s="96">
        <f t="shared" si="147"/>
        <v>0</v>
      </c>
      <c r="BU78" s="92">
        <f t="shared" si="121"/>
        <v>0</v>
      </c>
      <c r="BV78" s="98">
        <f t="shared" si="167"/>
        <v>0</v>
      </c>
      <c r="BW78" s="92">
        <f t="shared" si="122"/>
        <v>0</v>
      </c>
      <c r="BX78" s="98" t="str">
        <f t="shared" si="148"/>
        <v/>
      </c>
      <c r="BY78" s="61">
        <f t="shared" si="172"/>
        <v>0</v>
      </c>
      <c r="BZ78" s="62">
        <f t="shared" si="149"/>
        <v>0</v>
      </c>
      <c r="CA78" s="98">
        <f t="shared" si="150"/>
        <v>0</v>
      </c>
      <c r="CB78" s="92">
        <f t="shared" si="123"/>
        <v>0</v>
      </c>
      <c r="CC78" s="92">
        <f t="shared" si="123"/>
        <v>0</v>
      </c>
      <c r="CD78" s="92">
        <f t="shared" si="123"/>
        <v>0</v>
      </c>
      <c r="CE78" s="99"/>
      <c r="CF78" s="99"/>
      <c r="CG78" s="51">
        <f t="shared" si="151"/>
        <v>0</v>
      </c>
      <c r="CH78" s="62">
        <f t="shared" si="152"/>
        <v>0</v>
      </c>
      <c r="CI78" s="89"/>
      <c r="CJ78" s="89"/>
      <c r="CK78" s="89"/>
      <c r="CL78" s="96"/>
      <c r="CM78" s="89"/>
      <c r="CN78" s="89"/>
      <c r="CO78" s="92"/>
      <c r="CP78" s="101"/>
      <c r="CQ78" s="102">
        <f t="shared" si="100"/>
        <v>0</v>
      </c>
      <c r="CR78" s="102">
        <f t="shared" si="100"/>
        <v>0</v>
      </c>
      <c r="CS78" s="102">
        <f t="shared" si="100"/>
        <v>0</v>
      </c>
      <c r="CT78" s="92">
        <f t="shared" si="153"/>
        <v>0</v>
      </c>
      <c r="CU78" s="92">
        <f t="shared" si="101"/>
        <v>0</v>
      </c>
      <c r="CV78" s="103">
        <f t="shared" si="101"/>
        <v>0</v>
      </c>
      <c r="CW78" s="104" t="s">
        <v>147</v>
      </c>
      <c r="CX78" s="105">
        <v>9.85</v>
      </c>
      <c r="CY78" s="106">
        <f t="shared" si="154"/>
        <v>4221</v>
      </c>
      <c r="CZ78" s="106">
        <f t="shared" si="155"/>
        <v>39.892499999999998</v>
      </c>
      <c r="DA78" s="106"/>
      <c r="DB78" s="106"/>
      <c r="DC78" s="105"/>
      <c r="DD78" s="107"/>
      <c r="DE78" s="92">
        <f t="shared" si="124"/>
        <v>0</v>
      </c>
      <c r="DF78" s="108">
        <f t="shared" si="125"/>
        <v>0</v>
      </c>
      <c r="DG78" s="115">
        <f t="shared" si="126"/>
        <v>0</v>
      </c>
      <c r="DH78" s="110">
        <f t="shared" si="127"/>
        <v>0</v>
      </c>
      <c r="DI78" s="108">
        <f t="shared" si="128"/>
        <v>0</v>
      </c>
      <c r="DJ78" s="115">
        <f t="shared" si="129"/>
        <v>0</v>
      </c>
      <c r="DK78" s="110">
        <f t="shared" si="86"/>
        <v>0</v>
      </c>
      <c r="DL78" s="108">
        <f t="shared" si="86"/>
        <v>0</v>
      </c>
      <c r="DM78" s="111">
        <f t="shared" si="86"/>
        <v>0</v>
      </c>
      <c r="DN78" s="76">
        <v>29</v>
      </c>
      <c r="DO78" s="76"/>
      <c r="DP78" s="112"/>
      <c r="DQ78" s="112"/>
      <c r="DR78" s="113" t="s">
        <v>559</v>
      </c>
      <c r="DS78" s="112"/>
      <c r="DT78" s="112"/>
      <c r="DU78" s="111"/>
      <c r="DV78" s="114"/>
      <c r="DW78" s="80">
        <f t="shared" si="156"/>
        <v>0</v>
      </c>
      <c r="DX78" s="81">
        <f t="shared" si="130"/>
        <v>0</v>
      </c>
      <c r="DY78" s="80">
        <f t="shared" si="157"/>
        <v>0</v>
      </c>
      <c r="DZ78" s="82">
        <f t="shared" si="158"/>
        <v>0</v>
      </c>
      <c r="EA78" s="82">
        <f t="shared" si="159"/>
        <v>0</v>
      </c>
      <c r="EB78" s="82" t="e">
        <f t="shared" si="160"/>
        <v>#VALUE!</v>
      </c>
      <c r="EC78" s="82" t="e">
        <f t="shared" si="75"/>
        <v>#VALUE!</v>
      </c>
      <c r="EF78" s="83">
        <f t="shared" si="106"/>
        <v>0</v>
      </c>
    </row>
    <row r="79" spans="1:136" ht="15" hidden="1" customHeight="1">
      <c r="A79" s="84">
        <v>72</v>
      </c>
      <c r="B79" s="85" t="s">
        <v>341</v>
      </c>
      <c r="C79" s="86"/>
      <c r="D79" s="87" t="s">
        <v>342</v>
      </c>
      <c r="E79" s="88">
        <v>383</v>
      </c>
      <c r="F79" s="89" t="s">
        <v>147</v>
      </c>
      <c r="G79" s="45" t="str">
        <f t="shared" si="131"/>
        <v>IBC3604-6x3-H9B13</v>
      </c>
      <c r="H79" s="46" t="str">
        <f t="shared" si="132"/>
        <v>C3604IB60DH9</v>
      </c>
      <c r="I79" s="46" t="str">
        <f t="shared" si="133"/>
        <v>C3604IB60DH93B13</v>
      </c>
      <c r="J79" s="90" t="s">
        <v>148</v>
      </c>
      <c r="K79" s="90" t="s">
        <v>156</v>
      </c>
      <c r="L79" s="90">
        <v>6</v>
      </c>
      <c r="M79" s="90">
        <v>0</v>
      </c>
      <c r="N79" s="90" t="s">
        <v>128</v>
      </c>
      <c r="O79" s="90" t="s">
        <v>131</v>
      </c>
      <c r="P79" s="90">
        <v>3</v>
      </c>
      <c r="Q79" s="91">
        <v>0.71699999999999997</v>
      </c>
      <c r="R79" s="90" t="s">
        <v>228</v>
      </c>
      <c r="S79" s="89">
        <f t="shared" si="134"/>
        <v>10</v>
      </c>
      <c r="T79" s="51">
        <f>'07.02'!BG79</f>
        <v>0</v>
      </c>
      <c r="U79" s="92"/>
      <c r="V79" s="100">
        <v>0.67</v>
      </c>
      <c r="W79" s="93">
        <f t="shared" si="113"/>
        <v>0</v>
      </c>
      <c r="X79" s="93">
        <f t="shared" si="114"/>
        <v>0</v>
      </c>
      <c r="Y79" s="93">
        <f t="shared" si="115"/>
        <v>0</v>
      </c>
      <c r="Z79" s="93">
        <f t="shared" si="116"/>
        <v>0</v>
      </c>
      <c r="AA79" s="93">
        <f t="shared" si="117"/>
        <v>0</v>
      </c>
      <c r="AB79" s="93">
        <f t="shared" si="118"/>
        <v>0</v>
      </c>
      <c r="AC79" s="93">
        <f t="shared" si="119"/>
        <v>0</v>
      </c>
      <c r="AD79" s="93">
        <f t="shared" si="120"/>
        <v>0</v>
      </c>
      <c r="AE79" s="93">
        <f t="shared" si="135"/>
        <v>0</v>
      </c>
      <c r="AF79" s="54">
        <f>AE79+'07.02'!AF79</f>
        <v>0</v>
      </c>
      <c r="AG79" s="94">
        <f t="shared" si="161"/>
        <v>0</v>
      </c>
      <c r="AH79" s="56">
        <f t="shared" si="136"/>
        <v>0</v>
      </c>
      <c r="AI79" s="93"/>
      <c r="AJ79" s="93">
        <f t="shared" si="162"/>
        <v>0</v>
      </c>
      <c r="AK79" s="95">
        <f t="shared" si="137"/>
        <v>1</v>
      </c>
      <c r="AL79" s="58">
        <f t="shared" si="173"/>
        <v>0</v>
      </c>
      <c r="AM79" s="55">
        <f t="shared" si="163"/>
        <v>0</v>
      </c>
      <c r="AN79" s="93"/>
      <c r="AO79" s="96"/>
      <c r="AP79" s="96"/>
      <c r="AQ79" s="96"/>
      <c r="AR79" s="96"/>
      <c r="AS79" s="96"/>
      <c r="AT79" s="96">
        <f>$CJ79</f>
        <v>0</v>
      </c>
      <c r="AU79" s="96">
        <f t="shared" si="138"/>
        <v>0</v>
      </c>
      <c r="AV79" s="96">
        <f t="shared" si="138"/>
        <v>0</v>
      </c>
      <c r="AW79" s="96">
        <f t="shared" si="139"/>
        <v>0</v>
      </c>
      <c r="AX79" s="96">
        <f t="shared" si="140"/>
        <v>0</v>
      </c>
      <c r="AY79" s="94">
        <f t="shared" si="164"/>
        <v>0</v>
      </c>
      <c r="AZ79" s="94">
        <f t="shared" si="141"/>
        <v>0</v>
      </c>
      <c r="BA79" s="94">
        <f t="shared" si="170"/>
        <v>0</v>
      </c>
      <c r="BB79" s="97">
        <f t="shared" si="171"/>
        <v>0</v>
      </c>
      <c r="BC79" s="93"/>
      <c r="BD79" s="93">
        <f t="shared" si="142"/>
        <v>0</v>
      </c>
      <c r="BE79" s="95">
        <f t="shared" si="143"/>
        <v>1</v>
      </c>
      <c r="BF79" s="58">
        <f t="shared" si="174"/>
        <v>0</v>
      </c>
      <c r="BG79" s="94">
        <f t="shared" si="144"/>
        <v>0</v>
      </c>
      <c r="BH79" s="89"/>
      <c r="BI79" s="89"/>
      <c r="BJ79" s="89"/>
      <c r="BK79" s="89"/>
      <c r="BL79" s="89"/>
      <c r="BM79" s="89"/>
      <c r="BN79" s="92">
        <f>$CN79</f>
        <v>0</v>
      </c>
      <c r="BO79" s="92">
        <f t="shared" si="165"/>
        <v>0</v>
      </c>
      <c r="BP79" s="92">
        <f t="shared" si="165"/>
        <v>0</v>
      </c>
      <c r="BQ79" s="96">
        <f t="shared" si="145"/>
        <v>0</v>
      </c>
      <c r="BR79" s="96">
        <f t="shared" si="146"/>
        <v>0</v>
      </c>
      <c r="BS79" s="96">
        <f t="shared" si="166"/>
        <v>0</v>
      </c>
      <c r="BT79" s="96">
        <f t="shared" si="147"/>
        <v>0</v>
      </c>
      <c r="BU79" s="92">
        <f t="shared" si="121"/>
        <v>0</v>
      </c>
      <c r="BV79" s="98">
        <f t="shared" si="167"/>
        <v>0</v>
      </c>
      <c r="BW79" s="92">
        <f t="shared" si="122"/>
        <v>0</v>
      </c>
      <c r="BX79" s="98">
        <f t="shared" si="148"/>
        <v>0</v>
      </c>
      <c r="BY79" s="61">
        <f t="shared" si="172"/>
        <v>0</v>
      </c>
      <c r="BZ79" s="62">
        <f t="shared" si="149"/>
        <v>0</v>
      </c>
      <c r="CA79" s="98">
        <f t="shared" si="150"/>
        <v>0</v>
      </c>
      <c r="CB79" s="92">
        <f t="shared" si="123"/>
        <v>0</v>
      </c>
      <c r="CC79" s="92">
        <f t="shared" si="123"/>
        <v>0</v>
      </c>
      <c r="CD79" s="92">
        <f t="shared" si="123"/>
        <v>0</v>
      </c>
      <c r="CE79" s="99"/>
      <c r="CF79" s="99"/>
      <c r="CG79" s="51">
        <f t="shared" si="151"/>
        <v>0</v>
      </c>
      <c r="CH79" s="62">
        <f t="shared" si="152"/>
        <v>0</v>
      </c>
      <c r="CI79" s="89"/>
      <c r="CJ79" s="89"/>
      <c r="CK79" s="89"/>
      <c r="CL79" s="96"/>
      <c r="CM79" s="89"/>
      <c r="CN79" s="89"/>
      <c r="CO79" s="92"/>
      <c r="CP79" s="101"/>
      <c r="CQ79" s="102">
        <f t="shared" si="100"/>
        <v>0</v>
      </c>
      <c r="CR79" s="102">
        <f t="shared" si="100"/>
        <v>0</v>
      </c>
      <c r="CS79" s="102">
        <f t="shared" si="100"/>
        <v>0</v>
      </c>
      <c r="CT79" s="92">
        <f t="shared" si="153"/>
        <v>0</v>
      </c>
      <c r="CU79" s="92">
        <f t="shared" si="101"/>
        <v>0</v>
      </c>
      <c r="CV79" s="103">
        <f t="shared" si="101"/>
        <v>0</v>
      </c>
      <c r="CW79" s="104" t="s">
        <v>147</v>
      </c>
      <c r="CX79" s="105">
        <v>20</v>
      </c>
      <c r="CY79" s="106">
        <f t="shared" si="154"/>
        <v>2106</v>
      </c>
      <c r="CZ79" s="106">
        <f t="shared" si="155"/>
        <v>81</v>
      </c>
      <c r="DA79" s="106"/>
      <c r="DB79" s="106"/>
      <c r="DC79" s="105"/>
      <c r="DD79" s="107"/>
      <c r="DE79" s="92">
        <f t="shared" si="124"/>
        <v>0</v>
      </c>
      <c r="DF79" s="108">
        <f t="shared" si="125"/>
        <v>0</v>
      </c>
      <c r="DG79" s="115">
        <f t="shared" si="126"/>
        <v>0</v>
      </c>
      <c r="DH79" s="110">
        <f t="shared" si="127"/>
        <v>0</v>
      </c>
      <c r="DI79" s="108">
        <f t="shared" si="128"/>
        <v>0</v>
      </c>
      <c r="DJ79" s="112">
        <f t="shared" si="129"/>
        <v>0</v>
      </c>
      <c r="DK79" s="110">
        <f t="shared" si="86"/>
        <v>0</v>
      </c>
      <c r="DL79" s="108">
        <f t="shared" si="86"/>
        <v>0</v>
      </c>
      <c r="DM79" s="111">
        <f t="shared" si="86"/>
        <v>0</v>
      </c>
      <c r="DN79" s="76">
        <f t="shared" ref="DN79:DO103" si="175">T79</f>
        <v>0</v>
      </c>
      <c r="DO79" s="76">
        <f t="shared" si="175"/>
        <v>0</v>
      </c>
      <c r="DP79" s="112"/>
      <c r="DQ79" s="112"/>
      <c r="DR79" s="113"/>
      <c r="DS79" s="112"/>
      <c r="DT79" s="112"/>
      <c r="DU79" s="111"/>
      <c r="DV79" s="114"/>
      <c r="DW79" s="80">
        <f t="shared" si="156"/>
        <v>0</v>
      </c>
      <c r="DX79" s="81">
        <f t="shared" si="130"/>
        <v>0</v>
      </c>
      <c r="DY79" s="80">
        <f t="shared" si="157"/>
        <v>0</v>
      </c>
      <c r="DZ79" s="82">
        <f t="shared" si="158"/>
        <v>0</v>
      </c>
      <c r="EA79" s="82">
        <f t="shared" si="159"/>
        <v>0</v>
      </c>
      <c r="EB79" s="82">
        <f t="shared" si="160"/>
        <v>0</v>
      </c>
      <c r="EC79" s="82">
        <f t="shared" ref="EC79:EC82" si="176">(BX79-CA79)+((AV79+BP79)/1000)</f>
        <v>0</v>
      </c>
      <c r="EF79" s="83">
        <f t="shared" si="106"/>
        <v>0</v>
      </c>
    </row>
    <row r="80" spans="1:136" ht="14.1" customHeight="1">
      <c r="A80" s="84">
        <v>73</v>
      </c>
      <c r="B80" s="85" t="s">
        <v>343</v>
      </c>
      <c r="C80" s="86"/>
      <c r="D80" s="116" t="s">
        <v>317</v>
      </c>
      <c r="E80" s="88">
        <v>165</v>
      </c>
      <c r="F80" s="89" t="s">
        <v>147</v>
      </c>
      <c r="G80" s="45" t="str">
        <f t="shared" si="131"/>
        <v>YHC2700-5.5x3-H9A14</v>
      </c>
      <c r="H80" s="46" t="str">
        <f t="shared" si="132"/>
        <v>C2700YH5.50DH9</v>
      </c>
      <c r="I80" s="46" t="str">
        <f t="shared" si="133"/>
        <v>C2700YH5.50DH93A14</v>
      </c>
      <c r="J80" s="90" t="s">
        <v>318</v>
      </c>
      <c r="K80" s="90" t="s">
        <v>181</v>
      </c>
      <c r="L80" s="90">
        <v>5.5</v>
      </c>
      <c r="M80" s="90">
        <v>0</v>
      </c>
      <c r="N80" s="90" t="s">
        <v>128</v>
      </c>
      <c r="O80" s="90" t="s">
        <v>131</v>
      </c>
      <c r="P80" s="90">
        <v>3</v>
      </c>
      <c r="Q80" s="91">
        <v>0.59899999999999998</v>
      </c>
      <c r="R80" s="90" t="s">
        <v>139</v>
      </c>
      <c r="S80" s="89">
        <f t="shared" si="134"/>
        <v>46</v>
      </c>
      <c r="T80" s="51">
        <f>'07.02'!BG80</f>
        <v>34</v>
      </c>
      <c r="U80" s="92"/>
      <c r="V80" s="100">
        <v>1.1000000000000001</v>
      </c>
      <c r="W80" s="93">
        <f t="shared" si="113"/>
        <v>0</v>
      </c>
      <c r="X80" s="93">
        <f t="shared" si="114"/>
        <v>0</v>
      </c>
      <c r="Y80" s="93">
        <f t="shared" si="115"/>
        <v>0</v>
      </c>
      <c r="Z80" s="93">
        <f t="shared" si="116"/>
        <v>0</v>
      </c>
      <c r="AA80" s="93">
        <f t="shared" si="117"/>
        <v>0</v>
      </c>
      <c r="AB80" s="93">
        <f t="shared" si="118"/>
        <v>0</v>
      </c>
      <c r="AC80" s="93">
        <f t="shared" si="119"/>
        <v>0</v>
      </c>
      <c r="AD80" s="93">
        <f t="shared" si="120"/>
        <v>0</v>
      </c>
      <c r="AE80" s="93">
        <f t="shared" si="135"/>
        <v>0</v>
      </c>
      <c r="AF80" s="54">
        <f>AE80+'07.02'!AF80</f>
        <v>17558</v>
      </c>
      <c r="AG80" s="94">
        <f t="shared" si="161"/>
        <v>34</v>
      </c>
      <c r="AH80" s="56">
        <f t="shared" si="136"/>
        <v>0</v>
      </c>
      <c r="AI80" s="93"/>
      <c r="AJ80" s="93">
        <f t="shared" si="162"/>
        <v>0</v>
      </c>
      <c r="AK80" s="95">
        <f t="shared" si="137"/>
        <v>1</v>
      </c>
      <c r="AL80" s="58">
        <f t="shared" si="173"/>
        <v>0</v>
      </c>
      <c r="AM80" s="55">
        <f t="shared" si="163"/>
        <v>34</v>
      </c>
      <c r="AN80" s="93"/>
      <c r="AO80" s="96"/>
      <c r="AP80" s="96">
        <f>$CJ80</f>
        <v>0</v>
      </c>
      <c r="AQ80" s="96"/>
      <c r="AR80" s="96"/>
      <c r="AS80" s="96"/>
      <c r="AT80" s="96"/>
      <c r="AU80" s="96">
        <f t="shared" si="138"/>
        <v>0</v>
      </c>
      <c r="AV80" s="96">
        <f t="shared" si="138"/>
        <v>0</v>
      </c>
      <c r="AW80" s="96">
        <f t="shared" si="139"/>
        <v>0</v>
      </c>
      <c r="AX80" s="96">
        <f t="shared" si="140"/>
        <v>0</v>
      </c>
      <c r="AY80" s="94">
        <f t="shared" si="164"/>
        <v>0</v>
      </c>
      <c r="AZ80" s="94">
        <f t="shared" si="141"/>
        <v>0</v>
      </c>
      <c r="BA80" s="94">
        <f t="shared" si="170"/>
        <v>34</v>
      </c>
      <c r="BB80" s="97">
        <f t="shared" si="171"/>
        <v>0</v>
      </c>
      <c r="BC80" s="93"/>
      <c r="BD80" s="93">
        <f t="shared" si="142"/>
        <v>0</v>
      </c>
      <c r="BE80" s="95">
        <f t="shared" si="143"/>
        <v>1</v>
      </c>
      <c r="BF80" s="58">
        <f t="shared" si="174"/>
        <v>0</v>
      </c>
      <c r="BG80" s="94">
        <f t="shared" si="144"/>
        <v>34</v>
      </c>
      <c r="BH80" s="89"/>
      <c r="BI80" s="89"/>
      <c r="BJ80" s="92">
        <f>$CN80</f>
        <v>0</v>
      </c>
      <c r="BK80" s="89"/>
      <c r="BL80" s="89"/>
      <c r="BM80" s="89"/>
      <c r="BN80" s="92"/>
      <c r="BO80" s="92">
        <f t="shared" si="165"/>
        <v>0</v>
      </c>
      <c r="BP80" s="92">
        <f t="shared" si="165"/>
        <v>0</v>
      </c>
      <c r="BQ80" s="96">
        <f t="shared" si="145"/>
        <v>0</v>
      </c>
      <c r="BR80" s="96">
        <f t="shared" si="146"/>
        <v>0</v>
      </c>
      <c r="BS80" s="96">
        <f t="shared" si="166"/>
        <v>0</v>
      </c>
      <c r="BT80" s="96">
        <f t="shared" si="147"/>
        <v>0</v>
      </c>
      <c r="BU80" s="92">
        <f t="shared" si="121"/>
        <v>0</v>
      </c>
      <c r="BV80" s="98">
        <f t="shared" si="167"/>
        <v>0</v>
      </c>
      <c r="BW80" s="92">
        <f t="shared" si="122"/>
        <v>0</v>
      </c>
      <c r="BX80" s="98">
        <f t="shared" si="148"/>
        <v>0</v>
      </c>
      <c r="BY80" s="61">
        <f t="shared" si="172"/>
        <v>0</v>
      </c>
      <c r="BZ80" s="62">
        <f t="shared" si="149"/>
        <v>0</v>
      </c>
      <c r="CA80" s="98">
        <f t="shared" si="150"/>
        <v>0</v>
      </c>
      <c r="CB80" s="92">
        <f>IFERROR(BR80+AX80,"")</f>
        <v>0</v>
      </c>
      <c r="CC80" s="92">
        <f t="shared" si="123"/>
        <v>0</v>
      </c>
      <c r="CD80" s="92">
        <f t="shared" si="123"/>
        <v>0</v>
      </c>
      <c r="CE80" s="99"/>
      <c r="CF80" s="99"/>
      <c r="CG80" s="51">
        <f t="shared" si="151"/>
        <v>0</v>
      </c>
      <c r="CH80" s="62">
        <f t="shared" si="152"/>
        <v>0</v>
      </c>
      <c r="CI80" s="89"/>
      <c r="CJ80" s="89"/>
      <c r="CK80" s="89"/>
      <c r="CL80" s="96"/>
      <c r="CM80" s="89"/>
      <c r="CN80" s="89"/>
      <c r="CO80" s="92"/>
      <c r="CP80" s="101"/>
      <c r="CQ80" s="102">
        <f t="shared" si="100"/>
        <v>0</v>
      </c>
      <c r="CR80" s="102">
        <f t="shared" si="100"/>
        <v>0</v>
      </c>
      <c r="CS80" s="102">
        <f t="shared" si="100"/>
        <v>0</v>
      </c>
      <c r="CT80" s="92">
        <f t="shared" si="153"/>
        <v>0</v>
      </c>
      <c r="CU80" s="92">
        <f t="shared" si="101"/>
        <v>0</v>
      </c>
      <c r="CV80" s="103">
        <f t="shared" si="101"/>
        <v>0</v>
      </c>
      <c r="CW80" s="104" t="s">
        <v>147</v>
      </c>
      <c r="CX80" s="105">
        <v>10</v>
      </c>
      <c r="CY80" s="106">
        <f t="shared" si="154"/>
        <v>3834</v>
      </c>
      <c r="CZ80" s="106">
        <f t="shared" si="155"/>
        <v>40.5</v>
      </c>
      <c r="DA80" s="106"/>
      <c r="DB80" s="106"/>
      <c r="DC80" s="105"/>
      <c r="DD80" s="107"/>
      <c r="DE80" s="92">
        <f t="shared" si="124"/>
        <v>0</v>
      </c>
      <c r="DF80" s="108">
        <f t="shared" si="125"/>
        <v>0</v>
      </c>
      <c r="DG80" s="115">
        <f t="shared" si="126"/>
        <v>0</v>
      </c>
      <c r="DH80" s="110">
        <f t="shared" si="127"/>
        <v>0</v>
      </c>
      <c r="DI80" s="108">
        <f t="shared" si="128"/>
        <v>0</v>
      </c>
      <c r="DJ80" s="112">
        <f t="shared" si="129"/>
        <v>0</v>
      </c>
      <c r="DK80" s="110">
        <f t="shared" si="86"/>
        <v>0</v>
      </c>
      <c r="DL80" s="108">
        <f t="shared" si="86"/>
        <v>0</v>
      </c>
      <c r="DM80" s="111">
        <f t="shared" si="86"/>
        <v>0</v>
      </c>
      <c r="DN80" s="76">
        <v>17</v>
      </c>
      <c r="DO80" s="76"/>
      <c r="DP80" s="112"/>
      <c r="DQ80" s="112"/>
      <c r="DR80" s="113" t="s">
        <v>560</v>
      </c>
      <c r="DS80" s="112"/>
      <c r="DT80" s="112"/>
      <c r="DU80" s="111"/>
      <c r="DV80" s="114"/>
      <c r="DW80" s="80">
        <f t="shared" si="156"/>
        <v>0</v>
      </c>
      <c r="DX80" s="81">
        <f t="shared" si="130"/>
        <v>0</v>
      </c>
      <c r="DY80" s="80">
        <f t="shared" si="157"/>
        <v>0</v>
      </c>
      <c r="DZ80" s="82">
        <f t="shared" si="158"/>
        <v>0</v>
      </c>
      <c r="EA80" s="82">
        <f t="shared" si="159"/>
        <v>0</v>
      </c>
      <c r="EB80" s="82">
        <f t="shared" si="160"/>
        <v>0</v>
      </c>
      <c r="EC80" s="82">
        <f t="shared" si="176"/>
        <v>0</v>
      </c>
      <c r="EF80" s="83">
        <f t="shared" si="106"/>
        <v>0</v>
      </c>
    </row>
    <row r="81" spans="1:136" ht="14.1" customHeight="1">
      <c r="A81" s="84">
        <v>74</v>
      </c>
      <c r="B81" s="85" t="s">
        <v>345</v>
      </c>
      <c r="C81" s="86"/>
      <c r="D81" s="87" t="s">
        <v>346</v>
      </c>
      <c r="E81" s="88">
        <v>173</v>
      </c>
      <c r="F81" s="89" t="s">
        <v>147</v>
      </c>
      <c r="G81" s="45" t="str">
        <f t="shared" si="131"/>
        <v>IBC3604-7x3-H9D14</v>
      </c>
      <c r="H81" s="46" t="str">
        <f t="shared" si="132"/>
        <v>C3604IB70DH9</v>
      </c>
      <c r="I81" s="46" t="str">
        <f t="shared" si="133"/>
        <v>C3604IB70DH93D14</v>
      </c>
      <c r="J81" s="90" t="s">
        <v>148</v>
      </c>
      <c r="K81" s="90" t="s">
        <v>156</v>
      </c>
      <c r="L81" s="90">
        <v>7</v>
      </c>
      <c r="M81" s="90">
        <v>0</v>
      </c>
      <c r="N81" s="90" t="s">
        <v>128</v>
      </c>
      <c r="O81" s="90" t="s">
        <v>131</v>
      </c>
      <c r="P81" s="90">
        <v>3</v>
      </c>
      <c r="Q81" s="91">
        <v>0.98</v>
      </c>
      <c r="R81" s="90" t="s">
        <v>327</v>
      </c>
      <c r="S81" s="89">
        <f t="shared" si="134"/>
        <v>34</v>
      </c>
      <c r="T81" s="51">
        <v>26</v>
      </c>
      <c r="U81" s="92">
        <v>24</v>
      </c>
      <c r="V81" s="100">
        <v>2.12</v>
      </c>
      <c r="W81" s="93">
        <f t="shared" si="113"/>
        <v>0</v>
      </c>
      <c r="X81" s="93">
        <f t="shared" si="114"/>
        <v>0</v>
      </c>
      <c r="Y81" s="93">
        <f t="shared" si="115"/>
        <v>0</v>
      </c>
      <c r="Z81" s="93">
        <f t="shared" si="116"/>
        <v>0</v>
      </c>
      <c r="AA81" s="93">
        <f t="shared" si="117"/>
        <v>0</v>
      </c>
      <c r="AB81" s="93">
        <f t="shared" si="118"/>
        <v>0</v>
      </c>
      <c r="AC81" s="93">
        <f t="shared" si="119"/>
        <v>0</v>
      </c>
      <c r="AD81" s="93">
        <f t="shared" si="120"/>
        <v>0</v>
      </c>
      <c r="AE81" s="93">
        <f t="shared" si="135"/>
        <v>0</v>
      </c>
      <c r="AF81" s="54">
        <f>AE81+'07.02'!AF81</f>
        <v>36662</v>
      </c>
      <c r="AG81" s="94">
        <f t="shared" si="161"/>
        <v>26</v>
      </c>
      <c r="AH81" s="56">
        <f t="shared" si="136"/>
        <v>0</v>
      </c>
      <c r="AI81" s="93"/>
      <c r="AJ81" s="93">
        <f t="shared" si="162"/>
        <v>0</v>
      </c>
      <c r="AK81" s="95">
        <f t="shared" si="137"/>
        <v>1</v>
      </c>
      <c r="AL81" s="58">
        <f t="shared" si="173"/>
        <v>0</v>
      </c>
      <c r="AM81" s="55">
        <f t="shared" si="163"/>
        <v>50</v>
      </c>
      <c r="AN81" s="93"/>
      <c r="AO81" s="96"/>
      <c r="AP81" s="96">
        <f>$CJ81</f>
        <v>0</v>
      </c>
      <c r="AQ81" s="96"/>
      <c r="AR81" s="96"/>
      <c r="AS81" s="96"/>
      <c r="AT81" s="96"/>
      <c r="AU81" s="96">
        <f t="shared" si="138"/>
        <v>0</v>
      </c>
      <c r="AV81" s="96">
        <f t="shared" si="138"/>
        <v>0</v>
      </c>
      <c r="AW81" s="96">
        <f t="shared" si="139"/>
        <v>0</v>
      </c>
      <c r="AX81" s="96">
        <f t="shared" si="140"/>
        <v>0</v>
      </c>
      <c r="AY81" s="94">
        <f t="shared" si="164"/>
        <v>0</v>
      </c>
      <c r="AZ81" s="94">
        <f t="shared" si="141"/>
        <v>0</v>
      </c>
      <c r="BA81" s="94">
        <f t="shared" si="170"/>
        <v>50</v>
      </c>
      <c r="BB81" s="97">
        <f t="shared" si="171"/>
        <v>0</v>
      </c>
      <c r="BC81" s="93"/>
      <c r="BD81" s="93">
        <f t="shared" si="142"/>
        <v>0</v>
      </c>
      <c r="BE81" s="95">
        <f t="shared" si="143"/>
        <v>1</v>
      </c>
      <c r="BF81" s="58">
        <f t="shared" si="174"/>
        <v>0</v>
      </c>
      <c r="BG81" s="94">
        <f t="shared" si="144"/>
        <v>50</v>
      </c>
      <c r="BH81" s="89"/>
      <c r="BI81" s="89"/>
      <c r="BJ81" s="92">
        <f>$CN81</f>
        <v>0</v>
      </c>
      <c r="BK81" s="89"/>
      <c r="BL81" s="89"/>
      <c r="BM81" s="89"/>
      <c r="BN81" s="89"/>
      <c r="BO81" s="92">
        <f t="shared" si="165"/>
        <v>0</v>
      </c>
      <c r="BP81" s="92">
        <f t="shared" si="165"/>
        <v>0</v>
      </c>
      <c r="BQ81" s="96">
        <f t="shared" si="145"/>
        <v>0</v>
      </c>
      <c r="BR81" s="96">
        <f t="shared" si="146"/>
        <v>0</v>
      </c>
      <c r="BS81" s="96">
        <f t="shared" si="166"/>
        <v>0</v>
      </c>
      <c r="BT81" s="96">
        <f t="shared" si="147"/>
        <v>0</v>
      </c>
      <c r="BU81" s="92">
        <f t="shared" si="121"/>
        <v>0</v>
      </c>
      <c r="BV81" s="98">
        <f t="shared" si="167"/>
        <v>0</v>
      </c>
      <c r="BW81" s="92">
        <f t="shared" si="122"/>
        <v>0</v>
      </c>
      <c r="BX81" s="98">
        <f t="shared" si="148"/>
        <v>0</v>
      </c>
      <c r="BY81" s="61">
        <f t="shared" si="172"/>
        <v>0</v>
      </c>
      <c r="BZ81" s="62">
        <f t="shared" si="149"/>
        <v>0</v>
      </c>
      <c r="CA81" s="98">
        <f t="shared" si="150"/>
        <v>0</v>
      </c>
      <c r="CB81" s="92">
        <f t="shared" si="123"/>
        <v>0</v>
      </c>
      <c r="CC81" s="92">
        <f t="shared" si="123"/>
        <v>0</v>
      </c>
      <c r="CD81" s="92">
        <f t="shared" si="123"/>
        <v>0</v>
      </c>
      <c r="CE81" s="99"/>
      <c r="CF81" s="99"/>
      <c r="CG81" s="51">
        <f t="shared" si="151"/>
        <v>0</v>
      </c>
      <c r="CH81" s="62">
        <f t="shared" si="152"/>
        <v>0</v>
      </c>
      <c r="CI81" s="89"/>
      <c r="CJ81" s="89"/>
      <c r="CK81" s="89"/>
      <c r="CL81" s="96"/>
      <c r="CM81" s="89"/>
      <c r="CN81" s="89"/>
      <c r="CO81" s="92"/>
      <c r="CP81" s="101"/>
      <c r="CQ81" s="102">
        <f t="shared" si="100"/>
        <v>0</v>
      </c>
      <c r="CR81" s="102">
        <f t="shared" si="100"/>
        <v>0</v>
      </c>
      <c r="CS81" s="102">
        <f t="shared" si="100"/>
        <v>0</v>
      </c>
      <c r="CT81" s="92">
        <f t="shared" si="153"/>
        <v>0</v>
      </c>
      <c r="CU81" s="92">
        <f t="shared" si="101"/>
        <v>0</v>
      </c>
      <c r="CV81" s="103">
        <f t="shared" si="101"/>
        <v>0</v>
      </c>
      <c r="CW81" s="104" t="s">
        <v>147</v>
      </c>
      <c r="CX81" s="105">
        <v>13.35</v>
      </c>
      <c r="CY81" s="106">
        <f t="shared" si="154"/>
        <v>2979</v>
      </c>
      <c r="CZ81" s="106">
        <f t="shared" si="155"/>
        <v>54.067500000000003</v>
      </c>
      <c r="DA81" s="106"/>
      <c r="DB81" s="106"/>
      <c r="DC81" s="105"/>
      <c r="DD81" s="107"/>
      <c r="DE81" s="92">
        <f t="shared" si="124"/>
        <v>0</v>
      </c>
      <c r="DF81" s="108">
        <f t="shared" si="125"/>
        <v>0</v>
      </c>
      <c r="DG81" s="115">
        <f t="shared" si="126"/>
        <v>0</v>
      </c>
      <c r="DH81" s="110">
        <f t="shared" si="127"/>
        <v>0</v>
      </c>
      <c r="DI81" s="108">
        <f t="shared" si="128"/>
        <v>0</v>
      </c>
      <c r="DJ81" s="112">
        <f t="shared" si="129"/>
        <v>0</v>
      </c>
      <c r="DK81" s="110">
        <f t="shared" si="86"/>
        <v>0</v>
      </c>
      <c r="DL81" s="108">
        <f t="shared" si="86"/>
        <v>0</v>
      </c>
      <c r="DM81" s="111">
        <f t="shared" si="86"/>
        <v>0</v>
      </c>
      <c r="DN81" s="76">
        <v>18</v>
      </c>
      <c r="DO81" s="76"/>
      <c r="DP81" s="112"/>
      <c r="DQ81" s="112"/>
      <c r="DR81" s="113" t="s">
        <v>561</v>
      </c>
      <c r="DS81" s="112"/>
      <c r="DT81" s="112"/>
      <c r="DU81" s="111"/>
      <c r="DV81" s="114"/>
      <c r="DW81" s="80">
        <f t="shared" ref="DW81:DW82" si="177">IFERROR(AL81+BF81,"")</f>
        <v>0</v>
      </c>
      <c r="DX81" s="81">
        <f t="shared" si="130"/>
        <v>0</v>
      </c>
      <c r="DY81" s="80">
        <f t="shared" si="157"/>
        <v>0</v>
      </c>
      <c r="DZ81" s="82">
        <f t="shared" si="158"/>
        <v>0</v>
      </c>
      <c r="EA81" s="82">
        <f t="shared" si="159"/>
        <v>0</v>
      </c>
      <c r="EB81" s="82">
        <f t="shared" si="160"/>
        <v>0</v>
      </c>
      <c r="EC81" s="82">
        <f t="shared" si="176"/>
        <v>0</v>
      </c>
      <c r="EF81" s="83">
        <f t="shared" si="106"/>
        <v>0</v>
      </c>
    </row>
    <row r="82" spans="1:136" ht="14.1" customHeight="1">
      <c r="A82" s="84">
        <v>75</v>
      </c>
      <c r="B82" s="85" t="s">
        <v>348</v>
      </c>
      <c r="C82" s="86"/>
      <c r="D82" s="87" t="s">
        <v>349</v>
      </c>
      <c r="E82" s="88">
        <v>161</v>
      </c>
      <c r="F82" s="89" t="s">
        <v>147</v>
      </c>
      <c r="G82" s="45" t="str">
        <f t="shared" si="131"/>
        <v>IBC3602-7.5x3-H9B14</v>
      </c>
      <c r="H82" s="46" t="str">
        <f t="shared" si="132"/>
        <v>C3602IB7.50DH9</v>
      </c>
      <c r="I82" s="46" t="str">
        <f t="shared" si="133"/>
        <v>C3602IB7.50DH93B14</v>
      </c>
      <c r="J82" s="90" t="s">
        <v>155</v>
      </c>
      <c r="K82" s="90" t="s">
        <v>156</v>
      </c>
      <c r="L82" s="90">
        <v>7.5</v>
      </c>
      <c r="M82" s="90">
        <v>0</v>
      </c>
      <c r="N82" s="90" t="s">
        <v>128</v>
      </c>
      <c r="O82" s="90" t="s">
        <v>131</v>
      </c>
      <c r="P82" s="90">
        <v>3</v>
      </c>
      <c r="Q82" s="91">
        <v>1.121</v>
      </c>
      <c r="R82" s="90" t="s">
        <v>171</v>
      </c>
      <c r="S82" s="89">
        <f t="shared" si="134"/>
        <v>34</v>
      </c>
      <c r="T82" s="51">
        <v>14</v>
      </c>
      <c r="U82" s="92">
        <v>36</v>
      </c>
      <c r="V82" s="174">
        <v>1.23</v>
      </c>
      <c r="W82" s="93">
        <f t="shared" si="113"/>
        <v>0</v>
      </c>
      <c r="X82" s="93">
        <f t="shared" si="114"/>
        <v>0</v>
      </c>
      <c r="Y82" s="93">
        <f t="shared" si="115"/>
        <v>0</v>
      </c>
      <c r="Z82" s="93">
        <f t="shared" si="116"/>
        <v>0</v>
      </c>
      <c r="AA82" s="93">
        <f t="shared" si="117"/>
        <v>0</v>
      </c>
      <c r="AB82" s="93">
        <f t="shared" si="118"/>
        <v>0</v>
      </c>
      <c r="AC82" s="93">
        <f t="shared" si="119"/>
        <v>0</v>
      </c>
      <c r="AD82" s="93">
        <f t="shared" si="120"/>
        <v>0</v>
      </c>
      <c r="AE82" s="93">
        <f t="shared" si="135"/>
        <v>0</v>
      </c>
      <c r="AF82" s="54">
        <f>AE82+'07.02'!AF82</f>
        <v>41587</v>
      </c>
      <c r="AG82" s="94">
        <f t="shared" si="161"/>
        <v>14</v>
      </c>
      <c r="AH82" s="56">
        <f t="shared" si="136"/>
        <v>0</v>
      </c>
      <c r="AI82" s="93"/>
      <c r="AJ82" s="93">
        <f t="shared" si="162"/>
        <v>0</v>
      </c>
      <c r="AK82" s="95">
        <f t="shared" si="137"/>
        <v>1</v>
      </c>
      <c r="AL82" s="58">
        <f t="shared" si="173"/>
        <v>0</v>
      </c>
      <c r="AM82" s="55">
        <f t="shared" si="163"/>
        <v>50</v>
      </c>
      <c r="AN82" s="93"/>
      <c r="AO82" s="96"/>
      <c r="AP82" s="96"/>
      <c r="AQ82" s="96">
        <f>$CJ82</f>
        <v>0</v>
      </c>
      <c r="AR82" s="96"/>
      <c r="AS82" s="96"/>
      <c r="AT82" s="96"/>
      <c r="AU82" s="96">
        <f t="shared" si="138"/>
        <v>0</v>
      </c>
      <c r="AV82" s="96">
        <f t="shared" si="138"/>
        <v>0</v>
      </c>
      <c r="AW82" s="96">
        <f t="shared" si="139"/>
        <v>0</v>
      </c>
      <c r="AX82" s="96">
        <f t="shared" si="140"/>
        <v>0</v>
      </c>
      <c r="AY82" s="94">
        <f t="shared" si="164"/>
        <v>0</v>
      </c>
      <c r="AZ82" s="94">
        <f t="shared" si="141"/>
        <v>0</v>
      </c>
      <c r="BA82" s="94">
        <f t="shared" si="170"/>
        <v>50</v>
      </c>
      <c r="BB82" s="97">
        <f t="shared" si="171"/>
        <v>0</v>
      </c>
      <c r="BC82" s="93"/>
      <c r="BD82" s="93">
        <f t="shared" si="142"/>
        <v>0</v>
      </c>
      <c r="BE82" s="95">
        <f t="shared" si="143"/>
        <v>1</v>
      </c>
      <c r="BF82" s="58">
        <f t="shared" si="174"/>
        <v>0</v>
      </c>
      <c r="BG82" s="94">
        <f t="shared" si="144"/>
        <v>50</v>
      </c>
      <c r="BH82" s="89"/>
      <c r="BI82" s="89"/>
      <c r="BJ82" s="89"/>
      <c r="BK82" s="92">
        <f>$CN82</f>
        <v>0</v>
      </c>
      <c r="BL82" s="89"/>
      <c r="BM82" s="89"/>
      <c r="BN82" s="89"/>
      <c r="BO82" s="92">
        <f t="shared" si="165"/>
        <v>0</v>
      </c>
      <c r="BP82" s="92">
        <f t="shared" si="165"/>
        <v>0</v>
      </c>
      <c r="BQ82" s="96">
        <f t="shared" si="145"/>
        <v>0</v>
      </c>
      <c r="BR82" s="96">
        <f t="shared" si="146"/>
        <v>0</v>
      </c>
      <c r="BS82" s="96">
        <f t="shared" si="166"/>
        <v>0</v>
      </c>
      <c r="BT82" s="96">
        <f t="shared" si="147"/>
        <v>0</v>
      </c>
      <c r="BU82" s="92">
        <f t="shared" si="121"/>
        <v>0</v>
      </c>
      <c r="BV82" s="98">
        <f t="shared" si="167"/>
        <v>0</v>
      </c>
      <c r="BW82" s="92">
        <f t="shared" si="122"/>
        <v>0</v>
      </c>
      <c r="BX82" s="98">
        <f t="shared" si="148"/>
        <v>0</v>
      </c>
      <c r="BY82" s="61">
        <f t="shared" si="172"/>
        <v>0</v>
      </c>
      <c r="BZ82" s="62">
        <f t="shared" si="149"/>
        <v>0</v>
      </c>
      <c r="CA82" s="98">
        <f t="shared" si="150"/>
        <v>0</v>
      </c>
      <c r="CB82" s="92">
        <f t="shared" si="123"/>
        <v>0</v>
      </c>
      <c r="CC82" s="92">
        <f t="shared" si="123"/>
        <v>0</v>
      </c>
      <c r="CD82" s="92">
        <f t="shared" si="123"/>
        <v>0</v>
      </c>
      <c r="CE82" s="99"/>
      <c r="CF82" s="99"/>
      <c r="CG82" s="51">
        <f t="shared" si="151"/>
        <v>0</v>
      </c>
      <c r="CH82" s="62">
        <f t="shared" si="152"/>
        <v>0</v>
      </c>
      <c r="CI82" s="89"/>
      <c r="CJ82" s="89"/>
      <c r="CK82" s="89"/>
      <c r="CL82" s="96"/>
      <c r="CM82" s="89"/>
      <c r="CN82" s="89"/>
      <c r="CO82" s="92"/>
      <c r="CP82" s="101"/>
      <c r="CQ82" s="102">
        <f t="shared" si="100"/>
        <v>0</v>
      </c>
      <c r="CR82" s="102">
        <f t="shared" si="100"/>
        <v>0</v>
      </c>
      <c r="CS82" s="102">
        <f t="shared" si="100"/>
        <v>0</v>
      </c>
      <c r="CT82" s="92">
        <f t="shared" si="153"/>
        <v>0</v>
      </c>
      <c r="CU82" s="92">
        <f t="shared" si="101"/>
        <v>0</v>
      </c>
      <c r="CV82" s="103">
        <f t="shared" si="101"/>
        <v>0</v>
      </c>
      <c r="CW82" s="104" t="s">
        <v>147</v>
      </c>
      <c r="CX82" s="105">
        <v>15</v>
      </c>
      <c r="CY82" s="106">
        <f t="shared" si="154"/>
        <v>2664</v>
      </c>
      <c r="CZ82" s="106">
        <f t="shared" si="155"/>
        <v>60.750000000000007</v>
      </c>
      <c r="DA82" s="106"/>
      <c r="DB82" s="106"/>
      <c r="DC82" s="105"/>
      <c r="DD82" s="107"/>
      <c r="DE82" s="92">
        <f t="shared" si="124"/>
        <v>0</v>
      </c>
      <c r="DF82" s="108">
        <f t="shared" si="125"/>
        <v>0</v>
      </c>
      <c r="DG82" s="115">
        <f t="shared" si="126"/>
        <v>0</v>
      </c>
      <c r="DH82" s="110">
        <f t="shared" si="127"/>
        <v>0</v>
      </c>
      <c r="DI82" s="108">
        <f t="shared" si="128"/>
        <v>0</v>
      </c>
      <c r="DJ82" s="112">
        <f t="shared" si="129"/>
        <v>0</v>
      </c>
      <c r="DK82" s="110">
        <f t="shared" si="86"/>
        <v>0</v>
      </c>
      <c r="DL82" s="108">
        <f t="shared" si="86"/>
        <v>0</v>
      </c>
      <c r="DM82" s="111">
        <f t="shared" si="86"/>
        <v>0</v>
      </c>
      <c r="DN82" s="76">
        <v>12</v>
      </c>
      <c r="DO82" s="76"/>
      <c r="DP82" s="112"/>
      <c r="DQ82" s="112"/>
      <c r="DR82" s="113" t="s">
        <v>562</v>
      </c>
      <c r="DS82" s="112"/>
      <c r="DT82" s="112"/>
      <c r="DU82" s="111"/>
      <c r="DV82" s="114"/>
      <c r="DW82" s="80">
        <f t="shared" si="177"/>
        <v>0</v>
      </c>
      <c r="DX82" s="81">
        <f t="shared" si="130"/>
        <v>0</v>
      </c>
      <c r="DY82" s="80">
        <f t="shared" si="157"/>
        <v>0</v>
      </c>
      <c r="DZ82" s="82">
        <f t="shared" si="158"/>
        <v>0</v>
      </c>
      <c r="EA82" s="82">
        <f t="shared" si="159"/>
        <v>0</v>
      </c>
      <c r="EB82" s="82">
        <f t="shared" si="160"/>
        <v>0</v>
      </c>
      <c r="EC82" s="82">
        <f t="shared" si="176"/>
        <v>0</v>
      </c>
      <c r="EF82" s="83">
        <f t="shared" si="106"/>
        <v>0</v>
      </c>
    </row>
    <row r="83" spans="1:136">
      <c r="A83" s="84">
        <v>76</v>
      </c>
      <c r="B83" s="85" t="s">
        <v>351</v>
      </c>
      <c r="C83" s="86"/>
      <c r="D83" s="87" t="s">
        <v>352</v>
      </c>
      <c r="E83" s="88">
        <v>237</v>
      </c>
      <c r="F83" s="89" t="s">
        <v>128</v>
      </c>
      <c r="G83" s="45" t="str">
        <f t="shared" si="131"/>
        <v>GWA6063-T5-7.5x3-H9B14</v>
      </c>
      <c r="H83" s="46" t="str">
        <f t="shared" si="132"/>
        <v>A6063-T5GW7.50DH9</v>
      </c>
      <c r="I83" s="46" t="str">
        <f t="shared" si="133"/>
        <v>A6063-T5GW7.50DH93B14</v>
      </c>
      <c r="J83" s="90" t="s">
        <v>129</v>
      </c>
      <c r="K83" s="90" t="s">
        <v>130</v>
      </c>
      <c r="L83" s="90">
        <v>7.5</v>
      </c>
      <c r="M83" s="90">
        <v>0</v>
      </c>
      <c r="N83" s="90" t="s">
        <v>128</v>
      </c>
      <c r="O83" s="90" t="s">
        <v>131</v>
      </c>
      <c r="P83" s="90">
        <v>3</v>
      </c>
      <c r="Q83" s="91">
        <v>0.35799999999999998</v>
      </c>
      <c r="R83" s="90" t="s">
        <v>171</v>
      </c>
      <c r="S83" s="89">
        <f t="shared" si="134"/>
        <v>18</v>
      </c>
      <c r="T83" s="51">
        <f>'07.02'!BG83</f>
        <v>46</v>
      </c>
      <c r="U83" s="92"/>
      <c r="V83" s="100">
        <v>0.70299999999999996</v>
      </c>
      <c r="W83" s="93">
        <f t="shared" si="113"/>
        <v>0</v>
      </c>
      <c r="X83" s="93">
        <f t="shared" si="114"/>
        <v>0</v>
      </c>
      <c r="Y83" s="93">
        <f t="shared" si="115"/>
        <v>0</v>
      </c>
      <c r="Z83" s="93">
        <f t="shared" si="116"/>
        <v>0</v>
      </c>
      <c r="AA83" s="93">
        <f t="shared" si="117"/>
        <v>0</v>
      </c>
      <c r="AB83" s="93">
        <f t="shared" si="118"/>
        <v>0</v>
      </c>
      <c r="AC83" s="93">
        <f t="shared" si="119"/>
        <v>0</v>
      </c>
      <c r="AD83" s="93">
        <f t="shared" si="120"/>
        <v>0</v>
      </c>
      <c r="AE83" s="93">
        <f t="shared" si="135"/>
        <v>0</v>
      </c>
      <c r="AF83" s="54">
        <f>AE83+'07.02'!AF83</f>
        <v>0</v>
      </c>
      <c r="AG83" s="94">
        <f t="shared" si="161"/>
        <v>46</v>
      </c>
      <c r="AH83" s="56">
        <f t="shared" si="136"/>
        <v>0</v>
      </c>
      <c r="AI83" s="93"/>
      <c r="AJ83" s="93">
        <f t="shared" si="162"/>
        <v>0</v>
      </c>
      <c r="AK83" s="95">
        <f t="shared" si="137"/>
        <v>1</v>
      </c>
      <c r="AL83" s="58">
        <f t="shared" si="173"/>
        <v>0</v>
      </c>
      <c r="AM83" s="55">
        <f t="shared" si="163"/>
        <v>46</v>
      </c>
      <c r="AN83" s="93"/>
      <c r="AO83" s="96"/>
      <c r="AP83" s="96">
        <f>$CJ83</f>
        <v>0</v>
      </c>
      <c r="AQ83" s="96"/>
      <c r="AR83" s="96"/>
      <c r="AS83" s="96"/>
      <c r="AT83" s="96"/>
      <c r="AU83" s="96">
        <f t="shared" si="138"/>
        <v>0</v>
      </c>
      <c r="AV83" s="96">
        <f t="shared" si="138"/>
        <v>0</v>
      </c>
      <c r="AW83" s="96">
        <f t="shared" si="139"/>
        <v>0</v>
      </c>
      <c r="AX83" s="96">
        <f t="shared" si="140"/>
        <v>0</v>
      </c>
      <c r="AY83" s="94">
        <f t="shared" si="164"/>
        <v>0</v>
      </c>
      <c r="AZ83" s="94">
        <f t="shared" si="141"/>
        <v>0</v>
      </c>
      <c r="BA83" s="94">
        <f t="shared" si="170"/>
        <v>46</v>
      </c>
      <c r="BB83" s="97">
        <f t="shared" si="171"/>
        <v>0</v>
      </c>
      <c r="BC83" s="93"/>
      <c r="BD83" s="93">
        <f t="shared" si="142"/>
        <v>0</v>
      </c>
      <c r="BE83" s="95">
        <f t="shared" si="143"/>
        <v>1</v>
      </c>
      <c r="BF83" s="58">
        <f t="shared" si="174"/>
        <v>0</v>
      </c>
      <c r="BG83" s="94">
        <f t="shared" si="144"/>
        <v>46</v>
      </c>
      <c r="BH83" s="89"/>
      <c r="BI83" s="89"/>
      <c r="BJ83" s="92">
        <f>$CN83</f>
        <v>0</v>
      </c>
      <c r="BK83" s="89"/>
      <c r="BL83" s="89"/>
      <c r="BM83" s="89"/>
      <c r="BN83" s="92"/>
      <c r="BO83" s="92">
        <f t="shared" si="165"/>
        <v>0</v>
      </c>
      <c r="BP83" s="92">
        <f t="shared" si="165"/>
        <v>0</v>
      </c>
      <c r="BQ83" s="96">
        <f t="shared" si="145"/>
        <v>0</v>
      </c>
      <c r="BR83" s="96">
        <f t="shared" si="146"/>
        <v>0</v>
      </c>
      <c r="BS83" s="96">
        <f t="shared" si="166"/>
        <v>0</v>
      </c>
      <c r="BT83" s="96">
        <f t="shared" si="147"/>
        <v>0</v>
      </c>
      <c r="BU83" s="92">
        <f t="shared" si="121"/>
        <v>0</v>
      </c>
      <c r="BV83" s="98">
        <f t="shared" si="167"/>
        <v>0</v>
      </c>
      <c r="BW83" s="92">
        <f t="shared" si="122"/>
        <v>0</v>
      </c>
      <c r="BX83" s="98">
        <f t="shared" si="148"/>
        <v>0</v>
      </c>
      <c r="BY83" s="61">
        <f t="shared" si="172"/>
        <v>0</v>
      </c>
      <c r="BZ83" s="62">
        <f t="shared" si="149"/>
        <v>0</v>
      </c>
      <c r="CA83" s="98">
        <f t="shared" si="150"/>
        <v>0</v>
      </c>
      <c r="CB83" s="92">
        <f t="shared" si="123"/>
        <v>0</v>
      </c>
      <c r="CC83" s="92">
        <f t="shared" si="123"/>
        <v>0</v>
      </c>
      <c r="CD83" s="92">
        <f t="shared" si="123"/>
        <v>0</v>
      </c>
      <c r="CE83" s="99"/>
      <c r="CF83" s="99"/>
      <c r="CG83" s="51">
        <f t="shared" si="151"/>
        <v>0</v>
      </c>
      <c r="CH83" s="62">
        <f t="shared" si="152"/>
        <v>0</v>
      </c>
      <c r="CI83" s="89"/>
      <c r="CJ83" s="89"/>
      <c r="CK83" s="89"/>
      <c r="CL83" s="96"/>
      <c r="CM83" s="89"/>
      <c r="CN83" s="89"/>
      <c r="CO83" s="92"/>
      <c r="CP83" s="101"/>
      <c r="CQ83" s="102">
        <f t="shared" si="100"/>
        <v>0</v>
      </c>
      <c r="CR83" s="102">
        <f t="shared" si="100"/>
        <v>0</v>
      </c>
      <c r="CS83" s="102">
        <f t="shared" si="100"/>
        <v>0</v>
      </c>
      <c r="CT83" s="92">
        <f t="shared" si="153"/>
        <v>0</v>
      </c>
      <c r="CU83" s="92">
        <f t="shared" si="101"/>
        <v>0</v>
      </c>
      <c r="CV83" s="103">
        <f t="shared" si="101"/>
        <v>0</v>
      </c>
      <c r="CW83" s="104" t="s">
        <v>147</v>
      </c>
      <c r="CX83" s="105">
        <v>18.5</v>
      </c>
      <c r="CY83" s="106">
        <f t="shared" si="154"/>
        <v>2237</v>
      </c>
      <c r="CZ83" s="106">
        <f t="shared" si="155"/>
        <v>74.925000000000011</v>
      </c>
      <c r="DA83" s="106"/>
      <c r="DB83" s="106"/>
      <c r="DC83" s="105"/>
      <c r="DD83" s="107"/>
      <c r="DE83" s="92">
        <f t="shared" si="124"/>
        <v>0</v>
      </c>
      <c r="DF83" s="108">
        <f t="shared" si="125"/>
        <v>0</v>
      </c>
      <c r="DG83" s="115">
        <f t="shared" si="126"/>
        <v>0</v>
      </c>
      <c r="DH83" s="110">
        <f t="shared" si="127"/>
        <v>0</v>
      </c>
      <c r="DI83" s="108">
        <f t="shared" si="128"/>
        <v>0</v>
      </c>
      <c r="DJ83" s="112">
        <f t="shared" si="129"/>
        <v>0</v>
      </c>
      <c r="DK83" s="110">
        <f t="shared" si="86"/>
        <v>0</v>
      </c>
      <c r="DL83" s="108">
        <f t="shared" si="86"/>
        <v>0</v>
      </c>
      <c r="DM83" s="111">
        <f t="shared" si="86"/>
        <v>0</v>
      </c>
      <c r="DN83" s="76">
        <v>46</v>
      </c>
      <c r="DO83" s="76"/>
      <c r="DP83" s="112"/>
      <c r="DQ83" s="112"/>
      <c r="DR83" s="113" t="s">
        <v>563</v>
      </c>
      <c r="DS83" s="112"/>
      <c r="DT83" s="112"/>
      <c r="DU83" s="111"/>
      <c r="DV83" s="114"/>
      <c r="DW83" s="80">
        <f t="shared" si="156"/>
        <v>0</v>
      </c>
      <c r="DX83" s="81">
        <f t="shared" si="130"/>
        <v>0</v>
      </c>
      <c r="DY83" s="80">
        <f t="shared" si="157"/>
        <v>0</v>
      </c>
      <c r="DZ83" s="82">
        <f t="shared" si="158"/>
        <v>0</v>
      </c>
      <c r="EA83" s="82">
        <f t="shared" si="159"/>
        <v>0</v>
      </c>
      <c r="EB83" s="82">
        <f t="shared" si="160"/>
        <v>0</v>
      </c>
      <c r="EC83" s="82">
        <f t="shared" ref="EC83:EC106" si="178">EB83+DZ83</f>
        <v>0</v>
      </c>
      <c r="EF83" s="83">
        <f t="shared" si="106"/>
        <v>0</v>
      </c>
    </row>
    <row r="84" spans="1:136">
      <c r="A84" s="84">
        <v>77</v>
      </c>
      <c r="B84" s="85" t="s">
        <v>354</v>
      </c>
      <c r="C84" s="86"/>
      <c r="D84" s="87" t="s">
        <v>260</v>
      </c>
      <c r="E84" s="88">
        <v>240</v>
      </c>
      <c r="F84" s="89" t="s">
        <v>128</v>
      </c>
      <c r="G84" s="45" t="str">
        <f t="shared" si="131"/>
        <v>GAA5052-5.7x3-H9A14</v>
      </c>
      <c r="H84" s="46" t="str">
        <f t="shared" si="132"/>
        <v>A5052GA5.70DH9</v>
      </c>
      <c r="I84" s="46" t="str">
        <f t="shared" si="133"/>
        <v>A5052GA5.70DH93A14</v>
      </c>
      <c r="J84" s="90" t="s">
        <v>221</v>
      </c>
      <c r="K84" s="90" t="s">
        <v>222</v>
      </c>
      <c r="L84" s="90">
        <v>5.7</v>
      </c>
      <c r="M84" s="90">
        <v>0</v>
      </c>
      <c r="N84" s="90" t="s">
        <v>128</v>
      </c>
      <c r="O84" s="90" t="s">
        <v>131</v>
      </c>
      <c r="P84" s="90">
        <v>3</v>
      </c>
      <c r="Q84" s="91">
        <v>0.20399999999999999</v>
      </c>
      <c r="R84" s="90" t="s">
        <v>139</v>
      </c>
      <c r="S84" s="89">
        <f t="shared" si="134"/>
        <v>30</v>
      </c>
      <c r="T84" s="51">
        <f>'07.02'!BG84</f>
        <v>22</v>
      </c>
      <c r="U84" s="92"/>
      <c r="V84" s="100">
        <v>0.15</v>
      </c>
      <c r="W84" s="93">
        <f t="shared" si="113"/>
        <v>0</v>
      </c>
      <c r="X84" s="93">
        <f t="shared" si="114"/>
        <v>0</v>
      </c>
      <c r="Y84" s="93">
        <f t="shared" si="115"/>
        <v>0</v>
      </c>
      <c r="Z84" s="93">
        <f t="shared" si="116"/>
        <v>0</v>
      </c>
      <c r="AA84" s="93">
        <f t="shared" si="117"/>
        <v>0</v>
      </c>
      <c r="AB84" s="93">
        <f t="shared" si="118"/>
        <v>0</v>
      </c>
      <c r="AC84" s="93">
        <f t="shared" si="119"/>
        <v>0</v>
      </c>
      <c r="AD84" s="93">
        <f t="shared" si="120"/>
        <v>0</v>
      </c>
      <c r="AE84" s="93">
        <f t="shared" si="135"/>
        <v>0</v>
      </c>
      <c r="AF84" s="54">
        <f>AE84+'07.02'!AF84</f>
        <v>21638</v>
      </c>
      <c r="AG84" s="94">
        <f t="shared" si="161"/>
        <v>22</v>
      </c>
      <c r="AH84" s="56">
        <f t="shared" si="136"/>
        <v>0</v>
      </c>
      <c r="AI84" s="93"/>
      <c r="AJ84" s="93">
        <f t="shared" si="162"/>
        <v>0</v>
      </c>
      <c r="AK84" s="95">
        <f t="shared" si="137"/>
        <v>1</v>
      </c>
      <c r="AL84" s="58">
        <f t="shared" si="173"/>
        <v>0</v>
      </c>
      <c r="AM84" s="55">
        <f t="shared" si="163"/>
        <v>22</v>
      </c>
      <c r="AN84" s="93"/>
      <c r="AO84" s="96"/>
      <c r="AP84" s="96"/>
      <c r="AQ84" s="96"/>
      <c r="AR84" s="96"/>
      <c r="AS84" s="96"/>
      <c r="AT84" s="96">
        <f>$CJ84</f>
        <v>0</v>
      </c>
      <c r="AU84" s="96">
        <f t="shared" si="138"/>
        <v>0</v>
      </c>
      <c r="AV84" s="96">
        <f t="shared" si="138"/>
        <v>0</v>
      </c>
      <c r="AW84" s="96">
        <f t="shared" ref="AW84" si="179">SUM(AO84:AV84)</f>
        <v>0</v>
      </c>
      <c r="AX84" s="96">
        <f t="shared" si="140"/>
        <v>0</v>
      </c>
      <c r="AY84" s="94">
        <f t="shared" si="164"/>
        <v>0</v>
      </c>
      <c r="AZ84" s="94">
        <f t="shared" si="141"/>
        <v>0</v>
      </c>
      <c r="BA84" s="94">
        <f t="shared" si="170"/>
        <v>22</v>
      </c>
      <c r="BB84" s="97">
        <f t="shared" si="171"/>
        <v>0</v>
      </c>
      <c r="BC84" s="93"/>
      <c r="BD84" s="93">
        <f t="shared" si="142"/>
        <v>0</v>
      </c>
      <c r="BE84" s="95">
        <f t="shared" si="143"/>
        <v>1</v>
      </c>
      <c r="BF84" s="58">
        <f t="shared" si="174"/>
        <v>0</v>
      </c>
      <c r="BG84" s="94">
        <f t="shared" si="144"/>
        <v>22</v>
      </c>
      <c r="BH84" s="89"/>
      <c r="BI84" s="89"/>
      <c r="BJ84" s="92"/>
      <c r="BK84" s="89"/>
      <c r="BL84" s="89"/>
      <c r="BM84" s="89"/>
      <c r="BN84" s="92">
        <f>$CN84</f>
        <v>0</v>
      </c>
      <c r="BO84" s="92">
        <f t="shared" si="165"/>
        <v>0</v>
      </c>
      <c r="BP84" s="92">
        <f t="shared" si="165"/>
        <v>0</v>
      </c>
      <c r="BQ84" s="96">
        <f t="shared" si="145"/>
        <v>0</v>
      </c>
      <c r="BR84" s="96">
        <f t="shared" si="146"/>
        <v>0</v>
      </c>
      <c r="BS84" s="96">
        <f t="shared" si="166"/>
        <v>0</v>
      </c>
      <c r="BT84" s="96">
        <f t="shared" si="147"/>
        <v>0</v>
      </c>
      <c r="BU84" s="92">
        <f t="shared" si="121"/>
        <v>0</v>
      </c>
      <c r="BV84" s="98">
        <f t="shared" si="167"/>
        <v>0</v>
      </c>
      <c r="BW84" s="92">
        <f t="shared" si="122"/>
        <v>0</v>
      </c>
      <c r="BX84" s="98">
        <f t="shared" si="148"/>
        <v>0</v>
      </c>
      <c r="BY84" s="61">
        <f t="shared" si="172"/>
        <v>0</v>
      </c>
      <c r="BZ84" s="62">
        <f t="shared" si="149"/>
        <v>0</v>
      </c>
      <c r="CA84" s="98">
        <f t="shared" si="150"/>
        <v>0</v>
      </c>
      <c r="CB84" s="92">
        <f t="shared" si="123"/>
        <v>0</v>
      </c>
      <c r="CC84" s="92">
        <f t="shared" si="123"/>
        <v>0</v>
      </c>
      <c r="CD84" s="92">
        <f t="shared" si="123"/>
        <v>0</v>
      </c>
      <c r="CE84" s="99"/>
      <c r="CF84" s="99"/>
      <c r="CG84" s="51">
        <f t="shared" si="151"/>
        <v>0</v>
      </c>
      <c r="CH84" s="62">
        <f t="shared" si="152"/>
        <v>0</v>
      </c>
      <c r="CI84" s="89"/>
      <c r="CJ84" s="89"/>
      <c r="CK84" s="89"/>
      <c r="CL84" s="96"/>
      <c r="CM84" s="89"/>
      <c r="CN84" s="89"/>
      <c r="CO84" s="92"/>
      <c r="CP84" s="101"/>
      <c r="CQ84" s="102">
        <f t="shared" si="100"/>
        <v>0</v>
      </c>
      <c r="CR84" s="102">
        <f t="shared" si="100"/>
        <v>0</v>
      </c>
      <c r="CS84" s="102">
        <f t="shared" si="100"/>
        <v>0</v>
      </c>
      <c r="CT84" s="92">
        <f t="shared" si="153"/>
        <v>0</v>
      </c>
      <c r="CU84" s="92">
        <f t="shared" si="101"/>
        <v>0</v>
      </c>
      <c r="CV84" s="103">
        <f t="shared" si="101"/>
        <v>0</v>
      </c>
      <c r="CW84" s="104" t="s">
        <v>147</v>
      </c>
      <c r="CX84" s="105">
        <v>11</v>
      </c>
      <c r="CY84" s="106">
        <f t="shared" si="154"/>
        <v>3649</v>
      </c>
      <c r="CZ84" s="106">
        <f t="shared" si="155"/>
        <v>44.550000000000004</v>
      </c>
      <c r="DA84" s="106"/>
      <c r="DB84" s="106"/>
      <c r="DC84" s="105"/>
      <c r="DD84" s="107"/>
      <c r="DE84" s="92">
        <f t="shared" si="124"/>
        <v>0</v>
      </c>
      <c r="DF84" s="108">
        <f t="shared" si="125"/>
        <v>0</v>
      </c>
      <c r="DG84" s="115">
        <f t="shared" si="126"/>
        <v>0</v>
      </c>
      <c r="DH84" s="110">
        <f t="shared" si="127"/>
        <v>0</v>
      </c>
      <c r="DI84" s="108">
        <f t="shared" si="128"/>
        <v>0</v>
      </c>
      <c r="DJ84" s="112">
        <f t="shared" si="129"/>
        <v>0</v>
      </c>
      <c r="DK84" s="110">
        <f t="shared" si="86"/>
        <v>0</v>
      </c>
      <c r="DL84" s="108">
        <f t="shared" si="86"/>
        <v>0</v>
      </c>
      <c r="DM84" s="111">
        <f t="shared" si="86"/>
        <v>0</v>
      </c>
      <c r="DN84" s="76">
        <v>9</v>
      </c>
      <c r="DO84" s="76"/>
      <c r="DP84" s="112"/>
      <c r="DQ84" s="112"/>
      <c r="DR84" s="113" t="s">
        <v>564</v>
      </c>
      <c r="DS84" s="112"/>
      <c r="DT84" s="112"/>
      <c r="DU84" s="111"/>
      <c r="DV84" s="114"/>
      <c r="DW84" s="80">
        <f t="shared" si="156"/>
        <v>0</v>
      </c>
      <c r="DX84" s="81">
        <f t="shared" si="130"/>
        <v>0</v>
      </c>
      <c r="DY84" s="80">
        <f t="shared" si="157"/>
        <v>0</v>
      </c>
      <c r="DZ84" s="82">
        <f t="shared" si="158"/>
        <v>0</v>
      </c>
      <c r="EA84" s="82">
        <f t="shared" si="159"/>
        <v>0</v>
      </c>
      <c r="EB84" s="82">
        <f t="shared" si="160"/>
        <v>0</v>
      </c>
      <c r="EC84" s="82">
        <f t="shared" si="178"/>
        <v>0</v>
      </c>
      <c r="EF84" s="83">
        <f t="shared" si="106"/>
        <v>0</v>
      </c>
    </row>
    <row r="85" spans="1:136" ht="15" hidden="1" customHeight="1">
      <c r="A85" s="84">
        <v>78</v>
      </c>
      <c r="B85" s="85" t="s">
        <v>356</v>
      </c>
      <c r="C85" s="86"/>
      <c r="D85" s="116" t="s">
        <v>357</v>
      </c>
      <c r="E85" s="88">
        <v>76</v>
      </c>
      <c r="F85" s="89" t="s">
        <v>191</v>
      </c>
      <c r="G85" s="45" t="str">
        <f t="shared" si="131"/>
        <v>TVSUS303Cu-H15.87x2.5-H11B14</v>
      </c>
      <c r="H85" s="46" t="str">
        <f t="shared" si="132"/>
        <v>SUS303CuTV15.870HH11</v>
      </c>
      <c r="I85" s="46" t="str">
        <f t="shared" si="133"/>
        <v>SUS303CuTV15.870HH112.5B14</v>
      </c>
      <c r="J85" s="90" t="s">
        <v>238</v>
      </c>
      <c r="K85" s="90" t="s">
        <v>138</v>
      </c>
      <c r="L85" s="90">
        <v>15.87</v>
      </c>
      <c r="M85" s="90">
        <v>0</v>
      </c>
      <c r="N85" s="90" t="s">
        <v>160</v>
      </c>
      <c r="O85" s="90" t="s">
        <v>161</v>
      </c>
      <c r="P85" s="90">
        <v>2.5</v>
      </c>
      <c r="Q85" s="91">
        <v>4.32</v>
      </c>
      <c r="R85" s="90" t="s">
        <v>171</v>
      </c>
      <c r="S85" s="89"/>
      <c r="T85" s="51">
        <f>'07.02'!BG85</f>
        <v>0</v>
      </c>
      <c r="U85" s="92"/>
      <c r="V85" s="100">
        <v>27.35</v>
      </c>
      <c r="W85" s="93">
        <f t="shared" si="113"/>
        <v>0</v>
      </c>
      <c r="X85" s="93">
        <f t="shared" si="114"/>
        <v>0</v>
      </c>
      <c r="Y85" s="93">
        <f t="shared" si="115"/>
        <v>0</v>
      </c>
      <c r="Z85" s="93">
        <f t="shared" si="116"/>
        <v>0</v>
      </c>
      <c r="AA85" s="93">
        <f t="shared" si="117"/>
        <v>0</v>
      </c>
      <c r="AB85" s="93">
        <f t="shared" si="118"/>
        <v>0</v>
      </c>
      <c r="AC85" s="93">
        <f t="shared" si="119"/>
        <v>0</v>
      </c>
      <c r="AD85" s="93">
        <f t="shared" si="120"/>
        <v>0</v>
      </c>
      <c r="AE85" s="93">
        <f t="shared" si="135"/>
        <v>0</v>
      </c>
      <c r="AF85" s="54">
        <f>AE85+'07.02'!AF85</f>
        <v>0</v>
      </c>
      <c r="AG85" s="94">
        <f t="shared" si="161"/>
        <v>0</v>
      </c>
      <c r="AH85" s="56">
        <f t="shared" si="136"/>
        <v>0</v>
      </c>
      <c r="AI85" s="93"/>
      <c r="AJ85" s="93">
        <f t="shared" si="162"/>
        <v>0</v>
      </c>
      <c r="AK85" s="95">
        <f t="shared" si="137"/>
        <v>1</v>
      </c>
      <c r="AL85" s="58">
        <f t="shared" si="173"/>
        <v>0</v>
      </c>
      <c r="AM85" s="55">
        <f t="shared" si="163"/>
        <v>0</v>
      </c>
      <c r="AN85" s="93"/>
      <c r="AO85" s="96">
        <f>$CJ85</f>
        <v>0</v>
      </c>
      <c r="AP85" s="96"/>
      <c r="AQ85" s="96"/>
      <c r="AR85" s="96"/>
      <c r="AS85" s="96"/>
      <c r="AT85" s="96"/>
      <c r="AU85" s="96">
        <f t="shared" si="138"/>
        <v>0</v>
      </c>
      <c r="AV85" s="96">
        <f t="shared" si="138"/>
        <v>0</v>
      </c>
      <c r="AW85" s="96">
        <f t="shared" si="139"/>
        <v>0</v>
      </c>
      <c r="AX85" s="96">
        <f t="shared" si="140"/>
        <v>0</v>
      </c>
      <c r="AY85" s="94">
        <f t="shared" si="164"/>
        <v>0</v>
      </c>
      <c r="AZ85" s="94">
        <f t="shared" si="141"/>
        <v>0</v>
      </c>
      <c r="BA85" s="94">
        <f t="shared" si="170"/>
        <v>0</v>
      </c>
      <c r="BB85" s="97">
        <f t="shared" si="171"/>
        <v>0</v>
      </c>
      <c r="BC85" s="93"/>
      <c r="BD85" s="93">
        <f t="shared" si="142"/>
        <v>0</v>
      </c>
      <c r="BE85" s="95">
        <f t="shared" si="143"/>
        <v>1</v>
      </c>
      <c r="BF85" s="58">
        <f t="shared" si="174"/>
        <v>0</v>
      </c>
      <c r="BG85" s="94">
        <f t="shared" si="144"/>
        <v>0</v>
      </c>
      <c r="BH85" s="89"/>
      <c r="BI85" s="92">
        <f>$CN85</f>
        <v>0</v>
      </c>
      <c r="BJ85" s="92"/>
      <c r="BK85" s="89"/>
      <c r="BL85" s="92"/>
      <c r="BM85" s="89"/>
      <c r="BN85" s="92"/>
      <c r="BO85" s="92">
        <f t="shared" si="165"/>
        <v>0</v>
      </c>
      <c r="BP85" s="92">
        <f t="shared" si="165"/>
        <v>0</v>
      </c>
      <c r="BQ85" s="96">
        <f t="shared" si="145"/>
        <v>0</v>
      </c>
      <c r="BR85" s="96">
        <f t="shared" si="146"/>
        <v>0</v>
      </c>
      <c r="BS85" s="96">
        <f t="shared" si="166"/>
        <v>0</v>
      </c>
      <c r="BT85" s="96">
        <f t="shared" si="147"/>
        <v>0</v>
      </c>
      <c r="BU85" s="92">
        <f t="shared" si="121"/>
        <v>0</v>
      </c>
      <c r="BV85" s="98">
        <f t="shared" si="167"/>
        <v>0</v>
      </c>
      <c r="BW85" s="92">
        <f t="shared" si="122"/>
        <v>0</v>
      </c>
      <c r="BX85" s="98">
        <f t="shared" si="148"/>
        <v>0</v>
      </c>
      <c r="BY85" s="61">
        <f t="shared" si="172"/>
        <v>0</v>
      </c>
      <c r="BZ85" s="62">
        <f t="shared" si="149"/>
        <v>0</v>
      </c>
      <c r="CA85" s="98">
        <f t="shared" si="150"/>
        <v>0</v>
      </c>
      <c r="CB85" s="92">
        <f t="shared" si="123"/>
        <v>0</v>
      </c>
      <c r="CC85" s="92">
        <f t="shared" si="123"/>
        <v>0</v>
      </c>
      <c r="CD85" s="92">
        <f t="shared" si="123"/>
        <v>0</v>
      </c>
      <c r="CE85" s="99"/>
      <c r="CF85" s="99"/>
      <c r="CG85" s="51">
        <f t="shared" si="151"/>
        <v>0</v>
      </c>
      <c r="CH85" s="62">
        <f t="shared" si="152"/>
        <v>0</v>
      </c>
      <c r="CI85" s="89"/>
      <c r="CJ85" s="89"/>
      <c r="CK85" s="89"/>
      <c r="CL85" s="96"/>
      <c r="CM85" s="89"/>
      <c r="CN85" s="89"/>
      <c r="CO85" s="92"/>
      <c r="CP85" s="101"/>
      <c r="CQ85" s="102">
        <f t="shared" si="100"/>
        <v>0</v>
      </c>
      <c r="CR85" s="102">
        <f t="shared" si="100"/>
        <v>0</v>
      </c>
      <c r="CS85" s="102">
        <f t="shared" si="100"/>
        <v>0</v>
      </c>
      <c r="CT85" s="92">
        <f t="shared" si="153"/>
        <v>0</v>
      </c>
      <c r="CU85" s="92">
        <f t="shared" si="101"/>
        <v>0</v>
      </c>
      <c r="CV85" s="103">
        <f t="shared" si="101"/>
        <v>0</v>
      </c>
      <c r="CW85" s="104"/>
      <c r="CX85" s="105">
        <v>100</v>
      </c>
      <c r="CY85" s="106">
        <f t="shared" si="154"/>
        <v>414</v>
      </c>
      <c r="CZ85" s="106">
        <f t="shared" si="155"/>
        <v>810</v>
      </c>
      <c r="DA85" s="106"/>
      <c r="DB85" s="106"/>
      <c r="DC85" s="105"/>
      <c r="DD85" s="107"/>
      <c r="DE85" s="92">
        <f t="shared" si="124"/>
        <v>0</v>
      </c>
      <c r="DF85" s="108">
        <f t="shared" si="125"/>
        <v>0</v>
      </c>
      <c r="DG85" s="115">
        <f t="shared" si="126"/>
        <v>0</v>
      </c>
      <c r="DH85" s="110">
        <f t="shared" si="127"/>
        <v>0</v>
      </c>
      <c r="DI85" s="108">
        <f t="shared" si="128"/>
        <v>0</v>
      </c>
      <c r="DJ85" s="112">
        <f t="shared" si="129"/>
        <v>0</v>
      </c>
      <c r="DK85" s="110">
        <f t="shared" si="86"/>
        <v>0</v>
      </c>
      <c r="DL85" s="108">
        <f t="shared" si="86"/>
        <v>0</v>
      </c>
      <c r="DM85" s="111">
        <f t="shared" si="86"/>
        <v>0</v>
      </c>
      <c r="DN85" s="76">
        <f t="shared" si="175"/>
        <v>0</v>
      </c>
      <c r="DO85" s="76">
        <f t="shared" si="175"/>
        <v>0</v>
      </c>
      <c r="DP85" s="112"/>
      <c r="DQ85" s="112"/>
      <c r="DR85" s="113"/>
      <c r="DS85" s="112"/>
      <c r="DT85" s="112"/>
      <c r="DU85" s="111"/>
      <c r="DV85" s="114"/>
      <c r="DW85" s="80">
        <f t="shared" si="156"/>
        <v>0</v>
      </c>
      <c r="DX85" s="81">
        <f t="shared" si="130"/>
        <v>0</v>
      </c>
      <c r="DY85" s="80">
        <f t="shared" si="157"/>
        <v>0</v>
      </c>
      <c r="DZ85" s="82">
        <f t="shared" si="158"/>
        <v>0</v>
      </c>
      <c r="EA85" s="82">
        <f t="shared" si="159"/>
        <v>0</v>
      </c>
      <c r="EB85" s="82">
        <f t="shared" si="160"/>
        <v>0</v>
      </c>
      <c r="EC85" s="82">
        <f t="shared" ref="EC85:EC86" si="180">(BX85-CA85)+((AV85+BP85)/1000)</f>
        <v>0</v>
      </c>
      <c r="EF85" s="83">
        <f t="shared" si="106"/>
        <v>0</v>
      </c>
    </row>
    <row r="86" spans="1:136">
      <c r="A86" s="84">
        <v>79</v>
      </c>
      <c r="B86" s="85" t="s">
        <v>358</v>
      </c>
      <c r="C86" s="86"/>
      <c r="D86" s="87" t="s">
        <v>359</v>
      </c>
      <c r="E86" s="88">
        <v>64</v>
      </c>
      <c r="F86" s="89" t="s">
        <v>191</v>
      </c>
      <c r="G86" s="45" t="str">
        <f t="shared" si="131"/>
        <v>TVSUS303Cu-24x2.5-H9A15</v>
      </c>
      <c r="H86" s="46" t="str">
        <f t="shared" si="132"/>
        <v>SUS303CuTV240DH9</v>
      </c>
      <c r="I86" s="46" t="str">
        <f t="shared" si="133"/>
        <v>SUS303CuTV240DH92.5A15</v>
      </c>
      <c r="J86" s="90" t="s">
        <v>238</v>
      </c>
      <c r="K86" s="90" t="s">
        <v>138</v>
      </c>
      <c r="L86" s="90">
        <v>24</v>
      </c>
      <c r="M86" s="90">
        <v>0</v>
      </c>
      <c r="N86" s="90" t="s">
        <v>128</v>
      </c>
      <c r="O86" s="90" t="s">
        <v>131</v>
      </c>
      <c r="P86" s="90">
        <v>2.5</v>
      </c>
      <c r="Q86" s="91">
        <v>9.0500000000000007</v>
      </c>
      <c r="R86" s="90" t="s">
        <v>164</v>
      </c>
      <c r="S86" s="89">
        <f t="shared" si="134"/>
        <v>16</v>
      </c>
      <c r="T86" s="51">
        <f>'07.02'!BG86</f>
        <v>5</v>
      </c>
      <c r="U86" s="92"/>
      <c r="V86" s="100">
        <v>59.75</v>
      </c>
      <c r="W86" s="93">
        <f t="shared" si="113"/>
        <v>0</v>
      </c>
      <c r="X86" s="93">
        <f t="shared" si="114"/>
        <v>0</v>
      </c>
      <c r="Y86" s="93">
        <f t="shared" si="115"/>
        <v>0</v>
      </c>
      <c r="Z86" s="93">
        <f t="shared" si="116"/>
        <v>0</v>
      </c>
      <c r="AA86" s="93">
        <f t="shared" si="117"/>
        <v>0</v>
      </c>
      <c r="AB86" s="93">
        <f t="shared" si="118"/>
        <v>0</v>
      </c>
      <c r="AC86" s="93">
        <f t="shared" si="119"/>
        <v>0</v>
      </c>
      <c r="AD86" s="93">
        <f t="shared" si="120"/>
        <v>0</v>
      </c>
      <c r="AE86" s="93">
        <f t="shared" si="135"/>
        <v>0</v>
      </c>
      <c r="AF86" s="54">
        <f>AE86+'07.02'!AF86</f>
        <v>1019</v>
      </c>
      <c r="AG86" s="94">
        <f t="shared" si="161"/>
        <v>5</v>
      </c>
      <c r="AH86" s="56">
        <f t="shared" si="136"/>
        <v>0</v>
      </c>
      <c r="AI86" s="93"/>
      <c r="AJ86" s="93">
        <f t="shared" si="162"/>
        <v>0</v>
      </c>
      <c r="AK86" s="95">
        <f t="shared" si="137"/>
        <v>1</v>
      </c>
      <c r="AL86" s="58">
        <f t="shared" si="173"/>
        <v>0</v>
      </c>
      <c r="AM86" s="55">
        <f t="shared" si="163"/>
        <v>5</v>
      </c>
      <c r="AN86" s="93"/>
      <c r="AO86" s="96">
        <f>$CJ86</f>
        <v>0</v>
      </c>
      <c r="AP86" s="96"/>
      <c r="AQ86" s="96"/>
      <c r="AR86" s="96"/>
      <c r="AS86" s="96"/>
      <c r="AT86" s="96"/>
      <c r="AU86" s="96">
        <f t="shared" si="138"/>
        <v>0</v>
      </c>
      <c r="AV86" s="96">
        <f t="shared" si="138"/>
        <v>0</v>
      </c>
      <c r="AW86" s="96">
        <f t="shared" si="139"/>
        <v>0</v>
      </c>
      <c r="AX86" s="96">
        <f t="shared" si="140"/>
        <v>0</v>
      </c>
      <c r="AY86" s="94">
        <f t="shared" si="164"/>
        <v>0</v>
      </c>
      <c r="AZ86" s="94">
        <f t="shared" si="141"/>
        <v>0</v>
      </c>
      <c r="BA86" s="94">
        <f t="shared" si="170"/>
        <v>5</v>
      </c>
      <c r="BB86" s="97">
        <f t="shared" si="171"/>
        <v>0</v>
      </c>
      <c r="BC86" s="93"/>
      <c r="BD86" s="93">
        <f t="shared" si="142"/>
        <v>0</v>
      </c>
      <c r="BE86" s="95">
        <f t="shared" si="143"/>
        <v>1</v>
      </c>
      <c r="BF86" s="58">
        <f t="shared" si="174"/>
        <v>0</v>
      </c>
      <c r="BG86" s="94">
        <f t="shared" si="144"/>
        <v>5</v>
      </c>
      <c r="BH86" s="89"/>
      <c r="BI86" s="92">
        <f>$CN86</f>
        <v>0</v>
      </c>
      <c r="BJ86" s="92"/>
      <c r="BK86" s="89"/>
      <c r="BL86" s="89"/>
      <c r="BM86" s="89"/>
      <c r="BN86" s="89"/>
      <c r="BO86" s="92">
        <f t="shared" si="165"/>
        <v>0</v>
      </c>
      <c r="BP86" s="92">
        <f t="shared" si="165"/>
        <v>0</v>
      </c>
      <c r="BQ86" s="96">
        <f t="shared" si="145"/>
        <v>0</v>
      </c>
      <c r="BR86" s="96">
        <f t="shared" si="146"/>
        <v>0</v>
      </c>
      <c r="BS86" s="96">
        <f t="shared" si="166"/>
        <v>0</v>
      </c>
      <c r="BT86" s="96">
        <f t="shared" si="147"/>
        <v>0</v>
      </c>
      <c r="BU86" s="92">
        <f t="shared" si="121"/>
        <v>0</v>
      </c>
      <c r="BV86" s="98">
        <f t="shared" si="167"/>
        <v>0</v>
      </c>
      <c r="BW86" s="92">
        <f t="shared" si="122"/>
        <v>0</v>
      </c>
      <c r="BX86" s="98">
        <f t="shared" si="148"/>
        <v>0</v>
      </c>
      <c r="BY86" s="61">
        <f t="shared" si="172"/>
        <v>0</v>
      </c>
      <c r="BZ86" s="62">
        <f t="shared" si="149"/>
        <v>0</v>
      </c>
      <c r="CA86" s="98">
        <f t="shared" si="150"/>
        <v>0</v>
      </c>
      <c r="CB86" s="92">
        <f t="shared" si="123"/>
        <v>0</v>
      </c>
      <c r="CC86" s="92">
        <f t="shared" si="123"/>
        <v>0</v>
      </c>
      <c r="CD86" s="92">
        <f t="shared" si="123"/>
        <v>0</v>
      </c>
      <c r="CE86" s="99"/>
      <c r="CF86" s="99"/>
      <c r="CG86" s="51">
        <f t="shared" si="151"/>
        <v>0</v>
      </c>
      <c r="CH86" s="62">
        <f t="shared" si="152"/>
        <v>0</v>
      </c>
      <c r="CI86" s="89"/>
      <c r="CJ86" s="89"/>
      <c r="CK86" s="89"/>
      <c r="CL86" s="96"/>
      <c r="CM86" s="89"/>
      <c r="CN86" s="89"/>
      <c r="CO86" s="92"/>
      <c r="CP86" s="101"/>
      <c r="CQ86" s="102">
        <f t="shared" si="100"/>
        <v>0</v>
      </c>
      <c r="CR86" s="102">
        <f t="shared" si="100"/>
        <v>0</v>
      </c>
      <c r="CS86" s="102">
        <f t="shared" si="100"/>
        <v>0</v>
      </c>
      <c r="CT86" s="92">
        <f t="shared" si="153"/>
        <v>0</v>
      </c>
      <c r="CU86" s="92">
        <f t="shared" si="101"/>
        <v>0</v>
      </c>
      <c r="CV86" s="103">
        <f t="shared" si="101"/>
        <v>0</v>
      </c>
      <c r="CW86" s="104"/>
      <c r="CX86" s="105">
        <v>80</v>
      </c>
      <c r="CY86" s="106">
        <f t="shared" si="154"/>
        <v>506</v>
      </c>
      <c r="CZ86" s="106">
        <f t="shared" si="155"/>
        <v>648</v>
      </c>
      <c r="DA86" s="106"/>
      <c r="DB86" s="106"/>
      <c r="DC86" s="105"/>
      <c r="DD86" s="107"/>
      <c r="DE86" s="92">
        <f t="shared" si="124"/>
        <v>0</v>
      </c>
      <c r="DF86" s="108">
        <f t="shared" si="125"/>
        <v>0</v>
      </c>
      <c r="DG86" s="115">
        <f t="shared" si="126"/>
        <v>0</v>
      </c>
      <c r="DH86" s="110">
        <f t="shared" si="127"/>
        <v>0</v>
      </c>
      <c r="DI86" s="108">
        <f t="shared" si="128"/>
        <v>0</v>
      </c>
      <c r="DJ86" s="112">
        <f t="shared" si="129"/>
        <v>0</v>
      </c>
      <c r="DK86" s="110">
        <f t="shared" si="86"/>
        <v>0</v>
      </c>
      <c r="DL86" s="108">
        <f t="shared" si="86"/>
        <v>0</v>
      </c>
      <c r="DM86" s="111">
        <f t="shared" si="86"/>
        <v>0</v>
      </c>
      <c r="DN86" s="76">
        <v>7</v>
      </c>
      <c r="DO86" s="76"/>
      <c r="DP86" s="112"/>
      <c r="DQ86" s="112"/>
      <c r="DR86" s="113" t="s">
        <v>565</v>
      </c>
      <c r="DS86" s="112"/>
      <c r="DT86" s="112"/>
      <c r="DU86" s="111"/>
      <c r="DV86" s="114"/>
      <c r="DW86" s="80">
        <f>IFERROR(AL86+BF86,"")</f>
        <v>0</v>
      </c>
      <c r="DX86" s="81">
        <f t="shared" si="130"/>
        <v>0</v>
      </c>
      <c r="DY86" s="80">
        <f t="shared" si="157"/>
        <v>0</v>
      </c>
      <c r="DZ86" s="82">
        <f t="shared" si="158"/>
        <v>0</v>
      </c>
      <c r="EA86" s="82">
        <f t="shared" si="159"/>
        <v>0</v>
      </c>
      <c r="EB86" s="82">
        <f t="shared" si="160"/>
        <v>0</v>
      </c>
      <c r="EC86" s="82">
        <f t="shared" si="180"/>
        <v>0</v>
      </c>
      <c r="EF86" s="83">
        <f t="shared" si="106"/>
        <v>0</v>
      </c>
    </row>
    <row r="87" spans="1:136">
      <c r="A87" s="84">
        <v>80</v>
      </c>
      <c r="B87" s="85" t="s">
        <v>361</v>
      </c>
      <c r="C87" s="86"/>
      <c r="D87" s="116" t="s">
        <v>362</v>
      </c>
      <c r="E87" s="88">
        <v>224</v>
      </c>
      <c r="F87" s="89" t="s">
        <v>191</v>
      </c>
      <c r="G87" s="45" t="str">
        <f t="shared" si="131"/>
        <v>TVSUS303-7.5x2.5-H9A14</v>
      </c>
      <c r="H87" s="46" t="str">
        <f t="shared" si="132"/>
        <v>SUS303TV7.50DH9</v>
      </c>
      <c r="I87" s="46" t="str">
        <f t="shared" si="133"/>
        <v>SUS303TV7.50DH92.5A14</v>
      </c>
      <c r="J87" s="160" t="s">
        <v>226</v>
      </c>
      <c r="K87" s="160" t="s">
        <v>138</v>
      </c>
      <c r="L87" s="160">
        <v>7.5</v>
      </c>
      <c r="M87" s="160">
        <v>0</v>
      </c>
      <c r="N87" s="160" t="s">
        <v>128</v>
      </c>
      <c r="O87" s="160" t="s">
        <v>131</v>
      </c>
      <c r="P87" s="160">
        <v>2.5</v>
      </c>
      <c r="Q87" s="161">
        <v>0.55400000000000005</v>
      </c>
      <c r="R87" s="160" t="s">
        <v>139</v>
      </c>
      <c r="S87" s="89">
        <f t="shared" si="134"/>
        <v>2</v>
      </c>
      <c r="T87" s="51">
        <f>'07.02'!BG87</f>
        <v>7</v>
      </c>
      <c r="U87" s="92"/>
      <c r="V87" s="100">
        <v>0.7</v>
      </c>
      <c r="W87" s="93">
        <f t="shared" si="113"/>
        <v>0</v>
      </c>
      <c r="X87" s="93">
        <f t="shared" si="114"/>
        <v>0</v>
      </c>
      <c r="Y87" s="93">
        <f t="shared" si="115"/>
        <v>0</v>
      </c>
      <c r="Z87" s="93">
        <f t="shared" si="116"/>
        <v>0</v>
      </c>
      <c r="AA87" s="93">
        <f t="shared" si="117"/>
        <v>0</v>
      </c>
      <c r="AB87" s="93">
        <f t="shared" si="118"/>
        <v>0</v>
      </c>
      <c r="AC87" s="93">
        <f t="shared" si="119"/>
        <v>0</v>
      </c>
      <c r="AD87" s="93">
        <f t="shared" si="120"/>
        <v>0</v>
      </c>
      <c r="AE87" s="93">
        <f t="shared" si="135"/>
        <v>0</v>
      </c>
      <c r="AF87" s="54">
        <f>AE87+'07.02'!AF87</f>
        <v>5658</v>
      </c>
      <c r="AG87" s="94">
        <f t="shared" si="161"/>
        <v>7</v>
      </c>
      <c r="AH87" s="56">
        <f t="shared" si="136"/>
        <v>0</v>
      </c>
      <c r="AI87" s="93"/>
      <c r="AJ87" s="93">
        <f t="shared" si="162"/>
        <v>0</v>
      </c>
      <c r="AK87" s="95">
        <f t="shared" si="137"/>
        <v>1</v>
      </c>
      <c r="AL87" s="58">
        <f t="shared" si="173"/>
        <v>0</v>
      </c>
      <c r="AM87" s="55">
        <f t="shared" si="163"/>
        <v>7</v>
      </c>
      <c r="AN87" s="93"/>
      <c r="AO87" s="96"/>
      <c r="AP87" s="96"/>
      <c r="AQ87" s="96"/>
      <c r="AR87" s="96"/>
      <c r="AS87" s="96"/>
      <c r="AT87" s="96">
        <f>$CJ87</f>
        <v>0</v>
      </c>
      <c r="AU87" s="96">
        <f t="shared" si="138"/>
        <v>0</v>
      </c>
      <c r="AV87" s="96">
        <f t="shared" si="138"/>
        <v>0</v>
      </c>
      <c r="AW87" s="96">
        <f t="shared" si="139"/>
        <v>0</v>
      </c>
      <c r="AX87" s="96">
        <f t="shared" si="140"/>
        <v>0</v>
      </c>
      <c r="AY87" s="94">
        <f t="shared" si="164"/>
        <v>0</v>
      </c>
      <c r="AZ87" s="94">
        <f t="shared" si="141"/>
        <v>0</v>
      </c>
      <c r="BA87" s="94">
        <f t="shared" si="170"/>
        <v>7</v>
      </c>
      <c r="BB87" s="97">
        <f t="shared" si="171"/>
        <v>0</v>
      </c>
      <c r="BC87" s="93"/>
      <c r="BD87" s="93">
        <f t="shared" si="142"/>
        <v>0</v>
      </c>
      <c r="BE87" s="95">
        <f t="shared" si="143"/>
        <v>1</v>
      </c>
      <c r="BF87" s="58">
        <f t="shared" si="174"/>
        <v>0</v>
      </c>
      <c r="BG87" s="94">
        <f t="shared" si="144"/>
        <v>7</v>
      </c>
      <c r="BH87" s="89"/>
      <c r="BI87" s="89"/>
      <c r="BJ87" s="92"/>
      <c r="BK87" s="89"/>
      <c r="BL87" s="89"/>
      <c r="BM87" s="89"/>
      <c r="BN87" s="92">
        <f>$CN87</f>
        <v>0</v>
      </c>
      <c r="BO87" s="92">
        <f t="shared" si="165"/>
        <v>0</v>
      </c>
      <c r="BP87" s="92">
        <f t="shared" si="165"/>
        <v>0</v>
      </c>
      <c r="BQ87" s="96">
        <f t="shared" si="145"/>
        <v>0</v>
      </c>
      <c r="BR87" s="96">
        <f t="shared" si="146"/>
        <v>0</v>
      </c>
      <c r="BS87" s="96">
        <f t="shared" si="166"/>
        <v>0</v>
      </c>
      <c r="BT87" s="96">
        <f t="shared" si="147"/>
        <v>0</v>
      </c>
      <c r="BU87" s="92">
        <f t="shared" si="121"/>
        <v>0</v>
      </c>
      <c r="BV87" s="98">
        <f t="shared" si="167"/>
        <v>0</v>
      </c>
      <c r="BW87" s="92">
        <f t="shared" si="122"/>
        <v>0</v>
      </c>
      <c r="BX87" s="98">
        <f t="shared" si="148"/>
        <v>0</v>
      </c>
      <c r="BY87" s="61">
        <f t="shared" si="172"/>
        <v>0</v>
      </c>
      <c r="BZ87" s="62">
        <f t="shared" si="149"/>
        <v>0</v>
      </c>
      <c r="CA87" s="98">
        <f t="shared" si="150"/>
        <v>0</v>
      </c>
      <c r="CB87" s="92">
        <f t="shared" si="123"/>
        <v>0</v>
      </c>
      <c r="CC87" s="92">
        <f t="shared" si="123"/>
        <v>0</v>
      </c>
      <c r="CD87" s="92">
        <f t="shared" si="123"/>
        <v>0</v>
      </c>
      <c r="CE87" s="99"/>
      <c r="CF87" s="99"/>
      <c r="CG87" s="51">
        <f t="shared" si="151"/>
        <v>0</v>
      </c>
      <c r="CH87" s="62">
        <f t="shared" si="152"/>
        <v>0</v>
      </c>
      <c r="CI87" s="89"/>
      <c r="CJ87" s="89"/>
      <c r="CK87" s="89"/>
      <c r="CL87" s="96"/>
      <c r="CM87" s="89"/>
      <c r="CN87" s="89"/>
      <c r="CO87" s="92"/>
      <c r="CP87" s="101"/>
      <c r="CQ87" s="102">
        <f t="shared" si="100"/>
        <v>0</v>
      </c>
      <c r="CR87" s="102">
        <f t="shared" si="100"/>
        <v>0</v>
      </c>
      <c r="CS87" s="102">
        <f t="shared" si="100"/>
        <v>0</v>
      </c>
      <c r="CT87" s="92">
        <f t="shared" si="153"/>
        <v>0</v>
      </c>
      <c r="CU87" s="92">
        <f t="shared" si="101"/>
        <v>0</v>
      </c>
      <c r="CV87" s="103">
        <f t="shared" si="101"/>
        <v>0</v>
      </c>
      <c r="CW87" s="104"/>
      <c r="CX87" s="105">
        <v>134</v>
      </c>
      <c r="CY87" s="106">
        <f t="shared" si="154"/>
        <v>317</v>
      </c>
      <c r="CZ87" s="106">
        <f t="shared" si="155"/>
        <v>1085.4000000000001</v>
      </c>
      <c r="DA87" s="106"/>
      <c r="DB87" s="106"/>
      <c r="DC87" s="105"/>
      <c r="DD87" s="107"/>
      <c r="DE87" s="92">
        <f t="shared" si="124"/>
        <v>0</v>
      </c>
      <c r="DF87" s="108">
        <f t="shared" si="125"/>
        <v>0</v>
      </c>
      <c r="DG87" s="115">
        <f t="shared" si="126"/>
        <v>0</v>
      </c>
      <c r="DH87" s="110">
        <f t="shared" si="127"/>
        <v>0</v>
      </c>
      <c r="DI87" s="108">
        <f t="shared" si="128"/>
        <v>0</v>
      </c>
      <c r="DJ87" s="112">
        <f t="shared" si="129"/>
        <v>0</v>
      </c>
      <c r="DK87" s="110">
        <f t="shared" si="86"/>
        <v>0</v>
      </c>
      <c r="DL87" s="108">
        <f t="shared" si="86"/>
        <v>0</v>
      </c>
      <c r="DM87" s="111">
        <f t="shared" si="86"/>
        <v>0</v>
      </c>
      <c r="DN87" s="76">
        <v>3</v>
      </c>
      <c r="DO87" s="76"/>
      <c r="DP87" s="112"/>
      <c r="DQ87" s="112"/>
      <c r="DR87" s="113" t="s">
        <v>566</v>
      </c>
      <c r="DS87" s="112"/>
      <c r="DT87" s="112"/>
      <c r="DU87" s="111"/>
      <c r="DV87" s="114"/>
      <c r="DW87" s="80">
        <f t="shared" si="156"/>
        <v>0</v>
      </c>
      <c r="DX87" s="81">
        <f t="shared" si="130"/>
        <v>0</v>
      </c>
      <c r="DY87" s="80">
        <f t="shared" si="157"/>
        <v>0</v>
      </c>
      <c r="DZ87" s="82">
        <f t="shared" si="158"/>
        <v>0</v>
      </c>
      <c r="EA87" s="82">
        <f t="shared" si="159"/>
        <v>0</v>
      </c>
      <c r="EB87" s="82">
        <f t="shared" si="160"/>
        <v>0</v>
      </c>
      <c r="EC87" s="82">
        <f t="shared" si="178"/>
        <v>0</v>
      </c>
      <c r="EF87" s="83">
        <f t="shared" si="106"/>
        <v>0</v>
      </c>
    </row>
    <row r="88" spans="1:136" ht="15" hidden="1" customHeight="1">
      <c r="A88" s="84">
        <v>81</v>
      </c>
      <c r="B88" s="85" t="s">
        <v>364</v>
      </c>
      <c r="C88" s="86"/>
      <c r="D88" s="87" t="s">
        <v>365</v>
      </c>
      <c r="E88" s="88">
        <v>61</v>
      </c>
      <c r="F88" s="89" t="s">
        <v>191</v>
      </c>
      <c r="G88" s="45" t="str">
        <f t="shared" si="131"/>
        <v>MESUS303-8x3-H7C14</v>
      </c>
      <c r="H88" s="46" t="str">
        <f t="shared" si="132"/>
        <v>SUS303ME80DH7</v>
      </c>
      <c r="I88" s="46" t="str">
        <f t="shared" si="133"/>
        <v>SUS303ME80DH73C14</v>
      </c>
      <c r="J88" s="90" t="s">
        <v>226</v>
      </c>
      <c r="K88" s="90" t="s">
        <v>227</v>
      </c>
      <c r="L88" s="90">
        <v>8</v>
      </c>
      <c r="M88" s="90">
        <v>0</v>
      </c>
      <c r="N88" s="90" t="s">
        <v>128</v>
      </c>
      <c r="O88" s="90" t="s">
        <v>154</v>
      </c>
      <c r="P88" s="90">
        <v>3</v>
      </c>
      <c r="Q88" s="91">
        <v>1.1919999999999999</v>
      </c>
      <c r="R88" s="90" t="s">
        <v>144</v>
      </c>
      <c r="S88" s="89">
        <f t="shared" si="134"/>
        <v>22</v>
      </c>
      <c r="T88" s="51">
        <f>'07.02'!BG88</f>
        <v>0</v>
      </c>
      <c r="U88" s="92"/>
      <c r="V88" s="100">
        <v>15.11</v>
      </c>
      <c r="W88" s="93">
        <f t="shared" si="113"/>
        <v>0</v>
      </c>
      <c r="X88" s="93">
        <f t="shared" si="114"/>
        <v>0</v>
      </c>
      <c r="Y88" s="93">
        <f t="shared" si="115"/>
        <v>0</v>
      </c>
      <c r="Z88" s="93">
        <f t="shared" si="116"/>
        <v>0</v>
      </c>
      <c r="AA88" s="93">
        <f t="shared" si="117"/>
        <v>0</v>
      </c>
      <c r="AB88" s="93">
        <f t="shared" si="118"/>
        <v>0</v>
      </c>
      <c r="AC88" s="93">
        <f t="shared" si="119"/>
        <v>0</v>
      </c>
      <c r="AD88" s="93">
        <f t="shared" si="120"/>
        <v>0</v>
      </c>
      <c r="AE88" s="93">
        <f t="shared" si="135"/>
        <v>0</v>
      </c>
      <c r="AF88" s="54">
        <f>AE88+'07.02'!AF88</f>
        <v>0</v>
      </c>
      <c r="AG88" s="94">
        <f t="shared" si="161"/>
        <v>0</v>
      </c>
      <c r="AH88" s="56">
        <f t="shared" si="136"/>
        <v>0</v>
      </c>
      <c r="AI88" s="93"/>
      <c r="AJ88" s="93">
        <f t="shared" si="162"/>
        <v>0</v>
      </c>
      <c r="AK88" s="95">
        <f t="shared" si="137"/>
        <v>1</v>
      </c>
      <c r="AL88" s="58">
        <f t="shared" si="173"/>
        <v>0</v>
      </c>
      <c r="AM88" s="55">
        <f t="shared" si="163"/>
        <v>0</v>
      </c>
      <c r="AN88" s="93"/>
      <c r="AO88" s="96">
        <f>$CJ88</f>
        <v>0</v>
      </c>
      <c r="AP88" s="96"/>
      <c r="AQ88" s="96"/>
      <c r="AR88" s="96"/>
      <c r="AS88" s="96"/>
      <c r="AT88" s="96"/>
      <c r="AU88" s="96">
        <f t="shared" si="138"/>
        <v>0</v>
      </c>
      <c r="AV88" s="96">
        <f t="shared" si="138"/>
        <v>0</v>
      </c>
      <c r="AW88" s="96">
        <f t="shared" si="139"/>
        <v>0</v>
      </c>
      <c r="AX88" s="96">
        <f t="shared" si="140"/>
        <v>0</v>
      </c>
      <c r="AY88" s="94">
        <f t="shared" si="164"/>
        <v>0</v>
      </c>
      <c r="AZ88" s="94">
        <f t="shared" si="141"/>
        <v>0</v>
      </c>
      <c r="BA88" s="94">
        <f t="shared" si="170"/>
        <v>0</v>
      </c>
      <c r="BB88" s="97">
        <f t="shared" si="171"/>
        <v>0</v>
      </c>
      <c r="BC88" s="93"/>
      <c r="BD88" s="93">
        <f t="shared" si="142"/>
        <v>0</v>
      </c>
      <c r="BE88" s="95">
        <f t="shared" si="143"/>
        <v>1</v>
      </c>
      <c r="BF88" s="58">
        <f t="shared" si="174"/>
        <v>0</v>
      </c>
      <c r="BG88" s="94">
        <f t="shared" si="144"/>
        <v>0</v>
      </c>
      <c r="BH88" s="89"/>
      <c r="BI88" s="92">
        <f>$CN88</f>
        <v>0</v>
      </c>
      <c r="BJ88" s="92"/>
      <c r="BK88" s="89"/>
      <c r="BL88" s="89"/>
      <c r="BM88" s="92"/>
      <c r="BN88" s="92"/>
      <c r="BO88" s="92">
        <f t="shared" si="165"/>
        <v>0</v>
      </c>
      <c r="BP88" s="92">
        <f t="shared" si="165"/>
        <v>0</v>
      </c>
      <c r="BQ88" s="96">
        <f t="shared" si="145"/>
        <v>0</v>
      </c>
      <c r="BR88" s="96">
        <f t="shared" si="146"/>
        <v>0</v>
      </c>
      <c r="BS88" s="96">
        <f t="shared" si="166"/>
        <v>0</v>
      </c>
      <c r="BT88" s="96">
        <f t="shared" si="147"/>
        <v>0</v>
      </c>
      <c r="BU88" s="92">
        <f t="shared" si="121"/>
        <v>0</v>
      </c>
      <c r="BV88" s="98">
        <f t="shared" si="167"/>
        <v>0</v>
      </c>
      <c r="BW88" s="92">
        <f t="shared" si="122"/>
        <v>0</v>
      </c>
      <c r="BX88" s="98">
        <f t="shared" si="148"/>
        <v>0</v>
      </c>
      <c r="BY88" s="61">
        <f t="shared" si="172"/>
        <v>0</v>
      </c>
      <c r="BZ88" s="62">
        <f t="shared" si="149"/>
        <v>0</v>
      </c>
      <c r="CA88" s="98">
        <f t="shared" si="150"/>
        <v>0</v>
      </c>
      <c r="CB88" s="92">
        <f t="shared" si="123"/>
        <v>0</v>
      </c>
      <c r="CC88" s="92">
        <f t="shared" si="123"/>
        <v>0</v>
      </c>
      <c r="CD88" s="92">
        <f t="shared" si="123"/>
        <v>0</v>
      </c>
      <c r="CE88" s="99"/>
      <c r="CF88" s="99"/>
      <c r="CG88" s="51">
        <f t="shared" si="151"/>
        <v>0</v>
      </c>
      <c r="CH88" s="62">
        <f t="shared" si="152"/>
        <v>0</v>
      </c>
      <c r="CI88" s="89"/>
      <c r="CJ88" s="89"/>
      <c r="CK88" s="89"/>
      <c r="CL88" s="96"/>
      <c r="CM88" s="89"/>
      <c r="CN88" s="89"/>
      <c r="CO88" s="92"/>
      <c r="CP88" s="101"/>
      <c r="CQ88" s="102">
        <f t="shared" si="100"/>
        <v>0</v>
      </c>
      <c r="CR88" s="102">
        <f t="shared" si="100"/>
        <v>0</v>
      </c>
      <c r="CS88" s="102">
        <f t="shared" si="100"/>
        <v>0</v>
      </c>
      <c r="CT88" s="92">
        <f t="shared" si="153"/>
        <v>0</v>
      </c>
      <c r="CU88" s="92">
        <f t="shared" si="101"/>
        <v>0</v>
      </c>
      <c r="CV88" s="103">
        <f t="shared" si="101"/>
        <v>0</v>
      </c>
      <c r="CW88" s="104"/>
      <c r="CX88" s="105">
        <v>61</v>
      </c>
      <c r="CY88" s="106">
        <f t="shared" si="154"/>
        <v>649</v>
      </c>
      <c r="CZ88" s="106">
        <f t="shared" si="155"/>
        <v>494.1</v>
      </c>
      <c r="DA88" s="106"/>
      <c r="DB88" s="106"/>
      <c r="DC88" s="105"/>
      <c r="DD88" s="107"/>
      <c r="DE88" s="92">
        <f t="shared" si="124"/>
        <v>0</v>
      </c>
      <c r="DF88" s="108">
        <f t="shared" si="125"/>
        <v>0</v>
      </c>
      <c r="DG88" s="115">
        <f t="shared" si="126"/>
        <v>0</v>
      </c>
      <c r="DH88" s="110">
        <f t="shared" si="127"/>
        <v>0</v>
      </c>
      <c r="DI88" s="108">
        <f t="shared" si="128"/>
        <v>0</v>
      </c>
      <c r="DJ88" s="112">
        <f t="shared" si="129"/>
        <v>0</v>
      </c>
      <c r="DK88" s="110">
        <f t="shared" ref="DK88:DM106" si="181">IFERROR(DE88+DH88,"")</f>
        <v>0</v>
      </c>
      <c r="DL88" s="108">
        <f t="shared" si="181"/>
        <v>0</v>
      </c>
      <c r="DM88" s="111">
        <f t="shared" si="181"/>
        <v>0</v>
      </c>
      <c r="DN88" s="76">
        <f t="shared" si="175"/>
        <v>0</v>
      </c>
      <c r="DO88" s="76">
        <f t="shared" si="175"/>
        <v>0</v>
      </c>
      <c r="DP88" s="112"/>
      <c r="DQ88" s="112"/>
      <c r="DR88" s="113"/>
      <c r="DS88" s="112"/>
      <c r="DT88" s="112"/>
      <c r="DU88" s="111"/>
      <c r="DV88" s="114"/>
      <c r="DW88" s="80">
        <f t="shared" si="156"/>
        <v>0</v>
      </c>
      <c r="DX88" s="81">
        <f t="shared" si="130"/>
        <v>0</v>
      </c>
      <c r="DY88" s="80">
        <f t="shared" si="157"/>
        <v>0</v>
      </c>
      <c r="DZ88" s="82">
        <f t="shared" si="158"/>
        <v>0</v>
      </c>
      <c r="EA88" s="82">
        <f t="shared" si="159"/>
        <v>0</v>
      </c>
      <c r="EB88" s="82">
        <f t="shared" si="160"/>
        <v>0</v>
      </c>
      <c r="EC88" s="82">
        <f t="shared" si="178"/>
        <v>0</v>
      </c>
      <c r="EF88" s="83">
        <f t="shared" si="106"/>
        <v>0</v>
      </c>
    </row>
    <row r="89" spans="1:136" ht="15" hidden="1" customHeight="1">
      <c r="A89" s="84">
        <v>82</v>
      </c>
      <c r="B89" s="85" t="s">
        <v>366</v>
      </c>
      <c r="C89" s="86"/>
      <c r="D89" s="87"/>
      <c r="E89" s="88"/>
      <c r="F89" s="89"/>
      <c r="G89" s="45" t="str">
        <f t="shared" si="131"/>
        <v>-xx-</v>
      </c>
      <c r="H89" s="46" t="str">
        <f t="shared" si="132"/>
        <v/>
      </c>
      <c r="I89" s="46" t="str">
        <f t="shared" si="133"/>
        <v/>
      </c>
      <c r="J89" s="90" t="s">
        <v>188</v>
      </c>
      <c r="K89" s="90"/>
      <c r="L89" s="90" t="s">
        <v>188</v>
      </c>
      <c r="M89" s="90" t="s">
        <v>188</v>
      </c>
      <c r="N89" s="90" t="s">
        <v>188</v>
      </c>
      <c r="O89" s="90" t="s">
        <v>188</v>
      </c>
      <c r="P89" s="90" t="str">
        <f>IFERROR(VLOOKUP(H89,#REF!,9,0),"")</f>
        <v/>
      </c>
      <c r="Q89" s="91" t="str">
        <f>IFERROR(VLOOKUP(I89,#REF!,10,0),"")</f>
        <v/>
      </c>
      <c r="R89" s="90"/>
      <c r="S89" s="89" t="e">
        <f t="shared" si="134"/>
        <v>#DIV/0!</v>
      </c>
      <c r="T89" s="51">
        <f>'07.02'!BG89</f>
        <v>0</v>
      </c>
      <c r="U89" s="92"/>
      <c r="V89" s="100">
        <v>1</v>
      </c>
      <c r="W89" s="93">
        <f t="shared" si="113"/>
        <v>0</v>
      </c>
      <c r="X89" s="93">
        <f t="shared" si="114"/>
        <v>0</v>
      </c>
      <c r="Y89" s="93">
        <f t="shared" si="115"/>
        <v>0</v>
      </c>
      <c r="Z89" s="93">
        <f t="shared" si="116"/>
        <v>0</v>
      </c>
      <c r="AA89" s="93">
        <f t="shared" si="117"/>
        <v>0</v>
      </c>
      <c r="AB89" s="93">
        <f t="shared" si="118"/>
        <v>0</v>
      </c>
      <c r="AC89" s="93">
        <f t="shared" si="119"/>
        <v>0</v>
      </c>
      <c r="AD89" s="93">
        <f t="shared" si="120"/>
        <v>0</v>
      </c>
      <c r="AE89" s="93">
        <f t="shared" si="135"/>
        <v>0</v>
      </c>
      <c r="AF89" s="54">
        <f>AE89+'07.02'!AF89</f>
        <v>0</v>
      </c>
      <c r="AG89" s="94">
        <f t="shared" si="161"/>
        <v>0</v>
      </c>
      <c r="AH89" s="56">
        <f t="shared" si="136"/>
        <v>0</v>
      </c>
      <c r="AI89" s="93"/>
      <c r="AJ89" s="93">
        <f t="shared" si="162"/>
        <v>0</v>
      </c>
      <c r="AK89" s="95">
        <f t="shared" si="137"/>
        <v>1</v>
      </c>
      <c r="AL89" s="58">
        <f t="shared" si="173"/>
        <v>0</v>
      </c>
      <c r="AM89" s="55">
        <f t="shared" si="163"/>
        <v>0</v>
      </c>
      <c r="AN89" s="93"/>
      <c r="AO89" s="96"/>
      <c r="AP89" s="96"/>
      <c r="AQ89" s="96"/>
      <c r="AR89" s="96"/>
      <c r="AS89" s="96"/>
      <c r="AT89" s="96"/>
      <c r="AU89" s="96">
        <f t="shared" si="138"/>
        <v>0</v>
      </c>
      <c r="AV89" s="96">
        <f t="shared" si="138"/>
        <v>0</v>
      </c>
      <c r="AW89" s="96">
        <f t="shared" si="139"/>
        <v>0</v>
      </c>
      <c r="AX89" s="96">
        <f t="shared" si="140"/>
        <v>0</v>
      </c>
      <c r="AY89" s="94">
        <f t="shared" si="164"/>
        <v>0</v>
      </c>
      <c r="AZ89" s="94">
        <f t="shared" si="141"/>
        <v>0</v>
      </c>
      <c r="BA89" s="94">
        <f t="shared" si="170"/>
        <v>0</v>
      </c>
      <c r="BB89" s="97">
        <f t="shared" si="171"/>
        <v>0</v>
      </c>
      <c r="BC89" s="93"/>
      <c r="BD89" s="93">
        <f t="shared" si="142"/>
        <v>0</v>
      </c>
      <c r="BE89" s="95">
        <f t="shared" si="143"/>
        <v>1</v>
      </c>
      <c r="BF89" s="58">
        <f t="shared" si="174"/>
        <v>0</v>
      </c>
      <c r="BG89" s="94">
        <f t="shared" si="144"/>
        <v>0</v>
      </c>
      <c r="BH89" s="89"/>
      <c r="BI89" s="89"/>
      <c r="BJ89" s="89"/>
      <c r="BK89" s="89"/>
      <c r="BL89" s="89"/>
      <c r="BM89" s="89"/>
      <c r="BN89" s="89"/>
      <c r="BO89" s="92">
        <f t="shared" si="165"/>
        <v>0</v>
      </c>
      <c r="BP89" s="92">
        <f t="shared" si="165"/>
        <v>0</v>
      </c>
      <c r="BQ89" s="96">
        <f t="shared" si="145"/>
        <v>0</v>
      </c>
      <c r="BR89" s="96">
        <f>IF(AA89="","",INT(BQ89/$V89))</f>
        <v>0</v>
      </c>
      <c r="BS89" s="96">
        <f t="shared" si="166"/>
        <v>0</v>
      </c>
      <c r="BT89" s="96">
        <f t="shared" si="147"/>
        <v>0</v>
      </c>
      <c r="BU89" s="92">
        <f t="shared" si="121"/>
        <v>0</v>
      </c>
      <c r="BV89" s="98">
        <f t="shared" si="167"/>
        <v>0</v>
      </c>
      <c r="BW89" s="92">
        <f t="shared" si="122"/>
        <v>0</v>
      </c>
      <c r="BX89" s="98" t="str">
        <f t="shared" si="148"/>
        <v/>
      </c>
      <c r="BY89" s="61">
        <f t="shared" si="172"/>
        <v>0</v>
      </c>
      <c r="BZ89" s="62">
        <f t="shared" si="149"/>
        <v>0</v>
      </c>
      <c r="CA89" s="98">
        <f t="shared" si="150"/>
        <v>0</v>
      </c>
      <c r="CB89" s="92">
        <f t="shared" si="123"/>
        <v>0</v>
      </c>
      <c r="CC89" s="92">
        <f t="shared" si="123"/>
        <v>0</v>
      </c>
      <c r="CD89" s="92">
        <f t="shared" si="123"/>
        <v>0</v>
      </c>
      <c r="CE89" s="99"/>
      <c r="CF89" s="99"/>
      <c r="CG89" s="51">
        <f t="shared" si="151"/>
        <v>0</v>
      </c>
      <c r="CH89" s="62">
        <f t="shared" si="152"/>
        <v>0</v>
      </c>
      <c r="CI89" s="89"/>
      <c r="CJ89" s="89"/>
      <c r="CK89" s="89"/>
      <c r="CL89" s="96"/>
      <c r="CM89" s="89"/>
      <c r="CN89" s="89"/>
      <c r="CO89" s="92"/>
      <c r="CP89" s="101"/>
      <c r="CQ89" s="102">
        <f t="shared" si="100"/>
        <v>0</v>
      </c>
      <c r="CR89" s="102">
        <f t="shared" si="100"/>
        <v>0</v>
      </c>
      <c r="CS89" s="102">
        <f t="shared" si="100"/>
        <v>0</v>
      </c>
      <c r="CT89" s="92">
        <f t="shared" si="153"/>
        <v>0</v>
      </c>
      <c r="CU89" s="92">
        <f t="shared" si="101"/>
        <v>0</v>
      </c>
      <c r="CV89" s="103">
        <f t="shared" si="101"/>
        <v>0</v>
      </c>
      <c r="CW89" s="104"/>
      <c r="CX89" s="105"/>
      <c r="CY89" s="106" t="e">
        <f t="shared" si="154"/>
        <v>#DIV/0!</v>
      </c>
      <c r="CZ89" s="106">
        <f t="shared" si="155"/>
        <v>0</v>
      </c>
      <c r="DA89" s="106"/>
      <c r="DB89" s="106"/>
      <c r="DC89" s="105"/>
      <c r="DD89" s="107"/>
      <c r="DE89" s="92">
        <f t="shared" si="124"/>
        <v>0</v>
      </c>
      <c r="DF89" s="108">
        <f t="shared" si="125"/>
        <v>0</v>
      </c>
      <c r="DG89" s="115">
        <f t="shared" si="126"/>
        <v>0</v>
      </c>
      <c r="DH89" s="110">
        <f t="shared" si="127"/>
        <v>0</v>
      </c>
      <c r="DI89" s="108">
        <f t="shared" si="128"/>
        <v>0</v>
      </c>
      <c r="DJ89" s="112">
        <f t="shared" si="129"/>
        <v>0</v>
      </c>
      <c r="DK89" s="110">
        <f t="shared" si="181"/>
        <v>0</v>
      </c>
      <c r="DL89" s="108">
        <f t="shared" si="181"/>
        <v>0</v>
      </c>
      <c r="DM89" s="111">
        <f t="shared" si="181"/>
        <v>0</v>
      </c>
      <c r="DN89" s="76">
        <f t="shared" si="175"/>
        <v>0</v>
      </c>
      <c r="DO89" s="76">
        <f t="shared" si="175"/>
        <v>0</v>
      </c>
      <c r="DP89" s="112"/>
      <c r="DQ89" s="112"/>
      <c r="DR89" s="113"/>
      <c r="DS89" s="112"/>
      <c r="DT89" s="112"/>
      <c r="DU89" s="111"/>
      <c r="DV89" s="114"/>
      <c r="DW89" s="80">
        <f t="shared" si="156"/>
        <v>0</v>
      </c>
      <c r="DX89" s="81">
        <f t="shared" si="130"/>
        <v>0</v>
      </c>
      <c r="DY89" s="80">
        <f t="shared" si="157"/>
        <v>0</v>
      </c>
      <c r="DZ89" s="82">
        <f t="shared" si="158"/>
        <v>0</v>
      </c>
      <c r="EA89" s="82">
        <f t="shared" si="159"/>
        <v>0</v>
      </c>
      <c r="EB89" s="82" t="e">
        <f t="shared" si="160"/>
        <v>#VALUE!</v>
      </c>
      <c r="EC89" s="82" t="e">
        <f t="shared" si="178"/>
        <v>#VALUE!</v>
      </c>
    </row>
    <row r="90" spans="1:136" ht="15" hidden="1" customHeight="1">
      <c r="A90" s="84">
        <v>83</v>
      </c>
      <c r="B90" s="85" t="s">
        <v>367</v>
      </c>
      <c r="C90" s="86"/>
      <c r="D90" s="87"/>
      <c r="E90" s="88"/>
      <c r="F90" s="89"/>
      <c r="G90" s="45" t="str">
        <f t="shared" si="131"/>
        <v>-xx-</v>
      </c>
      <c r="H90" s="46" t="str">
        <f t="shared" si="132"/>
        <v/>
      </c>
      <c r="I90" s="46" t="str">
        <f t="shared" si="133"/>
        <v/>
      </c>
      <c r="J90" s="90" t="s">
        <v>188</v>
      </c>
      <c r="K90" s="90"/>
      <c r="L90" s="90" t="s">
        <v>188</v>
      </c>
      <c r="M90" s="90" t="s">
        <v>188</v>
      </c>
      <c r="N90" s="90" t="s">
        <v>188</v>
      </c>
      <c r="O90" s="90" t="s">
        <v>188</v>
      </c>
      <c r="P90" s="90" t="str">
        <f>IFERROR(VLOOKUP(H90,#REF!,9,0),"")</f>
        <v/>
      </c>
      <c r="Q90" s="91" t="str">
        <f>IFERROR(VLOOKUP(I90,#REF!,10,0),"")</f>
        <v/>
      </c>
      <c r="R90" s="90"/>
      <c r="S90" s="89" t="e">
        <f t="shared" si="134"/>
        <v>#DIV/0!</v>
      </c>
      <c r="T90" s="51">
        <f>'07.02'!BG90</f>
        <v>0</v>
      </c>
      <c r="U90" s="92"/>
      <c r="V90" s="100">
        <v>1</v>
      </c>
      <c r="W90" s="93">
        <f t="shared" si="113"/>
        <v>0</v>
      </c>
      <c r="X90" s="93">
        <f t="shared" si="114"/>
        <v>0</v>
      </c>
      <c r="Y90" s="93">
        <f t="shared" si="115"/>
        <v>0</v>
      </c>
      <c r="Z90" s="93">
        <f t="shared" si="116"/>
        <v>0</v>
      </c>
      <c r="AA90" s="93">
        <f t="shared" si="117"/>
        <v>0</v>
      </c>
      <c r="AB90" s="93">
        <f t="shared" si="118"/>
        <v>0</v>
      </c>
      <c r="AC90" s="93">
        <f t="shared" si="119"/>
        <v>0</v>
      </c>
      <c r="AD90" s="93">
        <f t="shared" si="120"/>
        <v>0</v>
      </c>
      <c r="AE90" s="93">
        <f t="shared" si="135"/>
        <v>0</v>
      </c>
      <c r="AF90" s="54">
        <f>AE90+'07.02'!AF90</f>
        <v>0</v>
      </c>
      <c r="AG90" s="94">
        <f t="shared" si="161"/>
        <v>0</v>
      </c>
      <c r="AH90" s="56">
        <f t="shared" si="136"/>
        <v>0</v>
      </c>
      <c r="AI90" s="93"/>
      <c r="AJ90" s="93">
        <f t="shared" si="162"/>
        <v>0</v>
      </c>
      <c r="AK90" s="95">
        <f t="shared" si="137"/>
        <v>1</v>
      </c>
      <c r="AL90" s="58">
        <f t="shared" si="173"/>
        <v>0</v>
      </c>
      <c r="AM90" s="55">
        <f t="shared" si="163"/>
        <v>0</v>
      </c>
      <c r="AN90" s="93"/>
      <c r="AO90" s="96"/>
      <c r="AP90" s="96"/>
      <c r="AQ90" s="96"/>
      <c r="AR90" s="96"/>
      <c r="AS90" s="96"/>
      <c r="AT90" s="96"/>
      <c r="AU90" s="96">
        <f t="shared" si="138"/>
        <v>0</v>
      </c>
      <c r="AV90" s="96">
        <f t="shared" si="138"/>
        <v>0</v>
      </c>
      <c r="AW90" s="96">
        <f t="shared" si="139"/>
        <v>0</v>
      </c>
      <c r="AX90" s="96">
        <f t="shared" si="140"/>
        <v>0</v>
      </c>
      <c r="AY90" s="94">
        <f t="shared" si="164"/>
        <v>0</v>
      </c>
      <c r="AZ90" s="94">
        <f t="shared" si="141"/>
        <v>0</v>
      </c>
      <c r="BA90" s="94">
        <f t="shared" si="170"/>
        <v>0</v>
      </c>
      <c r="BB90" s="97">
        <f t="shared" si="171"/>
        <v>0</v>
      </c>
      <c r="BC90" s="93"/>
      <c r="BD90" s="93">
        <f t="shared" si="142"/>
        <v>0</v>
      </c>
      <c r="BE90" s="95">
        <f t="shared" si="143"/>
        <v>1</v>
      </c>
      <c r="BF90" s="58">
        <f t="shared" si="174"/>
        <v>0</v>
      </c>
      <c r="BG90" s="94">
        <f t="shared" si="144"/>
        <v>0</v>
      </c>
      <c r="BH90" s="89"/>
      <c r="BI90" s="89"/>
      <c r="BJ90" s="89"/>
      <c r="BK90" s="89"/>
      <c r="BL90" s="89"/>
      <c r="BM90" s="89"/>
      <c r="BN90" s="89"/>
      <c r="BO90" s="92">
        <f t="shared" si="165"/>
        <v>0</v>
      </c>
      <c r="BP90" s="92">
        <f t="shared" si="165"/>
        <v>0</v>
      </c>
      <c r="BQ90" s="96">
        <f t="shared" si="145"/>
        <v>0</v>
      </c>
      <c r="BR90" s="96">
        <f t="shared" si="146"/>
        <v>0</v>
      </c>
      <c r="BS90" s="96">
        <f t="shared" si="166"/>
        <v>0</v>
      </c>
      <c r="BT90" s="96">
        <f t="shared" si="147"/>
        <v>0</v>
      </c>
      <c r="BU90" s="92">
        <f t="shared" si="121"/>
        <v>0</v>
      </c>
      <c r="BV90" s="98">
        <f t="shared" si="167"/>
        <v>0</v>
      </c>
      <c r="BW90" s="92">
        <f t="shared" si="122"/>
        <v>0</v>
      </c>
      <c r="BX90" s="98" t="str">
        <f t="shared" si="148"/>
        <v/>
      </c>
      <c r="BY90" s="61">
        <f t="shared" si="172"/>
        <v>0</v>
      </c>
      <c r="BZ90" s="62">
        <f t="shared" si="149"/>
        <v>0</v>
      </c>
      <c r="CA90" s="98">
        <f t="shared" si="150"/>
        <v>0</v>
      </c>
      <c r="CB90" s="92">
        <f t="shared" si="123"/>
        <v>0</v>
      </c>
      <c r="CC90" s="92">
        <f t="shared" si="123"/>
        <v>0</v>
      </c>
      <c r="CD90" s="92">
        <f t="shared" si="123"/>
        <v>0</v>
      </c>
      <c r="CE90" s="99"/>
      <c r="CF90" s="99"/>
      <c r="CG90" s="51">
        <f t="shared" si="151"/>
        <v>0</v>
      </c>
      <c r="CH90" s="62">
        <f t="shared" si="152"/>
        <v>0</v>
      </c>
      <c r="CI90" s="89"/>
      <c r="CJ90" s="89"/>
      <c r="CK90" s="89"/>
      <c r="CL90" s="96"/>
      <c r="CM90" s="89"/>
      <c r="CN90" s="89"/>
      <c r="CO90" s="92"/>
      <c r="CP90" s="101"/>
      <c r="CQ90" s="102">
        <f t="shared" si="100"/>
        <v>0</v>
      </c>
      <c r="CR90" s="102">
        <f t="shared" si="100"/>
        <v>0</v>
      </c>
      <c r="CS90" s="102">
        <f t="shared" si="100"/>
        <v>0</v>
      </c>
      <c r="CT90" s="92">
        <f t="shared" si="153"/>
        <v>0</v>
      </c>
      <c r="CU90" s="92">
        <f t="shared" si="101"/>
        <v>0</v>
      </c>
      <c r="CV90" s="103">
        <f t="shared" si="101"/>
        <v>0</v>
      </c>
      <c r="CW90" s="104"/>
      <c r="CX90" s="105"/>
      <c r="CY90" s="106" t="e">
        <f t="shared" si="154"/>
        <v>#DIV/0!</v>
      </c>
      <c r="CZ90" s="106">
        <f t="shared" si="155"/>
        <v>0</v>
      </c>
      <c r="DA90" s="106"/>
      <c r="DB90" s="106"/>
      <c r="DC90" s="105"/>
      <c r="DD90" s="107"/>
      <c r="DE90" s="92">
        <f t="shared" si="124"/>
        <v>0</v>
      </c>
      <c r="DF90" s="108">
        <f t="shared" si="125"/>
        <v>0</v>
      </c>
      <c r="DG90" s="115">
        <f t="shared" si="126"/>
        <v>0</v>
      </c>
      <c r="DH90" s="110">
        <f t="shared" si="127"/>
        <v>0</v>
      </c>
      <c r="DI90" s="108">
        <f t="shared" si="128"/>
        <v>0</v>
      </c>
      <c r="DJ90" s="112">
        <f t="shared" si="129"/>
        <v>0</v>
      </c>
      <c r="DK90" s="110">
        <f t="shared" si="181"/>
        <v>0</v>
      </c>
      <c r="DL90" s="108">
        <f t="shared" si="181"/>
        <v>0</v>
      </c>
      <c r="DM90" s="111">
        <f t="shared" si="181"/>
        <v>0</v>
      </c>
      <c r="DN90" s="76">
        <f t="shared" si="175"/>
        <v>0</v>
      </c>
      <c r="DO90" s="76">
        <f t="shared" si="175"/>
        <v>0</v>
      </c>
      <c r="DP90" s="112"/>
      <c r="DQ90" s="112"/>
      <c r="DR90" s="113"/>
      <c r="DS90" s="112"/>
      <c r="DT90" s="112"/>
      <c r="DU90" s="111"/>
      <c r="DV90" s="114"/>
      <c r="DW90" s="80">
        <f t="shared" si="156"/>
        <v>0</v>
      </c>
      <c r="DX90" s="81">
        <f t="shared" si="130"/>
        <v>0</v>
      </c>
      <c r="DY90" s="80">
        <f t="shared" si="157"/>
        <v>0</v>
      </c>
      <c r="DZ90" s="82">
        <f t="shared" si="158"/>
        <v>0</v>
      </c>
      <c r="EA90" s="82">
        <f t="shared" si="159"/>
        <v>0</v>
      </c>
      <c r="EB90" s="82" t="e">
        <f t="shared" si="160"/>
        <v>#VALUE!</v>
      </c>
      <c r="EC90" s="82" t="e">
        <f t="shared" si="178"/>
        <v>#VALUE!</v>
      </c>
    </row>
    <row r="91" spans="1:136" ht="15" hidden="1" customHeight="1">
      <c r="A91" s="84">
        <v>84</v>
      </c>
      <c r="B91" s="85" t="s">
        <v>368</v>
      </c>
      <c r="C91" s="86"/>
      <c r="D91" s="87" t="s">
        <v>369</v>
      </c>
      <c r="E91" s="88">
        <v>182</v>
      </c>
      <c r="F91" s="89" t="s">
        <v>128</v>
      </c>
      <c r="G91" s="45" t="str">
        <f t="shared" si="131"/>
        <v>GWA6063-T5-17x3-H9I14</v>
      </c>
      <c r="H91" s="46" t="str">
        <f t="shared" si="132"/>
        <v>A6063-T5GW170DH9</v>
      </c>
      <c r="I91" s="46" t="str">
        <f t="shared" si="133"/>
        <v>A6063-T5GW170DH93I14</v>
      </c>
      <c r="J91" s="90" t="s">
        <v>129</v>
      </c>
      <c r="K91" s="90" t="s">
        <v>130</v>
      </c>
      <c r="L91" s="90">
        <v>17</v>
      </c>
      <c r="M91" s="90">
        <v>0</v>
      </c>
      <c r="N91" s="90" t="s">
        <v>128</v>
      </c>
      <c r="O91" s="90" t="s">
        <v>131</v>
      </c>
      <c r="P91" s="90">
        <v>3</v>
      </c>
      <c r="Q91" s="91">
        <v>1.843</v>
      </c>
      <c r="R91" s="90" t="s">
        <v>370</v>
      </c>
      <c r="S91" s="89">
        <f t="shared" si="134"/>
        <v>8</v>
      </c>
      <c r="T91" s="51">
        <f>'07.02'!BG91</f>
        <v>0</v>
      </c>
      <c r="U91" s="92"/>
      <c r="V91" s="100">
        <v>5.133</v>
      </c>
      <c r="W91" s="93">
        <f t="shared" si="113"/>
        <v>0</v>
      </c>
      <c r="X91" s="93">
        <f t="shared" si="114"/>
        <v>0</v>
      </c>
      <c r="Y91" s="93">
        <f t="shared" si="115"/>
        <v>0</v>
      </c>
      <c r="Z91" s="93">
        <f t="shared" si="116"/>
        <v>0</v>
      </c>
      <c r="AA91" s="93">
        <f t="shared" si="117"/>
        <v>0</v>
      </c>
      <c r="AB91" s="93">
        <f t="shared" si="118"/>
        <v>0</v>
      </c>
      <c r="AC91" s="93">
        <f t="shared" si="119"/>
        <v>0</v>
      </c>
      <c r="AD91" s="93">
        <f t="shared" si="120"/>
        <v>0</v>
      </c>
      <c r="AE91" s="93">
        <f t="shared" si="135"/>
        <v>0</v>
      </c>
      <c r="AF91" s="54">
        <f>AE91+'07.02'!AF91</f>
        <v>0</v>
      </c>
      <c r="AG91" s="94">
        <f t="shared" si="161"/>
        <v>0</v>
      </c>
      <c r="AH91" s="56">
        <f t="shared" si="136"/>
        <v>0</v>
      </c>
      <c r="AI91" s="93"/>
      <c r="AJ91" s="93">
        <f t="shared" si="162"/>
        <v>0</v>
      </c>
      <c r="AK91" s="95">
        <f t="shared" si="137"/>
        <v>1</v>
      </c>
      <c r="AL91" s="58">
        <f t="shared" si="173"/>
        <v>0</v>
      </c>
      <c r="AM91" s="55">
        <f t="shared" si="163"/>
        <v>0</v>
      </c>
      <c r="AN91" s="93"/>
      <c r="AO91" s="96"/>
      <c r="AP91" s="92"/>
      <c r="AQ91" s="96"/>
      <c r="AR91" s="96"/>
      <c r="AS91" s="96"/>
      <c r="AT91" s="92">
        <f>$CJ91</f>
        <v>0</v>
      </c>
      <c r="AU91" s="96">
        <f t="shared" si="138"/>
        <v>0</v>
      </c>
      <c r="AV91" s="96">
        <f t="shared" si="138"/>
        <v>0</v>
      </c>
      <c r="AW91" s="96">
        <f t="shared" si="139"/>
        <v>0</v>
      </c>
      <c r="AX91" s="96">
        <f t="shared" si="140"/>
        <v>0</v>
      </c>
      <c r="AY91" s="94">
        <f t="shared" si="164"/>
        <v>0</v>
      </c>
      <c r="AZ91" s="94">
        <f t="shared" si="141"/>
        <v>0</v>
      </c>
      <c r="BA91" s="94">
        <f t="shared" si="170"/>
        <v>0</v>
      </c>
      <c r="BB91" s="97">
        <f t="shared" si="171"/>
        <v>0</v>
      </c>
      <c r="BC91" s="93"/>
      <c r="BD91" s="93">
        <f t="shared" si="142"/>
        <v>0</v>
      </c>
      <c r="BE91" s="95">
        <f t="shared" si="143"/>
        <v>1</v>
      </c>
      <c r="BF91" s="58">
        <f t="shared" si="174"/>
        <v>0</v>
      </c>
      <c r="BG91" s="94">
        <f t="shared" si="144"/>
        <v>0</v>
      </c>
      <c r="BH91" s="89"/>
      <c r="BI91" s="89"/>
      <c r="BJ91" s="92"/>
      <c r="BK91" s="89"/>
      <c r="BL91" s="89"/>
      <c r="BM91" s="89"/>
      <c r="BN91" s="92">
        <f>$CN91</f>
        <v>0</v>
      </c>
      <c r="BO91" s="92">
        <f t="shared" si="165"/>
        <v>0</v>
      </c>
      <c r="BP91" s="92">
        <f t="shared" si="165"/>
        <v>0</v>
      </c>
      <c r="BQ91" s="96">
        <f t="shared" si="145"/>
        <v>0</v>
      </c>
      <c r="BR91" s="96">
        <f t="shared" si="146"/>
        <v>0</v>
      </c>
      <c r="BS91" s="96">
        <f t="shared" si="166"/>
        <v>0</v>
      </c>
      <c r="BT91" s="96">
        <f t="shared" si="147"/>
        <v>0</v>
      </c>
      <c r="BU91" s="92">
        <f t="shared" si="121"/>
        <v>0</v>
      </c>
      <c r="BV91" s="98">
        <f t="shared" si="167"/>
        <v>0</v>
      </c>
      <c r="BW91" s="92">
        <f t="shared" si="122"/>
        <v>0</v>
      </c>
      <c r="BX91" s="98">
        <f t="shared" si="148"/>
        <v>0</v>
      </c>
      <c r="BY91" s="61">
        <f t="shared" si="172"/>
        <v>0</v>
      </c>
      <c r="BZ91" s="62">
        <f t="shared" si="149"/>
        <v>0</v>
      </c>
      <c r="CA91" s="98">
        <f t="shared" si="150"/>
        <v>0</v>
      </c>
      <c r="CB91" s="92">
        <f t="shared" si="123"/>
        <v>0</v>
      </c>
      <c r="CC91" s="92">
        <f t="shared" si="123"/>
        <v>0</v>
      </c>
      <c r="CD91" s="92">
        <f t="shared" si="123"/>
        <v>0</v>
      </c>
      <c r="CE91" s="99"/>
      <c r="CF91" s="99"/>
      <c r="CG91" s="51">
        <f t="shared" si="151"/>
        <v>0</v>
      </c>
      <c r="CH91" s="62">
        <f t="shared" si="152"/>
        <v>0</v>
      </c>
      <c r="CI91" s="89"/>
      <c r="CJ91" s="89"/>
      <c r="CK91" s="89"/>
      <c r="CL91" s="96"/>
      <c r="CM91" s="89"/>
      <c r="CN91" s="89"/>
      <c r="CO91" s="92"/>
      <c r="CP91" s="101"/>
      <c r="CQ91" s="102">
        <f t="shared" si="100"/>
        <v>0</v>
      </c>
      <c r="CR91" s="102">
        <f t="shared" si="100"/>
        <v>0</v>
      </c>
      <c r="CS91" s="102">
        <f t="shared" si="100"/>
        <v>0</v>
      </c>
      <c r="CT91" s="92">
        <f t="shared" si="153"/>
        <v>0</v>
      </c>
      <c r="CU91" s="92">
        <f t="shared" si="101"/>
        <v>0</v>
      </c>
      <c r="CV91" s="103">
        <f t="shared" si="101"/>
        <v>0</v>
      </c>
      <c r="CW91" s="104"/>
      <c r="CX91" s="105">
        <v>56</v>
      </c>
      <c r="CY91" s="106">
        <f t="shared" si="154"/>
        <v>744</v>
      </c>
      <c r="CZ91" s="106">
        <f t="shared" si="155"/>
        <v>453.6</v>
      </c>
      <c r="DA91" s="106"/>
      <c r="DB91" s="106"/>
      <c r="DC91" s="105"/>
      <c r="DD91" s="107"/>
      <c r="DE91" s="92">
        <f t="shared" si="124"/>
        <v>0</v>
      </c>
      <c r="DF91" s="108">
        <f t="shared" si="125"/>
        <v>0</v>
      </c>
      <c r="DG91" s="115">
        <f t="shared" si="126"/>
        <v>0</v>
      </c>
      <c r="DH91" s="110">
        <f t="shared" si="127"/>
        <v>0</v>
      </c>
      <c r="DI91" s="108">
        <f t="shared" si="128"/>
        <v>0</v>
      </c>
      <c r="DJ91" s="112">
        <f t="shared" si="129"/>
        <v>0</v>
      </c>
      <c r="DK91" s="110">
        <f t="shared" si="181"/>
        <v>0</v>
      </c>
      <c r="DL91" s="108">
        <f t="shared" si="181"/>
        <v>0</v>
      </c>
      <c r="DM91" s="111">
        <f t="shared" si="181"/>
        <v>0</v>
      </c>
      <c r="DN91" s="76">
        <f t="shared" si="175"/>
        <v>0</v>
      </c>
      <c r="DO91" s="76">
        <f t="shared" si="175"/>
        <v>0</v>
      </c>
      <c r="DP91" s="112"/>
      <c r="DQ91" s="112"/>
      <c r="DR91" s="113"/>
      <c r="DS91" s="112"/>
      <c r="DT91" s="112"/>
      <c r="DU91" s="111"/>
      <c r="DV91" s="114"/>
      <c r="DW91" s="80">
        <f t="shared" si="156"/>
        <v>0</v>
      </c>
      <c r="DX91" s="81">
        <f t="shared" si="130"/>
        <v>0</v>
      </c>
      <c r="DY91" s="80">
        <f t="shared" si="157"/>
        <v>0</v>
      </c>
      <c r="DZ91" s="82">
        <f t="shared" si="158"/>
        <v>0</v>
      </c>
      <c r="EA91" s="82">
        <f t="shared" si="159"/>
        <v>0</v>
      </c>
      <c r="EB91" s="82">
        <f t="shared" si="160"/>
        <v>0</v>
      </c>
      <c r="EC91" s="82">
        <f t="shared" si="178"/>
        <v>0</v>
      </c>
      <c r="EF91" s="83">
        <f t="shared" ref="EF91:EF101" si="182">DG91+DJ91</f>
        <v>0</v>
      </c>
    </row>
    <row r="92" spans="1:136" ht="15" hidden="1" customHeight="1">
      <c r="A92" s="84">
        <v>85</v>
      </c>
      <c r="B92" s="85" t="s">
        <v>371</v>
      </c>
      <c r="C92" s="86"/>
      <c r="D92" s="116" t="s">
        <v>357</v>
      </c>
      <c r="E92" s="88">
        <v>76</v>
      </c>
      <c r="F92" s="89"/>
      <c r="G92" s="45" t="str">
        <f t="shared" si="131"/>
        <v>TVSUS303Cu-H15.87x2.5-H11B14</v>
      </c>
      <c r="H92" s="46" t="str">
        <f t="shared" si="132"/>
        <v>SUS303CuTV15.870HH11</v>
      </c>
      <c r="I92" s="46" t="str">
        <f t="shared" si="133"/>
        <v>SUS303CuTV15.870HH112.5B14</v>
      </c>
      <c r="J92" s="90" t="s">
        <v>238</v>
      </c>
      <c r="K92" s="90" t="s">
        <v>138</v>
      </c>
      <c r="L92" s="90">
        <v>15.87</v>
      </c>
      <c r="M92" s="90">
        <v>0</v>
      </c>
      <c r="N92" s="90" t="s">
        <v>160</v>
      </c>
      <c r="O92" s="90" t="s">
        <v>161</v>
      </c>
      <c r="P92" s="90">
        <v>2.5</v>
      </c>
      <c r="Q92" s="91">
        <v>4.32</v>
      </c>
      <c r="R92" s="90" t="s">
        <v>171</v>
      </c>
      <c r="S92" s="89">
        <f t="shared" si="134"/>
        <v>18</v>
      </c>
      <c r="T92" s="51">
        <f>'07.02'!BG92</f>
        <v>0</v>
      </c>
      <c r="U92" s="92"/>
      <c r="V92" s="100">
        <v>27.35</v>
      </c>
      <c r="W92" s="93">
        <f t="shared" si="113"/>
        <v>0</v>
      </c>
      <c r="X92" s="93">
        <f t="shared" si="114"/>
        <v>0</v>
      </c>
      <c r="Y92" s="93">
        <f t="shared" si="115"/>
        <v>0</v>
      </c>
      <c r="Z92" s="93">
        <f t="shared" si="116"/>
        <v>0</v>
      </c>
      <c r="AA92" s="93">
        <f t="shared" si="117"/>
        <v>0</v>
      </c>
      <c r="AB92" s="93">
        <f t="shared" si="118"/>
        <v>0</v>
      </c>
      <c r="AC92" s="93">
        <f t="shared" si="119"/>
        <v>0</v>
      </c>
      <c r="AD92" s="93">
        <f t="shared" si="120"/>
        <v>0</v>
      </c>
      <c r="AE92" s="93">
        <f t="shared" si="135"/>
        <v>0</v>
      </c>
      <c r="AF92" s="54">
        <f>AE92+'07.02'!AF92</f>
        <v>0</v>
      </c>
      <c r="AG92" s="94">
        <f t="shared" si="161"/>
        <v>0</v>
      </c>
      <c r="AH92" s="56">
        <f t="shared" si="136"/>
        <v>0</v>
      </c>
      <c r="AI92" s="93"/>
      <c r="AJ92" s="93">
        <f t="shared" si="162"/>
        <v>0</v>
      </c>
      <c r="AK92" s="95">
        <f t="shared" si="137"/>
        <v>1</v>
      </c>
      <c r="AL92" s="58">
        <f t="shared" si="173"/>
        <v>0</v>
      </c>
      <c r="AM92" s="55">
        <f t="shared" si="163"/>
        <v>0</v>
      </c>
      <c r="AN92" s="93"/>
      <c r="AO92" s="92">
        <f>$CJ92</f>
        <v>0</v>
      </c>
      <c r="AP92" s="92"/>
      <c r="AQ92" s="96"/>
      <c r="AR92" s="96"/>
      <c r="AS92" s="96"/>
      <c r="AT92" s="92"/>
      <c r="AU92" s="96">
        <f t="shared" si="138"/>
        <v>0</v>
      </c>
      <c r="AV92" s="96">
        <f t="shared" si="138"/>
        <v>0</v>
      </c>
      <c r="AW92" s="96">
        <f t="shared" si="139"/>
        <v>0</v>
      </c>
      <c r="AX92" s="96">
        <f t="shared" si="140"/>
        <v>0</v>
      </c>
      <c r="AY92" s="94">
        <f t="shared" si="164"/>
        <v>0</v>
      </c>
      <c r="AZ92" s="94">
        <f t="shared" si="141"/>
        <v>0</v>
      </c>
      <c r="BA92" s="94">
        <f t="shared" si="170"/>
        <v>0</v>
      </c>
      <c r="BB92" s="97">
        <f t="shared" si="171"/>
        <v>0</v>
      </c>
      <c r="BC92" s="93"/>
      <c r="BD92" s="93">
        <f t="shared" si="142"/>
        <v>0</v>
      </c>
      <c r="BE92" s="95">
        <f t="shared" si="143"/>
        <v>1</v>
      </c>
      <c r="BF92" s="58">
        <f t="shared" si="174"/>
        <v>0</v>
      </c>
      <c r="BG92" s="94">
        <f t="shared" si="144"/>
        <v>0</v>
      </c>
      <c r="BH92" s="89"/>
      <c r="BI92" s="92">
        <f t="shared" ref="BI92:BJ97" si="183">$CN92</f>
        <v>0</v>
      </c>
      <c r="BJ92" s="92"/>
      <c r="BK92" s="89"/>
      <c r="BL92" s="89"/>
      <c r="BM92" s="89"/>
      <c r="BN92" s="92"/>
      <c r="BO92" s="92">
        <f t="shared" si="165"/>
        <v>0</v>
      </c>
      <c r="BP92" s="92">
        <f t="shared" si="165"/>
        <v>0</v>
      </c>
      <c r="BQ92" s="96">
        <f t="shared" si="145"/>
        <v>0</v>
      </c>
      <c r="BR92" s="96">
        <f t="shared" si="146"/>
        <v>0</v>
      </c>
      <c r="BS92" s="96">
        <f t="shared" si="166"/>
        <v>0</v>
      </c>
      <c r="BT92" s="96">
        <f t="shared" si="147"/>
        <v>0</v>
      </c>
      <c r="BU92" s="92">
        <f t="shared" si="121"/>
        <v>0</v>
      </c>
      <c r="BV92" s="98">
        <f t="shared" si="167"/>
        <v>0</v>
      </c>
      <c r="BW92" s="92">
        <f t="shared" si="122"/>
        <v>0</v>
      </c>
      <c r="BX92" s="98">
        <f t="shared" si="148"/>
        <v>0</v>
      </c>
      <c r="BY92" s="61">
        <f t="shared" si="172"/>
        <v>0</v>
      </c>
      <c r="BZ92" s="62">
        <f t="shared" si="149"/>
        <v>0</v>
      </c>
      <c r="CA92" s="98">
        <f t="shared" si="150"/>
        <v>0</v>
      </c>
      <c r="CB92" s="92">
        <f t="shared" si="123"/>
        <v>0</v>
      </c>
      <c r="CC92" s="92">
        <f t="shared" si="123"/>
        <v>0</v>
      </c>
      <c r="CD92" s="92">
        <f t="shared" si="123"/>
        <v>0</v>
      </c>
      <c r="CE92" s="99"/>
      <c r="CF92" s="99"/>
      <c r="CG92" s="51">
        <f t="shared" si="151"/>
        <v>0</v>
      </c>
      <c r="CH92" s="62">
        <f t="shared" si="152"/>
        <v>0</v>
      </c>
      <c r="CI92" s="89"/>
      <c r="CJ92" s="89"/>
      <c r="CK92" s="89"/>
      <c r="CL92" s="96"/>
      <c r="CM92" s="89"/>
      <c r="CN92" s="89"/>
      <c r="CO92" s="92"/>
      <c r="CP92" s="101"/>
      <c r="CQ92" s="102">
        <f t="shared" si="100"/>
        <v>0</v>
      </c>
      <c r="CR92" s="102">
        <f t="shared" si="100"/>
        <v>0</v>
      </c>
      <c r="CS92" s="102">
        <f t="shared" si="100"/>
        <v>0</v>
      </c>
      <c r="CT92" s="92">
        <f t="shared" si="153"/>
        <v>0</v>
      </c>
      <c r="CU92" s="92">
        <f t="shared" si="101"/>
        <v>0</v>
      </c>
      <c r="CV92" s="103">
        <f t="shared" si="101"/>
        <v>0</v>
      </c>
      <c r="CW92" s="104"/>
      <c r="CX92" s="105">
        <v>60</v>
      </c>
      <c r="CY92" s="106">
        <f t="shared" si="154"/>
        <v>670</v>
      </c>
      <c r="CZ92" s="106">
        <f t="shared" si="155"/>
        <v>486.00000000000006</v>
      </c>
      <c r="DA92" s="106"/>
      <c r="DB92" s="106"/>
      <c r="DC92" s="105"/>
      <c r="DD92" s="107"/>
      <c r="DE92" s="92">
        <f t="shared" si="124"/>
        <v>0</v>
      </c>
      <c r="DF92" s="108">
        <f t="shared" si="125"/>
        <v>0</v>
      </c>
      <c r="DG92" s="115">
        <f t="shared" si="126"/>
        <v>0</v>
      </c>
      <c r="DH92" s="110">
        <f t="shared" si="127"/>
        <v>0</v>
      </c>
      <c r="DI92" s="108">
        <f t="shared" si="128"/>
        <v>0</v>
      </c>
      <c r="DJ92" s="112">
        <f t="shared" si="129"/>
        <v>0</v>
      </c>
      <c r="DK92" s="110">
        <f t="shared" si="181"/>
        <v>0</v>
      </c>
      <c r="DL92" s="108">
        <f t="shared" si="181"/>
        <v>0</v>
      </c>
      <c r="DM92" s="111">
        <f t="shared" si="181"/>
        <v>0</v>
      </c>
      <c r="DN92" s="76">
        <f t="shared" si="175"/>
        <v>0</v>
      </c>
      <c r="DO92" s="76">
        <f t="shared" si="175"/>
        <v>0</v>
      </c>
      <c r="DP92" s="112"/>
      <c r="DQ92" s="112" t="s">
        <v>2</v>
      </c>
      <c r="DR92" s="113"/>
      <c r="DS92" s="112"/>
      <c r="DT92" s="112"/>
      <c r="DU92" s="111"/>
      <c r="DV92" s="114"/>
      <c r="DW92" s="80">
        <f t="shared" si="156"/>
        <v>0</v>
      </c>
      <c r="DX92" s="81">
        <f t="shared" si="130"/>
        <v>0</v>
      </c>
      <c r="DY92" s="80">
        <f t="shared" si="157"/>
        <v>0</v>
      </c>
      <c r="DZ92" s="82">
        <f t="shared" si="158"/>
        <v>0</v>
      </c>
      <c r="EA92" s="82">
        <f t="shared" si="159"/>
        <v>0</v>
      </c>
      <c r="EB92" s="82">
        <f t="shared" si="160"/>
        <v>0</v>
      </c>
      <c r="EC92" s="82">
        <f t="shared" si="178"/>
        <v>0</v>
      </c>
      <c r="EF92" s="83">
        <f t="shared" si="182"/>
        <v>0</v>
      </c>
    </row>
    <row r="93" spans="1:136" ht="15" customHeight="1">
      <c r="A93" s="84">
        <v>86</v>
      </c>
      <c r="B93" s="85" t="s">
        <v>372</v>
      </c>
      <c r="C93" s="86"/>
      <c r="D93" s="87" t="s">
        <v>373</v>
      </c>
      <c r="E93" s="88">
        <v>33</v>
      </c>
      <c r="F93" s="89" t="s">
        <v>128</v>
      </c>
      <c r="G93" s="45" t="str">
        <f t="shared" si="131"/>
        <v>GWA6061-T6-16x3-H9A15</v>
      </c>
      <c r="H93" s="46" t="str">
        <f t="shared" si="132"/>
        <v>A6061-T6GW160DH9</v>
      </c>
      <c r="I93" s="46" t="str">
        <f t="shared" si="133"/>
        <v>A6061-T6GW160DH93A15</v>
      </c>
      <c r="J93" s="90" t="s">
        <v>374</v>
      </c>
      <c r="K93" s="90" t="s">
        <v>130</v>
      </c>
      <c r="L93" s="90">
        <v>16</v>
      </c>
      <c r="M93" s="90">
        <v>0</v>
      </c>
      <c r="N93" s="90" t="s">
        <v>128</v>
      </c>
      <c r="O93" s="90" t="s">
        <v>131</v>
      </c>
      <c r="P93" s="90">
        <v>3</v>
      </c>
      <c r="Q93" s="48">
        <v>1.62</v>
      </c>
      <c r="R93" s="49" t="s">
        <v>164</v>
      </c>
      <c r="S93" s="89">
        <f t="shared" si="134"/>
        <v>22</v>
      </c>
      <c r="T93" s="51">
        <f>'07.02'!BG93</f>
        <v>17</v>
      </c>
      <c r="U93" s="92"/>
      <c r="V93" s="100">
        <v>14.1</v>
      </c>
      <c r="W93" s="93">
        <f t="shared" si="113"/>
        <v>0</v>
      </c>
      <c r="X93" s="93">
        <f t="shared" si="114"/>
        <v>0</v>
      </c>
      <c r="Y93" s="93">
        <f t="shared" si="115"/>
        <v>0</v>
      </c>
      <c r="Z93" s="93">
        <f t="shared" si="116"/>
        <v>0</v>
      </c>
      <c r="AA93" s="93">
        <f t="shared" si="117"/>
        <v>0</v>
      </c>
      <c r="AB93" s="93">
        <f t="shared" si="118"/>
        <v>0</v>
      </c>
      <c r="AC93" s="93">
        <f t="shared" si="119"/>
        <v>0</v>
      </c>
      <c r="AD93" s="93">
        <f t="shared" si="120"/>
        <v>0</v>
      </c>
      <c r="AE93" s="93">
        <f t="shared" si="135"/>
        <v>0</v>
      </c>
      <c r="AF93" s="54">
        <f>AE93+'07.02'!AF93</f>
        <v>2660</v>
      </c>
      <c r="AG93" s="94">
        <f t="shared" si="161"/>
        <v>17</v>
      </c>
      <c r="AH93" s="56">
        <f t="shared" si="136"/>
        <v>0</v>
      </c>
      <c r="AI93" s="93"/>
      <c r="AJ93" s="93">
        <f t="shared" si="162"/>
        <v>0</v>
      </c>
      <c r="AK93" s="95">
        <f t="shared" si="137"/>
        <v>1</v>
      </c>
      <c r="AL93" s="58">
        <f t="shared" si="173"/>
        <v>0</v>
      </c>
      <c r="AM93" s="55">
        <f t="shared" si="163"/>
        <v>17</v>
      </c>
      <c r="AN93" s="93"/>
      <c r="AO93" s="96">
        <f>$CJ93</f>
        <v>0</v>
      </c>
      <c r="AP93" s="96"/>
      <c r="AQ93" s="96"/>
      <c r="AR93" s="96"/>
      <c r="AS93" s="96"/>
      <c r="AT93" s="96"/>
      <c r="AU93" s="96">
        <f t="shared" si="138"/>
        <v>0</v>
      </c>
      <c r="AV93" s="96">
        <f t="shared" si="138"/>
        <v>0</v>
      </c>
      <c r="AW93" s="96">
        <f t="shared" si="139"/>
        <v>0</v>
      </c>
      <c r="AX93" s="96">
        <f t="shared" si="140"/>
        <v>0</v>
      </c>
      <c r="AY93" s="94">
        <f t="shared" si="164"/>
        <v>0</v>
      </c>
      <c r="AZ93" s="94">
        <f t="shared" si="141"/>
        <v>0</v>
      </c>
      <c r="BA93" s="94">
        <f t="shared" si="170"/>
        <v>17</v>
      </c>
      <c r="BB93" s="97">
        <f t="shared" si="171"/>
        <v>0</v>
      </c>
      <c r="BC93" s="93"/>
      <c r="BD93" s="93">
        <f t="shared" si="142"/>
        <v>0</v>
      </c>
      <c r="BE93" s="95">
        <f t="shared" si="143"/>
        <v>1</v>
      </c>
      <c r="BF93" s="58">
        <f t="shared" si="174"/>
        <v>0</v>
      </c>
      <c r="BG93" s="94">
        <f t="shared" si="144"/>
        <v>17</v>
      </c>
      <c r="BH93" s="89"/>
      <c r="BI93" s="92">
        <f t="shared" si="183"/>
        <v>0</v>
      </c>
      <c r="BJ93" s="92"/>
      <c r="BK93" s="89"/>
      <c r="BL93" s="89"/>
      <c r="BM93" s="89"/>
      <c r="BN93" s="89"/>
      <c r="BO93" s="92">
        <f t="shared" si="165"/>
        <v>0</v>
      </c>
      <c r="BP93" s="92">
        <f t="shared" si="165"/>
        <v>0</v>
      </c>
      <c r="BQ93" s="96">
        <f t="shared" si="145"/>
        <v>0</v>
      </c>
      <c r="BR93" s="96">
        <f t="shared" si="146"/>
        <v>0</v>
      </c>
      <c r="BS93" s="96">
        <f t="shared" si="166"/>
        <v>0</v>
      </c>
      <c r="BT93" s="96">
        <f t="shared" si="147"/>
        <v>0</v>
      </c>
      <c r="BU93" s="92">
        <f t="shared" si="121"/>
        <v>0</v>
      </c>
      <c r="BV93" s="98">
        <f t="shared" si="167"/>
        <v>0</v>
      </c>
      <c r="BW93" s="92">
        <f t="shared" si="122"/>
        <v>0</v>
      </c>
      <c r="BX93" s="98">
        <f t="shared" si="148"/>
        <v>0</v>
      </c>
      <c r="BY93" s="61">
        <f>IFERROR(BF93+AL93,0)</f>
        <v>0</v>
      </c>
      <c r="BZ93" s="62">
        <f t="shared" si="149"/>
        <v>0</v>
      </c>
      <c r="CA93" s="98">
        <f t="shared" si="150"/>
        <v>0</v>
      </c>
      <c r="CB93" s="92">
        <f t="shared" si="123"/>
        <v>0</v>
      </c>
      <c r="CC93" s="92">
        <f t="shared" si="123"/>
        <v>0</v>
      </c>
      <c r="CD93" s="92">
        <f t="shared" si="123"/>
        <v>0</v>
      </c>
      <c r="CE93" s="99"/>
      <c r="CF93" s="99"/>
      <c r="CG93" s="51">
        <f t="shared" si="151"/>
        <v>0</v>
      </c>
      <c r="CH93" s="62">
        <f t="shared" si="152"/>
        <v>0</v>
      </c>
      <c r="CI93" s="89"/>
      <c r="CJ93" s="89"/>
      <c r="CK93" s="89"/>
      <c r="CL93" s="96"/>
      <c r="CM93" s="89"/>
      <c r="CN93" s="89"/>
      <c r="CO93" s="92"/>
      <c r="CP93" s="101"/>
      <c r="CQ93" s="102">
        <f t="shared" si="100"/>
        <v>0</v>
      </c>
      <c r="CR93" s="102">
        <f t="shared" si="100"/>
        <v>0</v>
      </c>
      <c r="CS93" s="102">
        <f t="shared" si="100"/>
        <v>0</v>
      </c>
      <c r="CT93" s="92">
        <f t="shared" si="153"/>
        <v>0</v>
      </c>
      <c r="CU93" s="92">
        <f t="shared" si="101"/>
        <v>0</v>
      </c>
      <c r="CV93" s="103">
        <f t="shared" si="101"/>
        <v>0</v>
      </c>
      <c r="CW93" s="104"/>
      <c r="CX93" s="105">
        <v>110</v>
      </c>
      <c r="CY93" s="106">
        <f t="shared" si="154"/>
        <v>360</v>
      </c>
      <c r="CZ93" s="106">
        <f t="shared" si="155"/>
        <v>891.00000000000011</v>
      </c>
      <c r="DA93" s="106"/>
      <c r="DB93" s="106"/>
      <c r="DC93" s="105"/>
      <c r="DD93" s="107"/>
      <c r="DE93" s="92">
        <f t="shared" si="124"/>
        <v>0</v>
      </c>
      <c r="DF93" s="108">
        <f t="shared" si="125"/>
        <v>0</v>
      </c>
      <c r="DG93" s="115">
        <f t="shared" si="126"/>
        <v>0</v>
      </c>
      <c r="DH93" s="110">
        <f t="shared" si="127"/>
        <v>0</v>
      </c>
      <c r="DI93" s="108">
        <f t="shared" si="128"/>
        <v>0</v>
      </c>
      <c r="DJ93" s="115">
        <f t="shared" si="129"/>
        <v>0</v>
      </c>
      <c r="DK93" s="110">
        <f t="shared" si="181"/>
        <v>0</v>
      </c>
      <c r="DL93" s="108">
        <f t="shared" si="181"/>
        <v>0</v>
      </c>
      <c r="DM93" s="111">
        <f t="shared" si="181"/>
        <v>0</v>
      </c>
      <c r="DN93" s="76">
        <v>2</v>
      </c>
      <c r="DO93" s="76"/>
      <c r="DP93" s="112"/>
      <c r="DQ93" s="112"/>
      <c r="DR93" s="113" t="s">
        <v>567</v>
      </c>
      <c r="DS93" s="112"/>
      <c r="DT93" s="112"/>
      <c r="DU93" s="111"/>
      <c r="DV93" s="114"/>
      <c r="DW93" s="80">
        <f t="shared" ref="DW93:DW94" si="184">IFERROR(AL93+BF93,"")</f>
        <v>0</v>
      </c>
      <c r="DX93" s="81">
        <f t="shared" si="130"/>
        <v>0</v>
      </c>
      <c r="DY93" s="80">
        <f t="shared" si="157"/>
        <v>0</v>
      </c>
      <c r="DZ93" s="82">
        <f t="shared" si="158"/>
        <v>0</v>
      </c>
      <c r="EA93" s="82">
        <f t="shared" si="159"/>
        <v>0</v>
      </c>
      <c r="EB93" s="82">
        <f t="shared" si="160"/>
        <v>0</v>
      </c>
      <c r="EC93" s="82">
        <f>(BX93-CA93)+((AV93+BP93)/1000)</f>
        <v>0</v>
      </c>
      <c r="EF93" s="83">
        <f t="shared" si="182"/>
        <v>0</v>
      </c>
    </row>
    <row r="94" spans="1:136">
      <c r="A94" s="84">
        <v>87</v>
      </c>
      <c r="B94" s="85" t="s">
        <v>375</v>
      </c>
      <c r="C94" s="86"/>
      <c r="D94" s="116" t="s">
        <v>376</v>
      </c>
      <c r="E94" s="88">
        <v>24</v>
      </c>
      <c r="F94" s="89" t="s">
        <v>191</v>
      </c>
      <c r="G94" s="45" t="str">
        <f t="shared" si="131"/>
        <v>GWA6061-T6-19.1x3-H9A14</v>
      </c>
      <c r="H94" s="46" t="str">
        <f t="shared" si="132"/>
        <v>A6061-T6GW19.10DH9</v>
      </c>
      <c r="I94" s="46" t="str">
        <f t="shared" si="133"/>
        <v>A6061-T6GW19.10DH93A14</v>
      </c>
      <c r="J94" s="90" t="s">
        <v>374</v>
      </c>
      <c r="K94" s="90" t="s">
        <v>130</v>
      </c>
      <c r="L94" s="90">
        <v>19.100000000000001</v>
      </c>
      <c r="M94" s="90">
        <v>0</v>
      </c>
      <c r="N94" s="90" t="s">
        <v>128</v>
      </c>
      <c r="O94" s="90" t="s">
        <v>131</v>
      </c>
      <c r="P94" s="90">
        <v>3</v>
      </c>
      <c r="Q94" s="91">
        <v>2.3140000000000001</v>
      </c>
      <c r="R94" s="90" t="s">
        <v>139</v>
      </c>
      <c r="S94" s="89">
        <f t="shared" si="134"/>
        <v>22</v>
      </c>
      <c r="T94" s="51">
        <f>'07.02'!BG94</f>
        <v>11</v>
      </c>
      <c r="U94" s="92"/>
      <c r="V94" s="100">
        <v>20.25</v>
      </c>
      <c r="W94" s="93">
        <f t="shared" si="113"/>
        <v>0</v>
      </c>
      <c r="X94" s="93">
        <f t="shared" si="114"/>
        <v>0</v>
      </c>
      <c r="Y94" s="93">
        <f t="shared" si="115"/>
        <v>0</v>
      </c>
      <c r="Z94" s="93">
        <f t="shared" si="116"/>
        <v>0</v>
      </c>
      <c r="AA94" s="93">
        <f t="shared" si="117"/>
        <v>0</v>
      </c>
      <c r="AB94" s="93">
        <f t="shared" si="118"/>
        <v>0</v>
      </c>
      <c r="AC94" s="93">
        <f t="shared" si="119"/>
        <v>0</v>
      </c>
      <c r="AD94" s="93">
        <f t="shared" si="120"/>
        <v>0</v>
      </c>
      <c r="AE94" s="93">
        <f t="shared" si="135"/>
        <v>0</v>
      </c>
      <c r="AF94" s="54">
        <f>AE94+'07.02'!AF94</f>
        <v>1735</v>
      </c>
      <c r="AG94" s="94">
        <f t="shared" si="161"/>
        <v>11</v>
      </c>
      <c r="AH94" s="56">
        <f t="shared" si="136"/>
        <v>0</v>
      </c>
      <c r="AI94" s="93"/>
      <c r="AJ94" s="93">
        <f t="shared" si="162"/>
        <v>0</v>
      </c>
      <c r="AK94" s="95">
        <f t="shared" si="137"/>
        <v>1</v>
      </c>
      <c r="AL94" s="58">
        <f t="shared" si="173"/>
        <v>0</v>
      </c>
      <c r="AM94" s="55">
        <f t="shared" si="163"/>
        <v>11</v>
      </c>
      <c r="AN94" s="93"/>
      <c r="AO94" s="96">
        <f>$CJ94</f>
        <v>0</v>
      </c>
      <c r="AP94" s="96"/>
      <c r="AQ94" s="96"/>
      <c r="AR94" s="96"/>
      <c r="AS94" s="96"/>
      <c r="AT94" s="96"/>
      <c r="AU94" s="96">
        <f t="shared" si="138"/>
        <v>0</v>
      </c>
      <c r="AV94" s="96">
        <f t="shared" si="138"/>
        <v>0</v>
      </c>
      <c r="AW94" s="96">
        <f t="shared" si="139"/>
        <v>0</v>
      </c>
      <c r="AX94" s="96">
        <f t="shared" si="140"/>
        <v>0</v>
      </c>
      <c r="AY94" s="94">
        <f t="shared" si="164"/>
        <v>0</v>
      </c>
      <c r="AZ94" s="94">
        <f t="shared" si="141"/>
        <v>0</v>
      </c>
      <c r="BA94" s="94">
        <f t="shared" si="170"/>
        <v>11</v>
      </c>
      <c r="BB94" s="97">
        <f t="shared" si="171"/>
        <v>0</v>
      </c>
      <c r="BC94" s="93"/>
      <c r="BD94" s="93">
        <f t="shared" si="142"/>
        <v>0</v>
      </c>
      <c r="BE94" s="95">
        <f t="shared" si="143"/>
        <v>1</v>
      </c>
      <c r="BF94" s="58">
        <f t="shared" si="174"/>
        <v>0</v>
      </c>
      <c r="BG94" s="94">
        <f t="shared" si="144"/>
        <v>11</v>
      </c>
      <c r="BH94" s="89"/>
      <c r="BI94" s="92">
        <f t="shared" si="183"/>
        <v>0</v>
      </c>
      <c r="BJ94" s="92"/>
      <c r="BK94" s="89"/>
      <c r="BL94" s="89"/>
      <c r="BM94" s="89"/>
      <c r="BN94" s="89"/>
      <c r="BO94" s="92">
        <f t="shared" si="165"/>
        <v>0</v>
      </c>
      <c r="BP94" s="92">
        <f t="shared" si="165"/>
        <v>0</v>
      </c>
      <c r="BQ94" s="96">
        <f t="shared" si="145"/>
        <v>0</v>
      </c>
      <c r="BR94" s="96">
        <f t="shared" si="146"/>
        <v>0</v>
      </c>
      <c r="BS94" s="96">
        <f t="shared" si="166"/>
        <v>0</v>
      </c>
      <c r="BT94" s="96">
        <f t="shared" si="147"/>
        <v>0</v>
      </c>
      <c r="BU94" s="92">
        <f t="shared" si="121"/>
        <v>0</v>
      </c>
      <c r="BV94" s="98">
        <f t="shared" si="167"/>
        <v>0</v>
      </c>
      <c r="BW94" s="92">
        <f t="shared" si="122"/>
        <v>0</v>
      </c>
      <c r="BX94" s="98">
        <f t="shared" si="148"/>
        <v>0</v>
      </c>
      <c r="BY94" s="61">
        <f t="shared" si="172"/>
        <v>0</v>
      </c>
      <c r="BZ94" s="62">
        <f t="shared" si="149"/>
        <v>0</v>
      </c>
      <c r="CA94" s="98">
        <f t="shared" si="150"/>
        <v>0</v>
      </c>
      <c r="CB94" s="92">
        <f t="shared" si="123"/>
        <v>0</v>
      </c>
      <c r="CC94" s="92">
        <f t="shared" si="123"/>
        <v>0</v>
      </c>
      <c r="CD94" s="92">
        <f t="shared" si="123"/>
        <v>0</v>
      </c>
      <c r="CE94" s="99"/>
      <c r="CF94" s="99"/>
      <c r="CG94" s="51">
        <f t="shared" si="151"/>
        <v>0</v>
      </c>
      <c r="CH94" s="62">
        <f t="shared" si="152"/>
        <v>0</v>
      </c>
      <c r="CI94" s="89"/>
      <c r="CJ94" s="89"/>
      <c r="CK94" s="89"/>
      <c r="CL94" s="96"/>
      <c r="CM94" s="89"/>
      <c r="CN94" s="89"/>
      <c r="CO94" s="92"/>
      <c r="CP94" s="101"/>
      <c r="CQ94" s="102">
        <f t="shared" si="100"/>
        <v>0</v>
      </c>
      <c r="CR94" s="102">
        <f t="shared" si="100"/>
        <v>0</v>
      </c>
      <c r="CS94" s="102">
        <f t="shared" si="100"/>
        <v>0</v>
      </c>
      <c r="CT94" s="92">
        <f t="shared" si="153"/>
        <v>0</v>
      </c>
      <c r="CU94" s="92">
        <f t="shared" si="101"/>
        <v>0</v>
      </c>
      <c r="CV94" s="103">
        <f t="shared" si="101"/>
        <v>0</v>
      </c>
      <c r="CW94" s="104"/>
      <c r="CX94" s="105">
        <v>150</v>
      </c>
      <c r="CY94" s="106">
        <f t="shared" si="154"/>
        <v>264</v>
      </c>
      <c r="CZ94" s="106">
        <f t="shared" si="155"/>
        <v>1215</v>
      </c>
      <c r="DA94" s="106"/>
      <c r="DB94" s="106"/>
      <c r="DC94" s="105"/>
      <c r="DD94" s="107"/>
      <c r="DE94" s="92">
        <f t="shared" si="124"/>
        <v>0</v>
      </c>
      <c r="DF94" s="108">
        <f t="shared" si="125"/>
        <v>0</v>
      </c>
      <c r="DG94" s="115">
        <f t="shared" si="126"/>
        <v>0</v>
      </c>
      <c r="DH94" s="110">
        <f t="shared" si="127"/>
        <v>0</v>
      </c>
      <c r="DI94" s="108">
        <f t="shared" si="128"/>
        <v>0</v>
      </c>
      <c r="DJ94" s="115">
        <f t="shared" si="129"/>
        <v>0</v>
      </c>
      <c r="DK94" s="110">
        <f t="shared" si="181"/>
        <v>0</v>
      </c>
      <c r="DL94" s="108">
        <f t="shared" si="181"/>
        <v>0</v>
      </c>
      <c r="DM94" s="111">
        <f t="shared" si="181"/>
        <v>0</v>
      </c>
      <c r="DN94" s="76">
        <v>11</v>
      </c>
      <c r="DO94" s="76"/>
      <c r="DP94" s="112"/>
      <c r="DQ94" s="112"/>
      <c r="DR94" s="113" t="s">
        <v>568</v>
      </c>
      <c r="DS94" s="112"/>
      <c r="DT94" s="112"/>
      <c r="DU94" s="111"/>
      <c r="DV94" s="114"/>
      <c r="DW94" s="80">
        <f t="shared" si="184"/>
        <v>0</v>
      </c>
      <c r="DX94" s="81">
        <f t="shared" si="130"/>
        <v>0</v>
      </c>
      <c r="DY94" s="80">
        <f t="shared" si="157"/>
        <v>0</v>
      </c>
      <c r="DZ94" s="82">
        <f t="shared" si="158"/>
        <v>0</v>
      </c>
      <c r="EA94" s="82">
        <f t="shared" si="159"/>
        <v>0</v>
      </c>
      <c r="EB94" s="82">
        <f t="shared" si="160"/>
        <v>0</v>
      </c>
      <c r="EC94" s="82">
        <f t="shared" si="178"/>
        <v>0</v>
      </c>
      <c r="EF94" s="83">
        <f t="shared" si="182"/>
        <v>0</v>
      </c>
    </row>
    <row r="95" spans="1:136" ht="15" hidden="1" customHeight="1">
      <c r="A95" s="84">
        <v>88</v>
      </c>
      <c r="B95" s="85" t="s">
        <v>378</v>
      </c>
      <c r="C95" s="86"/>
      <c r="D95" s="87" t="s">
        <v>379</v>
      </c>
      <c r="E95" s="88">
        <v>19</v>
      </c>
      <c r="F95" s="89" t="s">
        <v>191</v>
      </c>
      <c r="G95" s="45" t="str">
        <f t="shared" si="131"/>
        <v>TVSUS303-10x2.5-H7A14</v>
      </c>
      <c r="H95" s="46" t="str">
        <f t="shared" si="132"/>
        <v>SUS303TV100DH7</v>
      </c>
      <c r="I95" s="46" t="str">
        <f t="shared" si="133"/>
        <v>SUS303TV100DH72.5A14</v>
      </c>
      <c r="J95" s="90" t="s">
        <v>226</v>
      </c>
      <c r="K95" s="90" t="s">
        <v>138</v>
      </c>
      <c r="L95" s="90">
        <v>10</v>
      </c>
      <c r="M95" s="90">
        <v>0</v>
      </c>
      <c r="N95" s="90" t="s">
        <v>128</v>
      </c>
      <c r="O95" s="90" t="s">
        <v>154</v>
      </c>
      <c r="P95" s="90">
        <v>2.5</v>
      </c>
      <c r="Q95" s="91">
        <v>1.5589999999999999</v>
      </c>
      <c r="R95" s="90" t="s">
        <v>139</v>
      </c>
      <c r="S95" s="89">
        <f t="shared" si="134"/>
        <v>42</v>
      </c>
      <c r="T95" s="51">
        <f>'07.02'!BG95</f>
        <v>0</v>
      </c>
      <c r="U95" s="92"/>
      <c r="V95" s="100">
        <v>67.7</v>
      </c>
      <c r="W95" s="93">
        <f t="shared" si="113"/>
        <v>0</v>
      </c>
      <c r="X95" s="93">
        <f t="shared" si="114"/>
        <v>0</v>
      </c>
      <c r="Y95" s="93">
        <f t="shared" si="115"/>
        <v>0</v>
      </c>
      <c r="Z95" s="93">
        <f t="shared" si="116"/>
        <v>0</v>
      </c>
      <c r="AA95" s="93">
        <f t="shared" si="117"/>
        <v>0</v>
      </c>
      <c r="AB95" s="93">
        <f t="shared" si="118"/>
        <v>0</v>
      </c>
      <c r="AC95" s="93">
        <f t="shared" si="119"/>
        <v>0</v>
      </c>
      <c r="AD95" s="93">
        <f t="shared" si="120"/>
        <v>0</v>
      </c>
      <c r="AE95" s="93">
        <f t="shared" si="135"/>
        <v>0</v>
      </c>
      <c r="AF95" s="54">
        <f>AE95+'07.02'!AF95</f>
        <v>0</v>
      </c>
      <c r="AG95" s="94">
        <f t="shared" si="161"/>
        <v>0</v>
      </c>
      <c r="AH95" s="56">
        <f t="shared" si="136"/>
        <v>0</v>
      </c>
      <c r="AI95" s="93"/>
      <c r="AJ95" s="93">
        <f t="shared" si="162"/>
        <v>0</v>
      </c>
      <c r="AK95" s="95">
        <f t="shared" si="137"/>
        <v>1</v>
      </c>
      <c r="AL95" s="58">
        <f t="shared" si="173"/>
        <v>0</v>
      </c>
      <c r="AM95" s="55">
        <f t="shared" si="163"/>
        <v>0</v>
      </c>
      <c r="AN95" s="93"/>
      <c r="AO95" s="96">
        <f>$CJ95</f>
        <v>0</v>
      </c>
      <c r="AP95" s="96"/>
      <c r="AQ95" s="96"/>
      <c r="AR95" s="96"/>
      <c r="AS95" s="96"/>
      <c r="AT95" s="96"/>
      <c r="AU95" s="96">
        <f t="shared" si="138"/>
        <v>0</v>
      </c>
      <c r="AV95" s="96">
        <f t="shared" si="138"/>
        <v>0</v>
      </c>
      <c r="AW95" s="96">
        <f t="shared" si="139"/>
        <v>0</v>
      </c>
      <c r="AX95" s="96">
        <f t="shared" si="140"/>
        <v>0</v>
      </c>
      <c r="AY95" s="94">
        <f t="shared" si="164"/>
        <v>0</v>
      </c>
      <c r="AZ95" s="94">
        <f t="shared" si="141"/>
        <v>0</v>
      </c>
      <c r="BA95" s="94">
        <f t="shared" si="170"/>
        <v>0</v>
      </c>
      <c r="BB95" s="97">
        <f t="shared" si="171"/>
        <v>0</v>
      </c>
      <c r="BC95" s="93"/>
      <c r="BD95" s="93">
        <f t="shared" si="142"/>
        <v>0</v>
      </c>
      <c r="BE95" s="95">
        <f t="shared" si="143"/>
        <v>1</v>
      </c>
      <c r="BF95" s="58">
        <f t="shared" si="174"/>
        <v>0</v>
      </c>
      <c r="BG95" s="94">
        <f t="shared" si="144"/>
        <v>0</v>
      </c>
      <c r="BH95" s="89"/>
      <c r="BI95" s="92">
        <f t="shared" si="183"/>
        <v>0</v>
      </c>
      <c r="BJ95" s="89"/>
      <c r="BK95" s="89"/>
      <c r="BL95" s="89"/>
      <c r="BM95" s="89"/>
      <c r="BN95" s="89"/>
      <c r="BO95" s="92">
        <f t="shared" si="165"/>
        <v>0</v>
      </c>
      <c r="BP95" s="92">
        <f t="shared" si="165"/>
        <v>0</v>
      </c>
      <c r="BQ95" s="96">
        <f t="shared" si="145"/>
        <v>0</v>
      </c>
      <c r="BR95" s="96">
        <f t="shared" si="146"/>
        <v>0</v>
      </c>
      <c r="BS95" s="96">
        <f t="shared" si="166"/>
        <v>0</v>
      </c>
      <c r="BT95" s="96">
        <f t="shared" si="147"/>
        <v>0</v>
      </c>
      <c r="BU95" s="92">
        <f t="shared" si="121"/>
        <v>0</v>
      </c>
      <c r="BV95" s="98">
        <f t="shared" si="167"/>
        <v>0</v>
      </c>
      <c r="BW95" s="92">
        <f t="shared" si="122"/>
        <v>0</v>
      </c>
      <c r="BX95" s="98">
        <f t="shared" si="148"/>
        <v>0</v>
      </c>
      <c r="BY95" s="61">
        <f t="shared" si="172"/>
        <v>0</v>
      </c>
      <c r="BZ95" s="62">
        <f t="shared" si="149"/>
        <v>0</v>
      </c>
      <c r="CA95" s="98">
        <f t="shared" si="150"/>
        <v>0</v>
      </c>
      <c r="CB95" s="92">
        <f t="shared" si="123"/>
        <v>0</v>
      </c>
      <c r="CC95" s="92">
        <f t="shared" si="123"/>
        <v>0</v>
      </c>
      <c r="CD95" s="92">
        <f t="shared" si="123"/>
        <v>0</v>
      </c>
      <c r="CE95" s="99"/>
      <c r="CF95" s="99"/>
      <c r="CG95" s="51">
        <f t="shared" si="151"/>
        <v>0</v>
      </c>
      <c r="CH95" s="62">
        <f t="shared" si="152"/>
        <v>0</v>
      </c>
      <c r="CI95" s="89"/>
      <c r="CJ95" s="89"/>
      <c r="CK95" s="89"/>
      <c r="CL95" s="96"/>
      <c r="CM95" s="89"/>
      <c r="CN95" s="89"/>
      <c r="CO95" s="92"/>
      <c r="CP95" s="101"/>
      <c r="CQ95" s="102">
        <f t="shared" si="100"/>
        <v>0</v>
      </c>
      <c r="CR95" s="102">
        <f t="shared" si="100"/>
        <v>0</v>
      </c>
      <c r="CS95" s="102">
        <f t="shared" si="100"/>
        <v>0</v>
      </c>
      <c r="CT95" s="92">
        <f t="shared" si="153"/>
        <v>0</v>
      </c>
      <c r="CU95" s="92">
        <f t="shared" si="101"/>
        <v>0</v>
      </c>
      <c r="CV95" s="103">
        <f t="shared" si="101"/>
        <v>0</v>
      </c>
      <c r="CW95" s="104"/>
      <c r="CX95" s="105">
        <v>90</v>
      </c>
      <c r="CY95" s="106">
        <f t="shared" si="154"/>
        <v>393</v>
      </c>
      <c r="CZ95" s="106">
        <f t="shared" si="155"/>
        <v>729</v>
      </c>
      <c r="DA95" s="106"/>
      <c r="DB95" s="106"/>
      <c r="DC95" s="105"/>
      <c r="DD95" s="107"/>
      <c r="DE95" s="92">
        <f t="shared" si="124"/>
        <v>0</v>
      </c>
      <c r="DF95" s="108">
        <f t="shared" si="125"/>
        <v>0</v>
      </c>
      <c r="DG95" s="115">
        <f t="shared" si="126"/>
        <v>0</v>
      </c>
      <c r="DH95" s="110">
        <f t="shared" si="127"/>
        <v>0</v>
      </c>
      <c r="DI95" s="108">
        <f t="shared" si="128"/>
        <v>0</v>
      </c>
      <c r="DJ95" s="112">
        <f t="shared" si="129"/>
        <v>0</v>
      </c>
      <c r="DK95" s="110">
        <f t="shared" si="181"/>
        <v>0</v>
      </c>
      <c r="DL95" s="108">
        <f t="shared" si="181"/>
        <v>0</v>
      </c>
      <c r="DM95" s="111">
        <f t="shared" si="181"/>
        <v>0</v>
      </c>
      <c r="DN95" s="76">
        <f t="shared" si="175"/>
        <v>0</v>
      </c>
      <c r="DO95" s="76">
        <f t="shared" si="175"/>
        <v>0</v>
      </c>
      <c r="DP95" s="112"/>
      <c r="DQ95" s="112"/>
      <c r="DR95" s="113"/>
      <c r="DS95" s="112"/>
      <c r="DT95" s="112"/>
      <c r="DU95" s="111"/>
      <c r="DV95" s="114"/>
      <c r="DW95" s="80">
        <f t="shared" si="156"/>
        <v>0</v>
      </c>
      <c r="DX95" s="81">
        <f t="shared" si="130"/>
        <v>0</v>
      </c>
      <c r="DY95" s="80">
        <f t="shared" si="157"/>
        <v>0</v>
      </c>
      <c r="DZ95" s="82">
        <f t="shared" si="158"/>
        <v>0</v>
      </c>
      <c r="EA95" s="82">
        <f t="shared" si="159"/>
        <v>0</v>
      </c>
      <c r="EB95" s="82">
        <f t="shared" si="160"/>
        <v>0</v>
      </c>
      <c r="EC95" s="82">
        <f t="shared" si="178"/>
        <v>0</v>
      </c>
      <c r="EF95" s="83">
        <f t="shared" si="182"/>
        <v>0</v>
      </c>
    </row>
    <row r="96" spans="1:136" hidden="1">
      <c r="A96" s="84">
        <v>89</v>
      </c>
      <c r="B96" s="85" t="s">
        <v>380</v>
      </c>
      <c r="C96" s="86"/>
      <c r="D96" s="116" t="s">
        <v>381</v>
      </c>
      <c r="E96" s="88">
        <v>185</v>
      </c>
      <c r="F96" s="89" t="s">
        <v>128</v>
      </c>
      <c r="G96" s="45" t="str">
        <f t="shared" si="131"/>
        <v>TVSUS303-6x2.5-H9A14</v>
      </c>
      <c r="H96" s="46" t="str">
        <f t="shared" si="132"/>
        <v>SUS303TV60DH9</v>
      </c>
      <c r="I96" s="46" t="str">
        <f t="shared" si="133"/>
        <v>SUS303TV60DH92.5A14</v>
      </c>
      <c r="J96" s="160" t="s">
        <v>226</v>
      </c>
      <c r="K96" s="160" t="s">
        <v>138</v>
      </c>
      <c r="L96" s="160">
        <v>6</v>
      </c>
      <c r="M96" s="160">
        <v>0</v>
      </c>
      <c r="N96" s="160" t="s">
        <v>128</v>
      </c>
      <c r="O96" s="160" t="s">
        <v>131</v>
      </c>
      <c r="P96" s="160">
        <v>2.5</v>
      </c>
      <c r="Q96" s="161">
        <v>0.55400000000000005</v>
      </c>
      <c r="R96" s="160" t="s">
        <v>139</v>
      </c>
      <c r="S96" s="89">
        <f t="shared" si="134"/>
        <v>8</v>
      </c>
      <c r="T96" s="51">
        <f>'07.02'!BG96</f>
        <v>0</v>
      </c>
      <c r="U96" s="92"/>
      <c r="V96" s="100">
        <v>1.875</v>
      </c>
      <c r="W96" s="93">
        <f t="shared" si="113"/>
        <v>0</v>
      </c>
      <c r="X96" s="93">
        <f t="shared" si="114"/>
        <v>0</v>
      </c>
      <c r="Y96" s="93">
        <f t="shared" si="115"/>
        <v>0</v>
      </c>
      <c r="Z96" s="93">
        <f t="shared" si="116"/>
        <v>0</v>
      </c>
      <c r="AA96" s="93">
        <f t="shared" si="117"/>
        <v>0</v>
      </c>
      <c r="AB96" s="93">
        <f t="shared" si="118"/>
        <v>0</v>
      </c>
      <c r="AC96" s="93">
        <f t="shared" si="119"/>
        <v>0</v>
      </c>
      <c r="AD96" s="93">
        <f t="shared" si="120"/>
        <v>0</v>
      </c>
      <c r="AE96" s="93">
        <f t="shared" si="135"/>
        <v>0</v>
      </c>
      <c r="AF96" s="54">
        <f>AE96+'07.02'!AF96</f>
        <v>0</v>
      </c>
      <c r="AG96" s="94">
        <f t="shared" si="161"/>
        <v>0</v>
      </c>
      <c r="AH96" s="56">
        <f t="shared" si="136"/>
        <v>0</v>
      </c>
      <c r="AI96" s="93"/>
      <c r="AJ96" s="93">
        <f t="shared" si="162"/>
        <v>0</v>
      </c>
      <c r="AK96" s="95">
        <f t="shared" si="137"/>
        <v>1</v>
      </c>
      <c r="AL96" s="58">
        <f t="shared" si="173"/>
        <v>0</v>
      </c>
      <c r="AM96" s="55">
        <f t="shared" si="163"/>
        <v>0</v>
      </c>
      <c r="AN96" s="93"/>
      <c r="AO96" s="96"/>
      <c r="AP96" s="96">
        <f t="shared" ref="AP96" si="185">$CJ96</f>
        <v>0</v>
      </c>
      <c r="AQ96" s="96"/>
      <c r="AR96" s="96"/>
      <c r="AS96" s="96"/>
      <c r="AT96" s="96"/>
      <c r="AU96" s="96">
        <f t="shared" si="138"/>
        <v>0</v>
      </c>
      <c r="AV96" s="96">
        <f t="shared" si="138"/>
        <v>0</v>
      </c>
      <c r="AW96" s="96">
        <f t="shared" si="139"/>
        <v>0</v>
      </c>
      <c r="AX96" s="96">
        <f t="shared" si="140"/>
        <v>0</v>
      </c>
      <c r="AY96" s="94">
        <f t="shared" si="164"/>
        <v>0</v>
      </c>
      <c r="AZ96" s="94">
        <f t="shared" si="141"/>
        <v>0</v>
      </c>
      <c r="BA96" s="94">
        <f t="shared" si="170"/>
        <v>0</v>
      </c>
      <c r="BB96" s="97">
        <f t="shared" si="171"/>
        <v>0</v>
      </c>
      <c r="BC96" s="93"/>
      <c r="BD96" s="93">
        <f t="shared" si="142"/>
        <v>0</v>
      </c>
      <c r="BE96" s="95">
        <f t="shared" si="143"/>
        <v>1</v>
      </c>
      <c r="BF96" s="58">
        <f t="shared" si="174"/>
        <v>0</v>
      </c>
      <c r="BG96" s="94">
        <f t="shared" si="144"/>
        <v>0</v>
      </c>
      <c r="BH96" s="89"/>
      <c r="BI96" s="92"/>
      <c r="BJ96" s="92">
        <f t="shared" si="183"/>
        <v>0</v>
      </c>
      <c r="BK96" s="89"/>
      <c r="BL96" s="89"/>
      <c r="BM96" s="89"/>
      <c r="BN96" s="92"/>
      <c r="BO96" s="92">
        <f t="shared" si="165"/>
        <v>0</v>
      </c>
      <c r="BP96" s="92">
        <f t="shared" si="165"/>
        <v>0</v>
      </c>
      <c r="BQ96" s="96">
        <f t="shared" si="145"/>
        <v>0</v>
      </c>
      <c r="BR96" s="96">
        <f t="shared" si="146"/>
        <v>0</v>
      </c>
      <c r="BS96" s="96">
        <f t="shared" si="166"/>
        <v>0</v>
      </c>
      <c r="BT96" s="96">
        <f t="shared" si="147"/>
        <v>0</v>
      </c>
      <c r="BU96" s="92">
        <f t="shared" si="121"/>
        <v>0</v>
      </c>
      <c r="BV96" s="98">
        <f t="shared" si="167"/>
        <v>0</v>
      </c>
      <c r="BW96" s="92">
        <f t="shared" si="122"/>
        <v>0</v>
      </c>
      <c r="BX96" s="98">
        <f t="shared" si="148"/>
        <v>0</v>
      </c>
      <c r="BY96" s="61">
        <f t="shared" si="172"/>
        <v>0</v>
      </c>
      <c r="BZ96" s="62">
        <f t="shared" si="149"/>
        <v>0</v>
      </c>
      <c r="CA96" s="98">
        <f t="shared" si="150"/>
        <v>0</v>
      </c>
      <c r="CB96" s="92">
        <f t="shared" si="123"/>
        <v>0</v>
      </c>
      <c r="CC96" s="92">
        <f t="shared" si="123"/>
        <v>0</v>
      </c>
      <c r="CD96" s="92">
        <f t="shared" si="123"/>
        <v>0</v>
      </c>
      <c r="CE96" s="99"/>
      <c r="CF96" s="99"/>
      <c r="CG96" s="51">
        <f t="shared" si="151"/>
        <v>0</v>
      </c>
      <c r="CH96" s="62">
        <f t="shared" si="152"/>
        <v>0</v>
      </c>
      <c r="CI96" s="89"/>
      <c r="CJ96" s="89"/>
      <c r="CK96" s="89"/>
      <c r="CL96" s="96"/>
      <c r="CM96" s="89"/>
      <c r="CN96" s="89"/>
      <c r="CO96" s="92"/>
      <c r="CP96" s="101"/>
      <c r="CQ96" s="102">
        <f t="shared" si="100"/>
        <v>0</v>
      </c>
      <c r="CR96" s="102">
        <f t="shared" si="100"/>
        <v>0</v>
      </c>
      <c r="CS96" s="102">
        <f t="shared" si="100"/>
        <v>0</v>
      </c>
      <c r="CT96" s="92">
        <f t="shared" si="153"/>
        <v>0</v>
      </c>
      <c r="CU96" s="92">
        <f t="shared" si="101"/>
        <v>0</v>
      </c>
      <c r="CV96" s="103">
        <f t="shared" si="101"/>
        <v>0</v>
      </c>
      <c r="CW96" s="104"/>
      <c r="CX96" s="105">
        <v>56</v>
      </c>
      <c r="CY96" s="106">
        <f t="shared" si="154"/>
        <v>744</v>
      </c>
      <c r="CZ96" s="106">
        <f t="shared" si="155"/>
        <v>453.6</v>
      </c>
      <c r="DA96" s="106"/>
      <c r="DB96" s="106"/>
      <c r="DC96" s="105"/>
      <c r="DD96" s="107"/>
      <c r="DE96" s="92">
        <f t="shared" si="124"/>
        <v>0</v>
      </c>
      <c r="DF96" s="108">
        <f t="shared" si="125"/>
        <v>0</v>
      </c>
      <c r="DG96" s="115">
        <f t="shared" si="126"/>
        <v>0</v>
      </c>
      <c r="DH96" s="110">
        <f t="shared" si="127"/>
        <v>0</v>
      </c>
      <c r="DI96" s="108">
        <f t="shared" si="128"/>
        <v>0</v>
      </c>
      <c r="DJ96" s="112">
        <f t="shared" si="129"/>
        <v>0</v>
      </c>
      <c r="DK96" s="110">
        <f t="shared" si="181"/>
        <v>0</v>
      </c>
      <c r="DL96" s="108">
        <f t="shared" si="181"/>
        <v>0</v>
      </c>
      <c r="DM96" s="111">
        <f t="shared" si="181"/>
        <v>0</v>
      </c>
      <c r="DN96" s="76">
        <f t="shared" si="175"/>
        <v>0</v>
      </c>
      <c r="DO96" s="76">
        <f t="shared" si="175"/>
        <v>0</v>
      </c>
      <c r="DP96" s="112"/>
      <c r="DQ96" s="112"/>
      <c r="DR96" s="113"/>
      <c r="DS96" s="112"/>
      <c r="DT96" s="112"/>
      <c r="DU96" s="111"/>
      <c r="DV96" s="114"/>
      <c r="DW96" s="80">
        <f t="shared" si="156"/>
        <v>0</v>
      </c>
      <c r="DX96" s="81">
        <f t="shared" si="130"/>
        <v>0</v>
      </c>
      <c r="DY96" s="80">
        <f t="shared" si="157"/>
        <v>0</v>
      </c>
      <c r="DZ96" s="82">
        <f t="shared" si="158"/>
        <v>0</v>
      </c>
      <c r="EA96" s="82">
        <f t="shared" si="159"/>
        <v>0</v>
      </c>
      <c r="EB96" s="82">
        <f t="shared" si="160"/>
        <v>0</v>
      </c>
      <c r="EC96" s="82">
        <f>(BX96-CA96)+((AV96+BP96)/1000)</f>
        <v>0</v>
      </c>
      <c r="EF96" s="83">
        <f t="shared" si="182"/>
        <v>0</v>
      </c>
    </row>
    <row r="97" spans="1:136" ht="15" hidden="1" customHeight="1">
      <c r="A97" s="84">
        <v>90</v>
      </c>
      <c r="B97" s="85" t="s">
        <v>382</v>
      </c>
      <c r="C97" s="86"/>
      <c r="D97" s="175" t="s">
        <v>383</v>
      </c>
      <c r="E97" s="88">
        <v>27</v>
      </c>
      <c r="F97" s="89" t="s">
        <v>191</v>
      </c>
      <c r="G97" s="45" t="str">
        <f t="shared" si="131"/>
        <v>MESUS304-10x3-H7C14</v>
      </c>
      <c r="H97" s="46" t="str">
        <f t="shared" si="132"/>
        <v>SUS304ME100DH7</v>
      </c>
      <c r="I97" s="46" t="str">
        <f t="shared" si="133"/>
        <v>SUS304ME100DH73C14</v>
      </c>
      <c r="J97" s="90" t="s">
        <v>384</v>
      </c>
      <c r="K97" s="90" t="s">
        <v>227</v>
      </c>
      <c r="L97" s="90">
        <v>10</v>
      </c>
      <c r="M97" s="90">
        <v>0</v>
      </c>
      <c r="N97" s="90" t="s">
        <v>128</v>
      </c>
      <c r="O97" s="90" t="s">
        <v>154</v>
      </c>
      <c r="P97" s="90">
        <v>3</v>
      </c>
      <c r="Q97" s="91">
        <v>1.8660000000000001</v>
      </c>
      <c r="R97" s="90" t="s">
        <v>144</v>
      </c>
      <c r="S97" s="89">
        <f t="shared" si="134"/>
        <v>24</v>
      </c>
      <c r="T97" s="51">
        <f>'07.02'!BG97</f>
        <v>0</v>
      </c>
      <c r="U97" s="92"/>
      <c r="V97" s="100">
        <v>54.7</v>
      </c>
      <c r="W97" s="93">
        <f t="shared" si="113"/>
        <v>0</v>
      </c>
      <c r="X97" s="93">
        <f t="shared" si="114"/>
        <v>0</v>
      </c>
      <c r="Y97" s="93">
        <f t="shared" si="115"/>
        <v>0</v>
      </c>
      <c r="Z97" s="93">
        <f t="shared" si="116"/>
        <v>0</v>
      </c>
      <c r="AA97" s="93">
        <f t="shared" si="117"/>
        <v>0</v>
      </c>
      <c r="AB97" s="93">
        <f t="shared" si="118"/>
        <v>0</v>
      </c>
      <c r="AC97" s="93">
        <f t="shared" si="119"/>
        <v>0</v>
      </c>
      <c r="AD97" s="93">
        <f t="shared" si="120"/>
        <v>0</v>
      </c>
      <c r="AE97" s="93">
        <f t="shared" si="135"/>
        <v>0</v>
      </c>
      <c r="AF97" s="54">
        <f>AE97+'07.02'!AF97</f>
        <v>0</v>
      </c>
      <c r="AG97" s="94">
        <f t="shared" si="161"/>
        <v>0</v>
      </c>
      <c r="AH97" s="56">
        <f t="shared" si="136"/>
        <v>0</v>
      </c>
      <c r="AI97" s="93"/>
      <c r="AJ97" s="93">
        <f t="shared" si="162"/>
        <v>0</v>
      </c>
      <c r="AK97" s="95">
        <f t="shared" si="137"/>
        <v>1</v>
      </c>
      <c r="AL97" s="58">
        <f t="shared" si="173"/>
        <v>0</v>
      </c>
      <c r="AM97" s="55">
        <f t="shared" si="163"/>
        <v>0</v>
      </c>
      <c r="AN97" s="93"/>
      <c r="AO97" s="96">
        <f>$CJ97</f>
        <v>0</v>
      </c>
      <c r="AP97" s="96"/>
      <c r="AQ97" s="96"/>
      <c r="AR97" s="96"/>
      <c r="AS97" s="96"/>
      <c r="AT97" s="96"/>
      <c r="AU97" s="96">
        <f t="shared" si="138"/>
        <v>0</v>
      </c>
      <c r="AV97" s="96">
        <f t="shared" si="138"/>
        <v>0</v>
      </c>
      <c r="AW97" s="96">
        <f t="shared" si="139"/>
        <v>0</v>
      </c>
      <c r="AX97" s="96">
        <f t="shared" si="140"/>
        <v>0</v>
      </c>
      <c r="AY97" s="94">
        <f t="shared" si="164"/>
        <v>0</v>
      </c>
      <c r="AZ97" s="94">
        <f t="shared" si="141"/>
        <v>0</v>
      </c>
      <c r="BA97" s="94">
        <f t="shared" si="170"/>
        <v>0</v>
      </c>
      <c r="BB97" s="97">
        <f t="shared" si="171"/>
        <v>0</v>
      </c>
      <c r="BC97" s="93"/>
      <c r="BD97" s="93">
        <f t="shared" si="142"/>
        <v>0</v>
      </c>
      <c r="BE97" s="95">
        <f t="shared" si="143"/>
        <v>1</v>
      </c>
      <c r="BF97" s="58">
        <f t="shared" si="174"/>
        <v>0</v>
      </c>
      <c r="BG97" s="94">
        <f t="shared" si="144"/>
        <v>0</v>
      </c>
      <c r="BH97" s="89"/>
      <c r="BI97" s="92">
        <f t="shared" si="183"/>
        <v>0</v>
      </c>
      <c r="BJ97" s="89"/>
      <c r="BK97" s="89"/>
      <c r="BL97" s="89"/>
      <c r="BM97" s="89"/>
      <c r="BN97" s="89"/>
      <c r="BO97" s="92">
        <f t="shared" si="165"/>
        <v>0</v>
      </c>
      <c r="BP97" s="92">
        <f t="shared" si="165"/>
        <v>0</v>
      </c>
      <c r="BQ97" s="96">
        <f t="shared" si="145"/>
        <v>0</v>
      </c>
      <c r="BR97" s="96">
        <f t="shared" si="146"/>
        <v>0</v>
      </c>
      <c r="BS97" s="96">
        <f t="shared" si="166"/>
        <v>0</v>
      </c>
      <c r="BT97" s="96">
        <f t="shared" si="147"/>
        <v>0</v>
      </c>
      <c r="BU97" s="92">
        <f t="shared" si="121"/>
        <v>0</v>
      </c>
      <c r="BV97" s="98">
        <f t="shared" si="167"/>
        <v>0</v>
      </c>
      <c r="BW97" s="92">
        <f t="shared" si="122"/>
        <v>0</v>
      </c>
      <c r="BX97" s="98">
        <f t="shared" si="148"/>
        <v>0</v>
      </c>
      <c r="BY97" s="61">
        <f t="shared" si="172"/>
        <v>0</v>
      </c>
      <c r="BZ97" s="62">
        <f t="shared" si="149"/>
        <v>0</v>
      </c>
      <c r="CA97" s="98">
        <f t="shared" si="150"/>
        <v>0</v>
      </c>
      <c r="CB97" s="92">
        <f t="shared" si="123"/>
        <v>0</v>
      </c>
      <c r="CC97" s="92">
        <f t="shared" si="123"/>
        <v>0</v>
      </c>
      <c r="CD97" s="92">
        <f t="shared" si="123"/>
        <v>0</v>
      </c>
      <c r="CE97" s="99"/>
      <c r="CF97" s="99"/>
      <c r="CG97" s="51">
        <f t="shared" si="151"/>
        <v>0</v>
      </c>
      <c r="CH97" s="62">
        <f t="shared" si="152"/>
        <v>0</v>
      </c>
      <c r="CI97" s="89"/>
      <c r="CJ97" s="89"/>
      <c r="CK97" s="89"/>
      <c r="CL97" s="96"/>
      <c r="CM97" s="89"/>
      <c r="CN97" s="89"/>
      <c r="CO97" s="92"/>
      <c r="CP97" s="101"/>
      <c r="CQ97" s="102">
        <f t="shared" si="100"/>
        <v>0</v>
      </c>
      <c r="CR97" s="102">
        <f t="shared" si="100"/>
        <v>0</v>
      </c>
      <c r="CS97" s="102">
        <f t="shared" si="100"/>
        <v>0</v>
      </c>
      <c r="CT97" s="92">
        <f t="shared" si="153"/>
        <v>0</v>
      </c>
      <c r="CU97" s="92">
        <f t="shared" si="101"/>
        <v>0</v>
      </c>
      <c r="CV97" s="103">
        <f t="shared" si="101"/>
        <v>0</v>
      </c>
      <c r="CW97" s="104"/>
      <c r="CX97" s="105">
        <v>120</v>
      </c>
      <c r="CY97" s="106">
        <f t="shared" si="154"/>
        <v>325</v>
      </c>
      <c r="CZ97" s="106">
        <f t="shared" si="155"/>
        <v>972.00000000000011</v>
      </c>
      <c r="DA97" s="106"/>
      <c r="DB97" s="106"/>
      <c r="DC97" s="105"/>
      <c r="DD97" s="107"/>
      <c r="DE97" s="92">
        <f t="shared" si="124"/>
        <v>0</v>
      </c>
      <c r="DF97" s="108">
        <f t="shared" si="125"/>
        <v>0</v>
      </c>
      <c r="DG97" s="115">
        <f t="shared" si="126"/>
        <v>0</v>
      </c>
      <c r="DH97" s="110">
        <f t="shared" si="127"/>
        <v>0</v>
      </c>
      <c r="DI97" s="108">
        <f t="shared" si="128"/>
        <v>0</v>
      </c>
      <c r="DJ97" s="112">
        <f t="shared" si="129"/>
        <v>0</v>
      </c>
      <c r="DK97" s="110">
        <f t="shared" si="181"/>
        <v>0</v>
      </c>
      <c r="DL97" s="108">
        <f t="shared" si="181"/>
        <v>0</v>
      </c>
      <c r="DM97" s="111">
        <f t="shared" si="181"/>
        <v>0</v>
      </c>
      <c r="DN97" s="76">
        <f t="shared" si="175"/>
        <v>0</v>
      </c>
      <c r="DO97" s="76">
        <f t="shared" si="175"/>
        <v>0</v>
      </c>
      <c r="DP97" s="112"/>
      <c r="DQ97" s="112"/>
      <c r="DR97" s="113"/>
      <c r="DS97" s="112"/>
      <c r="DT97" s="112"/>
      <c r="DU97" s="111"/>
      <c r="DV97" s="114"/>
      <c r="DW97" s="80">
        <f t="shared" si="156"/>
        <v>0</v>
      </c>
      <c r="DX97" s="81">
        <f t="shared" si="130"/>
        <v>0</v>
      </c>
      <c r="DY97" s="80">
        <f t="shared" si="157"/>
        <v>0</v>
      </c>
      <c r="DZ97" s="82">
        <f t="shared" si="158"/>
        <v>0</v>
      </c>
      <c r="EA97" s="82">
        <f t="shared" si="159"/>
        <v>0</v>
      </c>
      <c r="EB97" s="82">
        <f t="shared" si="160"/>
        <v>0</v>
      </c>
      <c r="EC97" s="82">
        <f t="shared" si="178"/>
        <v>0</v>
      </c>
      <c r="EF97" s="83">
        <f t="shared" si="182"/>
        <v>0</v>
      </c>
    </row>
    <row r="98" spans="1:136" ht="15" hidden="1" customHeight="1">
      <c r="A98" s="84">
        <v>91</v>
      </c>
      <c r="B98" s="85" t="s">
        <v>385</v>
      </c>
      <c r="C98" s="86"/>
      <c r="D98" s="87" t="s">
        <v>386</v>
      </c>
      <c r="E98" s="88">
        <v>380</v>
      </c>
      <c r="F98" s="89" t="s">
        <v>147</v>
      </c>
      <c r="G98" s="45" t="str">
        <f t="shared" si="131"/>
        <v>ORC17300-3.5x3-H9A14</v>
      </c>
      <c r="H98" s="46" t="str">
        <f t="shared" si="132"/>
        <v>C17300OR3.50DH9</v>
      </c>
      <c r="I98" s="46" t="str">
        <f t="shared" si="133"/>
        <v>C17300OR3.50DH93A14</v>
      </c>
      <c r="J98" s="90" t="s">
        <v>387</v>
      </c>
      <c r="K98" s="90" t="s">
        <v>388</v>
      </c>
      <c r="L98" s="90">
        <v>3.5</v>
      </c>
      <c r="M98" s="90">
        <v>0</v>
      </c>
      <c r="N98" s="90" t="s">
        <v>128</v>
      </c>
      <c r="O98" s="90" t="s">
        <v>131</v>
      </c>
      <c r="P98" s="90">
        <v>3</v>
      </c>
      <c r="Q98" s="91">
        <v>0.23499999999999999</v>
      </c>
      <c r="R98" s="90" t="s">
        <v>139</v>
      </c>
      <c r="S98" s="89">
        <f t="shared" si="134"/>
        <v>4</v>
      </c>
      <c r="T98" s="51">
        <f>'07.02'!BG98</f>
        <v>0</v>
      </c>
      <c r="U98" s="92"/>
      <c r="V98" s="100">
        <v>0.06</v>
      </c>
      <c r="W98" s="93">
        <f t="shared" si="113"/>
        <v>0</v>
      </c>
      <c r="X98" s="93">
        <f t="shared" si="114"/>
        <v>0</v>
      </c>
      <c r="Y98" s="93">
        <f t="shared" si="115"/>
        <v>0</v>
      </c>
      <c r="Z98" s="93">
        <f t="shared" si="116"/>
        <v>0</v>
      </c>
      <c r="AA98" s="93">
        <f t="shared" si="117"/>
        <v>0</v>
      </c>
      <c r="AB98" s="93">
        <f t="shared" si="118"/>
        <v>0</v>
      </c>
      <c r="AC98" s="93">
        <f t="shared" si="119"/>
        <v>0</v>
      </c>
      <c r="AD98" s="93">
        <f t="shared" si="120"/>
        <v>0</v>
      </c>
      <c r="AE98" s="93">
        <f t="shared" si="135"/>
        <v>0</v>
      </c>
      <c r="AF98" s="54">
        <f>AE98+'07.02'!AF98</f>
        <v>0</v>
      </c>
      <c r="AG98" s="94">
        <f t="shared" si="161"/>
        <v>0</v>
      </c>
      <c r="AH98" s="56">
        <f t="shared" si="136"/>
        <v>0</v>
      </c>
      <c r="AI98" s="93"/>
      <c r="AJ98" s="93">
        <f t="shared" si="162"/>
        <v>0</v>
      </c>
      <c r="AK98" s="95">
        <f t="shared" si="137"/>
        <v>1</v>
      </c>
      <c r="AL98" s="58">
        <f t="shared" si="173"/>
        <v>0</v>
      </c>
      <c r="AM98" s="55">
        <f t="shared" si="163"/>
        <v>0</v>
      </c>
      <c r="AN98" s="93"/>
      <c r="AO98" s="96"/>
      <c r="AP98" s="96"/>
      <c r="AQ98" s="96"/>
      <c r="AR98" s="96"/>
      <c r="AS98" s="96"/>
      <c r="AT98" s="96">
        <f t="shared" ref="AT98:AT100" si="186">$CJ98</f>
        <v>0</v>
      </c>
      <c r="AU98" s="96">
        <f t="shared" si="138"/>
        <v>0</v>
      </c>
      <c r="AV98" s="96">
        <f t="shared" si="138"/>
        <v>0</v>
      </c>
      <c r="AW98" s="96">
        <f t="shared" si="139"/>
        <v>0</v>
      </c>
      <c r="AX98" s="96">
        <f t="shared" si="140"/>
        <v>0</v>
      </c>
      <c r="AY98" s="94">
        <f t="shared" si="164"/>
        <v>0</v>
      </c>
      <c r="AZ98" s="94">
        <f t="shared" si="141"/>
        <v>0</v>
      </c>
      <c r="BA98" s="94">
        <f t="shared" si="170"/>
        <v>0</v>
      </c>
      <c r="BB98" s="97">
        <f t="shared" si="171"/>
        <v>0</v>
      </c>
      <c r="BC98" s="93"/>
      <c r="BD98" s="93">
        <f t="shared" si="142"/>
        <v>0</v>
      </c>
      <c r="BE98" s="95">
        <f t="shared" si="143"/>
        <v>1</v>
      </c>
      <c r="BF98" s="58">
        <f t="shared" si="174"/>
        <v>0</v>
      </c>
      <c r="BG98" s="94">
        <f t="shared" si="144"/>
        <v>0</v>
      </c>
      <c r="BH98" s="89"/>
      <c r="BI98" s="89"/>
      <c r="BJ98" s="92"/>
      <c r="BK98" s="89"/>
      <c r="BL98" s="89"/>
      <c r="BM98" s="89"/>
      <c r="BN98" s="92">
        <f>$CN98</f>
        <v>0</v>
      </c>
      <c r="BO98" s="92">
        <f t="shared" si="165"/>
        <v>0</v>
      </c>
      <c r="BP98" s="92">
        <f t="shared" si="165"/>
        <v>0</v>
      </c>
      <c r="BQ98" s="96">
        <f t="shared" si="145"/>
        <v>0</v>
      </c>
      <c r="BR98" s="96">
        <f t="shared" si="146"/>
        <v>0</v>
      </c>
      <c r="BS98" s="96">
        <f t="shared" si="166"/>
        <v>0</v>
      </c>
      <c r="BT98" s="96">
        <f t="shared" si="147"/>
        <v>0</v>
      </c>
      <c r="BU98" s="92">
        <f t="shared" si="121"/>
        <v>0</v>
      </c>
      <c r="BV98" s="98">
        <f t="shared" si="167"/>
        <v>0</v>
      </c>
      <c r="BW98" s="92">
        <f t="shared" si="122"/>
        <v>0</v>
      </c>
      <c r="BX98" s="98">
        <f t="shared" si="148"/>
        <v>0</v>
      </c>
      <c r="BY98" s="61">
        <f>IFERROR(BF98+AL98,0)</f>
        <v>0</v>
      </c>
      <c r="BZ98" s="62">
        <f t="shared" si="149"/>
        <v>0</v>
      </c>
      <c r="CA98" s="98">
        <f t="shared" si="150"/>
        <v>0</v>
      </c>
      <c r="CB98" s="92">
        <f t="shared" si="123"/>
        <v>0</v>
      </c>
      <c r="CC98" s="92">
        <f t="shared" si="123"/>
        <v>0</v>
      </c>
      <c r="CD98" s="92">
        <f t="shared" si="123"/>
        <v>0</v>
      </c>
      <c r="CE98" s="99"/>
      <c r="CF98" s="99"/>
      <c r="CG98" s="51">
        <f t="shared" si="151"/>
        <v>0</v>
      </c>
      <c r="CH98" s="62">
        <f t="shared" si="152"/>
        <v>0</v>
      </c>
      <c r="CI98" s="89"/>
      <c r="CJ98" s="89"/>
      <c r="CK98" s="89"/>
      <c r="CL98" s="96"/>
      <c r="CM98" s="89"/>
      <c r="CN98" s="89"/>
      <c r="CO98" s="92"/>
      <c r="CP98" s="101"/>
      <c r="CQ98" s="102">
        <f t="shared" si="100"/>
        <v>0</v>
      </c>
      <c r="CR98" s="102">
        <f t="shared" si="100"/>
        <v>0</v>
      </c>
      <c r="CS98" s="102">
        <f t="shared" si="100"/>
        <v>0</v>
      </c>
      <c r="CT98" s="92">
        <f t="shared" si="153"/>
        <v>0</v>
      </c>
      <c r="CU98" s="92">
        <f t="shared" si="101"/>
        <v>0</v>
      </c>
      <c r="CV98" s="103">
        <f t="shared" si="101"/>
        <v>0</v>
      </c>
      <c r="CW98" s="104"/>
      <c r="CX98" s="105">
        <v>60</v>
      </c>
      <c r="CY98" s="106">
        <f t="shared" si="154"/>
        <v>710</v>
      </c>
      <c r="CZ98" s="106">
        <f t="shared" si="155"/>
        <v>486.00000000000006</v>
      </c>
      <c r="DA98" s="106"/>
      <c r="DB98" s="106"/>
      <c r="DC98" s="105"/>
      <c r="DD98" s="107"/>
      <c r="DE98" s="92">
        <f t="shared" si="124"/>
        <v>0</v>
      </c>
      <c r="DF98" s="108">
        <f t="shared" si="125"/>
        <v>0</v>
      </c>
      <c r="DG98" s="115">
        <f t="shared" si="126"/>
        <v>0</v>
      </c>
      <c r="DH98" s="110">
        <f t="shared" si="127"/>
        <v>0</v>
      </c>
      <c r="DI98" s="108">
        <f t="shared" si="128"/>
        <v>0</v>
      </c>
      <c r="DJ98" s="112">
        <f t="shared" si="129"/>
        <v>0</v>
      </c>
      <c r="DK98" s="110">
        <f t="shared" si="181"/>
        <v>0</v>
      </c>
      <c r="DL98" s="108">
        <f t="shared" si="181"/>
        <v>0</v>
      </c>
      <c r="DM98" s="111">
        <f t="shared" si="181"/>
        <v>0</v>
      </c>
      <c r="DN98" s="76">
        <f t="shared" si="175"/>
        <v>0</v>
      </c>
      <c r="DO98" s="76">
        <f t="shared" si="175"/>
        <v>0</v>
      </c>
      <c r="DP98" s="112"/>
      <c r="DQ98" s="112"/>
      <c r="DR98" s="113"/>
      <c r="DS98" s="112"/>
      <c r="DT98" s="112"/>
      <c r="DU98" s="111"/>
      <c r="DV98" s="114"/>
      <c r="DW98" s="80">
        <f>IFERROR(AL98+BF98,"")</f>
        <v>0</v>
      </c>
      <c r="DX98" s="81">
        <f t="shared" si="130"/>
        <v>0</v>
      </c>
      <c r="DY98" s="80">
        <f t="shared" si="157"/>
        <v>0</v>
      </c>
      <c r="DZ98" s="82">
        <f t="shared" si="158"/>
        <v>0</v>
      </c>
      <c r="EA98" s="82">
        <f t="shared" si="159"/>
        <v>0</v>
      </c>
      <c r="EB98" s="82">
        <f t="shared" si="160"/>
        <v>0</v>
      </c>
      <c r="EC98" s="82">
        <f t="shared" si="178"/>
        <v>0</v>
      </c>
      <c r="EF98" s="83">
        <f t="shared" si="182"/>
        <v>0</v>
      </c>
    </row>
    <row r="99" spans="1:136" ht="14.1" hidden="1" customHeight="1">
      <c r="A99" s="84">
        <v>92</v>
      </c>
      <c r="B99" s="85" t="s">
        <v>389</v>
      </c>
      <c r="C99" s="86"/>
      <c r="D99" s="87" t="s">
        <v>390</v>
      </c>
      <c r="E99" s="88">
        <v>60</v>
      </c>
      <c r="F99" s="89" t="s">
        <v>191</v>
      </c>
      <c r="G99" s="45" t="str">
        <f t="shared" si="131"/>
        <v>TVSUS303-6x2.5-H9A14</v>
      </c>
      <c r="H99" s="46" t="str">
        <f t="shared" si="132"/>
        <v>SUS303TV60DH9</v>
      </c>
      <c r="I99" s="46" t="str">
        <f t="shared" si="133"/>
        <v>SUS303TV60DH92.5A14</v>
      </c>
      <c r="J99" s="160" t="s">
        <v>226</v>
      </c>
      <c r="K99" s="160" t="s">
        <v>138</v>
      </c>
      <c r="L99" s="160">
        <v>6</v>
      </c>
      <c r="M99" s="160">
        <v>0</v>
      </c>
      <c r="N99" s="160" t="s">
        <v>128</v>
      </c>
      <c r="O99" s="160" t="s">
        <v>131</v>
      </c>
      <c r="P99" s="160">
        <v>2.5</v>
      </c>
      <c r="Q99" s="161">
        <v>0.55400000000000005</v>
      </c>
      <c r="R99" s="160" t="s">
        <v>139</v>
      </c>
      <c r="S99" s="89">
        <f t="shared" si="134"/>
        <v>12</v>
      </c>
      <c r="T99" s="51">
        <f>'07.02'!BG99</f>
        <v>0</v>
      </c>
      <c r="U99" s="92"/>
      <c r="V99" s="100">
        <v>3.0150000000000001</v>
      </c>
      <c r="W99" s="93">
        <f t="shared" si="113"/>
        <v>0</v>
      </c>
      <c r="X99" s="93">
        <f t="shared" si="114"/>
        <v>0</v>
      </c>
      <c r="Y99" s="93">
        <f t="shared" si="115"/>
        <v>0</v>
      </c>
      <c r="Z99" s="93">
        <f t="shared" si="116"/>
        <v>0</v>
      </c>
      <c r="AA99" s="93">
        <f t="shared" si="117"/>
        <v>0</v>
      </c>
      <c r="AB99" s="93">
        <f t="shared" si="118"/>
        <v>0</v>
      </c>
      <c r="AC99" s="93">
        <f t="shared" si="119"/>
        <v>0</v>
      </c>
      <c r="AD99" s="93">
        <f t="shared" si="120"/>
        <v>0</v>
      </c>
      <c r="AE99" s="93">
        <f t="shared" si="135"/>
        <v>0</v>
      </c>
      <c r="AF99" s="54">
        <f>AE99+'07.02'!AF99</f>
        <v>0</v>
      </c>
      <c r="AG99" s="94">
        <f t="shared" si="161"/>
        <v>0</v>
      </c>
      <c r="AH99" s="56">
        <f t="shared" si="136"/>
        <v>0</v>
      </c>
      <c r="AI99" s="93"/>
      <c r="AJ99" s="93">
        <f t="shared" si="162"/>
        <v>0</v>
      </c>
      <c r="AK99" s="95">
        <f t="shared" si="137"/>
        <v>1</v>
      </c>
      <c r="AL99" s="58">
        <f t="shared" si="173"/>
        <v>0</v>
      </c>
      <c r="AM99" s="55">
        <f t="shared" si="163"/>
        <v>0</v>
      </c>
      <c r="AN99" s="93"/>
      <c r="AO99" s="96"/>
      <c r="AP99" s="96"/>
      <c r="AQ99" s="96"/>
      <c r="AR99" s="96"/>
      <c r="AS99" s="96"/>
      <c r="AT99" s="96">
        <f t="shared" si="186"/>
        <v>0</v>
      </c>
      <c r="AU99" s="96">
        <f t="shared" si="138"/>
        <v>0</v>
      </c>
      <c r="AV99" s="96">
        <f t="shared" si="138"/>
        <v>0</v>
      </c>
      <c r="AW99" s="96">
        <f t="shared" si="139"/>
        <v>0</v>
      </c>
      <c r="AX99" s="96">
        <f t="shared" si="140"/>
        <v>0</v>
      </c>
      <c r="AY99" s="94">
        <f t="shared" si="164"/>
        <v>0</v>
      </c>
      <c r="AZ99" s="94">
        <f t="shared" si="141"/>
        <v>0</v>
      </c>
      <c r="BA99" s="94">
        <f t="shared" si="170"/>
        <v>0</v>
      </c>
      <c r="BB99" s="97">
        <f t="shared" si="171"/>
        <v>0</v>
      </c>
      <c r="BC99" s="93"/>
      <c r="BD99" s="93">
        <f t="shared" si="142"/>
        <v>0</v>
      </c>
      <c r="BE99" s="95">
        <f t="shared" si="143"/>
        <v>1</v>
      </c>
      <c r="BF99" s="58">
        <f t="shared" si="174"/>
        <v>0</v>
      </c>
      <c r="BG99" s="94">
        <f t="shared" si="144"/>
        <v>0</v>
      </c>
      <c r="BH99" s="89"/>
      <c r="BI99" s="89"/>
      <c r="BJ99" s="89"/>
      <c r="BK99" s="89"/>
      <c r="BL99" s="89"/>
      <c r="BM99" s="89"/>
      <c r="BN99" s="92">
        <f>$CN99</f>
        <v>0</v>
      </c>
      <c r="BO99" s="92">
        <f t="shared" si="165"/>
        <v>0</v>
      </c>
      <c r="BP99" s="92">
        <f t="shared" si="165"/>
        <v>0</v>
      </c>
      <c r="BQ99" s="96">
        <f t="shared" si="145"/>
        <v>0</v>
      </c>
      <c r="BR99" s="96">
        <f t="shared" si="146"/>
        <v>0</v>
      </c>
      <c r="BS99" s="96">
        <f t="shared" si="166"/>
        <v>0</v>
      </c>
      <c r="BT99" s="96">
        <f t="shared" si="147"/>
        <v>0</v>
      </c>
      <c r="BU99" s="92">
        <f t="shared" si="121"/>
        <v>0</v>
      </c>
      <c r="BV99" s="98">
        <f t="shared" si="167"/>
        <v>0</v>
      </c>
      <c r="BW99" s="92">
        <f t="shared" si="122"/>
        <v>0</v>
      </c>
      <c r="BX99" s="98">
        <f t="shared" si="148"/>
        <v>0</v>
      </c>
      <c r="BY99" s="61">
        <f t="shared" si="172"/>
        <v>0</v>
      </c>
      <c r="BZ99" s="62">
        <f t="shared" si="149"/>
        <v>0</v>
      </c>
      <c r="CA99" s="98">
        <f t="shared" si="150"/>
        <v>0</v>
      </c>
      <c r="CB99" s="92">
        <f t="shared" si="123"/>
        <v>0</v>
      </c>
      <c r="CC99" s="92">
        <f t="shared" si="123"/>
        <v>0</v>
      </c>
      <c r="CD99" s="92">
        <f t="shared" si="123"/>
        <v>0</v>
      </c>
      <c r="CE99" s="99"/>
      <c r="CF99" s="99"/>
      <c r="CG99" s="51">
        <f t="shared" si="151"/>
        <v>0</v>
      </c>
      <c r="CH99" s="62">
        <f t="shared" si="152"/>
        <v>0</v>
      </c>
      <c r="CI99" s="89"/>
      <c r="CJ99" s="89"/>
      <c r="CK99" s="96"/>
      <c r="CL99" s="96"/>
      <c r="CM99" s="89"/>
      <c r="CN99" s="89"/>
      <c r="CO99" s="92"/>
      <c r="CP99" s="101"/>
      <c r="CQ99" s="102">
        <f t="shared" ref="CQ99:CS106" si="187">INT(IFERROR( CJ99/$V99,0))</f>
        <v>0</v>
      </c>
      <c r="CR99" s="102">
        <f t="shared" si="187"/>
        <v>0</v>
      </c>
      <c r="CS99" s="102">
        <f t="shared" si="187"/>
        <v>0</v>
      </c>
      <c r="CT99" s="92">
        <f t="shared" si="153"/>
        <v>0</v>
      </c>
      <c r="CU99" s="92">
        <f t="shared" si="101"/>
        <v>0</v>
      </c>
      <c r="CV99" s="103">
        <f t="shared" si="101"/>
        <v>0</v>
      </c>
      <c r="CW99" s="104"/>
      <c r="CX99" s="105">
        <v>123</v>
      </c>
      <c r="CY99" s="106">
        <f t="shared" si="154"/>
        <v>336</v>
      </c>
      <c r="CZ99" s="106">
        <f t="shared" si="155"/>
        <v>996.30000000000007</v>
      </c>
      <c r="DA99" s="106"/>
      <c r="DB99" s="106"/>
      <c r="DC99" s="105"/>
      <c r="DD99" s="107"/>
      <c r="DE99" s="92">
        <f t="shared" si="124"/>
        <v>0</v>
      </c>
      <c r="DF99" s="108">
        <f t="shared" si="125"/>
        <v>0</v>
      </c>
      <c r="DG99" s="115">
        <f t="shared" si="126"/>
        <v>0</v>
      </c>
      <c r="DH99" s="110">
        <f t="shared" si="127"/>
        <v>0</v>
      </c>
      <c r="DI99" s="108">
        <f t="shared" si="128"/>
        <v>0</v>
      </c>
      <c r="DJ99" s="112">
        <f t="shared" si="129"/>
        <v>0</v>
      </c>
      <c r="DK99" s="110">
        <f t="shared" si="181"/>
        <v>0</v>
      </c>
      <c r="DL99" s="108">
        <f t="shared" si="181"/>
        <v>0</v>
      </c>
      <c r="DM99" s="111">
        <f t="shared" si="181"/>
        <v>0</v>
      </c>
      <c r="DN99" s="76">
        <f t="shared" si="175"/>
        <v>0</v>
      </c>
      <c r="DO99" s="76">
        <f t="shared" si="175"/>
        <v>0</v>
      </c>
      <c r="DP99" s="112"/>
      <c r="DQ99" s="112"/>
      <c r="DR99" s="113"/>
      <c r="DS99" s="112"/>
      <c r="DT99" s="112"/>
      <c r="DU99" s="111"/>
      <c r="DV99" s="114"/>
      <c r="DW99" s="80">
        <f t="shared" si="156"/>
        <v>0</v>
      </c>
      <c r="DX99" s="81">
        <f t="shared" si="130"/>
        <v>0</v>
      </c>
      <c r="DY99" s="80">
        <f t="shared" si="157"/>
        <v>0</v>
      </c>
      <c r="DZ99" s="82">
        <f t="shared" si="158"/>
        <v>0</v>
      </c>
      <c r="EA99" s="82">
        <f t="shared" si="159"/>
        <v>0</v>
      </c>
      <c r="EB99" s="82">
        <f t="shared" si="160"/>
        <v>0</v>
      </c>
      <c r="EC99" s="82">
        <f t="shared" si="178"/>
        <v>0</v>
      </c>
      <c r="EF99" s="83">
        <f t="shared" si="182"/>
        <v>0</v>
      </c>
    </row>
    <row r="100" spans="1:136" ht="14.1" customHeight="1">
      <c r="A100" s="84">
        <v>93</v>
      </c>
      <c r="B100" s="85" t="s">
        <v>391</v>
      </c>
      <c r="C100" s="86"/>
      <c r="D100" s="116" t="s">
        <v>509</v>
      </c>
      <c r="E100" s="88">
        <v>550</v>
      </c>
      <c r="F100" s="89" t="s">
        <v>128</v>
      </c>
      <c r="G100" s="45" t="str">
        <f t="shared" si="131"/>
        <v>GWA6061-T6-25x3-H9B14</v>
      </c>
      <c r="H100" s="46" t="str">
        <f t="shared" si="132"/>
        <v>A6061-T6GW250DH9</v>
      </c>
      <c r="I100" s="46" t="str">
        <f t="shared" si="133"/>
        <v>A6061-T6GW250DH93B14</v>
      </c>
      <c r="J100" s="90" t="s">
        <v>374</v>
      </c>
      <c r="K100" s="90" t="s">
        <v>130</v>
      </c>
      <c r="L100" s="90">
        <v>25</v>
      </c>
      <c r="M100" s="90">
        <v>0</v>
      </c>
      <c r="N100" s="90" t="s">
        <v>128</v>
      </c>
      <c r="O100" s="90" t="s">
        <v>131</v>
      </c>
      <c r="P100" s="90">
        <v>3</v>
      </c>
      <c r="Q100" s="91">
        <v>1.522</v>
      </c>
      <c r="R100" s="49" t="s">
        <v>171</v>
      </c>
      <c r="S100" s="89">
        <f t="shared" si="134"/>
        <v>2</v>
      </c>
      <c r="T100" s="51">
        <v>1</v>
      </c>
      <c r="U100" s="92"/>
      <c r="V100" s="100">
        <v>0.75</v>
      </c>
      <c r="W100" s="93">
        <f t="shared" si="113"/>
        <v>0</v>
      </c>
      <c r="X100" s="93">
        <f t="shared" si="114"/>
        <v>0</v>
      </c>
      <c r="Y100" s="93">
        <f t="shared" si="115"/>
        <v>0</v>
      </c>
      <c r="Z100" s="93">
        <f t="shared" si="116"/>
        <v>0</v>
      </c>
      <c r="AA100" s="93">
        <f t="shared" si="117"/>
        <v>0</v>
      </c>
      <c r="AB100" s="93">
        <f t="shared" si="118"/>
        <v>0</v>
      </c>
      <c r="AC100" s="93">
        <f t="shared" si="119"/>
        <v>0</v>
      </c>
      <c r="AD100" s="93">
        <f t="shared" si="120"/>
        <v>0</v>
      </c>
      <c r="AE100" s="93">
        <f t="shared" si="135"/>
        <v>0</v>
      </c>
      <c r="AF100" s="54">
        <f>AE100+'07.02'!AF100</f>
        <v>539</v>
      </c>
      <c r="AG100" s="94">
        <f t="shared" si="161"/>
        <v>1</v>
      </c>
      <c r="AH100" s="56">
        <f t="shared" si="136"/>
        <v>0</v>
      </c>
      <c r="AI100" s="93"/>
      <c r="AJ100" s="93">
        <f t="shared" si="162"/>
        <v>0</v>
      </c>
      <c r="AK100" s="95">
        <f t="shared" si="137"/>
        <v>1</v>
      </c>
      <c r="AL100" s="58">
        <f t="shared" si="173"/>
        <v>0</v>
      </c>
      <c r="AM100" s="55">
        <f t="shared" si="163"/>
        <v>1</v>
      </c>
      <c r="AN100" s="93"/>
      <c r="AO100" s="96"/>
      <c r="AP100" s="96"/>
      <c r="AQ100" s="96"/>
      <c r="AR100" s="96"/>
      <c r="AS100" s="96"/>
      <c r="AT100" s="96">
        <f t="shared" si="186"/>
        <v>0</v>
      </c>
      <c r="AU100" s="96">
        <f t="shared" si="138"/>
        <v>0</v>
      </c>
      <c r="AV100" s="96">
        <f t="shared" si="138"/>
        <v>0</v>
      </c>
      <c r="AW100" s="96">
        <f t="shared" si="139"/>
        <v>0</v>
      </c>
      <c r="AX100" s="96">
        <f t="shared" si="140"/>
        <v>0</v>
      </c>
      <c r="AY100" s="94">
        <f t="shared" si="164"/>
        <v>0</v>
      </c>
      <c r="AZ100" s="94">
        <f t="shared" si="141"/>
        <v>0</v>
      </c>
      <c r="BA100" s="94">
        <f t="shared" si="170"/>
        <v>1</v>
      </c>
      <c r="BB100" s="97">
        <f t="shared" si="171"/>
        <v>0</v>
      </c>
      <c r="BC100" s="93"/>
      <c r="BD100" s="93">
        <f t="shared" si="142"/>
        <v>0</v>
      </c>
      <c r="BE100" s="95">
        <f t="shared" si="143"/>
        <v>1</v>
      </c>
      <c r="BF100" s="58">
        <f t="shared" si="174"/>
        <v>0</v>
      </c>
      <c r="BG100" s="94">
        <f t="shared" si="144"/>
        <v>1</v>
      </c>
      <c r="BH100" s="89"/>
      <c r="BI100" s="89"/>
      <c r="BJ100" s="89"/>
      <c r="BK100" s="89"/>
      <c r="BL100" s="89"/>
      <c r="BM100" s="89"/>
      <c r="BN100" s="92">
        <f>$CN100</f>
        <v>0</v>
      </c>
      <c r="BO100" s="92">
        <f t="shared" si="165"/>
        <v>0</v>
      </c>
      <c r="BP100" s="92">
        <f t="shared" si="165"/>
        <v>0</v>
      </c>
      <c r="BQ100" s="96">
        <f t="shared" si="145"/>
        <v>0</v>
      </c>
      <c r="BR100" s="96">
        <f t="shared" si="146"/>
        <v>0</v>
      </c>
      <c r="BS100" s="96">
        <f t="shared" si="166"/>
        <v>0</v>
      </c>
      <c r="BT100" s="96">
        <f t="shared" si="147"/>
        <v>0</v>
      </c>
      <c r="BU100" s="92">
        <f t="shared" si="121"/>
        <v>0</v>
      </c>
      <c r="BV100" s="98">
        <f t="shared" si="167"/>
        <v>0</v>
      </c>
      <c r="BW100" s="92">
        <f t="shared" si="122"/>
        <v>0</v>
      </c>
      <c r="BX100" s="98">
        <f t="shared" si="148"/>
        <v>0</v>
      </c>
      <c r="BY100" s="61">
        <f>IFERROR(BF100+AL100,0)</f>
        <v>0</v>
      </c>
      <c r="BZ100" s="62">
        <f t="shared" si="149"/>
        <v>0</v>
      </c>
      <c r="CA100" s="98">
        <f t="shared" si="150"/>
        <v>0</v>
      </c>
      <c r="CB100" s="92">
        <f t="shared" si="123"/>
        <v>0</v>
      </c>
      <c r="CC100" s="92">
        <f t="shared" si="123"/>
        <v>0</v>
      </c>
      <c r="CD100" s="92">
        <f t="shared" si="123"/>
        <v>0</v>
      </c>
      <c r="CE100" s="99"/>
      <c r="CF100" s="99"/>
      <c r="CG100" s="51">
        <f t="shared" si="151"/>
        <v>0</v>
      </c>
      <c r="CH100" s="62">
        <f t="shared" si="152"/>
        <v>0</v>
      </c>
      <c r="CI100" s="89"/>
      <c r="CJ100" s="89"/>
      <c r="CK100" s="89"/>
      <c r="CL100" s="96"/>
      <c r="CM100" s="89"/>
      <c r="CN100" s="89"/>
      <c r="CO100" s="92"/>
      <c r="CP100" s="101"/>
      <c r="CQ100" s="102">
        <f t="shared" si="187"/>
        <v>0</v>
      </c>
      <c r="CR100" s="102">
        <f t="shared" si="187"/>
        <v>0</v>
      </c>
      <c r="CS100" s="102">
        <f t="shared" si="187"/>
        <v>0</v>
      </c>
      <c r="CT100" s="92">
        <f t="shared" si="153"/>
        <v>0</v>
      </c>
      <c r="CU100" s="92">
        <f t="shared" si="101"/>
        <v>0</v>
      </c>
      <c r="CV100" s="103">
        <f t="shared" si="101"/>
        <v>0</v>
      </c>
      <c r="CW100" s="104"/>
      <c r="CX100" s="105">
        <v>60</v>
      </c>
      <c r="CY100" s="106">
        <f t="shared" si="154"/>
        <v>710</v>
      </c>
      <c r="CZ100" s="106">
        <f t="shared" si="155"/>
        <v>486.00000000000006</v>
      </c>
      <c r="DA100" s="106"/>
      <c r="DB100" s="106"/>
      <c r="DC100" s="105"/>
      <c r="DD100" s="107"/>
      <c r="DE100" s="92">
        <f t="shared" si="124"/>
        <v>0</v>
      </c>
      <c r="DF100" s="108">
        <f t="shared" si="125"/>
        <v>0</v>
      </c>
      <c r="DG100" s="115">
        <f t="shared" si="126"/>
        <v>0</v>
      </c>
      <c r="DH100" s="110">
        <f t="shared" si="127"/>
        <v>0</v>
      </c>
      <c r="DI100" s="108">
        <f t="shared" si="128"/>
        <v>0</v>
      </c>
      <c r="DJ100" s="112">
        <f t="shared" si="129"/>
        <v>0</v>
      </c>
      <c r="DK100" s="110">
        <f t="shared" si="181"/>
        <v>0</v>
      </c>
      <c r="DL100" s="108">
        <f t="shared" si="181"/>
        <v>0</v>
      </c>
      <c r="DM100" s="111">
        <f t="shared" si="181"/>
        <v>0</v>
      </c>
      <c r="DN100" s="76">
        <v>1</v>
      </c>
      <c r="DO100" s="76"/>
      <c r="DP100" s="112"/>
      <c r="DQ100" s="112"/>
      <c r="DR100" s="113" t="s">
        <v>510</v>
      </c>
      <c r="DS100" s="112"/>
      <c r="DT100" s="112"/>
      <c r="DU100" s="111"/>
      <c r="DV100" s="114"/>
      <c r="DW100" s="80">
        <f t="shared" si="156"/>
        <v>0</v>
      </c>
      <c r="DX100" s="81">
        <f t="shared" si="130"/>
        <v>0</v>
      </c>
      <c r="DY100" s="80">
        <f t="shared" si="157"/>
        <v>0</v>
      </c>
      <c r="DZ100" s="82">
        <f t="shared" si="158"/>
        <v>0</v>
      </c>
      <c r="EA100" s="82">
        <f t="shared" si="159"/>
        <v>0</v>
      </c>
      <c r="EB100" s="82">
        <f t="shared" si="160"/>
        <v>0</v>
      </c>
      <c r="EC100" s="82">
        <f t="shared" si="178"/>
        <v>0</v>
      </c>
      <c r="EF100" s="83">
        <f t="shared" si="182"/>
        <v>0</v>
      </c>
    </row>
    <row r="101" spans="1:136" ht="15" hidden="1" customHeight="1">
      <c r="A101" s="84">
        <v>94</v>
      </c>
      <c r="B101" s="85" t="s">
        <v>395</v>
      </c>
      <c r="C101" s="86"/>
      <c r="D101" s="119" t="s">
        <v>488</v>
      </c>
      <c r="E101" s="88">
        <v>101</v>
      </c>
      <c r="F101" s="89" t="s">
        <v>136</v>
      </c>
      <c r="G101" s="45" t="str">
        <f t="shared" si="131"/>
        <v>IBC3604-H7x3-H11C14</v>
      </c>
      <c r="H101" s="46" t="str">
        <f t="shared" si="132"/>
        <v>C3604IB70HH11</v>
      </c>
      <c r="I101" s="46" t="str">
        <f t="shared" si="133"/>
        <v>C3604IB70HH113C14</v>
      </c>
      <c r="J101" s="90" t="s">
        <v>148</v>
      </c>
      <c r="K101" s="90" t="s">
        <v>156</v>
      </c>
      <c r="L101" s="90">
        <v>7</v>
      </c>
      <c r="M101" s="90">
        <v>0</v>
      </c>
      <c r="N101" s="90" t="s">
        <v>160</v>
      </c>
      <c r="O101" s="90" t="s">
        <v>161</v>
      </c>
      <c r="P101" s="90">
        <v>3</v>
      </c>
      <c r="Q101" s="91">
        <v>1.08</v>
      </c>
      <c r="R101" s="90" t="s">
        <v>144</v>
      </c>
      <c r="S101" s="89">
        <f t="shared" si="134"/>
        <v>6</v>
      </c>
      <c r="T101" s="51">
        <f>'07.02'!BG101</f>
        <v>0</v>
      </c>
      <c r="U101" s="92"/>
      <c r="V101" s="100">
        <v>5.33</v>
      </c>
      <c r="W101" s="93">
        <f t="shared" si="113"/>
        <v>0</v>
      </c>
      <c r="X101" s="93">
        <f t="shared" si="114"/>
        <v>0</v>
      </c>
      <c r="Y101" s="93">
        <f t="shared" si="115"/>
        <v>0</v>
      </c>
      <c r="Z101" s="93">
        <f t="shared" si="116"/>
        <v>0</v>
      </c>
      <c r="AA101" s="93">
        <f t="shared" si="117"/>
        <v>0</v>
      </c>
      <c r="AB101" s="93">
        <f t="shared" si="118"/>
        <v>0</v>
      </c>
      <c r="AC101" s="93">
        <f t="shared" si="119"/>
        <v>0</v>
      </c>
      <c r="AD101" s="93">
        <f t="shared" si="120"/>
        <v>0</v>
      </c>
      <c r="AE101" s="93">
        <f t="shared" si="135"/>
        <v>0</v>
      </c>
      <c r="AF101" s="54">
        <f>AE101+'07.02'!AF101</f>
        <v>163</v>
      </c>
      <c r="AG101" s="94">
        <f t="shared" si="161"/>
        <v>0</v>
      </c>
      <c r="AH101" s="56">
        <f t="shared" si="136"/>
        <v>0</v>
      </c>
      <c r="AI101" s="93"/>
      <c r="AJ101" s="93">
        <f t="shared" si="162"/>
        <v>0</v>
      </c>
      <c r="AK101" s="95">
        <f t="shared" si="137"/>
        <v>1</v>
      </c>
      <c r="AL101" s="58">
        <f t="shared" si="173"/>
        <v>0</v>
      </c>
      <c r="AM101" s="55">
        <f t="shared" si="163"/>
        <v>0</v>
      </c>
      <c r="AN101" s="93"/>
      <c r="AO101" s="96"/>
      <c r="AP101" s="96"/>
      <c r="AQ101" s="96"/>
      <c r="AR101" s="96"/>
      <c r="AS101" s="96"/>
      <c r="AT101" s="96">
        <f>$CJ101</f>
        <v>0</v>
      </c>
      <c r="AU101" s="96">
        <f t="shared" si="138"/>
        <v>0</v>
      </c>
      <c r="AV101" s="96">
        <f t="shared" si="138"/>
        <v>0</v>
      </c>
      <c r="AW101" s="96">
        <f t="shared" si="139"/>
        <v>0</v>
      </c>
      <c r="AX101" s="96">
        <f t="shared" si="140"/>
        <v>0</v>
      </c>
      <c r="AY101" s="94">
        <f t="shared" si="164"/>
        <v>0</v>
      </c>
      <c r="AZ101" s="94">
        <f t="shared" si="141"/>
        <v>0</v>
      </c>
      <c r="BA101" s="94">
        <f t="shared" si="170"/>
        <v>0</v>
      </c>
      <c r="BB101" s="97">
        <f t="shared" si="171"/>
        <v>0</v>
      </c>
      <c r="BC101" s="93"/>
      <c r="BD101" s="93">
        <f t="shared" si="142"/>
        <v>0</v>
      </c>
      <c r="BE101" s="95">
        <f t="shared" si="143"/>
        <v>1</v>
      </c>
      <c r="BF101" s="58">
        <f t="shared" si="174"/>
        <v>0</v>
      </c>
      <c r="BG101" s="94">
        <f t="shared" si="144"/>
        <v>0</v>
      </c>
      <c r="BH101" s="89"/>
      <c r="BI101" s="92"/>
      <c r="BJ101" s="92"/>
      <c r="BK101" s="89"/>
      <c r="BL101" s="89"/>
      <c r="BM101" s="92"/>
      <c r="BN101" s="92">
        <f>$CN101</f>
        <v>0</v>
      </c>
      <c r="BO101" s="92">
        <f t="shared" si="165"/>
        <v>0</v>
      </c>
      <c r="BP101" s="92">
        <f t="shared" si="165"/>
        <v>0</v>
      </c>
      <c r="BQ101" s="96">
        <f t="shared" si="145"/>
        <v>0</v>
      </c>
      <c r="BR101" s="96">
        <f t="shared" si="146"/>
        <v>0</v>
      </c>
      <c r="BS101" s="96">
        <f t="shared" si="166"/>
        <v>0</v>
      </c>
      <c r="BT101" s="96">
        <f t="shared" si="147"/>
        <v>0</v>
      </c>
      <c r="BU101" s="92">
        <f t="shared" si="121"/>
        <v>0</v>
      </c>
      <c r="BV101" s="98">
        <f t="shared" si="167"/>
        <v>0</v>
      </c>
      <c r="BW101" s="92">
        <f t="shared" si="122"/>
        <v>0</v>
      </c>
      <c r="BX101" s="98">
        <f t="shared" si="148"/>
        <v>0</v>
      </c>
      <c r="BY101" s="61">
        <f t="shared" si="172"/>
        <v>0</v>
      </c>
      <c r="BZ101" s="62">
        <f t="shared" si="149"/>
        <v>0</v>
      </c>
      <c r="CA101" s="98">
        <f t="shared" si="150"/>
        <v>0</v>
      </c>
      <c r="CB101" s="92">
        <f t="shared" si="123"/>
        <v>0</v>
      </c>
      <c r="CC101" s="92">
        <f t="shared" si="123"/>
        <v>0</v>
      </c>
      <c r="CD101" s="92">
        <f t="shared" si="123"/>
        <v>0</v>
      </c>
      <c r="CE101" s="99"/>
      <c r="CF101" s="99"/>
      <c r="CG101" s="51">
        <f t="shared" si="151"/>
        <v>0</v>
      </c>
      <c r="CH101" s="62">
        <f t="shared" si="152"/>
        <v>0</v>
      </c>
      <c r="CI101" s="89"/>
      <c r="CJ101" s="89"/>
      <c r="CK101" s="89"/>
      <c r="CL101" s="96"/>
      <c r="CM101" s="89"/>
      <c r="CN101" s="89"/>
      <c r="CO101" s="92"/>
      <c r="CP101" s="101"/>
      <c r="CQ101" s="102">
        <f t="shared" si="187"/>
        <v>0</v>
      </c>
      <c r="CR101" s="102">
        <f t="shared" si="187"/>
        <v>0</v>
      </c>
      <c r="CS101" s="102">
        <f t="shared" si="187"/>
        <v>0</v>
      </c>
      <c r="CT101" s="92">
        <f t="shared" si="153"/>
        <v>0</v>
      </c>
      <c r="CU101" s="92">
        <f t="shared" si="101"/>
        <v>0</v>
      </c>
      <c r="CV101" s="103">
        <f t="shared" si="101"/>
        <v>0</v>
      </c>
      <c r="CW101" s="104"/>
      <c r="CX101" s="105">
        <v>128</v>
      </c>
      <c r="CY101" s="106">
        <f t="shared" si="154"/>
        <v>328</v>
      </c>
      <c r="CZ101" s="106">
        <f t="shared" si="155"/>
        <v>1036.8000000000002</v>
      </c>
      <c r="DA101" s="106"/>
      <c r="DB101" s="106"/>
      <c r="DC101" s="105"/>
      <c r="DD101" s="107"/>
      <c r="DE101" s="92">
        <f t="shared" si="124"/>
        <v>0</v>
      </c>
      <c r="DF101" s="108">
        <f t="shared" si="125"/>
        <v>0</v>
      </c>
      <c r="DG101" s="115">
        <f t="shared" si="126"/>
        <v>0</v>
      </c>
      <c r="DH101" s="110">
        <f t="shared" si="127"/>
        <v>0</v>
      </c>
      <c r="DI101" s="108">
        <f t="shared" si="128"/>
        <v>0</v>
      </c>
      <c r="DJ101" s="112">
        <f t="shared" si="129"/>
        <v>0</v>
      </c>
      <c r="DK101" s="110">
        <f t="shared" si="181"/>
        <v>0</v>
      </c>
      <c r="DL101" s="108">
        <f t="shared" si="181"/>
        <v>0</v>
      </c>
      <c r="DM101" s="111">
        <f t="shared" si="181"/>
        <v>0</v>
      </c>
      <c r="DN101" s="76">
        <f t="shared" si="175"/>
        <v>0</v>
      </c>
      <c r="DO101" s="76">
        <f t="shared" si="175"/>
        <v>0</v>
      </c>
      <c r="DP101" s="112"/>
      <c r="DQ101" s="112"/>
      <c r="DR101" s="113"/>
      <c r="DS101" s="112"/>
      <c r="DT101" s="112"/>
      <c r="DU101" s="111"/>
      <c r="DV101" s="114"/>
      <c r="DW101" s="80">
        <f t="shared" si="156"/>
        <v>0</v>
      </c>
      <c r="DX101" s="81">
        <f t="shared" si="130"/>
        <v>0</v>
      </c>
      <c r="DY101" s="80">
        <f t="shared" si="157"/>
        <v>0</v>
      </c>
      <c r="DZ101" s="82">
        <f t="shared" si="158"/>
        <v>0</v>
      </c>
      <c r="EA101" s="82">
        <f t="shared" si="159"/>
        <v>0</v>
      </c>
      <c r="EB101" s="82">
        <f t="shared" si="160"/>
        <v>0</v>
      </c>
      <c r="EC101" s="82">
        <f t="shared" si="178"/>
        <v>0</v>
      </c>
      <c r="EF101" s="83">
        <f t="shared" si="182"/>
        <v>0</v>
      </c>
    </row>
    <row r="102" spans="1:136" ht="15" hidden="1" customHeight="1">
      <c r="A102" s="84">
        <v>95</v>
      </c>
      <c r="B102" s="85" t="s">
        <v>397</v>
      </c>
      <c r="C102" s="86"/>
      <c r="D102" s="87"/>
      <c r="E102" s="88"/>
      <c r="F102" s="89"/>
      <c r="G102" s="45" t="str">
        <f t="shared" si="131"/>
        <v>-xx-</v>
      </c>
      <c r="H102" s="46" t="str">
        <f t="shared" si="132"/>
        <v/>
      </c>
      <c r="I102" s="46" t="str">
        <f t="shared" si="133"/>
        <v/>
      </c>
      <c r="J102" s="90" t="s">
        <v>188</v>
      </c>
      <c r="K102" s="90"/>
      <c r="L102" s="90" t="s">
        <v>188</v>
      </c>
      <c r="M102" s="90" t="s">
        <v>188</v>
      </c>
      <c r="N102" s="90" t="s">
        <v>188</v>
      </c>
      <c r="O102" s="90" t="s">
        <v>188</v>
      </c>
      <c r="P102" s="90" t="str">
        <f>IFERROR(VLOOKUP(H102,#REF!,9,0),"")</f>
        <v/>
      </c>
      <c r="Q102" s="91" t="str">
        <f>IFERROR(VLOOKUP(I102,#REF!,10,0),"")</f>
        <v/>
      </c>
      <c r="R102" s="90"/>
      <c r="S102" s="89" t="e">
        <f t="shared" si="134"/>
        <v>#DIV/0!</v>
      </c>
      <c r="T102" s="51">
        <f>'07.02'!BG102</f>
        <v>0</v>
      </c>
      <c r="U102" s="92"/>
      <c r="V102" s="100">
        <v>1</v>
      </c>
      <c r="W102" s="93">
        <f t="shared" si="113"/>
        <v>0</v>
      </c>
      <c r="X102" s="93">
        <f t="shared" si="114"/>
        <v>0</v>
      </c>
      <c r="Y102" s="93">
        <f t="shared" si="115"/>
        <v>0</v>
      </c>
      <c r="Z102" s="93">
        <f t="shared" si="116"/>
        <v>0</v>
      </c>
      <c r="AA102" s="93">
        <f t="shared" si="117"/>
        <v>0</v>
      </c>
      <c r="AB102" s="93">
        <f t="shared" si="118"/>
        <v>0</v>
      </c>
      <c r="AC102" s="93">
        <f t="shared" si="119"/>
        <v>0</v>
      </c>
      <c r="AD102" s="93">
        <f t="shared" si="120"/>
        <v>0</v>
      </c>
      <c r="AE102" s="93">
        <f t="shared" si="135"/>
        <v>0</v>
      </c>
      <c r="AF102" s="54">
        <f>AE102+'07.02'!AF102</f>
        <v>0</v>
      </c>
      <c r="AG102" s="94">
        <f t="shared" si="161"/>
        <v>0</v>
      </c>
      <c r="AH102" s="56">
        <f t="shared" si="136"/>
        <v>0</v>
      </c>
      <c r="AI102" s="93"/>
      <c r="AJ102" s="93">
        <f t="shared" si="162"/>
        <v>0</v>
      </c>
      <c r="AK102" s="95">
        <f>IF(V102="","",IF(AJ102=0,1,AJ102/$V102/$E102))</f>
        <v>1</v>
      </c>
      <c r="AL102" s="58">
        <f t="shared" si="173"/>
        <v>0</v>
      </c>
      <c r="AM102" s="55">
        <f t="shared" si="163"/>
        <v>0</v>
      </c>
      <c r="AN102" s="93"/>
      <c r="AO102" s="96"/>
      <c r="AP102" s="96"/>
      <c r="AQ102" s="96"/>
      <c r="AR102" s="96"/>
      <c r="AS102" s="96"/>
      <c r="AT102" s="96"/>
      <c r="AU102" s="96">
        <f t="shared" si="138"/>
        <v>0</v>
      </c>
      <c r="AV102" s="96">
        <f t="shared" si="138"/>
        <v>0</v>
      </c>
      <c r="AW102" s="96">
        <f t="shared" si="139"/>
        <v>0</v>
      </c>
      <c r="AX102" s="96">
        <f t="shared" si="140"/>
        <v>0</v>
      </c>
      <c r="AY102" s="94">
        <f t="shared" si="164"/>
        <v>0</v>
      </c>
      <c r="AZ102" s="94">
        <f t="shared" si="141"/>
        <v>0</v>
      </c>
      <c r="BA102" s="94">
        <f t="shared" si="170"/>
        <v>0</v>
      </c>
      <c r="BB102" s="97">
        <f t="shared" si="171"/>
        <v>0</v>
      </c>
      <c r="BC102" s="93"/>
      <c r="BD102" s="93">
        <f t="shared" si="142"/>
        <v>0</v>
      </c>
      <c r="BE102" s="95">
        <f t="shared" si="143"/>
        <v>1</v>
      </c>
      <c r="BF102" s="58">
        <f t="shared" si="174"/>
        <v>0</v>
      </c>
      <c r="BG102" s="94">
        <f t="shared" si="144"/>
        <v>0</v>
      </c>
      <c r="BH102" s="89"/>
      <c r="BI102" s="89"/>
      <c r="BJ102" s="89"/>
      <c r="BK102" s="89"/>
      <c r="BL102" s="89"/>
      <c r="BM102" s="89"/>
      <c r="BN102" s="89"/>
      <c r="BO102" s="92">
        <f t="shared" si="165"/>
        <v>0</v>
      </c>
      <c r="BP102" s="92">
        <f t="shared" si="165"/>
        <v>0</v>
      </c>
      <c r="BQ102" s="96">
        <f t="shared" si="145"/>
        <v>0</v>
      </c>
      <c r="BR102" s="96">
        <f t="shared" si="146"/>
        <v>0</v>
      </c>
      <c r="BS102" s="96">
        <f t="shared" si="166"/>
        <v>0</v>
      </c>
      <c r="BT102" s="96">
        <f t="shared" si="147"/>
        <v>0</v>
      </c>
      <c r="BU102" s="92">
        <f t="shared" si="121"/>
        <v>0</v>
      </c>
      <c r="BV102" s="98">
        <f t="shared" si="167"/>
        <v>0</v>
      </c>
      <c r="BW102" s="92">
        <f t="shared" si="122"/>
        <v>0</v>
      </c>
      <c r="BX102" s="98" t="str">
        <f t="shared" si="148"/>
        <v/>
      </c>
      <c r="BY102" s="61">
        <f t="shared" si="172"/>
        <v>0</v>
      </c>
      <c r="BZ102" s="62">
        <f t="shared" si="149"/>
        <v>0</v>
      </c>
      <c r="CA102" s="98">
        <f t="shared" si="150"/>
        <v>0</v>
      </c>
      <c r="CB102" s="92">
        <f t="shared" si="123"/>
        <v>0</v>
      </c>
      <c r="CC102" s="92">
        <f t="shared" si="123"/>
        <v>0</v>
      </c>
      <c r="CD102" s="92">
        <f t="shared" si="123"/>
        <v>0</v>
      </c>
      <c r="CE102" s="99"/>
      <c r="CF102" s="99"/>
      <c r="CG102" s="51">
        <f t="shared" si="151"/>
        <v>0</v>
      </c>
      <c r="CH102" s="62">
        <f t="shared" si="152"/>
        <v>0</v>
      </c>
      <c r="CI102" s="89"/>
      <c r="CJ102" s="89"/>
      <c r="CK102" s="89"/>
      <c r="CL102" s="96"/>
      <c r="CM102" s="89"/>
      <c r="CN102" s="89"/>
      <c r="CO102" s="92"/>
      <c r="CP102" s="101"/>
      <c r="CQ102" s="102">
        <f t="shared" si="187"/>
        <v>0</v>
      </c>
      <c r="CR102" s="102">
        <f t="shared" si="187"/>
        <v>0</v>
      </c>
      <c r="CS102" s="102">
        <f t="shared" si="187"/>
        <v>0</v>
      </c>
      <c r="CT102" s="92">
        <f t="shared" si="153"/>
        <v>0</v>
      </c>
      <c r="CU102" s="92">
        <f t="shared" si="101"/>
        <v>0</v>
      </c>
      <c r="CV102" s="103">
        <f t="shared" si="101"/>
        <v>0</v>
      </c>
      <c r="CW102" s="104"/>
      <c r="CX102" s="105"/>
      <c r="CY102" s="106" t="e">
        <f t="shared" si="154"/>
        <v>#DIV/0!</v>
      </c>
      <c r="CZ102" s="106">
        <f t="shared" si="155"/>
        <v>0</v>
      </c>
      <c r="DA102" s="106"/>
      <c r="DB102" s="106"/>
      <c r="DC102" s="105"/>
      <c r="DD102" s="107"/>
      <c r="DE102" s="92">
        <f t="shared" si="124"/>
        <v>0</v>
      </c>
      <c r="DF102" s="108">
        <f t="shared" si="125"/>
        <v>0</v>
      </c>
      <c r="DG102" s="115">
        <f t="shared" si="126"/>
        <v>0</v>
      </c>
      <c r="DH102" s="110">
        <f t="shared" si="127"/>
        <v>0</v>
      </c>
      <c r="DI102" s="108">
        <f t="shared" si="128"/>
        <v>0</v>
      </c>
      <c r="DJ102" s="112">
        <f t="shared" si="129"/>
        <v>0</v>
      </c>
      <c r="DK102" s="110">
        <f t="shared" si="181"/>
        <v>0</v>
      </c>
      <c r="DL102" s="108">
        <f t="shared" si="181"/>
        <v>0</v>
      </c>
      <c r="DM102" s="111">
        <f t="shared" si="181"/>
        <v>0</v>
      </c>
      <c r="DN102" s="76">
        <f t="shared" si="175"/>
        <v>0</v>
      </c>
      <c r="DO102" s="76">
        <f t="shared" si="175"/>
        <v>0</v>
      </c>
      <c r="DP102" s="112"/>
      <c r="DQ102" s="112"/>
      <c r="DR102" s="113"/>
      <c r="DS102" s="112"/>
      <c r="DT102" s="112"/>
      <c r="DU102" s="111"/>
      <c r="DV102" s="114"/>
      <c r="DW102" s="80">
        <f t="shared" si="156"/>
        <v>0</v>
      </c>
      <c r="DX102" s="81">
        <f t="shared" si="130"/>
        <v>0</v>
      </c>
      <c r="DY102" s="80">
        <f t="shared" si="157"/>
        <v>0</v>
      </c>
      <c r="DZ102" s="82">
        <f t="shared" si="158"/>
        <v>0</v>
      </c>
      <c r="EA102" s="82">
        <f t="shared" si="159"/>
        <v>0</v>
      </c>
      <c r="EB102" s="82" t="e">
        <f t="shared" si="160"/>
        <v>#VALUE!</v>
      </c>
      <c r="EC102" s="82" t="e">
        <f t="shared" si="178"/>
        <v>#VALUE!</v>
      </c>
    </row>
    <row r="103" spans="1:136" ht="15" hidden="1" customHeight="1">
      <c r="A103" s="84">
        <v>96</v>
      </c>
      <c r="B103" s="85" t="s">
        <v>398</v>
      </c>
      <c r="C103" s="86"/>
      <c r="D103" s="116" t="s">
        <v>399</v>
      </c>
      <c r="E103" s="88">
        <v>493</v>
      </c>
      <c r="F103" s="89" t="s">
        <v>191</v>
      </c>
      <c r="G103" s="45" t="str">
        <f t="shared" si="131"/>
        <v>TVSUS303-5x3-H7B13</v>
      </c>
      <c r="H103" s="46" t="str">
        <f t="shared" si="132"/>
        <v>SUS303TV50DH7</v>
      </c>
      <c r="I103" s="46" t="str">
        <f t="shared" si="133"/>
        <v>SUS303TV50DH73B13</v>
      </c>
      <c r="J103" s="160" t="s">
        <v>226</v>
      </c>
      <c r="K103" s="160" t="s">
        <v>138</v>
      </c>
      <c r="L103" s="160">
        <v>5</v>
      </c>
      <c r="M103" s="160">
        <v>0</v>
      </c>
      <c r="N103" s="160" t="s">
        <v>128</v>
      </c>
      <c r="O103" s="160" t="s">
        <v>154</v>
      </c>
      <c r="P103" s="160">
        <v>3</v>
      </c>
      <c r="Q103" s="161">
        <v>0.47</v>
      </c>
      <c r="R103" s="160" t="s">
        <v>228</v>
      </c>
      <c r="S103" s="89">
        <f t="shared" si="134"/>
        <v>2</v>
      </c>
      <c r="T103" s="51">
        <f>'07.02'!BG103</f>
        <v>0</v>
      </c>
      <c r="U103" s="92"/>
      <c r="V103" s="100">
        <v>0.1</v>
      </c>
      <c r="W103" s="93">
        <f t="shared" si="113"/>
        <v>0</v>
      </c>
      <c r="X103" s="93">
        <f t="shared" si="114"/>
        <v>0</v>
      </c>
      <c r="Y103" s="93">
        <f t="shared" si="115"/>
        <v>0</v>
      </c>
      <c r="Z103" s="93">
        <f t="shared" si="116"/>
        <v>0</v>
      </c>
      <c r="AA103" s="93">
        <f t="shared" si="117"/>
        <v>0</v>
      </c>
      <c r="AB103" s="93">
        <f t="shared" si="118"/>
        <v>0</v>
      </c>
      <c r="AC103" s="93">
        <f t="shared" si="119"/>
        <v>0</v>
      </c>
      <c r="AD103" s="93">
        <f t="shared" si="120"/>
        <v>0</v>
      </c>
      <c r="AE103" s="93">
        <f t="shared" si="135"/>
        <v>0</v>
      </c>
      <c r="AF103" s="54">
        <f>AE103+'07.02'!AF103</f>
        <v>0</v>
      </c>
      <c r="AG103" s="94">
        <f t="shared" si="161"/>
        <v>0</v>
      </c>
      <c r="AH103" s="56">
        <f t="shared" si="136"/>
        <v>0</v>
      </c>
      <c r="AI103" s="93"/>
      <c r="AJ103" s="93">
        <f t="shared" si="162"/>
        <v>0</v>
      </c>
      <c r="AK103" s="95">
        <f t="shared" ref="AK103:AK106" si="188">IF(V103="","",IF(AJ103=0,1,AJ103/$V103/$E103))</f>
        <v>1</v>
      </c>
      <c r="AL103" s="58">
        <f t="shared" si="173"/>
        <v>0</v>
      </c>
      <c r="AM103" s="55">
        <f t="shared" si="163"/>
        <v>0</v>
      </c>
      <c r="AN103" s="93"/>
      <c r="AO103" s="96"/>
      <c r="AP103" s="96"/>
      <c r="AQ103" s="96"/>
      <c r="AR103" s="96">
        <f>$CJ103</f>
        <v>0</v>
      </c>
      <c r="AS103" s="96"/>
      <c r="AT103" s="96"/>
      <c r="AU103" s="96">
        <f t="shared" si="138"/>
        <v>0</v>
      </c>
      <c r="AV103" s="96">
        <f t="shared" si="138"/>
        <v>0</v>
      </c>
      <c r="AW103" s="96">
        <f t="shared" si="139"/>
        <v>0</v>
      </c>
      <c r="AX103" s="96">
        <f t="shared" si="140"/>
        <v>0</v>
      </c>
      <c r="AY103" s="94">
        <f t="shared" si="164"/>
        <v>0</v>
      </c>
      <c r="AZ103" s="94">
        <f t="shared" si="141"/>
        <v>0</v>
      </c>
      <c r="BA103" s="94">
        <f t="shared" si="170"/>
        <v>0</v>
      </c>
      <c r="BB103" s="97">
        <f t="shared" si="171"/>
        <v>0</v>
      </c>
      <c r="BC103" s="93"/>
      <c r="BD103" s="93">
        <f t="shared" si="142"/>
        <v>0</v>
      </c>
      <c r="BE103" s="95">
        <f t="shared" si="143"/>
        <v>1</v>
      </c>
      <c r="BF103" s="58">
        <f t="shared" si="174"/>
        <v>0</v>
      </c>
      <c r="BG103" s="94">
        <f t="shared" si="144"/>
        <v>0</v>
      </c>
      <c r="BH103" s="89"/>
      <c r="BI103" s="89"/>
      <c r="BJ103" s="92"/>
      <c r="BK103" s="89"/>
      <c r="BL103" s="92">
        <f>$CN103</f>
        <v>0</v>
      </c>
      <c r="BM103" s="89"/>
      <c r="BN103" s="92"/>
      <c r="BO103" s="92">
        <f t="shared" si="165"/>
        <v>0</v>
      </c>
      <c r="BP103" s="92">
        <f t="shared" si="165"/>
        <v>0</v>
      </c>
      <c r="BQ103" s="96">
        <f t="shared" si="145"/>
        <v>0</v>
      </c>
      <c r="BR103" s="96">
        <f t="shared" si="146"/>
        <v>0</v>
      </c>
      <c r="BS103" s="96">
        <f t="shared" si="166"/>
        <v>0</v>
      </c>
      <c r="BT103" s="96">
        <f t="shared" si="147"/>
        <v>0</v>
      </c>
      <c r="BU103" s="92">
        <f t="shared" si="121"/>
        <v>0</v>
      </c>
      <c r="BV103" s="98">
        <f t="shared" si="167"/>
        <v>0</v>
      </c>
      <c r="BW103" s="92">
        <f t="shared" si="122"/>
        <v>0</v>
      </c>
      <c r="BX103" s="98">
        <f t="shared" si="148"/>
        <v>0</v>
      </c>
      <c r="BY103" s="61">
        <f t="shared" si="172"/>
        <v>0</v>
      </c>
      <c r="BZ103" s="62">
        <f t="shared" si="149"/>
        <v>0</v>
      </c>
      <c r="CA103" s="98">
        <f t="shared" si="150"/>
        <v>0</v>
      </c>
      <c r="CB103" s="92">
        <f t="shared" si="123"/>
        <v>0</v>
      </c>
      <c r="CC103" s="92">
        <f t="shared" si="123"/>
        <v>0</v>
      </c>
      <c r="CD103" s="92">
        <f t="shared" si="123"/>
        <v>0</v>
      </c>
      <c r="CE103" s="99"/>
      <c r="CF103" s="99"/>
      <c r="CG103" s="51">
        <f t="shared" si="151"/>
        <v>0</v>
      </c>
      <c r="CH103" s="62">
        <f t="shared" si="152"/>
        <v>0</v>
      </c>
      <c r="CI103" s="89"/>
      <c r="CJ103" s="89"/>
      <c r="CK103" s="89"/>
      <c r="CL103" s="96"/>
      <c r="CM103" s="89"/>
      <c r="CN103" s="89"/>
      <c r="CO103" s="92"/>
      <c r="CP103" s="101"/>
      <c r="CQ103" s="102">
        <f t="shared" si="187"/>
        <v>0</v>
      </c>
      <c r="CR103" s="102">
        <f t="shared" si="187"/>
        <v>0</v>
      </c>
      <c r="CS103" s="102">
        <f t="shared" si="187"/>
        <v>0</v>
      </c>
      <c r="CT103" s="92">
        <f t="shared" si="153"/>
        <v>0</v>
      </c>
      <c r="CU103" s="92">
        <f t="shared" si="101"/>
        <v>0</v>
      </c>
      <c r="CV103" s="103">
        <f t="shared" si="101"/>
        <v>0</v>
      </c>
      <c r="CW103" s="104"/>
      <c r="CX103" s="105">
        <v>90</v>
      </c>
      <c r="CY103" s="106">
        <f t="shared" si="154"/>
        <v>476</v>
      </c>
      <c r="CZ103" s="106">
        <f t="shared" si="155"/>
        <v>729</v>
      </c>
      <c r="DA103" s="106"/>
      <c r="DB103" s="106"/>
      <c r="DC103" s="105"/>
      <c r="DD103" s="107"/>
      <c r="DE103" s="92">
        <f t="shared" si="124"/>
        <v>0</v>
      </c>
      <c r="DF103" s="108">
        <f t="shared" si="125"/>
        <v>0</v>
      </c>
      <c r="DG103" s="115">
        <f t="shared" si="126"/>
        <v>0</v>
      </c>
      <c r="DH103" s="110">
        <f t="shared" si="127"/>
        <v>0</v>
      </c>
      <c r="DI103" s="108">
        <f t="shared" si="128"/>
        <v>0</v>
      </c>
      <c r="DJ103" s="112">
        <f t="shared" si="129"/>
        <v>0</v>
      </c>
      <c r="DK103" s="110">
        <f t="shared" si="181"/>
        <v>0</v>
      </c>
      <c r="DL103" s="108">
        <f t="shared" si="181"/>
        <v>0</v>
      </c>
      <c r="DM103" s="111">
        <f t="shared" si="181"/>
        <v>0</v>
      </c>
      <c r="DN103" s="76">
        <f t="shared" si="175"/>
        <v>0</v>
      </c>
      <c r="DO103" s="76">
        <f t="shared" si="175"/>
        <v>0</v>
      </c>
      <c r="DP103" s="112"/>
      <c r="DQ103" s="112"/>
      <c r="DR103" s="113"/>
      <c r="DS103" s="112"/>
      <c r="DT103" s="112"/>
      <c r="DU103" s="111"/>
      <c r="DV103" s="114"/>
      <c r="DW103" s="80">
        <f t="shared" si="156"/>
        <v>0</v>
      </c>
      <c r="DX103" s="81">
        <f t="shared" si="130"/>
        <v>0</v>
      </c>
      <c r="DY103" s="80">
        <f t="shared" si="157"/>
        <v>0</v>
      </c>
      <c r="DZ103" s="82">
        <f t="shared" si="158"/>
        <v>0</v>
      </c>
      <c r="EA103" s="82">
        <f t="shared" si="159"/>
        <v>0</v>
      </c>
      <c r="EB103" s="82">
        <f t="shared" si="160"/>
        <v>0</v>
      </c>
      <c r="EC103" s="82">
        <f t="shared" si="178"/>
        <v>0</v>
      </c>
      <c r="EF103" s="83">
        <f t="shared" ref="EF103:EF106" si="189">DG103+DJ103</f>
        <v>0</v>
      </c>
    </row>
    <row r="104" spans="1:136" ht="15.75" thickBot="1">
      <c r="A104" s="84">
        <v>97</v>
      </c>
      <c r="B104" s="176" t="s">
        <v>400</v>
      </c>
      <c r="C104" s="86"/>
      <c r="D104" s="177" t="s">
        <v>390</v>
      </c>
      <c r="E104" s="88">
        <v>60</v>
      </c>
      <c r="F104" s="89" t="s">
        <v>191</v>
      </c>
      <c r="G104" s="45" t="str">
        <f t="shared" si="131"/>
        <v>TVSUS303-6x2.5-H9A14</v>
      </c>
      <c r="H104" s="46" t="str">
        <f t="shared" si="132"/>
        <v>SUS303TV60DH9</v>
      </c>
      <c r="I104" s="46" t="str">
        <f t="shared" si="133"/>
        <v>SUS303TV60DH92.5A14</v>
      </c>
      <c r="J104" s="169" t="s">
        <v>226</v>
      </c>
      <c r="K104" s="169" t="s">
        <v>138</v>
      </c>
      <c r="L104" s="169">
        <v>6</v>
      </c>
      <c r="M104" s="169">
        <v>0</v>
      </c>
      <c r="N104" s="169" t="s">
        <v>128</v>
      </c>
      <c r="O104" s="169" t="s">
        <v>131</v>
      </c>
      <c r="P104" s="169">
        <v>2.5</v>
      </c>
      <c r="Q104" s="161">
        <v>0.55400000000000005</v>
      </c>
      <c r="R104" s="169" t="s">
        <v>139</v>
      </c>
      <c r="S104" s="89">
        <f t="shared" si="134"/>
        <v>20</v>
      </c>
      <c r="T104" s="51">
        <f>'07.02'!BG104</f>
        <v>18</v>
      </c>
      <c r="U104" s="92"/>
      <c r="V104" s="100">
        <v>3.0150000000000001</v>
      </c>
      <c r="W104" s="93">
        <f>IF(V104="","",INT((AO104+BI104)/$V104))</f>
        <v>0</v>
      </c>
      <c r="X104" s="93">
        <f t="shared" si="114"/>
        <v>0</v>
      </c>
      <c r="Y104" s="93">
        <f t="shared" si="115"/>
        <v>0</v>
      </c>
      <c r="Z104" s="93">
        <f t="shared" si="116"/>
        <v>0</v>
      </c>
      <c r="AA104" s="93">
        <f t="shared" si="117"/>
        <v>0</v>
      </c>
      <c r="AB104" s="93">
        <f t="shared" si="118"/>
        <v>0</v>
      </c>
      <c r="AC104" s="93">
        <f t="shared" si="119"/>
        <v>0</v>
      </c>
      <c r="AD104" s="93">
        <f t="shared" si="120"/>
        <v>0</v>
      </c>
      <c r="AE104" s="93">
        <f t="shared" si="135"/>
        <v>0</v>
      </c>
      <c r="AF104" s="54">
        <f>AE104+'07.02'!AF104</f>
        <v>0</v>
      </c>
      <c r="AG104" s="94">
        <f t="shared" si="161"/>
        <v>18</v>
      </c>
      <c r="AH104" s="56">
        <f t="shared" si="136"/>
        <v>0</v>
      </c>
      <c r="AI104" s="93"/>
      <c r="AJ104" s="93">
        <f t="shared" si="162"/>
        <v>0</v>
      </c>
      <c r="AK104" s="95">
        <f t="shared" si="188"/>
        <v>1</v>
      </c>
      <c r="AL104" s="58">
        <f t="shared" si="173"/>
        <v>0</v>
      </c>
      <c r="AM104" s="55">
        <f t="shared" si="163"/>
        <v>18</v>
      </c>
      <c r="AN104" s="93"/>
      <c r="AO104" s="96"/>
      <c r="AP104" s="96"/>
      <c r="AQ104" s="96"/>
      <c r="AR104" s="96"/>
      <c r="AS104" s="96"/>
      <c r="AT104" s="96">
        <f>$CJ104</f>
        <v>0</v>
      </c>
      <c r="AU104" s="96">
        <f t="shared" si="138"/>
        <v>0</v>
      </c>
      <c r="AV104" s="96">
        <f t="shared" si="138"/>
        <v>0</v>
      </c>
      <c r="AW104" s="96">
        <f t="shared" si="139"/>
        <v>0</v>
      </c>
      <c r="AX104" s="96">
        <f t="shared" si="140"/>
        <v>0</v>
      </c>
      <c r="AY104" s="94">
        <f t="shared" si="164"/>
        <v>0</v>
      </c>
      <c r="AZ104" s="94">
        <f t="shared" si="141"/>
        <v>0</v>
      </c>
      <c r="BA104" s="94">
        <f t="shared" si="170"/>
        <v>18</v>
      </c>
      <c r="BB104" s="97">
        <f t="shared" si="171"/>
        <v>0</v>
      </c>
      <c r="BC104" s="93"/>
      <c r="BD104" s="93">
        <f t="shared" si="142"/>
        <v>0</v>
      </c>
      <c r="BE104" s="95">
        <f t="shared" si="143"/>
        <v>1</v>
      </c>
      <c r="BF104" s="58">
        <f t="shared" si="174"/>
        <v>0</v>
      </c>
      <c r="BG104" s="94">
        <f t="shared" si="144"/>
        <v>18</v>
      </c>
      <c r="BH104" s="89"/>
      <c r="BI104" s="89"/>
      <c r="BJ104" s="92"/>
      <c r="BK104" s="89"/>
      <c r="BL104" s="89"/>
      <c r="BM104" s="89"/>
      <c r="BN104" s="92">
        <f>$CN104</f>
        <v>0</v>
      </c>
      <c r="BO104" s="92">
        <f t="shared" ref="BO104:BP106" si="190">CO104</f>
        <v>0</v>
      </c>
      <c r="BP104" s="92">
        <f t="shared" si="190"/>
        <v>0</v>
      </c>
      <c r="BQ104" s="96">
        <f t="shared" si="145"/>
        <v>0</v>
      </c>
      <c r="BR104" s="96">
        <f t="shared" si="146"/>
        <v>0</v>
      </c>
      <c r="BS104" s="96">
        <f t="shared" si="166"/>
        <v>0</v>
      </c>
      <c r="BT104" s="96">
        <f t="shared" si="147"/>
        <v>0</v>
      </c>
      <c r="BU104" s="92">
        <f t="shared" si="121"/>
        <v>0</v>
      </c>
      <c r="BV104" s="98">
        <f t="shared" si="167"/>
        <v>0</v>
      </c>
      <c r="BW104" s="92">
        <f t="shared" si="122"/>
        <v>0</v>
      </c>
      <c r="BX104" s="98">
        <f t="shared" si="148"/>
        <v>0</v>
      </c>
      <c r="BY104" s="61">
        <f t="shared" si="172"/>
        <v>0</v>
      </c>
      <c r="BZ104" s="62">
        <f t="shared" si="149"/>
        <v>0</v>
      </c>
      <c r="CA104" s="98">
        <f t="shared" si="150"/>
        <v>0</v>
      </c>
      <c r="CB104" s="92">
        <f t="shared" si="123"/>
        <v>0</v>
      </c>
      <c r="CC104" s="92">
        <f t="shared" si="123"/>
        <v>0</v>
      </c>
      <c r="CD104" s="92">
        <f t="shared" si="123"/>
        <v>0</v>
      </c>
      <c r="CE104" s="99"/>
      <c r="CF104" s="99"/>
      <c r="CG104" s="51">
        <f t="shared" si="151"/>
        <v>0</v>
      </c>
      <c r="CH104" s="62">
        <f t="shared" si="152"/>
        <v>0</v>
      </c>
      <c r="CI104" s="89"/>
      <c r="CJ104" s="89"/>
      <c r="CK104" s="89"/>
      <c r="CL104" s="96"/>
      <c r="CM104" s="89"/>
      <c r="CN104" s="89"/>
      <c r="CO104" s="92"/>
      <c r="CP104" s="101"/>
      <c r="CQ104" s="102">
        <f t="shared" si="187"/>
        <v>0</v>
      </c>
      <c r="CR104" s="102">
        <f t="shared" si="187"/>
        <v>0</v>
      </c>
      <c r="CS104" s="102">
        <f t="shared" si="187"/>
        <v>0</v>
      </c>
      <c r="CT104" s="92">
        <f t="shared" si="153"/>
        <v>0</v>
      </c>
      <c r="CU104" s="92">
        <f t="shared" ref="CU104:CV106" si="191">INT(IFERROR( AC104-CR104,0))</f>
        <v>0</v>
      </c>
      <c r="CV104" s="103">
        <f t="shared" si="191"/>
        <v>0</v>
      </c>
      <c r="CW104" s="178"/>
      <c r="CX104" s="179">
        <v>70</v>
      </c>
      <c r="CY104" s="180">
        <f t="shared" si="154"/>
        <v>570</v>
      </c>
      <c r="CZ104" s="180">
        <f t="shared" si="155"/>
        <v>567</v>
      </c>
      <c r="DA104" s="181"/>
      <c r="DB104" s="181"/>
      <c r="DC104" s="179"/>
      <c r="DD104" s="182"/>
      <c r="DE104" s="92">
        <f t="shared" si="124"/>
        <v>0</v>
      </c>
      <c r="DF104" s="108">
        <f t="shared" si="125"/>
        <v>0</v>
      </c>
      <c r="DG104" s="115">
        <f t="shared" si="126"/>
        <v>0</v>
      </c>
      <c r="DH104" s="110">
        <f t="shared" si="127"/>
        <v>0</v>
      </c>
      <c r="DI104" s="108">
        <f t="shared" si="128"/>
        <v>0</v>
      </c>
      <c r="DJ104" s="112">
        <f t="shared" si="129"/>
        <v>0</v>
      </c>
      <c r="DK104" s="110">
        <f t="shared" si="181"/>
        <v>0</v>
      </c>
      <c r="DL104" s="108">
        <f t="shared" si="181"/>
        <v>0</v>
      </c>
      <c r="DM104" s="111">
        <f t="shared" si="181"/>
        <v>0</v>
      </c>
      <c r="DN104" s="183">
        <v>18</v>
      </c>
      <c r="DO104" s="183"/>
      <c r="DP104" s="183"/>
      <c r="DQ104" s="183"/>
      <c r="DR104" s="184" t="s">
        <v>569</v>
      </c>
      <c r="DS104" s="183"/>
      <c r="DT104" s="183"/>
      <c r="DU104" s="185"/>
      <c r="DV104" s="186"/>
      <c r="DW104" s="80">
        <f t="shared" si="156"/>
        <v>0</v>
      </c>
      <c r="DX104" s="81">
        <f t="shared" si="130"/>
        <v>0</v>
      </c>
      <c r="DY104" s="80">
        <f t="shared" si="157"/>
        <v>0</v>
      </c>
      <c r="DZ104" s="82">
        <f t="shared" si="158"/>
        <v>0</v>
      </c>
      <c r="EA104" s="82">
        <f t="shared" si="159"/>
        <v>0</v>
      </c>
      <c r="EB104" s="82">
        <f t="shared" si="160"/>
        <v>0</v>
      </c>
      <c r="EC104" s="82">
        <f t="shared" si="178"/>
        <v>0</v>
      </c>
      <c r="EF104" s="83">
        <f t="shared" si="189"/>
        <v>0</v>
      </c>
    </row>
    <row r="105" spans="1:136" ht="14.1" hidden="1" customHeight="1">
      <c r="A105" s="84">
        <v>98</v>
      </c>
      <c r="B105" s="187" t="s">
        <v>402</v>
      </c>
      <c r="C105" s="86"/>
      <c r="D105" s="244" t="s">
        <v>403</v>
      </c>
      <c r="E105" s="189">
        <v>66</v>
      </c>
      <c r="F105" s="190" t="s">
        <v>147</v>
      </c>
      <c r="G105" s="191" t="str">
        <f t="shared" si="131"/>
        <v>TV12L14-H17x3-H11A14</v>
      </c>
      <c r="H105" s="191" t="str">
        <f t="shared" si="132"/>
        <v>12L14TV170HH11</v>
      </c>
      <c r="I105" s="191" t="str">
        <f t="shared" si="133"/>
        <v>12L14TV170HH113A14</v>
      </c>
      <c r="J105" s="192" t="s">
        <v>137</v>
      </c>
      <c r="K105" s="192" t="s">
        <v>138</v>
      </c>
      <c r="L105" s="192">
        <v>17</v>
      </c>
      <c r="M105" s="192">
        <v>0</v>
      </c>
      <c r="N105" s="192" t="s">
        <v>160</v>
      </c>
      <c r="O105" s="192" t="s">
        <v>161</v>
      </c>
      <c r="P105" s="192">
        <v>3</v>
      </c>
      <c r="Q105" s="193">
        <v>5.8</v>
      </c>
      <c r="R105" s="192" t="s">
        <v>139</v>
      </c>
      <c r="S105" s="190">
        <f t="shared" si="134"/>
        <v>16</v>
      </c>
      <c r="T105" s="51">
        <f>'07.02'!BG105</f>
        <v>0</v>
      </c>
      <c r="U105" s="194"/>
      <c r="V105" s="195">
        <v>60.8</v>
      </c>
      <c r="W105" s="196">
        <f>IF(V105="","",INT((AO105+BI105)/$V105))</f>
        <v>0</v>
      </c>
      <c r="X105" s="196">
        <f t="shared" si="114"/>
        <v>0</v>
      </c>
      <c r="Y105" s="196">
        <f t="shared" si="115"/>
        <v>0</v>
      </c>
      <c r="Z105" s="196">
        <f t="shared" si="116"/>
        <v>0</v>
      </c>
      <c r="AA105" s="196">
        <f t="shared" si="117"/>
        <v>0</v>
      </c>
      <c r="AB105" s="196">
        <f t="shared" si="118"/>
        <v>0</v>
      </c>
      <c r="AC105" s="196">
        <f t="shared" si="119"/>
        <v>0</v>
      </c>
      <c r="AD105" s="196">
        <f t="shared" si="120"/>
        <v>0</v>
      </c>
      <c r="AE105" s="196">
        <f t="shared" si="135"/>
        <v>0</v>
      </c>
      <c r="AF105" s="54">
        <f>AE105+'07.02'!AF105</f>
        <v>1356</v>
      </c>
      <c r="AG105" s="94">
        <f t="shared" si="161"/>
        <v>0</v>
      </c>
      <c r="AH105" s="56">
        <f t="shared" si="136"/>
        <v>0</v>
      </c>
      <c r="AI105" s="196"/>
      <c r="AJ105" s="93">
        <f t="shared" si="162"/>
        <v>0</v>
      </c>
      <c r="AK105" s="197">
        <f t="shared" si="188"/>
        <v>1</v>
      </c>
      <c r="AL105" s="58">
        <f t="shared" si="173"/>
        <v>0</v>
      </c>
      <c r="AM105" s="55">
        <f t="shared" si="163"/>
        <v>0</v>
      </c>
      <c r="AN105" s="196"/>
      <c r="AO105" s="198"/>
      <c r="AP105" s="198"/>
      <c r="AQ105" s="198"/>
      <c r="AR105" s="198"/>
      <c r="AS105" s="198"/>
      <c r="AT105" s="198">
        <f>$CJ105</f>
        <v>0</v>
      </c>
      <c r="AU105" s="198">
        <f t="shared" si="138"/>
        <v>0</v>
      </c>
      <c r="AV105" s="198">
        <f t="shared" si="138"/>
        <v>0</v>
      </c>
      <c r="AW105" s="198">
        <f t="shared" si="139"/>
        <v>0</v>
      </c>
      <c r="AX105" s="198">
        <f t="shared" si="140"/>
        <v>0</v>
      </c>
      <c r="AY105" s="199">
        <f t="shared" si="164"/>
        <v>0</v>
      </c>
      <c r="AZ105" s="199">
        <f t="shared" si="141"/>
        <v>0</v>
      </c>
      <c r="BA105" s="94">
        <f t="shared" si="170"/>
        <v>0</v>
      </c>
      <c r="BB105" s="200">
        <f t="shared" si="171"/>
        <v>0</v>
      </c>
      <c r="BC105" s="196"/>
      <c r="BD105" s="93">
        <f t="shared" si="142"/>
        <v>0</v>
      </c>
      <c r="BE105" s="197">
        <f t="shared" si="143"/>
        <v>1</v>
      </c>
      <c r="BF105" s="58">
        <f t="shared" si="174"/>
        <v>0</v>
      </c>
      <c r="BG105" s="94">
        <f t="shared" si="144"/>
        <v>0</v>
      </c>
      <c r="BH105" s="190"/>
      <c r="BI105" s="194"/>
      <c r="BJ105" s="194"/>
      <c r="BK105" s="190"/>
      <c r="BL105" s="190"/>
      <c r="BM105" s="190"/>
      <c r="BN105" s="194">
        <f>$CN105</f>
        <v>0</v>
      </c>
      <c r="BO105" s="194">
        <f t="shared" si="190"/>
        <v>0</v>
      </c>
      <c r="BP105" s="194">
        <f t="shared" si="190"/>
        <v>0</v>
      </c>
      <c r="BQ105" s="198">
        <f t="shared" si="145"/>
        <v>0</v>
      </c>
      <c r="BR105" s="198">
        <f t="shared" si="146"/>
        <v>0</v>
      </c>
      <c r="BS105" s="198">
        <f t="shared" si="166"/>
        <v>0</v>
      </c>
      <c r="BT105" s="198">
        <f t="shared" si="147"/>
        <v>0</v>
      </c>
      <c r="BU105" s="194">
        <f t="shared" si="121"/>
        <v>0</v>
      </c>
      <c r="BV105" s="201">
        <f t="shared" si="167"/>
        <v>0</v>
      </c>
      <c r="BW105" s="194">
        <f t="shared" si="122"/>
        <v>0</v>
      </c>
      <c r="BX105" s="201">
        <f t="shared" si="148"/>
        <v>0</v>
      </c>
      <c r="BY105" s="51">
        <f t="shared" si="172"/>
        <v>0</v>
      </c>
      <c r="BZ105" s="62">
        <f t="shared" si="149"/>
        <v>0</v>
      </c>
      <c r="CA105" s="201">
        <f t="shared" si="150"/>
        <v>0</v>
      </c>
      <c r="CB105" s="194">
        <f t="shared" si="123"/>
        <v>0</v>
      </c>
      <c r="CC105" s="194">
        <f t="shared" si="123"/>
        <v>0</v>
      </c>
      <c r="CD105" s="194">
        <f t="shared" si="123"/>
        <v>0</v>
      </c>
      <c r="CE105" s="202"/>
      <c r="CF105" s="202"/>
      <c r="CG105" s="51">
        <f t="shared" si="151"/>
        <v>0</v>
      </c>
      <c r="CH105" s="62">
        <f t="shared" si="152"/>
        <v>0</v>
      </c>
      <c r="CI105" s="190"/>
      <c r="CJ105" s="190"/>
      <c r="CK105" s="190"/>
      <c r="CL105" s="198"/>
      <c r="CM105" s="190"/>
      <c r="CN105" s="190"/>
      <c r="CO105" s="190"/>
      <c r="CP105" s="190"/>
      <c r="CQ105" s="203">
        <f t="shared" si="187"/>
        <v>0</v>
      </c>
      <c r="CR105" s="203">
        <f t="shared" si="187"/>
        <v>0</v>
      </c>
      <c r="CS105" s="203">
        <f t="shared" si="187"/>
        <v>0</v>
      </c>
      <c r="CT105" s="194">
        <f t="shared" si="153"/>
        <v>0</v>
      </c>
      <c r="CU105" s="194">
        <f t="shared" si="191"/>
        <v>0</v>
      </c>
      <c r="CV105" s="204">
        <f t="shared" si="191"/>
        <v>0</v>
      </c>
      <c r="CW105" s="205"/>
      <c r="CX105" s="206">
        <v>81</v>
      </c>
      <c r="CY105" s="207">
        <f t="shared" si="154"/>
        <v>500</v>
      </c>
      <c r="CZ105" s="207">
        <f t="shared" si="155"/>
        <v>656.1</v>
      </c>
      <c r="DA105" s="207"/>
      <c r="DB105" s="207"/>
      <c r="DC105" s="206"/>
      <c r="DD105" s="208"/>
      <c r="DE105" s="194">
        <f t="shared" si="124"/>
        <v>0</v>
      </c>
      <c r="DF105" s="209">
        <f t="shared" si="125"/>
        <v>0</v>
      </c>
      <c r="DG105" s="115">
        <f t="shared" si="126"/>
        <v>0</v>
      </c>
      <c r="DH105" s="210">
        <f t="shared" si="127"/>
        <v>0</v>
      </c>
      <c r="DI105" s="209">
        <f t="shared" si="128"/>
        <v>0</v>
      </c>
      <c r="DJ105" s="76">
        <f t="shared" si="129"/>
        <v>0</v>
      </c>
      <c r="DK105" s="210">
        <f t="shared" si="181"/>
        <v>0</v>
      </c>
      <c r="DL105" s="209">
        <f t="shared" si="181"/>
        <v>0</v>
      </c>
      <c r="DM105" s="211">
        <f t="shared" si="181"/>
        <v>0</v>
      </c>
      <c r="DN105" s="212"/>
      <c r="DO105" s="212">
        <f t="shared" ref="DO105:DO106" si="192">U105</f>
        <v>0</v>
      </c>
      <c r="DP105" s="212"/>
      <c r="DQ105" s="212"/>
      <c r="DR105" s="213" t="s">
        <v>570</v>
      </c>
      <c r="DS105" s="212"/>
      <c r="DT105" s="212"/>
      <c r="DU105" s="214"/>
      <c r="DV105" s="215"/>
      <c r="DW105" s="80">
        <f t="shared" si="156"/>
        <v>0</v>
      </c>
      <c r="DX105" s="81">
        <f t="shared" si="130"/>
        <v>0</v>
      </c>
      <c r="DY105" s="80">
        <f t="shared" si="157"/>
        <v>0</v>
      </c>
      <c r="DZ105" s="82">
        <f t="shared" si="158"/>
        <v>0</v>
      </c>
      <c r="EA105" s="82">
        <f t="shared" si="159"/>
        <v>0</v>
      </c>
      <c r="EB105" s="82">
        <f t="shared" si="160"/>
        <v>0</v>
      </c>
      <c r="EC105" s="82">
        <f t="shared" si="178"/>
        <v>0</v>
      </c>
      <c r="EF105" s="83">
        <f t="shared" si="189"/>
        <v>0</v>
      </c>
    </row>
    <row r="106" spans="1:136" ht="14.1" hidden="1" customHeight="1">
      <c r="A106" s="84">
        <v>99</v>
      </c>
      <c r="B106" s="216" t="s">
        <v>404</v>
      </c>
      <c r="C106" s="216"/>
      <c r="D106" s="217" t="s">
        <v>405</v>
      </c>
      <c r="E106" s="218">
        <v>194</v>
      </c>
      <c r="F106" s="218" t="s">
        <v>147</v>
      </c>
      <c r="G106" s="219" t="str">
        <f t="shared" si="131"/>
        <v>SSSUS316L-T2.2x0.78x2.5-H9A08</v>
      </c>
      <c r="H106" s="219" t="str">
        <f t="shared" si="132"/>
        <v>SUS316LSS2.20.78TH9</v>
      </c>
      <c r="I106" s="219" t="str">
        <f t="shared" si="133"/>
        <v>SUS316LSS2.20.78TH92.5A08</v>
      </c>
      <c r="J106" s="220" t="s">
        <v>406</v>
      </c>
      <c r="K106" s="220" t="s">
        <v>215</v>
      </c>
      <c r="L106" s="220">
        <v>2.2000000000000002</v>
      </c>
      <c r="M106" s="220">
        <v>0.78</v>
      </c>
      <c r="N106" s="220" t="s">
        <v>157</v>
      </c>
      <c r="O106" s="220" t="s">
        <v>131</v>
      </c>
      <c r="P106" s="220">
        <v>2.5</v>
      </c>
      <c r="Q106" s="221"/>
      <c r="R106" s="220" t="s">
        <v>208</v>
      </c>
      <c r="S106" s="218">
        <f t="shared" si="134"/>
        <v>10</v>
      </c>
      <c r="T106" s="51">
        <f>'07.02'!BG106</f>
        <v>0</v>
      </c>
      <c r="U106" s="222"/>
      <c r="V106" s="223">
        <v>7.2999999999999995E-2</v>
      </c>
      <c r="W106" s="224">
        <f>IF(V106="","",INT((AO106+BI106)/$V106))</f>
        <v>0</v>
      </c>
      <c r="X106" s="224">
        <f t="shared" si="114"/>
        <v>0</v>
      </c>
      <c r="Y106" s="224">
        <f t="shared" si="115"/>
        <v>0</v>
      </c>
      <c r="Z106" s="224">
        <f t="shared" si="116"/>
        <v>0</v>
      </c>
      <c r="AA106" s="224">
        <f t="shared" si="117"/>
        <v>0</v>
      </c>
      <c r="AB106" s="224">
        <f t="shared" si="118"/>
        <v>0</v>
      </c>
      <c r="AC106" s="224">
        <f t="shared" si="119"/>
        <v>0</v>
      </c>
      <c r="AD106" s="224">
        <f t="shared" si="120"/>
        <v>0</v>
      </c>
      <c r="AE106" s="224">
        <f t="shared" si="135"/>
        <v>0</v>
      </c>
      <c r="AF106" s="54">
        <f>AE106+'07.02'!AF106</f>
        <v>0</v>
      </c>
      <c r="AG106" s="94">
        <f t="shared" si="161"/>
        <v>0</v>
      </c>
      <c r="AH106" s="56">
        <f t="shared" si="136"/>
        <v>0</v>
      </c>
      <c r="AI106" s="224"/>
      <c r="AJ106" s="93">
        <f t="shared" si="162"/>
        <v>0</v>
      </c>
      <c r="AK106" s="225">
        <f t="shared" si="188"/>
        <v>1</v>
      </c>
      <c r="AL106" s="58">
        <f t="shared" si="173"/>
        <v>0</v>
      </c>
      <c r="AM106" s="55">
        <f t="shared" si="163"/>
        <v>0</v>
      </c>
      <c r="AN106" s="224"/>
      <c r="AO106" s="226"/>
      <c r="AP106" s="226">
        <f>$CJ106</f>
        <v>0</v>
      </c>
      <c r="AQ106" s="226"/>
      <c r="AR106" s="226"/>
      <c r="AS106" s="226"/>
      <c r="AT106" s="226"/>
      <c r="AU106" s="226">
        <f t="shared" si="138"/>
        <v>0</v>
      </c>
      <c r="AV106" s="226">
        <f t="shared" si="138"/>
        <v>0</v>
      </c>
      <c r="AW106" s="226">
        <f t="shared" si="139"/>
        <v>0</v>
      </c>
      <c r="AX106" s="226">
        <f t="shared" si="140"/>
        <v>0</v>
      </c>
      <c r="AY106" s="227">
        <f t="shared" si="164"/>
        <v>0</v>
      </c>
      <c r="AZ106" s="227">
        <f t="shared" si="141"/>
        <v>0</v>
      </c>
      <c r="BA106" s="94">
        <f t="shared" si="170"/>
        <v>0</v>
      </c>
      <c r="BB106" s="228">
        <f t="shared" si="171"/>
        <v>0</v>
      </c>
      <c r="BC106" s="224"/>
      <c r="BD106" s="93">
        <f t="shared" si="142"/>
        <v>0</v>
      </c>
      <c r="BE106" s="225">
        <f t="shared" si="143"/>
        <v>1</v>
      </c>
      <c r="BF106" s="58">
        <f t="shared" si="174"/>
        <v>0</v>
      </c>
      <c r="BG106" s="94">
        <f t="shared" si="144"/>
        <v>0</v>
      </c>
      <c r="BH106" s="218"/>
      <c r="BI106" s="218"/>
      <c r="BJ106" s="222">
        <f>$CN106</f>
        <v>0</v>
      </c>
      <c r="BK106" s="218"/>
      <c r="BL106" s="218"/>
      <c r="BM106" s="218"/>
      <c r="BN106" s="222"/>
      <c r="BO106" s="222">
        <f t="shared" si="190"/>
        <v>0</v>
      </c>
      <c r="BP106" s="222">
        <f t="shared" si="190"/>
        <v>0</v>
      </c>
      <c r="BQ106" s="226">
        <f t="shared" si="145"/>
        <v>0</v>
      </c>
      <c r="BR106" s="226">
        <f t="shared" si="146"/>
        <v>0</v>
      </c>
      <c r="BS106" s="226">
        <f t="shared" si="166"/>
        <v>0</v>
      </c>
      <c r="BT106" s="226">
        <f t="shared" si="147"/>
        <v>0</v>
      </c>
      <c r="BU106" s="222">
        <f t="shared" si="121"/>
        <v>0</v>
      </c>
      <c r="BV106" s="229">
        <f t="shared" si="167"/>
        <v>0</v>
      </c>
      <c r="BW106" s="222">
        <f t="shared" si="122"/>
        <v>0</v>
      </c>
      <c r="BX106" s="229" t="str">
        <f t="shared" si="148"/>
        <v/>
      </c>
      <c r="BY106" s="229">
        <f t="shared" si="172"/>
        <v>0</v>
      </c>
      <c r="BZ106" s="62">
        <f t="shared" si="149"/>
        <v>0</v>
      </c>
      <c r="CA106" s="229">
        <f t="shared" si="150"/>
        <v>0</v>
      </c>
      <c r="CB106" s="222">
        <f t="shared" si="123"/>
        <v>0</v>
      </c>
      <c r="CC106" s="222">
        <f t="shared" si="123"/>
        <v>0</v>
      </c>
      <c r="CD106" s="222">
        <f t="shared" si="123"/>
        <v>0</v>
      </c>
      <c r="CE106" s="230"/>
      <c r="CF106" s="230"/>
      <c r="CG106" s="229">
        <f t="shared" si="151"/>
        <v>0</v>
      </c>
      <c r="CH106" s="62">
        <f t="shared" si="152"/>
        <v>0</v>
      </c>
      <c r="CI106" s="218"/>
      <c r="CJ106" s="218"/>
      <c r="CK106" s="218"/>
      <c r="CL106" s="226"/>
      <c r="CM106" s="218"/>
      <c r="CN106" s="218"/>
      <c r="CO106" s="222"/>
      <c r="CP106" s="218"/>
      <c r="CQ106" s="222">
        <f t="shared" si="187"/>
        <v>0</v>
      </c>
      <c r="CR106" s="222">
        <f t="shared" si="187"/>
        <v>0</v>
      </c>
      <c r="CS106" s="222">
        <f t="shared" si="187"/>
        <v>0</v>
      </c>
      <c r="CT106" s="222">
        <f t="shared" si="153"/>
        <v>0</v>
      </c>
      <c r="CU106" s="222">
        <f t="shared" si="191"/>
        <v>0</v>
      </c>
      <c r="CV106" s="222">
        <f t="shared" si="191"/>
        <v>0</v>
      </c>
      <c r="CW106" s="218"/>
      <c r="CX106" s="218">
        <v>43</v>
      </c>
      <c r="CY106" s="222">
        <f t="shared" si="154"/>
        <v>962</v>
      </c>
      <c r="CZ106" s="222">
        <f t="shared" si="155"/>
        <v>348.3</v>
      </c>
      <c r="DA106" s="222"/>
      <c r="DB106" s="222"/>
      <c r="DC106" s="218"/>
      <c r="DD106" s="218"/>
      <c r="DE106" s="222">
        <f t="shared" si="124"/>
        <v>0</v>
      </c>
      <c r="DF106" s="231">
        <f t="shared" si="125"/>
        <v>0</v>
      </c>
      <c r="DG106" s="115">
        <f t="shared" si="126"/>
        <v>0</v>
      </c>
      <c r="DH106" s="232">
        <f t="shared" si="127"/>
        <v>0</v>
      </c>
      <c r="DI106" s="231">
        <f t="shared" si="128"/>
        <v>0</v>
      </c>
      <c r="DJ106" s="183">
        <f t="shared" si="129"/>
        <v>0</v>
      </c>
      <c r="DK106" s="232">
        <f t="shared" si="181"/>
        <v>0</v>
      </c>
      <c r="DL106" s="231">
        <f t="shared" si="181"/>
        <v>0</v>
      </c>
      <c r="DM106" s="183">
        <f t="shared" si="181"/>
        <v>0</v>
      </c>
      <c r="DN106" s="76">
        <f t="shared" ref="DN106" si="193">T106</f>
        <v>0</v>
      </c>
      <c r="DO106" s="76">
        <f t="shared" si="192"/>
        <v>0</v>
      </c>
      <c r="DP106" s="183"/>
      <c r="DQ106" s="183"/>
      <c r="DR106" s="184"/>
      <c r="DS106" s="183"/>
      <c r="DT106" s="183"/>
      <c r="DU106" s="183"/>
      <c r="DV106" s="186"/>
      <c r="DW106" s="80">
        <f t="shared" si="156"/>
        <v>0</v>
      </c>
      <c r="DX106" s="81">
        <f t="shared" si="130"/>
        <v>0</v>
      </c>
      <c r="DY106" s="80">
        <f t="shared" si="157"/>
        <v>0</v>
      </c>
      <c r="DZ106" s="82">
        <f t="shared" si="158"/>
        <v>0</v>
      </c>
      <c r="EA106" s="82">
        <f t="shared" si="159"/>
        <v>0</v>
      </c>
      <c r="EB106" s="82" t="e">
        <f t="shared" si="160"/>
        <v>#VALUE!</v>
      </c>
      <c r="EC106" s="82" t="e">
        <f t="shared" si="178"/>
        <v>#VALUE!</v>
      </c>
      <c r="EF106" s="83">
        <f t="shared" si="189"/>
        <v>0</v>
      </c>
    </row>
    <row r="107" spans="1:136" ht="15" hidden="1" customHeight="1">
      <c r="A107" s="301" t="s">
        <v>407</v>
      </c>
      <c r="B107" s="301"/>
      <c r="C107" s="301"/>
      <c r="D107" s="302"/>
      <c r="AF107" s="54">
        <f>AE107+'07.02'!AF107</f>
        <v>0</v>
      </c>
      <c r="AK107" s="233" t="str">
        <f t="shared" si="137"/>
        <v/>
      </c>
      <c r="AL107" s="58" t="str">
        <f t="shared" si="173"/>
        <v/>
      </c>
      <c r="BZ107" s="62">
        <f t="shared" si="149"/>
        <v>0</v>
      </c>
      <c r="CH107" s="62">
        <f t="shared" si="152"/>
        <v>0</v>
      </c>
    </row>
    <row r="108" spans="1:136" ht="0.75" hidden="1" customHeight="1">
      <c r="X108" s="234"/>
      <c r="AF108" s="54">
        <f>AE108+'07.02'!AF108</f>
        <v>0</v>
      </c>
      <c r="AL108" s="58" t="str">
        <f t="shared" si="173"/>
        <v/>
      </c>
      <c r="BZ108" s="62">
        <f t="shared" si="149"/>
        <v>0</v>
      </c>
      <c r="CH108" s="62">
        <f t="shared" si="152"/>
        <v>0</v>
      </c>
    </row>
    <row r="109" spans="1:136" hidden="1">
      <c r="AF109" s="235"/>
      <c r="BZ109" s="62"/>
      <c r="CH109" s="62"/>
    </row>
    <row r="110" spans="1:136" hidden="1">
      <c r="A110">
        <v>37</v>
      </c>
      <c r="B110" t="s">
        <v>244</v>
      </c>
      <c r="D110" s="143" t="s">
        <v>245</v>
      </c>
      <c r="E110">
        <v>172</v>
      </c>
      <c r="F110" t="s">
        <v>136</v>
      </c>
      <c r="G110" t="s">
        <v>482</v>
      </c>
      <c r="H110" t="s">
        <v>483</v>
      </c>
      <c r="I110" t="s">
        <v>484</v>
      </c>
      <c r="J110" t="s">
        <v>226</v>
      </c>
      <c r="K110" t="s">
        <v>227</v>
      </c>
      <c r="L110">
        <v>4</v>
      </c>
      <c r="M110">
        <v>0</v>
      </c>
      <c r="N110" t="s">
        <v>128</v>
      </c>
      <c r="O110" t="s">
        <v>131</v>
      </c>
      <c r="P110">
        <v>3</v>
      </c>
      <c r="Q110">
        <v>0.29599999999999999</v>
      </c>
      <c r="R110" t="s">
        <v>246</v>
      </c>
      <c r="S110">
        <v>38</v>
      </c>
      <c r="T110">
        <v>24</v>
      </c>
      <c r="V110">
        <v>0.82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s="54">
        <v>4849</v>
      </c>
      <c r="AG110">
        <v>24</v>
      </c>
      <c r="AH110">
        <v>0</v>
      </c>
      <c r="AJ110">
        <v>0</v>
      </c>
      <c r="AK110">
        <v>1</v>
      </c>
      <c r="AL110">
        <v>0</v>
      </c>
      <c r="AM110">
        <v>24</v>
      </c>
      <c r="AP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24</v>
      </c>
      <c r="BB110">
        <v>0</v>
      </c>
      <c r="BD110">
        <v>0</v>
      </c>
      <c r="BE110">
        <v>1</v>
      </c>
      <c r="BF110">
        <v>0</v>
      </c>
      <c r="BG110">
        <v>24</v>
      </c>
      <c r="BJ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G110">
        <v>0</v>
      </c>
      <c r="CH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147</v>
      </c>
      <c r="CX110">
        <v>12</v>
      </c>
      <c r="CY110">
        <v>3285</v>
      </c>
      <c r="CZ110">
        <v>48.6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24</v>
      </c>
      <c r="DO110">
        <v>0</v>
      </c>
      <c r="DR110" t="s">
        <v>441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F110">
        <v>0</v>
      </c>
    </row>
    <row r="111" spans="1:136" hidden="1">
      <c r="A111">
        <v>37</v>
      </c>
      <c r="B111" t="s">
        <v>244</v>
      </c>
      <c r="D111" s="143" t="s">
        <v>213</v>
      </c>
      <c r="E111">
        <v>189</v>
      </c>
      <c r="F111" t="s">
        <v>136</v>
      </c>
      <c r="G111" t="s">
        <v>492</v>
      </c>
      <c r="H111" t="s">
        <v>493</v>
      </c>
      <c r="I111" t="s">
        <v>494</v>
      </c>
      <c r="J111" t="s">
        <v>214</v>
      </c>
      <c r="K111" t="s">
        <v>215</v>
      </c>
      <c r="L111">
        <v>4</v>
      </c>
      <c r="M111">
        <v>0</v>
      </c>
      <c r="N111" t="s">
        <v>128</v>
      </c>
      <c r="O111" t="s">
        <v>131</v>
      </c>
      <c r="P111">
        <v>3</v>
      </c>
      <c r="Q111">
        <v>0.29599999999999999</v>
      </c>
      <c r="R111" t="s">
        <v>246</v>
      </c>
      <c r="S111">
        <v>34</v>
      </c>
      <c r="T111">
        <v>0</v>
      </c>
      <c r="U111">
        <v>15</v>
      </c>
      <c r="V111">
        <v>0.45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s="54">
        <v>235</v>
      </c>
      <c r="AG111">
        <v>0</v>
      </c>
      <c r="AH111">
        <v>0</v>
      </c>
      <c r="AJ111">
        <v>0</v>
      </c>
      <c r="AK111">
        <v>1</v>
      </c>
      <c r="AL111">
        <v>0</v>
      </c>
      <c r="AM111">
        <v>15</v>
      </c>
      <c r="AP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</v>
      </c>
      <c r="BB111">
        <v>0</v>
      </c>
      <c r="BD111">
        <v>0</v>
      </c>
      <c r="BE111">
        <v>1</v>
      </c>
      <c r="BF111">
        <v>0</v>
      </c>
      <c r="BG111">
        <v>15</v>
      </c>
      <c r="BJ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G111">
        <v>0</v>
      </c>
      <c r="CH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B111">
        <v>0</v>
      </c>
    </row>
    <row r="112" spans="1:136" hidden="1">
      <c r="A112">
        <v>93</v>
      </c>
      <c r="B112" t="s">
        <v>391</v>
      </c>
      <c r="D112" s="143" t="s">
        <v>478</v>
      </c>
      <c r="E112">
        <v>388</v>
      </c>
      <c r="F112" s="218" t="s">
        <v>128</v>
      </c>
      <c r="G112" s="219" t="s">
        <v>506</v>
      </c>
      <c r="H112" s="219" t="s">
        <v>507</v>
      </c>
      <c r="I112" s="219" t="s">
        <v>508</v>
      </c>
      <c r="J112" s="220" t="s">
        <v>374</v>
      </c>
      <c r="K112" s="220" t="s">
        <v>393</v>
      </c>
      <c r="L112" s="220">
        <v>17</v>
      </c>
      <c r="M112" s="220">
        <v>7</v>
      </c>
      <c r="N112" s="220" t="s">
        <v>157</v>
      </c>
      <c r="O112" s="220" t="s">
        <v>131</v>
      </c>
      <c r="P112" s="220">
        <v>3</v>
      </c>
      <c r="Q112" s="221">
        <v>1.522</v>
      </c>
      <c r="R112" s="220" t="s">
        <v>228</v>
      </c>
      <c r="S112">
        <v>4</v>
      </c>
      <c r="T112">
        <v>0</v>
      </c>
      <c r="V112">
        <v>0.71699999999999997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286</v>
      </c>
      <c r="AG112">
        <v>0</v>
      </c>
      <c r="AH112">
        <v>0</v>
      </c>
      <c r="AJ112">
        <v>0</v>
      </c>
      <c r="AK112">
        <v>1</v>
      </c>
      <c r="AL112">
        <v>0</v>
      </c>
      <c r="AM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0</v>
      </c>
      <c r="BE112">
        <v>1</v>
      </c>
      <c r="BF112">
        <v>0</v>
      </c>
      <c r="BG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G112">
        <v>0</v>
      </c>
      <c r="CH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X112">
        <v>60</v>
      </c>
      <c r="CY112">
        <v>710</v>
      </c>
      <c r="CZ112">
        <v>486.00000000000006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F112">
        <v>0</v>
      </c>
    </row>
    <row r="113" spans="6:18" hidden="1">
      <c r="F113" s="218"/>
      <c r="G113" s="219"/>
      <c r="H113" s="219"/>
      <c r="I113" s="219"/>
      <c r="J113" s="220"/>
      <c r="K113" s="220"/>
      <c r="L113" s="220"/>
      <c r="M113" s="220"/>
      <c r="N113" s="220"/>
      <c r="O113" s="220"/>
      <c r="P113" s="220"/>
      <c r="Q113" s="221"/>
      <c r="R113" s="220"/>
    </row>
    <row r="114" spans="6:18" hidden="1">
      <c r="G114" s="219"/>
      <c r="H114" s="219"/>
      <c r="I114" s="219"/>
      <c r="J114" s="220"/>
      <c r="K114" s="220"/>
      <c r="L114" s="220"/>
      <c r="M114" s="220"/>
      <c r="N114" s="220"/>
      <c r="O114" s="220"/>
      <c r="P114" s="220"/>
      <c r="Q114" s="221"/>
      <c r="R114" s="220"/>
    </row>
    <row r="115" spans="6:18" hidden="1">
      <c r="G115" s="219"/>
      <c r="H115" s="219"/>
      <c r="I115" s="219"/>
      <c r="J115" s="220"/>
      <c r="K115" s="220"/>
      <c r="L115" s="220"/>
      <c r="M115" s="220"/>
      <c r="N115" s="220"/>
      <c r="O115" s="220"/>
      <c r="P115" s="220"/>
      <c r="Q115" s="221"/>
      <c r="R115" s="220"/>
    </row>
    <row r="116" spans="6:18" hidden="1">
      <c r="G116" s="219"/>
      <c r="H116" s="219"/>
      <c r="I116" s="219"/>
      <c r="J116" s="220"/>
      <c r="K116" s="220"/>
      <c r="L116" s="220"/>
      <c r="M116" s="220"/>
      <c r="N116" s="220"/>
      <c r="O116" s="220"/>
      <c r="P116" s="220"/>
      <c r="Q116" s="221"/>
      <c r="R116" s="220"/>
    </row>
    <row r="117" spans="6:18" hidden="1">
      <c r="G117" s="219"/>
      <c r="H117" s="219"/>
      <c r="I117" s="219"/>
      <c r="J117" s="220"/>
      <c r="K117" s="220"/>
      <c r="L117" s="220"/>
      <c r="M117" s="220"/>
      <c r="N117" s="220"/>
      <c r="O117" s="220"/>
      <c r="P117" s="220"/>
      <c r="Q117" s="221"/>
      <c r="R117" s="220"/>
    </row>
    <row r="118" spans="6:18" hidden="1">
      <c r="G118" s="219"/>
      <c r="H118" s="219"/>
      <c r="I118" s="219"/>
      <c r="J118" s="220"/>
      <c r="K118" s="220"/>
      <c r="L118" s="220"/>
      <c r="M118" s="220"/>
      <c r="N118" s="220"/>
      <c r="O118" s="220"/>
      <c r="P118" s="220"/>
      <c r="Q118" s="221"/>
      <c r="R118" s="220"/>
    </row>
    <row r="119" spans="6:18" hidden="1">
      <c r="G119" s="219"/>
      <c r="H119" s="219"/>
      <c r="I119" s="219"/>
      <c r="J119" s="220"/>
      <c r="K119" s="220"/>
      <c r="L119" s="220"/>
      <c r="M119" s="220"/>
      <c r="N119" s="220"/>
      <c r="O119" s="220"/>
      <c r="P119" s="220"/>
      <c r="Q119" s="221"/>
      <c r="R119" s="220"/>
    </row>
    <row r="120" spans="6:18" hidden="1"/>
    <row r="121" spans="6:18" hidden="1"/>
    <row r="122" spans="6:18" hidden="1"/>
    <row r="123" spans="6:18" hidden="1"/>
    <row r="124" spans="6:18" hidden="1"/>
    <row r="125" spans="6:18" hidden="1"/>
    <row r="126" spans="6:18" hidden="1"/>
    <row r="127" spans="6:18" hidden="1"/>
    <row r="128" spans="6:1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spans="2:126" hidden="1"/>
    <row r="146" spans="2:126" hidden="1"/>
    <row r="147" spans="2:126" hidden="1"/>
    <row r="148" spans="2:126" hidden="1"/>
    <row r="149" spans="2:126" hidden="1"/>
    <row r="150" spans="2:126" hidden="1"/>
    <row r="151" spans="2:126" hidden="1"/>
    <row r="152" spans="2:126" hidden="1"/>
    <row r="153" spans="2:126" hidden="1"/>
    <row r="154" spans="2:126" hidden="1"/>
    <row r="155" spans="2:126" hidden="1"/>
    <row r="156" spans="2:126" hidden="1"/>
    <row r="157" spans="2:126" hidden="1"/>
    <row r="158" spans="2:126" hidden="1"/>
    <row r="159" spans="2:126" hidden="1"/>
    <row r="160" spans="2:126">
      <c r="B160" s="279" t="s">
        <v>408</v>
      </c>
      <c r="C160" s="280"/>
      <c r="D160" s="303"/>
      <c r="E160" s="280"/>
      <c r="F160" s="280"/>
      <c r="G160" s="280"/>
      <c r="H160" s="280"/>
      <c r="I160" s="280"/>
      <c r="J160" s="304"/>
      <c r="K160" s="279" t="s">
        <v>409</v>
      </c>
      <c r="L160" s="280"/>
      <c r="M160" s="280"/>
      <c r="N160" s="280"/>
      <c r="O160" s="281"/>
      <c r="DN160" s="83">
        <f>SUM(DN8:DN106)</f>
        <v>1918</v>
      </c>
      <c r="DO160" s="83">
        <f>SUM(DO8:DO106)</f>
        <v>0</v>
      </c>
      <c r="DR160" s="279" t="s">
        <v>410</v>
      </c>
      <c r="DS160" s="280"/>
      <c r="DT160" s="280"/>
      <c r="DU160" s="280"/>
      <c r="DV160" s="281"/>
    </row>
    <row r="161" spans="2:126">
      <c r="B161" s="282" t="s">
        <v>411</v>
      </c>
      <c r="C161" s="283"/>
      <c r="D161" s="284"/>
      <c r="E161" s="283"/>
      <c r="F161" s="283"/>
      <c r="G161" s="283"/>
      <c r="H161" s="283"/>
      <c r="I161" s="283"/>
      <c r="J161" s="285"/>
      <c r="K161" s="282" t="s">
        <v>412</v>
      </c>
      <c r="L161" s="283"/>
      <c r="M161" s="283"/>
      <c r="N161" s="283"/>
      <c r="O161" s="294"/>
      <c r="DR161" s="282" t="s">
        <v>413</v>
      </c>
      <c r="DS161" s="283"/>
      <c r="DT161" s="294"/>
      <c r="DU161" s="282" t="s">
        <v>414</v>
      </c>
      <c r="DV161" s="294"/>
    </row>
    <row r="162" spans="2:126">
      <c r="B162" s="286"/>
      <c r="C162" s="287"/>
      <c r="D162" s="288"/>
      <c r="E162" s="287"/>
      <c r="F162" s="287"/>
      <c r="G162" s="287"/>
      <c r="H162" s="287"/>
      <c r="I162" s="287"/>
      <c r="J162" s="289"/>
      <c r="K162" s="286"/>
      <c r="L162" s="287"/>
      <c r="M162" s="287"/>
      <c r="N162" s="287"/>
      <c r="O162" s="295"/>
      <c r="DR162" s="286"/>
      <c r="DS162" s="287"/>
      <c r="DT162" s="295"/>
      <c r="DU162" s="286"/>
      <c r="DV162" s="295"/>
    </row>
    <row r="163" spans="2:126">
      <c r="B163" s="290"/>
      <c r="C163" s="291"/>
      <c r="D163" s="292"/>
      <c r="E163" s="291"/>
      <c r="F163" s="291"/>
      <c r="G163" s="291"/>
      <c r="H163" s="291"/>
      <c r="I163" s="291"/>
      <c r="J163" s="293"/>
      <c r="K163" s="290"/>
      <c r="L163" s="291"/>
      <c r="M163" s="291"/>
      <c r="N163" s="291"/>
      <c r="O163" s="296"/>
      <c r="DR163" s="290"/>
      <c r="DS163" s="291"/>
      <c r="DT163" s="296"/>
      <c r="DU163" s="290"/>
      <c r="DV163" s="296"/>
    </row>
  </sheetData>
  <autoFilter ref="D7:EF108">
    <filterColumn colId="0"/>
    <filterColumn colId="118">
      <customFilters>
        <customFilter operator="notEqual" val=" "/>
      </customFilters>
    </filterColumn>
    <filterColumn colId="123"/>
    <filterColumn colId="132"/>
  </autoFilter>
  <mergeCells count="162">
    <mergeCell ref="A1:D1"/>
    <mergeCell ref="J1:DT1"/>
    <mergeCell ref="DU1:DV1"/>
    <mergeCell ref="A2:D2"/>
    <mergeCell ref="E2:U2"/>
    <mergeCell ref="CW2:DD2"/>
    <mergeCell ref="DE2:DG2"/>
    <mergeCell ref="DH2:DJ2"/>
    <mergeCell ref="DK2:DM2"/>
    <mergeCell ref="A3:A6"/>
    <mergeCell ref="B3:B6"/>
    <mergeCell ref="C3:C6"/>
    <mergeCell ref="D3:D6"/>
    <mergeCell ref="E3:S3"/>
    <mergeCell ref="T3:T6"/>
    <mergeCell ref="L4:M4"/>
    <mergeCell ref="N4:N6"/>
    <mergeCell ref="O4:O6"/>
    <mergeCell ref="P4:P6"/>
    <mergeCell ref="E4:E6"/>
    <mergeCell ref="F4:F6"/>
    <mergeCell ref="G4:G6"/>
    <mergeCell ref="H4:H6"/>
    <mergeCell ref="I4:I6"/>
    <mergeCell ref="J4:J6"/>
    <mergeCell ref="K4:K6"/>
    <mergeCell ref="Q4:Q6"/>
    <mergeCell ref="R4:R6"/>
    <mergeCell ref="S4:S6"/>
    <mergeCell ref="L5:L6"/>
    <mergeCell ref="M5:M6"/>
    <mergeCell ref="BH3:BR3"/>
    <mergeCell ref="BS3:BT3"/>
    <mergeCell ref="AA3:AA6"/>
    <mergeCell ref="AB3:AB6"/>
    <mergeCell ref="AC3:AC6"/>
    <mergeCell ref="AD3:AD6"/>
    <mergeCell ref="AE3:AE6"/>
    <mergeCell ref="AF3:AF6"/>
    <mergeCell ref="U3:U6"/>
    <mergeCell ref="V3:V6"/>
    <mergeCell ref="W3:W6"/>
    <mergeCell ref="X3:X6"/>
    <mergeCell ref="Y3:Y6"/>
    <mergeCell ref="Z3:Z6"/>
    <mergeCell ref="AG4:AG6"/>
    <mergeCell ref="AH4:AL4"/>
    <mergeCell ref="AM4:AM6"/>
    <mergeCell ref="AG3:AM3"/>
    <mergeCell ref="AN3:AX3"/>
    <mergeCell ref="AY3:AZ3"/>
    <mergeCell ref="BA3:BG3"/>
    <mergeCell ref="AT4:AT6"/>
    <mergeCell ref="AU4:AU6"/>
    <mergeCell ref="AV4:AV6"/>
    <mergeCell ref="BU3:BW3"/>
    <mergeCell ref="BX3:BZ3"/>
    <mergeCell ref="CA3:CB3"/>
    <mergeCell ref="CC3:CD3"/>
    <mergeCell ref="CE3:CF3"/>
    <mergeCell ref="CG3:CH3"/>
    <mergeCell ref="BW4:BW6"/>
    <mergeCell ref="DG3:DG6"/>
    <mergeCell ref="DH3:DH6"/>
    <mergeCell ref="DA3:DA6"/>
    <mergeCell ref="DB3:DB6"/>
    <mergeCell ref="DC3:DC6"/>
    <mergeCell ref="DD3:DD6"/>
    <mergeCell ref="DE3:DE6"/>
    <mergeCell ref="DF3:DF6"/>
    <mergeCell ref="CI3:CP3"/>
    <mergeCell ref="CQ3:CV3"/>
    <mergeCell ref="CW3:CW6"/>
    <mergeCell ref="CX3:CX6"/>
    <mergeCell ref="CY3:CY6"/>
    <mergeCell ref="CZ3:CZ6"/>
    <mergeCell ref="CM4:CP4"/>
    <mergeCell ref="CQ4:CS4"/>
    <mergeCell ref="CT4:CV4"/>
    <mergeCell ref="AW4:AX4"/>
    <mergeCell ref="AY4:AY6"/>
    <mergeCell ref="AZ4:AZ6"/>
    <mergeCell ref="AW5:AW6"/>
    <mergeCell ref="AX5:AX6"/>
    <mergeCell ref="AN4:AN6"/>
    <mergeCell ref="AO4:AO6"/>
    <mergeCell ref="AP4:AP6"/>
    <mergeCell ref="AQ4:AQ6"/>
    <mergeCell ref="AR4:AR6"/>
    <mergeCell ref="AS4:AS6"/>
    <mergeCell ref="BM4:BM6"/>
    <mergeCell ref="BN4:BN6"/>
    <mergeCell ref="BO4:BO6"/>
    <mergeCell ref="BP4:BP6"/>
    <mergeCell ref="DW4:DW6"/>
    <mergeCell ref="DS4:DS6"/>
    <mergeCell ref="BA4:BA6"/>
    <mergeCell ref="BB4:BF4"/>
    <mergeCell ref="BG4:BG6"/>
    <mergeCell ref="BH4:BH6"/>
    <mergeCell ref="BI4:BI6"/>
    <mergeCell ref="BJ4:BJ6"/>
    <mergeCell ref="BB5:BB6"/>
    <mergeCell ref="BC5:BC6"/>
    <mergeCell ref="BD5:BE5"/>
    <mergeCell ref="BF5:BF6"/>
    <mergeCell ref="DM3:DM6"/>
    <mergeCell ref="DN3:DS3"/>
    <mergeCell ref="DT3:DU3"/>
    <mergeCell ref="DI3:DI6"/>
    <mergeCell ref="DJ3:DJ6"/>
    <mergeCell ref="DK3:DK6"/>
    <mergeCell ref="DL3:DL6"/>
    <mergeCell ref="CM5:CM6"/>
    <mergeCell ref="AH5:AH6"/>
    <mergeCell ref="AI5:AI6"/>
    <mergeCell ref="AJ5:AK5"/>
    <mergeCell ref="AL5:AL6"/>
    <mergeCell ref="DN4:DN6"/>
    <mergeCell ref="DO4:DO6"/>
    <mergeCell ref="DP4:DP6"/>
    <mergeCell ref="DQ4:DQ6"/>
    <mergeCell ref="DR4:DR6"/>
    <mergeCell ref="CD4:CD6"/>
    <mergeCell ref="CE4:CE6"/>
    <mergeCell ref="CF4:CF6"/>
    <mergeCell ref="CG4:CG6"/>
    <mergeCell ref="CH4:CH6"/>
    <mergeCell ref="CI4:CL4"/>
    <mergeCell ref="CI5:CI6"/>
    <mergeCell ref="CJ5:CJ6"/>
    <mergeCell ref="CK5:CK6"/>
    <mergeCell ref="CL5:CL6"/>
    <mergeCell ref="BX4:BX6"/>
    <mergeCell ref="BQ5:BQ6"/>
    <mergeCell ref="BR5:BR6"/>
    <mergeCell ref="BK4:BK6"/>
    <mergeCell ref="BL4:BL6"/>
    <mergeCell ref="DR160:DV160"/>
    <mergeCell ref="B161:J163"/>
    <mergeCell ref="K161:O163"/>
    <mergeCell ref="DR161:DT163"/>
    <mergeCell ref="DU161:DV163"/>
    <mergeCell ref="CN5:CN6"/>
    <mergeCell ref="CO5:CO6"/>
    <mergeCell ref="CP5:CP6"/>
    <mergeCell ref="A107:D107"/>
    <mergeCell ref="B160:J160"/>
    <mergeCell ref="K160:O160"/>
    <mergeCell ref="DT4:DT6"/>
    <mergeCell ref="DU4:DU6"/>
    <mergeCell ref="DV4:DV6"/>
    <mergeCell ref="BY4:BY6"/>
    <mergeCell ref="BZ4:BZ6"/>
    <mergeCell ref="CA4:CA6"/>
    <mergeCell ref="CB4:CB6"/>
    <mergeCell ref="CC4:CC6"/>
    <mergeCell ref="BQ4:BR4"/>
    <mergeCell ref="BS4:BS6"/>
    <mergeCell ref="BT4:BT6"/>
    <mergeCell ref="BU4:BU6"/>
    <mergeCell ref="BV4:BV6"/>
  </mergeCells>
  <conditionalFormatting sqref="AL8:AL985">
    <cfRule type="cellIs" dxfId="7" priority="3" operator="greaterThan">
      <formula>0</formula>
    </cfRule>
  </conditionalFormatting>
  <conditionalFormatting sqref="BF8:BF985">
    <cfRule type="cellIs" dxfId="6" priority="2" operator="greaterThan">
      <formula>0</formula>
    </cfRule>
  </conditionalFormatting>
  <conditionalFormatting sqref="CI8:CP985">
    <cfRule type="cellIs" dxfId="5" priority="1" operator="greaterThan">
      <formula>0</formula>
    </cfRule>
  </conditionalFormatting>
  <pageMargins left="0.31496062992125984" right="0.23622047244094491" top="0.39370078740157483" bottom="0.39370078740157483" header="0.31496062992125984" footer="0.31496062992125984"/>
  <pageSetup paperSize="9" orientation="landscape" verticalDpi="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2"/>
  <sheetViews>
    <sheetView workbookViewId="0">
      <selection activeCell="A2" sqref="A2"/>
    </sheetView>
  </sheetViews>
  <sheetFormatPr defaultRowHeight="15"/>
  <cols>
    <col min="1" max="1" width="9.140625" style="259"/>
    <col min="2" max="2" width="11.42578125" style="278" customWidth="1"/>
    <col min="3" max="4" width="9.140625" style="261"/>
    <col min="5" max="5" width="9.140625" style="262"/>
    <col min="6" max="7" width="9.140625" style="261"/>
    <col min="8" max="8" width="9.140625" style="262"/>
    <col min="9" max="9" width="9.140625" style="260"/>
    <col min="10" max="15" width="9.140625" style="261"/>
    <col min="16" max="16" width="9.140625" style="262"/>
    <col min="17" max="17" width="9.140625" style="269"/>
  </cols>
  <sheetData>
    <row r="1" spans="1:17" ht="18" customHeight="1">
      <c r="A1" s="270" t="s">
        <v>588</v>
      </c>
      <c r="B1" s="272"/>
      <c r="C1" s="273" t="s">
        <v>578</v>
      </c>
      <c r="D1" s="266">
        <f ca="1">C3+F3</f>
        <v>131812</v>
      </c>
      <c r="F1" s="273" t="s">
        <v>577</v>
      </c>
      <c r="G1" s="266">
        <f ca="1">D3+G3</f>
        <v>184</v>
      </c>
      <c r="H1" s="267">
        <f ca="1">E3+H3</f>
        <v>845</v>
      </c>
      <c r="I1" s="263" t="s">
        <v>585</v>
      </c>
      <c r="J1" s="264">
        <f ca="1">I3+J3+K3+L3+M3+N3</f>
        <v>131812</v>
      </c>
      <c r="K1" s="264">
        <f ca="1">O3</f>
        <v>184</v>
      </c>
      <c r="L1" s="264">
        <f ca="1">P3</f>
        <v>845</v>
      </c>
      <c r="M1" s="264" t="str">
        <f ca="1">IF(J1+K1+L1=INDIRECT("'"&amp;A1&amp;"'!AD7")+INDIRECT("'"&amp;A1&amp;"'!AE7"),"Oke","Loi")</f>
        <v>Oke</v>
      </c>
      <c r="N1" s="264"/>
      <c r="O1" s="264"/>
      <c r="P1" s="265"/>
      <c r="Q1" s="268"/>
    </row>
    <row r="2" spans="1:17" s="277" customFormat="1">
      <c r="A2" s="271" t="s">
        <v>572</v>
      </c>
      <c r="B2" s="272" t="s">
        <v>587</v>
      </c>
      <c r="C2" s="273" t="s">
        <v>575</v>
      </c>
      <c r="D2" s="273" t="s">
        <v>574</v>
      </c>
      <c r="E2" s="274" t="s">
        <v>576</v>
      </c>
      <c r="F2" s="273" t="s">
        <v>575</v>
      </c>
      <c r="G2" s="273" t="s">
        <v>574</v>
      </c>
      <c r="H2" s="274" t="s">
        <v>576</v>
      </c>
      <c r="I2" s="275" t="s">
        <v>579</v>
      </c>
      <c r="J2" s="273" t="s">
        <v>580</v>
      </c>
      <c r="K2" s="273" t="s">
        <v>581</v>
      </c>
      <c r="L2" s="273" t="s">
        <v>582</v>
      </c>
      <c r="M2" s="273" t="s">
        <v>583</v>
      </c>
      <c r="N2" s="273" t="s">
        <v>584</v>
      </c>
      <c r="O2" s="273" t="s">
        <v>574</v>
      </c>
      <c r="P2" s="274" t="s">
        <v>576</v>
      </c>
      <c r="Q2" s="276"/>
    </row>
    <row r="3" spans="1:17">
      <c r="C3" s="261">
        <f ca="1">SUM(C4:C102)</f>
        <v>70379</v>
      </c>
      <c r="D3" s="261">
        <f t="shared" ref="D3:P3" ca="1" si="0">SUM(D4:D102)</f>
        <v>0</v>
      </c>
      <c r="E3" s="262">
        <f t="shared" ca="1" si="0"/>
        <v>487</v>
      </c>
      <c r="F3" s="261">
        <f t="shared" ca="1" si="0"/>
        <v>61433</v>
      </c>
      <c r="G3" s="261">
        <f t="shared" ca="1" si="0"/>
        <v>184</v>
      </c>
      <c r="H3" s="262">
        <f t="shared" ca="1" si="0"/>
        <v>358</v>
      </c>
      <c r="I3" s="260">
        <f t="shared" ca="1" si="0"/>
        <v>2099</v>
      </c>
      <c r="J3" s="261">
        <f t="shared" ca="1" si="0"/>
        <v>51480</v>
      </c>
      <c r="K3" s="261">
        <f t="shared" ca="1" si="0"/>
        <v>6116</v>
      </c>
      <c r="L3" s="261">
        <f t="shared" ca="1" si="0"/>
        <v>8424</v>
      </c>
      <c r="M3" s="261">
        <f t="shared" ca="1" si="0"/>
        <v>714</v>
      </c>
      <c r="N3" s="261">
        <f t="shared" ca="1" si="0"/>
        <v>62979</v>
      </c>
      <c r="O3" s="261">
        <f t="shared" ca="1" si="0"/>
        <v>184</v>
      </c>
      <c r="P3" s="262">
        <f t="shared" ca="1" si="0"/>
        <v>845</v>
      </c>
    </row>
    <row r="4" spans="1:17">
      <c r="A4" s="259" t="s">
        <v>126</v>
      </c>
      <c r="B4" s="278" t="str">
        <f ca="1">VLOOKUP($A4,INDIRECT(CONCATENATE("'",$A$1,"'!$B$8:$D$1000")),3,0)</f>
        <v>SM04</v>
      </c>
      <c r="C4" s="261">
        <f ca="1">VLOOKUP($A4,INDIRECT(CONCATENATE("'",$A$1,"'!$B$8:$CQ$1000")),94,0)</f>
        <v>504</v>
      </c>
      <c r="D4" s="261">
        <f ca="1">VLOOKUP($A4,INDIRECT(CONCATENATE("'",$A$1,"'!$B$8:$CR$1000")),95,0)</f>
        <v>0</v>
      </c>
      <c r="E4" s="262">
        <f ca="1">VLOOKUP($A4,INDIRECT(CONCATENATE("'",$A$1,"'!$B$8:$CS$1000")),96,0)</f>
        <v>34</v>
      </c>
      <c r="F4" s="261">
        <f ca="1">VLOOKUP($A4,INDIRECT(CONCATENATE("'",$A$1,"'!$B$8:$CT$1000")),97,0)</f>
        <v>496</v>
      </c>
      <c r="G4" s="261">
        <f ca="1">VLOOKUP($A4,INDIRECT(CONCATENATE("'",$A$1,"'!$B$8:$CU$1000")),98,0)</f>
        <v>0</v>
      </c>
      <c r="H4" s="262">
        <f ca="1">VLOOKUP($A4,INDIRECT(CONCATENATE("'",$A$1,"'!$B$8:$CV$1000")),99,0)</f>
        <v>0</v>
      </c>
      <c r="I4" s="260">
        <f ca="1">VLOOKUP($A4,INDIRECT(CONCATENATE("'",$A$1,"'!$B$8:$W$1000")),22,0)</f>
        <v>0</v>
      </c>
      <c r="J4" s="261">
        <f ca="1">VLOOKUP($A4,INDIRECT(CONCATENATE("'",$A$1,"'!$B$8:$X$1000")),23,0)</f>
        <v>1000</v>
      </c>
      <c r="K4" s="261">
        <f ca="1">VLOOKUP($A4,INDIRECT(CONCATENATE("'",$A$1,"'!$B$8:$Y$1000")),24,0)</f>
        <v>0</v>
      </c>
      <c r="L4" s="261">
        <f ca="1">VLOOKUP($A4,INDIRECT(CONCATENATE("'",$A$1,"'!$B$8:$Z$1000")),25,0)</f>
        <v>0</v>
      </c>
      <c r="M4" s="261">
        <f ca="1">VLOOKUP($A4,INDIRECT(CONCATENATE("'",$A$1,"'!$B$8:$AA$1000")),26,0)</f>
        <v>0</v>
      </c>
      <c r="N4" s="261">
        <f ca="1">VLOOKUP($A4,INDIRECT(CONCATENATE("'",$A$1,"'!$B$8:$AB$1000")),27,0)</f>
        <v>0</v>
      </c>
      <c r="O4" s="261">
        <f ca="1">VLOOKUP($A4,INDIRECT(CONCATENATE("'",$A$1,"'!$B$8:$AC$1000")),28,0)</f>
        <v>0</v>
      </c>
      <c r="P4" s="262">
        <f ca="1">VLOOKUP($A4,INDIRECT(CONCATENATE("'",$A$1,"'!$B$8:$AD$1000")),29,0)</f>
        <v>34</v>
      </c>
    </row>
    <row r="5" spans="1:17">
      <c r="A5" s="259" t="s">
        <v>134</v>
      </c>
      <c r="B5" s="278" t="str">
        <f t="shared" ref="B5:B68" ca="1" si="1">VLOOKUP($A5,INDIRECT(CONCATENATE("'",$A$1,"'!$B$8:$D$1000")),3,0)</f>
        <v>Y5 1851</v>
      </c>
      <c r="C5" s="261">
        <f t="shared" ref="C5:C68" ca="1" si="2">VLOOKUP($A5,INDIRECT(CONCATENATE("'",$A$1,"'!$B$8:$CQ$1000")),94,0)</f>
        <v>0</v>
      </c>
      <c r="D5" s="261">
        <f t="shared" ref="D5:D68" ca="1" si="3">VLOOKUP($A5,INDIRECT(CONCATENATE("'",$A$1,"'!$B$8:$CR$1000")),95,0)</f>
        <v>0</v>
      </c>
      <c r="E5" s="262">
        <f t="shared" ref="E5:E68" ca="1" si="4">VLOOKUP($A5,INDIRECT(CONCATENATE("'",$A$1,"'!$B$8:$CS$1000")),96,0)</f>
        <v>0</v>
      </c>
      <c r="F5" s="261">
        <f t="shared" ref="F5:F68" ca="1" si="5">VLOOKUP($A5,INDIRECT(CONCATENATE("'",$A$1,"'!$B$8:$CT$1000")),97,0)</f>
        <v>0</v>
      </c>
      <c r="G5" s="261">
        <f t="shared" ref="G5:G68" ca="1" si="6">VLOOKUP($A5,INDIRECT(CONCATENATE("'",$A$1,"'!$B$8:$CU$1000")),98,0)</f>
        <v>0</v>
      </c>
      <c r="H5" s="262">
        <f t="shared" ref="H5:H68" ca="1" si="7">VLOOKUP($A5,INDIRECT(CONCATENATE("'",$A$1,"'!$B$8:$CV$1000")),99,0)</f>
        <v>0</v>
      </c>
      <c r="I5" s="260">
        <f t="shared" ref="I5:I68" ca="1" si="8">VLOOKUP($A5,INDIRECT(CONCATENATE("'",$A$1,"'!$B$8:$W$1000")),22,0)</f>
        <v>0</v>
      </c>
      <c r="J5" s="261">
        <f t="shared" ref="J5:J68" ca="1" si="9">VLOOKUP($A5,INDIRECT(CONCATENATE("'",$A$1,"'!$B$8:$X$1000")),23,0)</f>
        <v>0</v>
      </c>
      <c r="K5" s="261">
        <f t="shared" ref="K5:K68" ca="1" si="10">VLOOKUP($A5,INDIRECT(CONCATENATE("'",$A$1,"'!$B$8:$Y$1000")),24,0)</f>
        <v>0</v>
      </c>
      <c r="L5" s="261">
        <f t="shared" ref="L5:L68" ca="1" si="11">VLOOKUP($A5,INDIRECT(CONCATENATE("'",$A$1,"'!$B$8:$Z$1000")),25,0)</f>
        <v>0</v>
      </c>
      <c r="M5" s="261">
        <f t="shared" ref="M5:M68" ca="1" si="12">VLOOKUP($A5,INDIRECT(CONCATENATE("'",$A$1,"'!$B$8:$AA$1000")),26,0)</f>
        <v>0</v>
      </c>
      <c r="N5" s="261">
        <f t="shared" ref="N5:N68" ca="1" si="13">VLOOKUP($A5,INDIRECT(CONCATENATE("'",$A$1,"'!$B$8:$AB$1000")),27,0)</f>
        <v>0</v>
      </c>
      <c r="O5" s="261">
        <f t="shared" ref="O5:O68" ca="1" si="14">VLOOKUP($A5,INDIRECT(CONCATENATE("'",$A$1,"'!$B$8:$AC$1000")),28,0)</f>
        <v>0</v>
      </c>
      <c r="P5" s="262">
        <f t="shared" ref="P5:P68" ca="1" si="15">VLOOKUP($A5,INDIRECT(CONCATENATE("'",$A$1,"'!$B$8:$AD$1000")),29,0)</f>
        <v>0</v>
      </c>
    </row>
    <row r="6" spans="1:17">
      <c r="A6" s="259" t="s">
        <v>140</v>
      </c>
      <c r="B6" s="278" t="str">
        <f t="shared" ca="1" si="1"/>
        <v>SM04</v>
      </c>
      <c r="C6" s="261">
        <f t="shared" ca="1" si="2"/>
        <v>613</v>
      </c>
      <c r="D6" s="261">
        <f t="shared" ca="1" si="3"/>
        <v>0</v>
      </c>
      <c r="E6" s="262">
        <f t="shared" ca="1" si="4"/>
        <v>0</v>
      </c>
      <c r="F6" s="261">
        <f t="shared" ca="1" si="5"/>
        <v>594</v>
      </c>
      <c r="G6" s="261">
        <f t="shared" ca="1" si="6"/>
        <v>0</v>
      </c>
      <c r="H6" s="262">
        <f t="shared" ca="1" si="7"/>
        <v>23</v>
      </c>
      <c r="I6" s="260">
        <f t="shared" ca="1" si="8"/>
        <v>0</v>
      </c>
      <c r="J6" s="261">
        <f t="shared" ca="1" si="9"/>
        <v>1207</v>
      </c>
      <c r="K6" s="261">
        <f t="shared" ca="1" si="10"/>
        <v>0</v>
      </c>
      <c r="L6" s="261">
        <f t="shared" ca="1" si="11"/>
        <v>0</v>
      </c>
      <c r="M6" s="261">
        <f t="shared" ca="1" si="12"/>
        <v>0</v>
      </c>
      <c r="N6" s="261">
        <f t="shared" ca="1" si="13"/>
        <v>0</v>
      </c>
      <c r="O6" s="261">
        <f t="shared" ca="1" si="14"/>
        <v>0</v>
      </c>
      <c r="P6" s="262">
        <f t="shared" ca="1" si="15"/>
        <v>23</v>
      </c>
    </row>
    <row r="7" spans="1:17">
      <c r="A7" s="259" t="s">
        <v>142</v>
      </c>
      <c r="B7" s="278" t="str">
        <f t="shared" ca="1" si="1"/>
        <v>020</v>
      </c>
      <c r="C7" s="261">
        <f t="shared" ca="1" si="2"/>
        <v>2234</v>
      </c>
      <c r="D7" s="261">
        <f t="shared" ca="1" si="3"/>
        <v>0</v>
      </c>
      <c r="E7" s="262">
        <f t="shared" ca="1" si="4"/>
        <v>0</v>
      </c>
      <c r="F7" s="261">
        <f t="shared" ca="1" si="5"/>
        <v>1504</v>
      </c>
      <c r="G7" s="261">
        <f t="shared" ca="1" si="6"/>
        <v>0</v>
      </c>
      <c r="H7" s="262">
        <f t="shared" ca="1" si="7"/>
        <v>0</v>
      </c>
      <c r="I7" s="260">
        <f t="shared" ca="1" si="8"/>
        <v>0</v>
      </c>
      <c r="J7" s="261">
        <f t="shared" ca="1" si="9"/>
        <v>3738</v>
      </c>
      <c r="K7" s="261">
        <f t="shared" ca="1" si="10"/>
        <v>0</v>
      </c>
      <c r="L7" s="261">
        <f t="shared" ca="1" si="11"/>
        <v>0</v>
      </c>
      <c r="M7" s="261">
        <f t="shared" ca="1" si="12"/>
        <v>0</v>
      </c>
      <c r="N7" s="261">
        <f t="shared" ca="1" si="13"/>
        <v>0</v>
      </c>
      <c r="O7" s="261">
        <f t="shared" ca="1" si="14"/>
        <v>0</v>
      </c>
      <c r="P7" s="262">
        <f t="shared" ca="1" si="15"/>
        <v>0</v>
      </c>
    </row>
    <row r="8" spans="1:17">
      <c r="A8" s="259" t="s">
        <v>146</v>
      </c>
      <c r="B8" s="278">
        <f t="shared" ca="1" si="1"/>
        <v>10620</v>
      </c>
      <c r="C8" s="261">
        <f t="shared" ca="1" si="2"/>
        <v>0</v>
      </c>
      <c r="D8" s="261">
        <f t="shared" ca="1" si="3"/>
        <v>0</v>
      </c>
      <c r="E8" s="262">
        <f t="shared" ca="1" si="4"/>
        <v>0</v>
      </c>
      <c r="F8" s="261">
        <f t="shared" ca="1" si="5"/>
        <v>0</v>
      </c>
      <c r="G8" s="261">
        <f t="shared" ca="1" si="6"/>
        <v>0</v>
      </c>
      <c r="H8" s="262">
        <f t="shared" ca="1" si="7"/>
        <v>0</v>
      </c>
      <c r="I8" s="260">
        <f t="shared" ca="1" si="8"/>
        <v>0</v>
      </c>
      <c r="J8" s="261">
        <f t="shared" ca="1" si="9"/>
        <v>0</v>
      </c>
      <c r="K8" s="261">
        <f t="shared" ca="1" si="10"/>
        <v>0</v>
      </c>
      <c r="L8" s="261">
        <f t="shared" ca="1" si="11"/>
        <v>0</v>
      </c>
      <c r="M8" s="261">
        <f t="shared" ca="1" si="12"/>
        <v>0</v>
      </c>
      <c r="N8" s="261">
        <f t="shared" ca="1" si="13"/>
        <v>0</v>
      </c>
      <c r="O8" s="261">
        <f t="shared" ca="1" si="14"/>
        <v>0</v>
      </c>
      <c r="P8" s="262">
        <f t="shared" ca="1" si="15"/>
        <v>0</v>
      </c>
    </row>
    <row r="9" spans="1:17">
      <c r="A9" s="259" t="s">
        <v>151</v>
      </c>
      <c r="B9" s="278">
        <f t="shared" ca="1" si="1"/>
        <v>10620</v>
      </c>
      <c r="C9" s="261">
        <f t="shared" ca="1" si="2"/>
        <v>927</v>
      </c>
      <c r="D9" s="261">
        <f t="shared" ca="1" si="3"/>
        <v>0</v>
      </c>
      <c r="E9" s="262">
        <f t="shared" ca="1" si="4"/>
        <v>106</v>
      </c>
      <c r="F9" s="261">
        <f t="shared" ca="1" si="5"/>
        <v>1443</v>
      </c>
      <c r="G9" s="261">
        <f t="shared" ca="1" si="6"/>
        <v>0</v>
      </c>
      <c r="H9" s="262">
        <f t="shared" ca="1" si="7"/>
        <v>24</v>
      </c>
      <c r="I9" s="260">
        <f t="shared" ca="1" si="8"/>
        <v>0</v>
      </c>
      <c r="J9" s="261">
        <f t="shared" ca="1" si="9"/>
        <v>2370</v>
      </c>
      <c r="K9" s="261">
        <f t="shared" ca="1" si="10"/>
        <v>0</v>
      </c>
      <c r="L9" s="261">
        <f t="shared" ca="1" si="11"/>
        <v>0</v>
      </c>
      <c r="M9" s="261">
        <f t="shared" ca="1" si="12"/>
        <v>0</v>
      </c>
      <c r="N9" s="261">
        <f t="shared" ca="1" si="13"/>
        <v>0</v>
      </c>
      <c r="O9" s="261">
        <f t="shared" ca="1" si="14"/>
        <v>0</v>
      </c>
      <c r="P9" s="262">
        <f t="shared" ca="1" si="15"/>
        <v>130</v>
      </c>
    </row>
    <row r="10" spans="1:17">
      <c r="A10" s="259" t="s">
        <v>153</v>
      </c>
      <c r="B10" s="278" t="str">
        <f t="shared" ca="1" si="1"/>
        <v>H7</v>
      </c>
      <c r="C10" s="261">
        <f t="shared" ca="1" si="2"/>
        <v>0</v>
      </c>
      <c r="D10" s="261">
        <f t="shared" ca="1" si="3"/>
        <v>0</v>
      </c>
      <c r="E10" s="262">
        <f t="shared" ca="1" si="4"/>
        <v>0</v>
      </c>
      <c r="F10" s="261">
        <f t="shared" ca="1" si="5"/>
        <v>0</v>
      </c>
      <c r="G10" s="261">
        <f t="shared" ca="1" si="6"/>
        <v>0</v>
      </c>
      <c r="H10" s="262">
        <f t="shared" ca="1" si="7"/>
        <v>0</v>
      </c>
      <c r="I10" s="260">
        <f t="shared" ca="1" si="8"/>
        <v>0</v>
      </c>
      <c r="J10" s="261">
        <f t="shared" ca="1" si="9"/>
        <v>0</v>
      </c>
      <c r="K10" s="261">
        <f t="shared" ca="1" si="10"/>
        <v>0</v>
      </c>
      <c r="L10" s="261">
        <f t="shared" ca="1" si="11"/>
        <v>0</v>
      </c>
      <c r="M10" s="261">
        <f t="shared" ca="1" si="12"/>
        <v>0</v>
      </c>
      <c r="N10" s="261">
        <f t="shared" ca="1" si="13"/>
        <v>0</v>
      </c>
      <c r="O10" s="261">
        <f t="shared" ca="1" si="14"/>
        <v>0</v>
      </c>
      <c r="P10" s="262">
        <f t="shared" ca="1" si="15"/>
        <v>0</v>
      </c>
    </row>
    <row r="11" spans="1:17">
      <c r="A11" s="259" t="s">
        <v>158</v>
      </c>
      <c r="B11" s="278" t="str">
        <f t="shared" ca="1" si="1"/>
        <v>S5</v>
      </c>
      <c r="C11" s="261">
        <f t="shared" ca="1" si="2"/>
        <v>563</v>
      </c>
      <c r="D11" s="261">
        <f t="shared" ca="1" si="3"/>
        <v>0</v>
      </c>
      <c r="E11" s="262">
        <f t="shared" ca="1" si="4"/>
        <v>26</v>
      </c>
      <c r="F11" s="261">
        <f t="shared" ca="1" si="5"/>
        <v>780</v>
      </c>
      <c r="G11" s="261">
        <f t="shared" ca="1" si="6"/>
        <v>0</v>
      </c>
      <c r="H11" s="262">
        <f t="shared" ca="1" si="7"/>
        <v>0</v>
      </c>
      <c r="I11" s="260">
        <f t="shared" ca="1" si="8"/>
        <v>1343</v>
      </c>
      <c r="J11" s="261">
        <f t="shared" ca="1" si="9"/>
        <v>0</v>
      </c>
      <c r="K11" s="261">
        <f t="shared" ca="1" si="10"/>
        <v>0</v>
      </c>
      <c r="L11" s="261">
        <f t="shared" ca="1" si="11"/>
        <v>0</v>
      </c>
      <c r="M11" s="261">
        <f t="shared" ca="1" si="12"/>
        <v>0</v>
      </c>
      <c r="N11" s="261">
        <f t="shared" ca="1" si="13"/>
        <v>0</v>
      </c>
      <c r="O11" s="261">
        <f t="shared" ca="1" si="14"/>
        <v>0</v>
      </c>
      <c r="P11" s="262">
        <f t="shared" ca="1" si="15"/>
        <v>26</v>
      </c>
    </row>
    <row r="12" spans="1:17">
      <c r="A12" s="259" t="s">
        <v>162</v>
      </c>
      <c r="B12" s="278" t="str">
        <f t="shared" ca="1" si="1"/>
        <v>131100</v>
      </c>
      <c r="C12" s="261">
        <f t="shared" ca="1" si="2"/>
        <v>0</v>
      </c>
      <c r="D12" s="261">
        <f t="shared" ca="1" si="3"/>
        <v>0</v>
      </c>
      <c r="E12" s="262">
        <f t="shared" ca="1" si="4"/>
        <v>0</v>
      </c>
      <c r="F12" s="261">
        <f t="shared" ca="1" si="5"/>
        <v>0</v>
      </c>
      <c r="G12" s="261">
        <f t="shared" ca="1" si="6"/>
        <v>0</v>
      </c>
      <c r="H12" s="262">
        <f t="shared" ca="1" si="7"/>
        <v>0</v>
      </c>
      <c r="I12" s="260">
        <f t="shared" ca="1" si="8"/>
        <v>0</v>
      </c>
      <c r="J12" s="261">
        <f t="shared" ca="1" si="9"/>
        <v>0</v>
      </c>
      <c r="K12" s="261">
        <f t="shared" ca="1" si="10"/>
        <v>0</v>
      </c>
      <c r="L12" s="261">
        <f t="shared" ca="1" si="11"/>
        <v>0</v>
      </c>
      <c r="M12" s="261">
        <f t="shared" ca="1" si="12"/>
        <v>0</v>
      </c>
      <c r="N12" s="261">
        <f t="shared" ca="1" si="13"/>
        <v>0</v>
      </c>
      <c r="O12" s="261">
        <f t="shared" ca="1" si="14"/>
        <v>0</v>
      </c>
      <c r="P12" s="262">
        <f t="shared" ca="1" si="15"/>
        <v>0</v>
      </c>
    </row>
    <row r="13" spans="1:17">
      <c r="A13" s="259" t="s">
        <v>165</v>
      </c>
      <c r="B13" s="278">
        <f t="shared" ca="1" si="1"/>
        <v>31100</v>
      </c>
      <c r="C13" s="261">
        <f t="shared" ca="1" si="2"/>
        <v>372</v>
      </c>
      <c r="D13" s="261">
        <f t="shared" ca="1" si="3"/>
        <v>0</v>
      </c>
      <c r="E13" s="262">
        <f t="shared" ca="1" si="4"/>
        <v>0</v>
      </c>
      <c r="F13" s="261">
        <f t="shared" ca="1" si="5"/>
        <v>448</v>
      </c>
      <c r="G13" s="261">
        <f t="shared" ca="1" si="6"/>
        <v>0</v>
      </c>
      <c r="H13" s="262">
        <f t="shared" ca="1" si="7"/>
        <v>0</v>
      </c>
      <c r="I13" s="260">
        <f t="shared" ca="1" si="8"/>
        <v>0</v>
      </c>
      <c r="J13" s="261">
        <f t="shared" ca="1" si="9"/>
        <v>820</v>
      </c>
      <c r="K13" s="261">
        <f t="shared" ca="1" si="10"/>
        <v>0</v>
      </c>
      <c r="L13" s="261">
        <f t="shared" ca="1" si="11"/>
        <v>0</v>
      </c>
      <c r="M13" s="261">
        <f t="shared" ca="1" si="12"/>
        <v>0</v>
      </c>
      <c r="N13" s="261">
        <f t="shared" ca="1" si="13"/>
        <v>0</v>
      </c>
      <c r="O13" s="261">
        <f t="shared" ca="1" si="14"/>
        <v>0</v>
      </c>
      <c r="P13" s="262">
        <f t="shared" ca="1" si="15"/>
        <v>0</v>
      </c>
    </row>
    <row r="14" spans="1:17">
      <c r="A14" s="259" t="s">
        <v>167</v>
      </c>
      <c r="B14" s="278" t="str">
        <f t="shared" ca="1" si="1"/>
        <v>131100</v>
      </c>
      <c r="C14" s="261">
        <f t="shared" ca="1" si="2"/>
        <v>548</v>
      </c>
      <c r="D14" s="261">
        <f t="shared" ca="1" si="3"/>
        <v>0</v>
      </c>
      <c r="E14" s="262">
        <f t="shared" ca="1" si="4"/>
        <v>0</v>
      </c>
      <c r="F14" s="261">
        <f t="shared" ca="1" si="5"/>
        <v>505</v>
      </c>
      <c r="G14" s="261">
        <f t="shared" ca="1" si="6"/>
        <v>0</v>
      </c>
      <c r="H14" s="262">
        <f t="shared" ca="1" si="7"/>
        <v>0</v>
      </c>
      <c r="I14" s="260">
        <f t="shared" ca="1" si="8"/>
        <v>0</v>
      </c>
      <c r="J14" s="261">
        <f t="shared" ca="1" si="9"/>
        <v>1053</v>
      </c>
      <c r="K14" s="261">
        <f t="shared" ca="1" si="10"/>
        <v>0</v>
      </c>
      <c r="L14" s="261">
        <f t="shared" ca="1" si="11"/>
        <v>0</v>
      </c>
      <c r="M14" s="261">
        <f t="shared" ca="1" si="12"/>
        <v>0</v>
      </c>
      <c r="N14" s="261">
        <f t="shared" ca="1" si="13"/>
        <v>0</v>
      </c>
      <c r="O14" s="261">
        <f t="shared" ca="1" si="14"/>
        <v>0</v>
      </c>
      <c r="P14" s="262">
        <f t="shared" ca="1" si="15"/>
        <v>0</v>
      </c>
    </row>
    <row r="15" spans="1:17">
      <c r="A15" s="259" t="s">
        <v>169</v>
      </c>
      <c r="B15" s="278" t="str">
        <f t="shared" ca="1" si="1"/>
        <v>S90001</v>
      </c>
      <c r="C15" s="261">
        <f t="shared" ca="1" si="2"/>
        <v>0</v>
      </c>
      <c r="D15" s="261">
        <f t="shared" ca="1" si="3"/>
        <v>0</v>
      </c>
      <c r="E15" s="262">
        <f t="shared" ca="1" si="4"/>
        <v>0</v>
      </c>
      <c r="F15" s="261">
        <f t="shared" ca="1" si="5"/>
        <v>0</v>
      </c>
      <c r="G15" s="261">
        <f t="shared" ca="1" si="6"/>
        <v>0</v>
      </c>
      <c r="H15" s="262">
        <f t="shared" ca="1" si="7"/>
        <v>0</v>
      </c>
      <c r="I15" s="260">
        <f t="shared" ca="1" si="8"/>
        <v>0</v>
      </c>
      <c r="J15" s="261">
        <f t="shared" ca="1" si="9"/>
        <v>0</v>
      </c>
      <c r="K15" s="261">
        <f t="shared" ca="1" si="10"/>
        <v>0</v>
      </c>
      <c r="L15" s="261">
        <f t="shared" ca="1" si="11"/>
        <v>0</v>
      </c>
      <c r="M15" s="261">
        <f t="shared" ca="1" si="12"/>
        <v>0</v>
      </c>
      <c r="N15" s="261">
        <f t="shared" ca="1" si="13"/>
        <v>0</v>
      </c>
      <c r="O15" s="261">
        <f t="shared" ca="1" si="14"/>
        <v>0</v>
      </c>
      <c r="P15" s="262">
        <f t="shared" ca="1" si="15"/>
        <v>0</v>
      </c>
    </row>
    <row r="16" spans="1:17">
      <c r="A16" s="259" t="s">
        <v>172</v>
      </c>
      <c r="B16" s="278" t="str">
        <f t="shared" ca="1" si="1"/>
        <v>Y1 8800</v>
      </c>
      <c r="C16" s="261">
        <f t="shared" ca="1" si="2"/>
        <v>0</v>
      </c>
      <c r="D16" s="261">
        <f t="shared" ca="1" si="3"/>
        <v>0</v>
      </c>
      <c r="E16" s="262">
        <f t="shared" ca="1" si="4"/>
        <v>0</v>
      </c>
      <c r="F16" s="261">
        <f t="shared" ca="1" si="5"/>
        <v>0</v>
      </c>
      <c r="G16" s="261">
        <f t="shared" ca="1" si="6"/>
        <v>0</v>
      </c>
      <c r="H16" s="262">
        <f t="shared" ca="1" si="7"/>
        <v>0</v>
      </c>
      <c r="I16" s="260">
        <f t="shared" ca="1" si="8"/>
        <v>0</v>
      </c>
      <c r="J16" s="261">
        <f t="shared" ca="1" si="9"/>
        <v>0</v>
      </c>
      <c r="K16" s="261">
        <f t="shared" ca="1" si="10"/>
        <v>0</v>
      </c>
      <c r="L16" s="261">
        <f t="shared" ca="1" si="11"/>
        <v>0</v>
      </c>
      <c r="M16" s="261">
        <f t="shared" ca="1" si="12"/>
        <v>0</v>
      </c>
      <c r="N16" s="261">
        <f t="shared" ca="1" si="13"/>
        <v>0</v>
      </c>
      <c r="O16" s="261">
        <f t="shared" ca="1" si="14"/>
        <v>0</v>
      </c>
      <c r="P16" s="262">
        <f t="shared" ca="1" si="15"/>
        <v>0</v>
      </c>
    </row>
    <row r="17" spans="1:16">
      <c r="A17" s="259" t="s">
        <v>144</v>
      </c>
      <c r="B17" s="278" t="str">
        <f t="shared" ca="1" si="1"/>
        <v>020</v>
      </c>
      <c r="C17" s="261">
        <f t="shared" ca="1" si="2"/>
        <v>2000</v>
      </c>
      <c r="D17" s="261">
        <f t="shared" ca="1" si="3"/>
        <v>0</v>
      </c>
      <c r="E17" s="262">
        <f t="shared" ca="1" si="4"/>
        <v>0</v>
      </c>
      <c r="F17" s="261">
        <f t="shared" ca="1" si="5"/>
        <v>1880</v>
      </c>
      <c r="G17" s="261">
        <f t="shared" ca="1" si="6"/>
        <v>0</v>
      </c>
      <c r="H17" s="262">
        <f t="shared" ca="1" si="7"/>
        <v>0</v>
      </c>
      <c r="I17" s="260">
        <f t="shared" ca="1" si="8"/>
        <v>0</v>
      </c>
      <c r="J17" s="261">
        <f t="shared" ca="1" si="9"/>
        <v>3880</v>
      </c>
      <c r="K17" s="261">
        <f t="shared" ca="1" si="10"/>
        <v>0</v>
      </c>
      <c r="L17" s="261">
        <f t="shared" ca="1" si="11"/>
        <v>0</v>
      </c>
      <c r="M17" s="261">
        <f t="shared" ca="1" si="12"/>
        <v>0</v>
      </c>
      <c r="N17" s="261">
        <f t="shared" ca="1" si="13"/>
        <v>0</v>
      </c>
      <c r="O17" s="261">
        <f t="shared" ca="1" si="14"/>
        <v>0</v>
      </c>
      <c r="P17" s="262">
        <f t="shared" ca="1" si="15"/>
        <v>0</v>
      </c>
    </row>
    <row r="18" spans="1:16">
      <c r="A18" s="259" t="s">
        <v>176</v>
      </c>
      <c r="B18" s="278" t="str">
        <f t="shared" ca="1" si="1"/>
        <v>SC5</v>
      </c>
      <c r="C18" s="261">
        <f t="shared" ca="1" si="2"/>
        <v>0</v>
      </c>
      <c r="D18" s="261">
        <f t="shared" ca="1" si="3"/>
        <v>0</v>
      </c>
      <c r="E18" s="262">
        <f t="shared" ca="1" si="4"/>
        <v>0</v>
      </c>
      <c r="F18" s="261">
        <f t="shared" ca="1" si="5"/>
        <v>0</v>
      </c>
      <c r="G18" s="261">
        <f t="shared" ca="1" si="6"/>
        <v>0</v>
      </c>
      <c r="H18" s="262">
        <f t="shared" ca="1" si="7"/>
        <v>0</v>
      </c>
      <c r="I18" s="260">
        <f t="shared" ca="1" si="8"/>
        <v>0</v>
      </c>
      <c r="J18" s="261">
        <f t="shared" ca="1" si="9"/>
        <v>0</v>
      </c>
      <c r="K18" s="261">
        <f t="shared" ca="1" si="10"/>
        <v>0</v>
      </c>
      <c r="L18" s="261">
        <f t="shared" ca="1" si="11"/>
        <v>0</v>
      </c>
      <c r="M18" s="261">
        <f t="shared" ca="1" si="12"/>
        <v>0</v>
      </c>
      <c r="N18" s="261">
        <f t="shared" ca="1" si="13"/>
        <v>0</v>
      </c>
      <c r="O18" s="261">
        <f t="shared" ca="1" si="14"/>
        <v>0</v>
      </c>
      <c r="P18" s="262">
        <f t="shared" ca="1" si="15"/>
        <v>0</v>
      </c>
    </row>
    <row r="19" spans="1:16">
      <c r="A19" s="259" t="s">
        <v>179</v>
      </c>
      <c r="B19" s="278" t="str">
        <f t="shared" ca="1" si="1"/>
        <v>0604</v>
      </c>
      <c r="C19" s="261">
        <f t="shared" ca="1" si="2"/>
        <v>2021</v>
      </c>
      <c r="D19" s="261">
        <f t="shared" ca="1" si="3"/>
        <v>0</v>
      </c>
      <c r="E19" s="262">
        <f t="shared" ca="1" si="4"/>
        <v>0</v>
      </c>
      <c r="F19" s="261">
        <f t="shared" ca="1" si="5"/>
        <v>1507</v>
      </c>
      <c r="G19" s="261">
        <f t="shared" ca="1" si="6"/>
        <v>184</v>
      </c>
      <c r="H19" s="262">
        <f t="shared" ca="1" si="7"/>
        <v>98</v>
      </c>
      <c r="I19" s="260">
        <f t="shared" ca="1" si="8"/>
        <v>0</v>
      </c>
      <c r="J19" s="261">
        <f t="shared" ca="1" si="9"/>
        <v>3528</v>
      </c>
      <c r="K19" s="261">
        <f t="shared" ca="1" si="10"/>
        <v>0</v>
      </c>
      <c r="L19" s="261">
        <f t="shared" ca="1" si="11"/>
        <v>0</v>
      </c>
      <c r="M19" s="261">
        <f t="shared" ca="1" si="12"/>
        <v>0</v>
      </c>
      <c r="N19" s="261">
        <f t="shared" ca="1" si="13"/>
        <v>0</v>
      </c>
      <c r="O19" s="261">
        <f t="shared" ca="1" si="14"/>
        <v>184</v>
      </c>
      <c r="P19" s="262">
        <f t="shared" ca="1" si="15"/>
        <v>98</v>
      </c>
    </row>
    <row r="20" spans="1:16">
      <c r="A20" s="259" t="s">
        <v>183</v>
      </c>
      <c r="B20" s="278" t="str">
        <f t="shared" ca="1" si="1"/>
        <v>131100</v>
      </c>
      <c r="C20" s="261">
        <f t="shared" ca="1" si="2"/>
        <v>309</v>
      </c>
      <c r="D20" s="261">
        <f t="shared" ca="1" si="3"/>
        <v>0</v>
      </c>
      <c r="E20" s="262">
        <f t="shared" ca="1" si="4"/>
        <v>0</v>
      </c>
      <c r="F20" s="261">
        <f t="shared" ca="1" si="5"/>
        <v>0</v>
      </c>
      <c r="G20" s="261">
        <f t="shared" ca="1" si="6"/>
        <v>0</v>
      </c>
      <c r="H20" s="262">
        <f t="shared" ca="1" si="7"/>
        <v>0</v>
      </c>
      <c r="I20" s="260">
        <f t="shared" ca="1" si="8"/>
        <v>0</v>
      </c>
      <c r="J20" s="261">
        <f t="shared" ca="1" si="9"/>
        <v>309</v>
      </c>
      <c r="K20" s="261">
        <f t="shared" ca="1" si="10"/>
        <v>0</v>
      </c>
      <c r="L20" s="261">
        <f t="shared" ca="1" si="11"/>
        <v>0</v>
      </c>
      <c r="M20" s="261">
        <f t="shared" ca="1" si="12"/>
        <v>0</v>
      </c>
      <c r="N20" s="261">
        <f t="shared" ca="1" si="13"/>
        <v>0</v>
      </c>
      <c r="O20" s="261">
        <f t="shared" ca="1" si="14"/>
        <v>0</v>
      </c>
      <c r="P20" s="262">
        <f t="shared" ca="1" si="15"/>
        <v>0</v>
      </c>
    </row>
    <row r="21" spans="1:16">
      <c r="A21" s="259" t="s">
        <v>185</v>
      </c>
      <c r="B21" s="278" t="str">
        <f t="shared" ca="1" si="1"/>
        <v>SM04</v>
      </c>
      <c r="C21" s="261">
        <f t="shared" ca="1" si="2"/>
        <v>0</v>
      </c>
      <c r="D21" s="261">
        <f t="shared" ca="1" si="3"/>
        <v>0</v>
      </c>
      <c r="E21" s="262">
        <f t="shared" ca="1" si="4"/>
        <v>0</v>
      </c>
      <c r="F21" s="261">
        <f t="shared" ca="1" si="5"/>
        <v>0</v>
      </c>
      <c r="G21" s="261">
        <f t="shared" ca="1" si="6"/>
        <v>0</v>
      </c>
      <c r="H21" s="262">
        <f t="shared" ca="1" si="7"/>
        <v>0</v>
      </c>
      <c r="I21" s="260">
        <f t="shared" ca="1" si="8"/>
        <v>0</v>
      </c>
      <c r="J21" s="261">
        <f t="shared" ca="1" si="9"/>
        <v>0</v>
      </c>
      <c r="K21" s="261">
        <f t="shared" ca="1" si="10"/>
        <v>0</v>
      </c>
      <c r="L21" s="261">
        <f t="shared" ca="1" si="11"/>
        <v>0</v>
      </c>
      <c r="M21" s="261">
        <f t="shared" ca="1" si="12"/>
        <v>0</v>
      </c>
      <c r="N21" s="261">
        <f t="shared" ca="1" si="13"/>
        <v>0</v>
      </c>
      <c r="O21" s="261">
        <f t="shared" ca="1" si="14"/>
        <v>0</v>
      </c>
      <c r="P21" s="262">
        <f t="shared" ca="1" si="15"/>
        <v>0</v>
      </c>
    </row>
    <row r="22" spans="1:16">
      <c r="A22" s="259" t="s">
        <v>187</v>
      </c>
      <c r="B22" s="278">
        <f t="shared" ca="1" si="1"/>
        <v>0</v>
      </c>
      <c r="C22" s="261">
        <f t="shared" ca="1" si="2"/>
        <v>0</v>
      </c>
      <c r="D22" s="261">
        <f t="shared" ca="1" si="3"/>
        <v>0</v>
      </c>
      <c r="E22" s="262">
        <f t="shared" ca="1" si="4"/>
        <v>0</v>
      </c>
      <c r="F22" s="261">
        <f t="shared" ca="1" si="5"/>
        <v>0</v>
      </c>
      <c r="G22" s="261">
        <f t="shared" ca="1" si="6"/>
        <v>0</v>
      </c>
      <c r="H22" s="262">
        <f t="shared" ca="1" si="7"/>
        <v>0</v>
      </c>
      <c r="I22" s="260">
        <f t="shared" ca="1" si="8"/>
        <v>0</v>
      </c>
      <c r="J22" s="261">
        <f t="shared" ca="1" si="9"/>
        <v>0</v>
      </c>
      <c r="K22" s="261">
        <f t="shared" ca="1" si="10"/>
        <v>0</v>
      </c>
      <c r="L22" s="261">
        <f t="shared" ca="1" si="11"/>
        <v>0</v>
      </c>
      <c r="M22" s="261">
        <f t="shared" ca="1" si="12"/>
        <v>0</v>
      </c>
      <c r="N22" s="261">
        <f t="shared" ca="1" si="13"/>
        <v>0</v>
      </c>
      <c r="O22" s="261">
        <f t="shared" ca="1" si="14"/>
        <v>0</v>
      </c>
      <c r="P22" s="262">
        <f t="shared" ca="1" si="15"/>
        <v>0</v>
      </c>
    </row>
    <row r="23" spans="1:16">
      <c r="A23" s="259" t="s">
        <v>189</v>
      </c>
      <c r="B23" s="278" t="str">
        <f t="shared" ca="1" si="1"/>
        <v>Y1 5900</v>
      </c>
      <c r="C23" s="261">
        <f t="shared" ca="1" si="2"/>
        <v>0</v>
      </c>
      <c r="D23" s="261">
        <f t="shared" ca="1" si="3"/>
        <v>0</v>
      </c>
      <c r="E23" s="262">
        <f t="shared" ca="1" si="4"/>
        <v>0</v>
      </c>
      <c r="F23" s="261">
        <f t="shared" ca="1" si="5"/>
        <v>0</v>
      </c>
      <c r="G23" s="261">
        <f t="shared" ca="1" si="6"/>
        <v>0</v>
      </c>
      <c r="H23" s="262">
        <f t="shared" ca="1" si="7"/>
        <v>0</v>
      </c>
      <c r="I23" s="260">
        <f t="shared" ca="1" si="8"/>
        <v>0</v>
      </c>
      <c r="J23" s="261">
        <f t="shared" ca="1" si="9"/>
        <v>0</v>
      </c>
      <c r="K23" s="261">
        <f t="shared" ca="1" si="10"/>
        <v>0</v>
      </c>
      <c r="L23" s="261">
        <f t="shared" ca="1" si="11"/>
        <v>0</v>
      </c>
      <c r="M23" s="261">
        <f t="shared" ca="1" si="12"/>
        <v>0</v>
      </c>
      <c r="N23" s="261">
        <f t="shared" ca="1" si="13"/>
        <v>0</v>
      </c>
      <c r="O23" s="261">
        <f t="shared" ca="1" si="14"/>
        <v>0</v>
      </c>
      <c r="P23" s="262">
        <f t="shared" ca="1" si="15"/>
        <v>0</v>
      </c>
    </row>
    <row r="24" spans="1:16">
      <c r="A24" s="259" t="s">
        <v>194</v>
      </c>
      <c r="B24" s="278">
        <f t="shared" ca="1" si="1"/>
        <v>31100</v>
      </c>
      <c r="C24" s="261">
        <f t="shared" ca="1" si="2"/>
        <v>458</v>
      </c>
      <c r="D24" s="261">
        <f t="shared" ca="1" si="3"/>
        <v>0</v>
      </c>
      <c r="E24" s="262">
        <f t="shared" ca="1" si="4"/>
        <v>0</v>
      </c>
      <c r="F24" s="261">
        <f t="shared" ca="1" si="5"/>
        <v>540</v>
      </c>
      <c r="G24" s="261">
        <f t="shared" ca="1" si="6"/>
        <v>0</v>
      </c>
      <c r="H24" s="262">
        <f t="shared" ca="1" si="7"/>
        <v>0</v>
      </c>
      <c r="I24" s="260">
        <f t="shared" ca="1" si="8"/>
        <v>0</v>
      </c>
      <c r="J24" s="261">
        <f t="shared" ca="1" si="9"/>
        <v>998</v>
      </c>
      <c r="K24" s="261">
        <f t="shared" ca="1" si="10"/>
        <v>0</v>
      </c>
      <c r="L24" s="261">
        <f t="shared" ca="1" si="11"/>
        <v>0</v>
      </c>
      <c r="M24" s="261">
        <f t="shared" ca="1" si="12"/>
        <v>0</v>
      </c>
      <c r="N24" s="261">
        <f t="shared" ca="1" si="13"/>
        <v>0</v>
      </c>
      <c r="O24" s="261">
        <f t="shared" ca="1" si="14"/>
        <v>0</v>
      </c>
      <c r="P24" s="262">
        <f t="shared" ca="1" si="15"/>
        <v>0</v>
      </c>
    </row>
    <row r="25" spans="1:16">
      <c r="A25" s="259" t="s">
        <v>196</v>
      </c>
      <c r="B25" s="278" t="str">
        <f t="shared" ca="1" si="1"/>
        <v>020</v>
      </c>
      <c r="C25" s="261">
        <f t="shared" ca="1" si="2"/>
        <v>2004</v>
      </c>
      <c r="D25" s="261">
        <f t="shared" ca="1" si="3"/>
        <v>0</v>
      </c>
      <c r="E25" s="262">
        <f t="shared" ca="1" si="4"/>
        <v>0</v>
      </c>
      <c r="F25" s="261">
        <f t="shared" ca="1" si="5"/>
        <v>763</v>
      </c>
      <c r="G25" s="261">
        <f t="shared" ca="1" si="6"/>
        <v>0</v>
      </c>
      <c r="H25" s="262">
        <f t="shared" ca="1" si="7"/>
        <v>0</v>
      </c>
      <c r="I25" s="260">
        <f t="shared" ca="1" si="8"/>
        <v>0</v>
      </c>
      <c r="J25" s="261">
        <f t="shared" ca="1" si="9"/>
        <v>2767</v>
      </c>
      <c r="K25" s="261">
        <f t="shared" ca="1" si="10"/>
        <v>0</v>
      </c>
      <c r="L25" s="261">
        <f t="shared" ca="1" si="11"/>
        <v>0</v>
      </c>
      <c r="M25" s="261">
        <f t="shared" ca="1" si="12"/>
        <v>0</v>
      </c>
      <c r="N25" s="261">
        <f t="shared" ca="1" si="13"/>
        <v>0</v>
      </c>
      <c r="O25" s="261">
        <f t="shared" ca="1" si="14"/>
        <v>0</v>
      </c>
      <c r="P25" s="262">
        <f t="shared" ca="1" si="15"/>
        <v>0</v>
      </c>
    </row>
    <row r="26" spans="1:16">
      <c r="A26" s="259" t="s">
        <v>198</v>
      </c>
      <c r="B26" s="278" t="str">
        <f t="shared" ca="1" si="1"/>
        <v>SM02</v>
      </c>
      <c r="C26" s="261">
        <f t="shared" ca="1" si="2"/>
        <v>1833</v>
      </c>
      <c r="D26" s="261">
        <f t="shared" ca="1" si="3"/>
        <v>0</v>
      </c>
      <c r="E26" s="262">
        <f t="shared" ca="1" si="4"/>
        <v>0</v>
      </c>
      <c r="F26" s="261">
        <f t="shared" ca="1" si="5"/>
        <v>1833</v>
      </c>
      <c r="G26" s="261">
        <f t="shared" ca="1" si="6"/>
        <v>0</v>
      </c>
      <c r="H26" s="262">
        <f t="shared" ca="1" si="7"/>
        <v>0</v>
      </c>
      <c r="I26" s="260">
        <f t="shared" ca="1" si="8"/>
        <v>0</v>
      </c>
      <c r="J26" s="261">
        <f t="shared" ca="1" si="9"/>
        <v>3666</v>
      </c>
      <c r="K26" s="261">
        <f t="shared" ca="1" si="10"/>
        <v>0</v>
      </c>
      <c r="L26" s="261">
        <f t="shared" ca="1" si="11"/>
        <v>0</v>
      </c>
      <c r="M26" s="261">
        <f t="shared" ca="1" si="12"/>
        <v>0</v>
      </c>
      <c r="N26" s="261">
        <f t="shared" ca="1" si="13"/>
        <v>0</v>
      </c>
      <c r="O26" s="261">
        <f t="shared" ca="1" si="14"/>
        <v>0</v>
      </c>
      <c r="P26" s="262">
        <f t="shared" ca="1" si="15"/>
        <v>0</v>
      </c>
    </row>
    <row r="27" spans="1:16">
      <c r="A27" s="259" t="s">
        <v>202</v>
      </c>
      <c r="B27" s="278" t="str">
        <f t="shared" ca="1" si="1"/>
        <v>CO15</v>
      </c>
      <c r="C27" s="261">
        <f t="shared" ca="1" si="2"/>
        <v>0</v>
      </c>
      <c r="D27" s="261">
        <f t="shared" ca="1" si="3"/>
        <v>0</v>
      </c>
      <c r="E27" s="262">
        <f t="shared" ca="1" si="4"/>
        <v>0</v>
      </c>
      <c r="F27" s="261">
        <f t="shared" ca="1" si="5"/>
        <v>0</v>
      </c>
      <c r="G27" s="261">
        <f t="shared" ca="1" si="6"/>
        <v>0</v>
      </c>
      <c r="H27" s="262">
        <f t="shared" ca="1" si="7"/>
        <v>0</v>
      </c>
      <c r="I27" s="260">
        <f t="shared" ca="1" si="8"/>
        <v>0</v>
      </c>
      <c r="J27" s="261">
        <f t="shared" ca="1" si="9"/>
        <v>0</v>
      </c>
      <c r="K27" s="261">
        <f t="shared" ca="1" si="10"/>
        <v>0</v>
      </c>
      <c r="L27" s="261">
        <f t="shared" ca="1" si="11"/>
        <v>0</v>
      </c>
      <c r="M27" s="261">
        <f t="shared" ca="1" si="12"/>
        <v>0</v>
      </c>
      <c r="N27" s="261">
        <f t="shared" ca="1" si="13"/>
        <v>0</v>
      </c>
      <c r="O27" s="261">
        <f t="shared" ca="1" si="14"/>
        <v>0</v>
      </c>
      <c r="P27" s="262">
        <f t="shared" ca="1" si="15"/>
        <v>0</v>
      </c>
    </row>
    <row r="28" spans="1:16">
      <c r="A28" s="259" t="s">
        <v>205</v>
      </c>
      <c r="B28" s="278" t="str">
        <f t="shared" ca="1" si="1"/>
        <v>H2 739</v>
      </c>
      <c r="C28" s="261">
        <f t="shared" ca="1" si="2"/>
        <v>0</v>
      </c>
      <c r="D28" s="261">
        <f t="shared" ca="1" si="3"/>
        <v>0</v>
      </c>
      <c r="E28" s="262">
        <f t="shared" ca="1" si="4"/>
        <v>0</v>
      </c>
      <c r="F28" s="261">
        <f t="shared" ca="1" si="5"/>
        <v>0</v>
      </c>
      <c r="G28" s="261">
        <f t="shared" ca="1" si="6"/>
        <v>0</v>
      </c>
      <c r="H28" s="262">
        <f t="shared" ca="1" si="7"/>
        <v>0</v>
      </c>
      <c r="I28" s="260">
        <f t="shared" ca="1" si="8"/>
        <v>0</v>
      </c>
      <c r="J28" s="261">
        <f t="shared" ca="1" si="9"/>
        <v>0</v>
      </c>
      <c r="K28" s="261">
        <f t="shared" ca="1" si="10"/>
        <v>0</v>
      </c>
      <c r="L28" s="261">
        <f t="shared" ca="1" si="11"/>
        <v>0</v>
      </c>
      <c r="M28" s="261">
        <f t="shared" ca="1" si="12"/>
        <v>0</v>
      </c>
      <c r="N28" s="261">
        <f t="shared" ca="1" si="13"/>
        <v>0</v>
      </c>
      <c r="O28" s="261">
        <f t="shared" ca="1" si="14"/>
        <v>0</v>
      </c>
      <c r="P28" s="262">
        <f t="shared" ca="1" si="15"/>
        <v>0</v>
      </c>
    </row>
    <row r="29" spans="1:16">
      <c r="A29" s="259" t="s">
        <v>210</v>
      </c>
      <c r="B29" s="278" t="str">
        <f t="shared" ca="1" si="1"/>
        <v>550</v>
      </c>
      <c r="C29" s="261">
        <f t="shared" ca="1" si="2"/>
        <v>290</v>
      </c>
      <c r="D29" s="261">
        <f t="shared" ca="1" si="3"/>
        <v>0</v>
      </c>
      <c r="E29" s="262">
        <f t="shared" ca="1" si="4"/>
        <v>18</v>
      </c>
      <c r="F29" s="261">
        <f t="shared" ca="1" si="5"/>
        <v>0</v>
      </c>
      <c r="G29" s="261">
        <f t="shared" ca="1" si="6"/>
        <v>0</v>
      </c>
      <c r="H29" s="262">
        <f t="shared" ca="1" si="7"/>
        <v>0</v>
      </c>
      <c r="I29" s="260">
        <f t="shared" ca="1" si="8"/>
        <v>0</v>
      </c>
      <c r="J29" s="261">
        <f t="shared" ca="1" si="9"/>
        <v>290</v>
      </c>
      <c r="K29" s="261">
        <f t="shared" ca="1" si="10"/>
        <v>0</v>
      </c>
      <c r="L29" s="261">
        <f t="shared" ca="1" si="11"/>
        <v>0</v>
      </c>
      <c r="M29" s="261">
        <f t="shared" ca="1" si="12"/>
        <v>0</v>
      </c>
      <c r="N29" s="261">
        <f t="shared" ca="1" si="13"/>
        <v>0</v>
      </c>
      <c r="O29" s="261">
        <f t="shared" ca="1" si="14"/>
        <v>0</v>
      </c>
      <c r="P29" s="262">
        <f t="shared" ca="1" si="15"/>
        <v>18</v>
      </c>
    </row>
    <row r="30" spans="1:16">
      <c r="A30" s="259" t="s">
        <v>212</v>
      </c>
      <c r="B30" s="278" t="str">
        <f t="shared" ca="1" si="1"/>
        <v>P9</v>
      </c>
      <c r="C30" s="261">
        <f t="shared" ca="1" si="2"/>
        <v>0</v>
      </c>
      <c r="D30" s="261">
        <f t="shared" ca="1" si="3"/>
        <v>0</v>
      </c>
      <c r="E30" s="262">
        <f t="shared" ca="1" si="4"/>
        <v>0</v>
      </c>
      <c r="F30" s="261">
        <f t="shared" ca="1" si="5"/>
        <v>0</v>
      </c>
      <c r="G30" s="261">
        <f t="shared" ca="1" si="6"/>
        <v>0</v>
      </c>
      <c r="H30" s="262">
        <f t="shared" ca="1" si="7"/>
        <v>0</v>
      </c>
      <c r="I30" s="260">
        <f t="shared" ca="1" si="8"/>
        <v>0</v>
      </c>
      <c r="J30" s="261">
        <f t="shared" ca="1" si="9"/>
        <v>0</v>
      </c>
      <c r="K30" s="261">
        <f t="shared" ca="1" si="10"/>
        <v>0</v>
      </c>
      <c r="L30" s="261">
        <f t="shared" ca="1" si="11"/>
        <v>0</v>
      </c>
      <c r="M30" s="261">
        <f t="shared" ca="1" si="12"/>
        <v>0</v>
      </c>
      <c r="N30" s="261">
        <f t="shared" ca="1" si="13"/>
        <v>0</v>
      </c>
      <c r="O30" s="261">
        <f t="shared" ca="1" si="14"/>
        <v>0</v>
      </c>
      <c r="P30" s="262">
        <f t="shared" ca="1" si="15"/>
        <v>0</v>
      </c>
    </row>
    <row r="31" spans="1:16">
      <c r="A31" s="259" t="s">
        <v>216</v>
      </c>
      <c r="B31" s="278">
        <f t="shared" ca="1" si="1"/>
        <v>699</v>
      </c>
      <c r="C31" s="261">
        <f t="shared" ca="1" si="2"/>
        <v>0</v>
      </c>
      <c r="D31" s="261">
        <f t="shared" ca="1" si="3"/>
        <v>0</v>
      </c>
      <c r="E31" s="262">
        <f t="shared" ca="1" si="4"/>
        <v>0</v>
      </c>
      <c r="F31" s="261">
        <f t="shared" ca="1" si="5"/>
        <v>0</v>
      </c>
      <c r="G31" s="261">
        <f t="shared" ca="1" si="6"/>
        <v>0</v>
      </c>
      <c r="H31" s="262">
        <f t="shared" ca="1" si="7"/>
        <v>0</v>
      </c>
      <c r="I31" s="260">
        <f t="shared" ca="1" si="8"/>
        <v>0</v>
      </c>
      <c r="J31" s="261">
        <f t="shared" ca="1" si="9"/>
        <v>0</v>
      </c>
      <c r="K31" s="261">
        <f t="shared" ca="1" si="10"/>
        <v>0</v>
      </c>
      <c r="L31" s="261">
        <f t="shared" ca="1" si="11"/>
        <v>0</v>
      </c>
      <c r="M31" s="261">
        <f t="shared" ca="1" si="12"/>
        <v>0</v>
      </c>
      <c r="N31" s="261">
        <f t="shared" ca="1" si="13"/>
        <v>0</v>
      </c>
      <c r="O31" s="261">
        <f t="shared" ca="1" si="14"/>
        <v>0</v>
      </c>
      <c r="P31" s="262">
        <f t="shared" ca="1" si="15"/>
        <v>0</v>
      </c>
    </row>
    <row r="32" spans="1:16">
      <c r="A32" s="259" t="s">
        <v>217</v>
      </c>
      <c r="B32" s="278" t="str">
        <f t="shared" ca="1" si="1"/>
        <v>SC5</v>
      </c>
      <c r="C32" s="261">
        <f t="shared" ca="1" si="2"/>
        <v>1467</v>
      </c>
      <c r="D32" s="261">
        <f t="shared" ca="1" si="3"/>
        <v>0</v>
      </c>
      <c r="E32" s="262">
        <f t="shared" ca="1" si="4"/>
        <v>0</v>
      </c>
      <c r="F32" s="261">
        <f t="shared" ca="1" si="5"/>
        <v>0</v>
      </c>
      <c r="G32" s="261">
        <f t="shared" ca="1" si="6"/>
        <v>0</v>
      </c>
      <c r="H32" s="262">
        <f t="shared" ca="1" si="7"/>
        <v>0</v>
      </c>
      <c r="I32" s="260">
        <f t="shared" ca="1" si="8"/>
        <v>0</v>
      </c>
      <c r="J32" s="261">
        <f t="shared" ca="1" si="9"/>
        <v>1467</v>
      </c>
      <c r="K32" s="261">
        <f t="shared" ca="1" si="10"/>
        <v>0</v>
      </c>
      <c r="L32" s="261">
        <f t="shared" ca="1" si="11"/>
        <v>0</v>
      </c>
      <c r="M32" s="261">
        <f t="shared" ca="1" si="12"/>
        <v>0</v>
      </c>
      <c r="N32" s="261">
        <f t="shared" ca="1" si="13"/>
        <v>0</v>
      </c>
      <c r="O32" s="261">
        <f t="shared" ca="1" si="14"/>
        <v>0</v>
      </c>
      <c r="P32" s="262">
        <f t="shared" ca="1" si="15"/>
        <v>0</v>
      </c>
    </row>
    <row r="33" spans="1:16">
      <c r="A33" s="259" t="s">
        <v>219</v>
      </c>
      <c r="B33" s="278" t="str">
        <f t="shared" ca="1" si="1"/>
        <v>F3 91B</v>
      </c>
      <c r="C33" s="261">
        <f t="shared" ca="1" si="2"/>
        <v>0</v>
      </c>
      <c r="D33" s="261">
        <f t="shared" ca="1" si="3"/>
        <v>0</v>
      </c>
      <c r="E33" s="262">
        <f t="shared" ca="1" si="4"/>
        <v>0</v>
      </c>
      <c r="F33" s="261">
        <f t="shared" ca="1" si="5"/>
        <v>0</v>
      </c>
      <c r="G33" s="261">
        <f t="shared" ca="1" si="6"/>
        <v>0</v>
      </c>
      <c r="H33" s="262">
        <f t="shared" ca="1" si="7"/>
        <v>0</v>
      </c>
      <c r="I33" s="260">
        <f t="shared" ca="1" si="8"/>
        <v>0</v>
      </c>
      <c r="J33" s="261">
        <f t="shared" ca="1" si="9"/>
        <v>0</v>
      </c>
      <c r="K33" s="261">
        <f t="shared" ca="1" si="10"/>
        <v>0</v>
      </c>
      <c r="L33" s="261">
        <f t="shared" ca="1" si="11"/>
        <v>0</v>
      </c>
      <c r="M33" s="261">
        <f t="shared" ca="1" si="12"/>
        <v>0</v>
      </c>
      <c r="N33" s="261">
        <f t="shared" ca="1" si="13"/>
        <v>0</v>
      </c>
      <c r="O33" s="261">
        <f t="shared" ca="1" si="14"/>
        <v>0</v>
      </c>
      <c r="P33" s="262">
        <f t="shared" ca="1" si="15"/>
        <v>0</v>
      </c>
    </row>
    <row r="34" spans="1:16">
      <c r="A34" s="259" t="s">
        <v>224</v>
      </c>
      <c r="B34" s="278" t="str">
        <f t="shared" ca="1" si="1"/>
        <v>Y1 800</v>
      </c>
      <c r="C34" s="261">
        <f t="shared" ca="1" si="2"/>
        <v>0</v>
      </c>
      <c r="D34" s="261">
        <f t="shared" ca="1" si="3"/>
        <v>0</v>
      </c>
      <c r="E34" s="262">
        <f t="shared" ca="1" si="4"/>
        <v>0</v>
      </c>
      <c r="F34" s="261">
        <f t="shared" ca="1" si="5"/>
        <v>0</v>
      </c>
      <c r="G34" s="261">
        <f t="shared" ca="1" si="6"/>
        <v>0</v>
      </c>
      <c r="H34" s="262">
        <f t="shared" ca="1" si="7"/>
        <v>0</v>
      </c>
      <c r="I34" s="260">
        <f t="shared" ca="1" si="8"/>
        <v>0</v>
      </c>
      <c r="J34" s="261">
        <f t="shared" ca="1" si="9"/>
        <v>0</v>
      </c>
      <c r="K34" s="261">
        <f t="shared" ca="1" si="10"/>
        <v>0</v>
      </c>
      <c r="L34" s="261">
        <f t="shared" ca="1" si="11"/>
        <v>0</v>
      </c>
      <c r="M34" s="261">
        <f t="shared" ca="1" si="12"/>
        <v>0</v>
      </c>
      <c r="N34" s="261">
        <f t="shared" ca="1" si="13"/>
        <v>0</v>
      </c>
      <c r="O34" s="261">
        <f t="shared" ca="1" si="14"/>
        <v>0</v>
      </c>
      <c r="P34" s="262">
        <f t="shared" ca="1" si="15"/>
        <v>0</v>
      </c>
    </row>
    <row r="35" spans="1:16">
      <c r="A35" s="259" t="s">
        <v>230</v>
      </c>
      <c r="B35" s="278" t="str">
        <f t="shared" ca="1" si="1"/>
        <v>F3 91B</v>
      </c>
      <c r="C35" s="261">
        <f t="shared" ca="1" si="2"/>
        <v>0</v>
      </c>
      <c r="D35" s="261">
        <f t="shared" ca="1" si="3"/>
        <v>0</v>
      </c>
      <c r="E35" s="262">
        <f t="shared" ca="1" si="4"/>
        <v>0</v>
      </c>
      <c r="F35" s="261">
        <f t="shared" ca="1" si="5"/>
        <v>0</v>
      </c>
      <c r="G35" s="261">
        <f t="shared" ca="1" si="6"/>
        <v>0</v>
      </c>
      <c r="H35" s="262">
        <f t="shared" ca="1" si="7"/>
        <v>0</v>
      </c>
      <c r="I35" s="260">
        <f t="shared" ca="1" si="8"/>
        <v>0</v>
      </c>
      <c r="J35" s="261">
        <f t="shared" ca="1" si="9"/>
        <v>0</v>
      </c>
      <c r="K35" s="261">
        <f t="shared" ca="1" si="10"/>
        <v>0</v>
      </c>
      <c r="L35" s="261">
        <f t="shared" ca="1" si="11"/>
        <v>0</v>
      </c>
      <c r="M35" s="261">
        <f t="shared" ca="1" si="12"/>
        <v>0</v>
      </c>
      <c r="N35" s="261">
        <f t="shared" ca="1" si="13"/>
        <v>0</v>
      </c>
      <c r="O35" s="261">
        <f t="shared" ca="1" si="14"/>
        <v>0</v>
      </c>
      <c r="P35" s="262">
        <f t="shared" ca="1" si="15"/>
        <v>0</v>
      </c>
    </row>
    <row r="36" spans="1:16">
      <c r="A36" s="259" t="s">
        <v>232</v>
      </c>
      <c r="B36" s="278" t="str">
        <f t="shared" ca="1" si="1"/>
        <v>LD5</v>
      </c>
      <c r="C36" s="261">
        <f t="shared" ca="1" si="2"/>
        <v>4800</v>
      </c>
      <c r="D36" s="261">
        <f t="shared" ca="1" si="3"/>
        <v>0</v>
      </c>
      <c r="E36" s="262">
        <f t="shared" ca="1" si="4"/>
        <v>0</v>
      </c>
      <c r="F36" s="261">
        <f t="shared" ca="1" si="5"/>
        <v>3680</v>
      </c>
      <c r="G36" s="261">
        <f t="shared" ca="1" si="6"/>
        <v>0</v>
      </c>
      <c r="H36" s="262">
        <f t="shared" ca="1" si="7"/>
        <v>0</v>
      </c>
      <c r="I36" s="260">
        <f t="shared" ca="1" si="8"/>
        <v>0</v>
      </c>
      <c r="J36" s="261">
        <f t="shared" ca="1" si="9"/>
        <v>0</v>
      </c>
      <c r="K36" s="261">
        <f t="shared" ca="1" si="10"/>
        <v>0</v>
      </c>
      <c r="L36" s="261">
        <f t="shared" ca="1" si="11"/>
        <v>0</v>
      </c>
      <c r="M36" s="261">
        <f t="shared" ca="1" si="12"/>
        <v>0</v>
      </c>
      <c r="N36" s="261">
        <f t="shared" ca="1" si="13"/>
        <v>8480</v>
      </c>
      <c r="O36" s="261">
        <f t="shared" ca="1" si="14"/>
        <v>0</v>
      </c>
      <c r="P36" s="262">
        <f t="shared" ca="1" si="15"/>
        <v>0</v>
      </c>
    </row>
    <row r="37" spans="1:16">
      <c r="A37" s="259" t="s">
        <v>236</v>
      </c>
      <c r="B37" s="278" t="str">
        <f t="shared" ca="1" si="1"/>
        <v>F3 104</v>
      </c>
      <c r="C37" s="261">
        <f t="shared" ca="1" si="2"/>
        <v>0</v>
      </c>
      <c r="D37" s="261">
        <f t="shared" ca="1" si="3"/>
        <v>0</v>
      </c>
      <c r="E37" s="262">
        <f t="shared" ca="1" si="4"/>
        <v>0</v>
      </c>
      <c r="F37" s="261">
        <f t="shared" ca="1" si="5"/>
        <v>0</v>
      </c>
      <c r="G37" s="261">
        <f t="shared" ca="1" si="6"/>
        <v>0</v>
      </c>
      <c r="H37" s="262">
        <f t="shared" ca="1" si="7"/>
        <v>0</v>
      </c>
      <c r="I37" s="260">
        <f t="shared" ca="1" si="8"/>
        <v>0</v>
      </c>
      <c r="J37" s="261">
        <f t="shared" ca="1" si="9"/>
        <v>0</v>
      </c>
      <c r="K37" s="261">
        <f t="shared" ca="1" si="10"/>
        <v>0</v>
      </c>
      <c r="L37" s="261">
        <f t="shared" ca="1" si="11"/>
        <v>0</v>
      </c>
      <c r="M37" s="261">
        <f t="shared" ca="1" si="12"/>
        <v>0</v>
      </c>
      <c r="N37" s="261">
        <f t="shared" ca="1" si="13"/>
        <v>0</v>
      </c>
      <c r="O37" s="261">
        <f t="shared" ca="1" si="14"/>
        <v>0</v>
      </c>
      <c r="P37" s="262">
        <f t="shared" ca="1" si="15"/>
        <v>0</v>
      </c>
    </row>
    <row r="38" spans="1:16">
      <c r="A38" s="259" t="s">
        <v>240</v>
      </c>
      <c r="B38" s="278" t="str">
        <f t="shared" ca="1" si="1"/>
        <v>H4</v>
      </c>
      <c r="C38" s="261">
        <f t="shared" ca="1" si="2"/>
        <v>0</v>
      </c>
      <c r="D38" s="261">
        <f t="shared" ca="1" si="3"/>
        <v>0</v>
      </c>
      <c r="E38" s="262">
        <f t="shared" ca="1" si="4"/>
        <v>0</v>
      </c>
      <c r="F38" s="261">
        <f t="shared" ca="1" si="5"/>
        <v>0</v>
      </c>
      <c r="G38" s="261">
        <f t="shared" ca="1" si="6"/>
        <v>0</v>
      </c>
      <c r="H38" s="262">
        <f t="shared" ca="1" si="7"/>
        <v>0</v>
      </c>
      <c r="I38" s="260">
        <f t="shared" ca="1" si="8"/>
        <v>0</v>
      </c>
      <c r="J38" s="261">
        <f t="shared" ca="1" si="9"/>
        <v>0</v>
      </c>
      <c r="K38" s="261">
        <f t="shared" ca="1" si="10"/>
        <v>0</v>
      </c>
      <c r="L38" s="261">
        <f t="shared" ca="1" si="11"/>
        <v>0</v>
      </c>
      <c r="M38" s="261">
        <f t="shared" ca="1" si="12"/>
        <v>0</v>
      </c>
      <c r="N38" s="261">
        <f t="shared" ca="1" si="13"/>
        <v>0</v>
      </c>
      <c r="O38" s="261">
        <f t="shared" ca="1" si="14"/>
        <v>0</v>
      </c>
      <c r="P38" s="262">
        <f t="shared" ca="1" si="15"/>
        <v>0</v>
      </c>
    </row>
    <row r="39" spans="1:16">
      <c r="A39" s="259" t="s">
        <v>242</v>
      </c>
      <c r="B39" s="278">
        <f t="shared" ca="1" si="1"/>
        <v>2401</v>
      </c>
      <c r="C39" s="261">
        <f t="shared" ca="1" si="2"/>
        <v>3538</v>
      </c>
      <c r="D39" s="261">
        <f t="shared" ca="1" si="3"/>
        <v>0</v>
      </c>
      <c r="E39" s="262">
        <f t="shared" ca="1" si="4"/>
        <v>9</v>
      </c>
      <c r="F39" s="261">
        <f t="shared" ca="1" si="5"/>
        <v>4025</v>
      </c>
      <c r="G39" s="261">
        <f t="shared" ca="1" si="6"/>
        <v>0</v>
      </c>
      <c r="H39" s="262">
        <f t="shared" ca="1" si="7"/>
        <v>0</v>
      </c>
      <c r="I39" s="260">
        <f t="shared" ca="1" si="8"/>
        <v>0</v>
      </c>
      <c r="J39" s="261">
        <f t="shared" ca="1" si="9"/>
        <v>7563</v>
      </c>
      <c r="K39" s="261">
        <f t="shared" ca="1" si="10"/>
        <v>0</v>
      </c>
      <c r="L39" s="261">
        <f t="shared" ca="1" si="11"/>
        <v>0</v>
      </c>
      <c r="M39" s="261">
        <f t="shared" ca="1" si="12"/>
        <v>0</v>
      </c>
      <c r="N39" s="261">
        <f t="shared" ca="1" si="13"/>
        <v>0</v>
      </c>
      <c r="O39" s="261">
        <f t="shared" ca="1" si="14"/>
        <v>0</v>
      </c>
      <c r="P39" s="262">
        <f t="shared" ca="1" si="15"/>
        <v>9</v>
      </c>
    </row>
    <row r="40" spans="1:16">
      <c r="A40" s="259" t="s">
        <v>244</v>
      </c>
      <c r="B40" s="278" t="str">
        <f t="shared" ca="1" si="1"/>
        <v>P6</v>
      </c>
      <c r="C40" s="261">
        <f t="shared" ca="1" si="2"/>
        <v>1551</v>
      </c>
      <c r="D40" s="261">
        <f t="shared" ca="1" si="3"/>
        <v>0</v>
      </c>
      <c r="E40" s="262">
        <f t="shared" ca="1" si="4"/>
        <v>0</v>
      </c>
      <c r="F40" s="261">
        <f t="shared" ca="1" si="5"/>
        <v>1463</v>
      </c>
      <c r="G40" s="261">
        <f t="shared" ca="1" si="6"/>
        <v>0</v>
      </c>
      <c r="H40" s="262">
        <f t="shared" ca="1" si="7"/>
        <v>0</v>
      </c>
      <c r="I40" s="260">
        <f t="shared" ca="1" si="8"/>
        <v>0</v>
      </c>
      <c r="J40" s="261">
        <f t="shared" ca="1" si="9"/>
        <v>3014</v>
      </c>
      <c r="K40" s="261">
        <f t="shared" ca="1" si="10"/>
        <v>0</v>
      </c>
      <c r="L40" s="261">
        <f t="shared" ca="1" si="11"/>
        <v>0</v>
      </c>
      <c r="M40" s="261">
        <f t="shared" ca="1" si="12"/>
        <v>0</v>
      </c>
      <c r="N40" s="261">
        <f t="shared" ca="1" si="13"/>
        <v>0</v>
      </c>
      <c r="O40" s="261">
        <f t="shared" ca="1" si="14"/>
        <v>0</v>
      </c>
      <c r="P40" s="262">
        <f t="shared" ca="1" si="15"/>
        <v>0</v>
      </c>
    </row>
    <row r="41" spans="1:16">
      <c r="A41" s="259" t="s">
        <v>248</v>
      </c>
      <c r="B41" s="278" t="str">
        <f t="shared" ca="1" si="1"/>
        <v>S12584</v>
      </c>
      <c r="C41" s="261">
        <f t="shared" ca="1" si="2"/>
        <v>0</v>
      </c>
      <c r="D41" s="261">
        <f t="shared" ca="1" si="3"/>
        <v>0</v>
      </c>
      <c r="E41" s="262">
        <f t="shared" ca="1" si="4"/>
        <v>0</v>
      </c>
      <c r="F41" s="261">
        <f t="shared" ca="1" si="5"/>
        <v>0</v>
      </c>
      <c r="G41" s="261">
        <f t="shared" ca="1" si="6"/>
        <v>0</v>
      </c>
      <c r="H41" s="262">
        <f t="shared" ca="1" si="7"/>
        <v>0</v>
      </c>
      <c r="I41" s="260">
        <f t="shared" ca="1" si="8"/>
        <v>0</v>
      </c>
      <c r="J41" s="261">
        <f t="shared" ca="1" si="9"/>
        <v>0</v>
      </c>
      <c r="K41" s="261">
        <f t="shared" ca="1" si="10"/>
        <v>0</v>
      </c>
      <c r="L41" s="261">
        <f t="shared" ca="1" si="11"/>
        <v>0</v>
      </c>
      <c r="M41" s="261">
        <f t="shared" ca="1" si="12"/>
        <v>0</v>
      </c>
      <c r="N41" s="261">
        <f t="shared" ca="1" si="13"/>
        <v>0</v>
      </c>
      <c r="O41" s="261">
        <f t="shared" ca="1" si="14"/>
        <v>0</v>
      </c>
      <c r="P41" s="262">
        <f t="shared" ca="1" si="15"/>
        <v>0</v>
      </c>
    </row>
    <row r="42" spans="1:16">
      <c r="A42" s="259" t="s">
        <v>250</v>
      </c>
      <c r="B42" s="278" t="str">
        <f t="shared" ca="1" si="1"/>
        <v>0010</v>
      </c>
      <c r="C42" s="261">
        <f t="shared" ca="1" si="2"/>
        <v>714</v>
      </c>
      <c r="D42" s="261">
        <f t="shared" ca="1" si="3"/>
        <v>0</v>
      </c>
      <c r="E42" s="262">
        <f t="shared" ca="1" si="4"/>
        <v>48</v>
      </c>
      <c r="F42" s="261">
        <f t="shared" ca="1" si="5"/>
        <v>0</v>
      </c>
      <c r="G42" s="261">
        <f t="shared" ca="1" si="6"/>
        <v>0</v>
      </c>
      <c r="H42" s="262">
        <f t="shared" ca="1" si="7"/>
        <v>0</v>
      </c>
      <c r="I42" s="260">
        <f t="shared" ca="1" si="8"/>
        <v>0</v>
      </c>
      <c r="J42" s="261">
        <f t="shared" ca="1" si="9"/>
        <v>0</v>
      </c>
      <c r="K42" s="261">
        <f t="shared" ca="1" si="10"/>
        <v>0</v>
      </c>
      <c r="L42" s="261">
        <f t="shared" ca="1" si="11"/>
        <v>0</v>
      </c>
      <c r="M42" s="261">
        <f t="shared" ca="1" si="12"/>
        <v>714</v>
      </c>
      <c r="N42" s="261">
        <f t="shared" ca="1" si="13"/>
        <v>0</v>
      </c>
      <c r="O42" s="261">
        <f t="shared" ca="1" si="14"/>
        <v>0</v>
      </c>
      <c r="P42" s="262">
        <f t="shared" ca="1" si="15"/>
        <v>48</v>
      </c>
    </row>
    <row r="43" spans="1:16">
      <c r="A43" s="259" t="s">
        <v>253</v>
      </c>
      <c r="B43" s="278" t="str">
        <f t="shared" ca="1" si="1"/>
        <v>PL8</v>
      </c>
      <c r="C43" s="261">
        <f t="shared" ca="1" si="2"/>
        <v>0</v>
      </c>
      <c r="D43" s="261">
        <f t="shared" ca="1" si="3"/>
        <v>0</v>
      </c>
      <c r="E43" s="262">
        <f t="shared" ca="1" si="4"/>
        <v>0</v>
      </c>
      <c r="F43" s="261">
        <f t="shared" ca="1" si="5"/>
        <v>0</v>
      </c>
      <c r="G43" s="261">
        <f t="shared" ca="1" si="6"/>
        <v>0</v>
      </c>
      <c r="H43" s="262">
        <f t="shared" ca="1" si="7"/>
        <v>0</v>
      </c>
      <c r="I43" s="260">
        <f t="shared" ca="1" si="8"/>
        <v>0</v>
      </c>
      <c r="J43" s="261">
        <f t="shared" ca="1" si="9"/>
        <v>0</v>
      </c>
      <c r="K43" s="261">
        <f t="shared" ca="1" si="10"/>
        <v>0</v>
      </c>
      <c r="L43" s="261">
        <f t="shared" ca="1" si="11"/>
        <v>0</v>
      </c>
      <c r="M43" s="261">
        <f t="shared" ca="1" si="12"/>
        <v>0</v>
      </c>
      <c r="N43" s="261">
        <f t="shared" ca="1" si="13"/>
        <v>0</v>
      </c>
      <c r="O43" s="261">
        <f t="shared" ca="1" si="14"/>
        <v>0</v>
      </c>
      <c r="P43" s="262">
        <f t="shared" ca="1" si="15"/>
        <v>0</v>
      </c>
    </row>
    <row r="44" spans="1:16">
      <c r="A44" s="259" t="s">
        <v>255</v>
      </c>
      <c r="B44" s="278" t="str">
        <f t="shared" ca="1" si="1"/>
        <v>3TH</v>
      </c>
      <c r="C44" s="261">
        <f t="shared" ca="1" si="2"/>
        <v>0</v>
      </c>
      <c r="D44" s="261">
        <f t="shared" ca="1" si="3"/>
        <v>0</v>
      </c>
      <c r="E44" s="262">
        <f t="shared" ca="1" si="4"/>
        <v>0</v>
      </c>
      <c r="F44" s="261">
        <f t="shared" ca="1" si="5"/>
        <v>0</v>
      </c>
      <c r="G44" s="261">
        <f t="shared" ca="1" si="6"/>
        <v>0</v>
      </c>
      <c r="H44" s="262">
        <f t="shared" ca="1" si="7"/>
        <v>0</v>
      </c>
      <c r="I44" s="260">
        <f t="shared" ca="1" si="8"/>
        <v>0</v>
      </c>
      <c r="J44" s="261">
        <f t="shared" ca="1" si="9"/>
        <v>0</v>
      </c>
      <c r="K44" s="261">
        <f t="shared" ca="1" si="10"/>
        <v>0</v>
      </c>
      <c r="L44" s="261">
        <f t="shared" ca="1" si="11"/>
        <v>0</v>
      </c>
      <c r="M44" s="261">
        <f t="shared" ca="1" si="12"/>
        <v>0</v>
      </c>
      <c r="N44" s="261">
        <f t="shared" ca="1" si="13"/>
        <v>0</v>
      </c>
      <c r="O44" s="261">
        <f t="shared" ca="1" si="14"/>
        <v>0</v>
      </c>
      <c r="P44" s="262">
        <f t="shared" ca="1" si="15"/>
        <v>0</v>
      </c>
    </row>
    <row r="45" spans="1:16">
      <c r="A45" s="259" t="s">
        <v>259</v>
      </c>
      <c r="B45" s="278" t="str">
        <f t="shared" ca="1" si="1"/>
        <v>F3 105A</v>
      </c>
      <c r="C45" s="261">
        <f t="shared" ca="1" si="2"/>
        <v>800</v>
      </c>
      <c r="D45" s="261">
        <f t="shared" ca="1" si="3"/>
        <v>0</v>
      </c>
      <c r="E45" s="262">
        <f t="shared" ca="1" si="4"/>
        <v>213</v>
      </c>
      <c r="F45" s="261">
        <f t="shared" ca="1" si="5"/>
        <v>1400</v>
      </c>
      <c r="G45" s="261">
        <f t="shared" ca="1" si="6"/>
        <v>0</v>
      </c>
      <c r="H45" s="262">
        <f t="shared" ca="1" si="7"/>
        <v>0</v>
      </c>
      <c r="I45" s="260">
        <f t="shared" ca="1" si="8"/>
        <v>0</v>
      </c>
      <c r="J45" s="261">
        <f t="shared" ca="1" si="9"/>
        <v>0</v>
      </c>
      <c r="K45" s="261">
        <f t="shared" ca="1" si="10"/>
        <v>0</v>
      </c>
      <c r="L45" s="261">
        <f t="shared" ca="1" si="11"/>
        <v>0</v>
      </c>
      <c r="M45" s="261">
        <f t="shared" ca="1" si="12"/>
        <v>0</v>
      </c>
      <c r="N45" s="261">
        <f t="shared" ca="1" si="13"/>
        <v>2200</v>
      </c>
      <c r="O45" s="261">
        <f t="shared" ca="1" si="14"/>
        <v>0</v>
      </c>
      <c r="P45" s="262">
        <f t="shared" ca="1" si="15"/>
        <v>213</v>
      </c>
    </row>
    <row r="46" spans="1:16">
      <c r="A46" s="259" t="s">
        <v>262</v>
      </c>
      <c r="B46" s="278" t="str">
        <f t="shared" ca="1" si="1"/>
        <v>V2.5</v>
      </c>
      <c r="C46" s="261">
        <f t="shared" ca="1" si="2"/>
        <v>2159</v>
      </c>
      <c r="D46" s="261">
        <f t="shared" ca="1" si="3"/>
        <v>0</v>
      </c>
      <c r="E46" s="262">
        <f t="shared" ca="1" si="4"/>
        <v>0</v>
      </c>
      <c r="F46" s="261">
        <f t="shared" ca="1" si="5"/>
        <v>368</v>
      </c>
      <c r="G46" s="261">
        <f t="shared" ca="1" si="6"/>
        <v>0</v>
      </c>
      <c r="H46" s="262">
        <f t="shared" ca="1" si="7"/>
        <v>0</v>
      </c>
      <c r="I46" s="260">
        <f t="shared" ca="1" si="8"/>
        <v>0</v>
      </c>
      <c r="J46" s="261">
        <f t="shared" ca="1" si="9"/>
        <v>0</v>
      </c>
      <c r="K46" s="261">
        <f t="shared" ca="1" si="10"/>
        <v>0</v>
      </c>
      <c r="L46" s="261">
        <f t="shared" ca="1" si="11"/>
        <v>2527</v>
      </c>
      <c r="M46" s="261">
        <f t="shared" ca="1" si="12"/>
        <v>0</v>
      </c>
      <c r="N46" s="261">
        <f t="shared" ca="1" si="13"/>
        <v>0</v>
      </c>
      <c r="O46" s="261">
        <f t="shared" ca="1" si="14"/>
        <v>0</v>
      </c>
      <c r="P46" s="262">
        <f t="shared" ca="1" si="15"/>
        <v>0</v>
      </c>
    </row>
    <row r="47" spans="1:16">
      <c r="A47" s="259" t="s">
        <v>266</v>
      </c>
      <c r="B47" s="278" t="str">
        <f t="shared" ca="1" si="1"/>
        <v>PL7</v>
      </c>
      <c r="C47" s="261">
        <f t="shared" ca="1" si="2"/>
        <v>0</v>
      </c>
      <c r="D47" s="261">
        <f t="shared" ca="1" si="3"/>
        <v>0</v>
      </c>
      <c r="E47" s="262">
        <f t="shared" ca="1" si="4"/>
        <v>0</v>
      </c>
      <c r="F47" s="261">
        <f t="shared" ca="1" si="5"/>
        <v>0</v>
      </c>
      <c r="G47" s="261">
        <f t="shared" ca="1" si="6"/>
        <v>0</v>
      </c>
      <c r="H47" s="262">
        <f t="shared" ca="1" si="7"/>
        <v>0</v>
      </c>
      <c r="I47" s="260">
        <f t="shared" ca="1" si="8"/>
        <v>0</v>
      </c>
      <c r="J47" s="261">
        <f t="shared" ca="1" si="9"/>
        <v>0</v>
      </c>
      <c r="K47" s="261">
        <f t="shared" ca="1" si="10"/>
        <v>0</v>
      </c>
      <c r="L47" s="261">
        <f t="shared" ca="1" si="11"/>
        <v>0</v>
      </c>
      <c r="M47" s="261">
        <f t="shared" ca="1" si="12"/>
        <v>0</v>
      </c>
      <c r="N47" s="261">
        <f t="shared" ca="1" si="13"/>
        <v>0</v>
      </c>
      <c r="O47" s="261">
        <f t="shared" ca="1" si="14"/>
        <v>0</v>
      </c>
      <c r="P47" s="262">
        <f t="shared" ca="1" si="15"/>
        <v>0</v>
      </c>
    </row>
    <row r="48" spans="1:16">
      <c r="A48" s="259" t="s">
        <v>268</v>
      </c>
      <c r="B48" s="278" t="str">
        <f t="shared" ca="1" si="1"/>
        <v>V2.5</v>
      </c>
      <c r="C48" s="261">
        <f t="shared" ca="1" si="2"/>
        <v>0</v>
      </c>
      <c r="D48" s="261">
        <f t="shared" ca="1" si="3"/>
        <v>0</v>
      </c>
      <c r="E48" s="262">
        <f t="shared" ca="1" si="4"/>
        <v>0</v>
      </c>
      <c r="F48" s="261">
        <f t="shared" ca="1" si="5"/>
        <v>0</v>
      </c>
      <c r="G48" s="261">
        <f t="shared" ca="1" si="6"/>
        <v>0</v>
      </c>
      <c r="H48" s="262">
        <f t="shared" ca="1" si="7"/>
        <v>0</v>
      </c>
      <c r="I48" s="260">
        <f t="shared" ca="1" si="8"/>
        <v>0</v>
      </c>
      <c r="J48" s="261">
        <f t="shared" ca="1" si="9"/>
        <v>0</v>
      </c>
      <c r="K48" s="261">
        <f t="shared" ca="1" si="10"/>
        <v>0</v>
      </c>
      <c r="L48" s="261">
        <f t="shared" ca="1" si="11"/>
        <v>0</v>
      </c>
      <c r="M48" s="261">
        <f t="shared" ca="1" si="12"/>
        <v>0</v>
      </c>
      <c r="N48" s="261">
        <f t="shared" ca="1" si="13"/>
        <v>0</v>
      </c>
      <c r="O48" s="261">
        <f t="shared" ca="1" si="14"/>
        <v>0</v>
      </c>
      <c r="P48" s="262">
        <f t="shared" ca="1" si="15"/>
        <v>0</v>
      </c>
    </row>
    <row r="49" spans="1:16">
      <c r="A49" s="259" t="s">
        <v>269</v>
      </c>
      <c r="B49" s="278" t="str">
        <f t="shared" ca="1" si="1"/>
        <v>P1</v>
      </c>
      <c r="C49" s="261">
        <f t="shared" ca="1" si="2"/>
        <v>0</v>
      </c>
      <c r="D49" s="261">
        <f t="shared" ca="1" si="3"/>
        <v>0</v>
      </c>
      <c r="E49" s="262">
        <f t="shared" ca="1" si="4"/>
        <v>0</v>
      </c>
      <c r="F49" s="261">
        <f t="shared" ca="1" si="5"/>
        <v>0</v>
      </c>
      <c r="G49" s="261">
        <f t="shared" ca="1" si="6"/>
        <v>0</v>
      </c>
      <c r="H49" s="262">
        <f t="shared" ca="1" si="7"/>
        <v>0</v>
      </c>
      <c r="I49" s="260">
        <f t="shared" ca="1" si="8"/>
        <v>0</v>
      </c>
      <c r="J49" s="261">
        <f t="shared" ca="1" si="9"/>
        <v>0</v>
      </c>
      <c r="K49" s="261">
        <f t="shared" ca="1" si="10"/>
        <v>0</v>
      </c>
      <c r="L49" s="261">
        <f t="shared" ca="1" si="11"/>
        <v>0</v>
      </c>
      <c r="M49" s="261">
        <f t="shared" ca="1" si="12"/>
        <v>0</v>
      </c>
      <c r="N49" s="261">
        <f t="shared" ca="1" si="13"/>
        <v>0</v>
      </c>
      <c r="O49" s="261">
        <f t="shared" ca="1" si="14"/>
        <v>0</v>
      </c>
      <c r="P49" s="262">
        <f t="shared" ca="1" si="15"/>
        <v>0</v>
      </c>
    </row>
    <row r="50" spans="1:16">
      <c r="A50" s="259" t="s">
        <v>273</v>
      </c>
      <c r="B50" s="278" t="str">
        <f t="shared" ca="1" si="1"/>
        <v>V25L30</v>
      </c>
      <c r="C50" s="261">
        <f t="shared" ca="1" si="2"/>
        <v>0</v>
      </c>
      <c r="D50" s="261">
        <f t="shared" ca="1" si="3"/>
        <v>0</v>
      </c>
      <c r="E50" s="262">
        <f t="shared" ca="1" si="4"/>
        <v>0</v>
      </c>
      <c r="F50" s="261">
        <f t="shared" ca="1" si="5"/>
        <v>0</v>
      </c>
      <c r="G50" s="261">
        <f t="shared" ca="1" si="6"/>
        <v>0</v>
      </c>
      <c r="H50" s="262">
        <f t="shared" ca="1" si="7"/>
        <v>0</v>
      </c>
      <c r="I50" s="260">
        <f t="shared" ca="1" si="8"/>
        <v>0</v>
      </c>
      <c r="J50" s="261">
        <f t="shared" ca="1" si="9"/>
        <v>0</v>
      </c>
      <c r="K50" s="261">
        <f t="shared" ca="1" si="10"/>
        <v>0</v>
      </c>
      <c r="L50" s="261">
        <f t="shared" ca="1" si="11"/>
        <v>0</v>
      </c>
      <c r="M50" s="261">
        <f t="shared" ca="1" si="12"/>
        <v>0</v>
      </c>
      <c r="N50" s="261">
        <f t="shared" ca="1" si="13"/>
        <v>0</v>
      </c>
      <c r="O50" s="261">
        <f t="shared" ca="1" si="14"/>
        <v>0</v>
      </c>
      <c r="P50" s="262">
        <f t="shared" ca="1" si="15"/>
        <v>0</v>
      </c>
    </row>
    <row r="51" spans="1:16">
      <c r="A51" s="259" t="s">
        <v>276</v>
      </c>
      <c r="B51" s="278">
        <f t="shared" ca="1" si="1"/>
        <v>305</v>
      </c>
      <c r="C51" s="261">
        <f t="shared" ca="1" si="2"/>
        <v>5090</v>
      </c>
      <c r="D51" s="261">
        <f t="shared" ca="1" si="3"/>
        <v>0</v>
      </c>
      <c r="E51" s="262">
        <f t="shared" ca="1" si="4"/>
        <v>0</v>
      </c>
      <c r="F51" s="261">
        <f t="shared" ca="1" si="5"/>
        <v>4449</v>
      </c>
      <c r="G51" s="261">
        <f t="shared" ca="1" si="6"/>
        <v>0</v>
      </c>
      <c r="H51" s="262">
        <f t="shared" ca="1" si="7"/>
        <v>0</v>
      </c>
      <c r="I51" s="260">
        <f t="shared" ca="1" si="8"/>
        <v>0</v>
      </c>
      <c r="J51" s="261">
        <f t="shared" ca="1" si="9"/>
        <v>0</v>
      </c>
      <c r="K51" s="261">
        <f t="shared" ca="1" si="10"/>
        <v>0</v>
      </c>
      <c r="L51" s="261">
        <f t="shared" ca="1" si="11"/>
        <v>0</v>
      </c>
      <c r="M51" s="261">
        <f t="shared" ca="1" si="12"/>
        <v>0</v>
      </c>
      <c r="N51" s="261">
        <f t="shared" ca="1" si="13"/>
        <v>9539</v>
      </c>
      <c r="O51" s="261">
        <f t="shared" ca="1" si="14"/>
        <v>0</v>
      </c>
      <c r="P51" s="262">
        <f t="shared" ca="1" si="15"/>
        <v>0</v>
      </c>
    </row>
    <row r="52" spans="1:16">
      <c r="A52" s="259" t="s">
        <v>278</v>
      </c>
      <c r="B52" s="278" t="str">
        <f t="shared" ca="1" si="1"/>
        <v>A23000</v>
      </c>
      <c r="C52" s="261">
        <f t="shared" ca="1" si="2"/>
        <v>0</v>
      </c>
      <c r="D52" s="261">
        <f t="shared" ca="1" si="3"/>
        <v>0</v>
      </c>
      <c r="E52" s="262">
        <f t="shared" ca="1" si="4"/>
        <v>0</v>
      </c>
      <c r="F52" s="261">
        <f t="shared" ca="1" si="5"/>
        <v>0</v>
      </c>
      <c r="G52" s="261">
        <f t="shared" ca="1" si="6"/>
        <v>0</v>
      </c>
      <c r="H52" s="262">
        <f t="shared" ca="1" si="7"/>
        <v>0</v>
      </c>
      <c r="I52" s="260">
        <f t="shared" ca="1" si="8"/>
        <v>0</v>
      </c>
      <c r="J52" s="261">
        <f t="shared" ca="1" si="9"/>
        <v>0</v>
      </c>
      <c r="K52" s="261">
        <f t="shared" ca="1" si="10"/>
        <v>0</v>
      </c>
      <c r="L52" s="261">
        <f t="shared" ca="1" si="11"/>
        <v>0</v>
      </c>
      <c r="M52" s="261">
        <f t="shared" ca="1" si="12"/>
        <v>0</v>
      </c>
      <c r="N52" s="261">
        <f t="shared" ca="1" si="13"/>
        <v>0</v>
      </c>
      <c r="O52" s="261">
        <f t="shared" ca="1" si="14"/>
        <v>0</v>
      </c>
      <c r="P52" s="262">
        <f t="shared" ca="1" si="15"/>
        <v>0</v>
      </c>
    </row>
    <row r="53" spans="1:16">
      <c r="A53" s="259" t="s">
        <v>281</v>
      </c>
      <c r="B53" s="278" t="str">
        <f t="shared" ca="1" si="1"/>
        <v>Y1 16S</v>
      </c>
      <c r="C53" s="261">
        <f t="shared" ca="1" si="2"/>
        <v>0</v>
      </c>
      <c r="D53" s="261">
        <f t="shared" ca="1" si="3"/>
        <v>0</v>
      </c>
      <c r="E53" s="262">
        <f t="shared" ca="1" si="4"/>
        <v>0</v>
      </c>
      <c r="F53" s="261">
        <f t="shared" ca="1" si="5"/>
        <v>0</v>
      </c>
      <c r="G53" s="261">
        <f t="shared" ca="1" si="6"/>
        <v>0</v>
      </c>
      <c r="H53" s="262">
        <f t="shared" ca="1" si="7"/>
        <v>0</v>
      </c>
      <c r="I53" s="260">
        <f t="shared" ca="1" si="8"/>
        <v>0</v>
      </c>
      <c r="J53" s="261">
        <f t="shared" ca="1" si="9"/>
        <v>0</v>
      </c>
      <c r="K53" s="261">
        <f t="shared" ca="1" si="10"/>
        <v>0</v>
      </c>
      <c r="L53" s="261">
        <f t="shared" ca="1" si="11"/>
        <v>0</v>
      </c>
      <c r="M53" s="261">
        <f t="shared" ca="1" si="12"/>
        <v>0</v>
      </c>
      <c r="N53" s="261">
        <f t="shared" ca="1" si="13"/>
        <v>0</v>
      </c>
      <c r="O53" s="261">
        <f t="shared" ca="1" si="14"/>
        <v>0</v>
      </c>
      <c r="P53" s="262">
        <f t="shared" ca="1" si="15"/>
        <v>0</v>
      </c>
    </row>
    <row r="54" spans="1:16">
      <c r="A54" s="259" t="s">
        <v>284</v>
      </c>
      <c r="B54" s="278">
        <f t="shared" ca="1" si="1"/>
        <v>378</v>
      </c>
      <c r="C54" s="261">
        <f t="shared" ca="1" si="2"/>
        <v>3334</v>
      </c>
      <c r="D54" s="261">
        <f t="shared" ca="1" si="3"/>
        <v>0</v>
      </c>
      <c r="E54" s="262">
        <f t="shared" ca="1" si="4"/>
        <v>0</v>
      </c>
      <c r="F54" s="261">
        <f t="shared" ca="1" si="5"/>
        <v>3379</v>
      </c>
      <c r="G54" s="261">
        <f t="shared" ca="1" si="6"/>
        <v>0</v>
      </c>
      <c r="H54" s="262">
        <f t="shared" ca="1" si="7"/>
        <v>0</v>
      </c>
      <c r="I54" s="260">
        <f t="shared" ca="1" si="8"/>
        <v>0</v>
      </c>
      <c r="J54" s="261">
        <f t="shared" ca="1" si="9"/>
        <v>0</v>
      </c>
      <c r="K54" s="261">
        <f t="shared" ca="1" si="10"/>
        <v>0</v>
      </c>
      <c r="L54" s="261">
        <f t="shared" ca="1" si="11"/>
        <v>0</v>
      </c>
      <c r="M54" s="261">
        <f t="shared" ca="1" si="12"/>
        <v>0</v>
      </c>
      <c r="N54" s="261">
        <f t="shared" ca="1" si="13"/>
        <v>6713</v>
      </c>
      <c r="O54" s="261">
        <f t="shared" ca="1" si="14"/>
        <v>0</v>
      </c>
      <c r="P54" s="262">
        <f t="shared" ca="1" si="15"/>
        <v>0</v>
      </c>
    </row>
    <row r="55" spans="1:16">
      <c r="A55" s="259" t="s">
        <v>286</v>
      </c>
      <c r="B55" s="278">
        <f t="shared" ca="1" si="1"/>
        <v>0</v>
      </c>
      <c r="C55" s="261">
        <f t="shared" ca="1" si="2"/>
        <v>0</v>
      </c>
      <c r="D55" s="261">
        <f t="shared" ca="1" si="3"/>
        <v>0</v>
      </c>
      <c r="E55" s="262">
        <f t="shared" ca="1" si="4"/>
        <v>0</v>
      </c>
      <c r="F55" s="261">
        <f t="shared" ca="1" si="5"/>
        <v>0</v>
      </c>
      <c r="G55" s="261">
        <f t="shared" ca="1" si="6"/>
        <v>0</v>
      </c>
      <c r="H55" s="262">
        <f t="shared" ca="1" si="7"/>
        <v>0</v>
      </c>
      <c r="I55" s="260">
        <f t="shared" ca="1" si="8"/>
        <v>0</v>
      </c>
      <c r="J55" s="261">
        <f t="shared" ca="1" si="9"/>
        <v>0</v>
      </c>
      <c r="K55" s="261">
        <f t="shared" ca="1" si="10"/>
        <v>0</v>
      </c>
      <c r="L55" s="261">
        <f t="shared" ca="1" si="11"/>
        <v>0</v>
      </c>
      <c r="M55" s="261">
        <f t="shared" ca="1" si="12"/>
        <v>0</v>
      </c>
      <c r="N55" s="261">
        <f t="shared" ca="1" si="13"/>
        <v>0</v>
      </c>
      <c r="O55" s="261">
        <f t="shared" ca="1" si="14"/>
        <v>0</v>
      </c>
      <c r="P55" s="262">
        <f t="shared" ca="1" si="15"/>
        <v>0</v>
      </c>
    </row>
    <row r="56" spans="1:16">
      <c r="A56" s="259" t="s">
        <v>287</v>
      </c>
      <c r="B56" s="278" t="str">
        <f t="shared" ca="1" si="1"/>
        <v>NUT4.5</v>
      </c>
      <c r="C56" s="261">
        <f t="shared" ca="1" si="2"/>
        <v>1060</v>
      </c>
      <c r="D56" s="261">
        <f t="shared" ca="1" si="3"/>
        <v>0</v>
      </c>
      <c r="E56" s="262">
        <f t="shared" ca="1" si="4"/>
        <v>0</v>
      </c>
      <c r="F56" s="261">
        <f t="shared" ca="1" si="5"/>
        <v>1123</v>
      </c>
      <c r="G56" s="261">
        <f t="shared" ca="1" si="6"/>
        <v>0</v>
      </c>
      <c r="H56" s="262">
        <f t="shared" ca="1" si="7"/>
        <v>0</v>
      </c>
      <c r="I56" s="260">
        <f t="shared" ca="1" si="8"/>
        <v>0</v>
      </c>
      <c r="J56" s="261">
        <f t="shared" ca="1" si="9"/>
        <v>0</v>
      </c>
      <c r="K56" s="261">
        <f t="shared" ca="1" si="10"/>
        <v>0</v>
      </c>
      <c r="L56" s="261">
        <f t="shared" ca="1" si="11"/>
        <v>2183</v>
      </c>
      <c r="M56" s="261">
        <f t="shared" ca="1" si="12"/>
        <v>0</v>
      </c>
      <c r="N56" s="261">
        <f t="shared" ca="1" si="13"/>
        <v>0</v>
      </c>
      <c r="O56" s="261">
        <f t="shared" ca="1" si="14"/>
        <v>0</v>
      </c>
      <c r="P56" s="262">
        <f t="shared" ca="1" si="15"/>
        <v>0</v>
      </c>
    </row>
    <row r="57" spans="1:16">
      <c r="A57" s="259" t="s">
        <v>290</v>
      </c>
      <c r="B57" s="278" t="str">
        <f t="shared" ca="1" si="1"/>
        <v>T5</v>
      </c>
      <c r="C57" s="261">
        <f t="shared" ca="1" si="2"/>
        <v>0</v>
      </c>
      <c r="D57" s="261">
        <f t="shared" ca="1" si="3"/>
        <v>0</v>
      </c>
      <c r="E57" s="262">
        <f t="shared" ca="1" si="4"/>
        <v>0</v>
      </c>
      <c r="F57" s="261">
        <f t="shared" ca="1" si="5"/>
        <v>0</v>
      </c>
      <c r="G57" s="261">
        <f t="shared" ca="1" si="6"/>
        <v>0</v>
      </c>
      <c r="H57" s="262">
        <f t="shared" ca="1" si="7"/>
        <v>0</v>
      </c>
      <c r="I57" s="260">
        <f t="shared" ca="1" si="8"/>
        <v>0</v>
      </c>
      <c r="J57" s="261">
        <f t="shared" ca="1" si="9"/>
        <v>0</v>
      </c>
      <c r="K57" s="261">
        <f t="shared" ca="1" si="10"/>
        <v>0</v>
      </c>
      <c r="L57" s="261">
        <f t="shared" ca="1" si="11"/>
        <v>0</v>
      </c>
      <c r="M57" s="261">
        <f t="shared" ca="1" si="12"/>
        <v>0</v>
      </c>
      <c r="N57" s="261">
        <f t="shared" ca="1" si="13"/>
        <v>0</v>
      </c>
      <c r="O57" s="261">
        <f t="shared" ca="1" si="14"/>
        <v>0</v>
      </c>
      <c r="P57" s="262">
        <f t="shared" ca="1" si="15"/>
        <v>0</v>
      </c>
    </row>
    <row r="58" spans="1:16">
      <c r="A58" s="259" t="s">
        <v>293</v>
      </c>
      <c r="B58" s="278" t="str">
        <f t="shared" ca="1" si="1"/>
        <v>B03</v>
      </c>
      <c r="C58" s="261">
        <f t="shared" ca="1" si="2"/>
        <v>0</v>
      </c>
      <c r="D58" s="261">
        <f t="shared" ca="1" si="3"/>
        <v>0</v>
      </c>
      <c r="E58" s="262">
        <f t="shared" ca="1" si="4"/>
        <v>0</v>
      </c>
      <c r="F58" s="261">
        <f t="shared" ca="1" si="5"/>
        <v>0</v>
      </c>
      <c r="G58" s="261">
        <f t="shared" ca="1" si="6"/>
        <v>0</v>
      </c>
      <c r="H58" s="262">
        <f t="shared" ca="1" si="7"/>
        <v>0</v>
      </c>
      <c r="I58" s="260">
        <f t="shared" ca="1" si="8"/>
        <v>0</v>
      </c>
      <c r="J58" s="261">
        <f t="shared" ca="1" si="9"/>
        <v>0</v>
      </c>
      <c r="K58" s="261">
        <f t="shared" ca="1" si="10"/>
        <v>0</v>
      </c>
      <c r="L58" s="261">
        <f t="shared" ca="1" si="11"/>
        <v>0</v>
      </c>
      <c r="M58" s="261">
        <f t="shared" ca="1" si="12"/>
        <v>0</v>
      </c>
      <c r="N58" s="261">
        <f t="shared" ca="1" si="13"/>
        <v>0</v>
      </c>
      <c r="O58" s="261">
        <f t="shared" ca="1" si="14"/>
        <v>0</v>
      </c>
      <c r="P58" s="262">
        <f t="shared" ca="1" si="15"/>
        <v>0</v>
      </c>
    </row>
    <row r="59" spans="1:16">
      <c r="A59" s="259" t="s">
        <v>296</v>
      </c>
      <c r="B59" s="278" t="str">
        <f t="shared" ca="1" si="1"/>
        <v>A4 92401</v>
      </c>
      <c r="C59" s="261">
        <f t="shared" ca="1" si="2"/>
        <v>0</v>
      </c>
      <c r="D59" s="261">
        <f t="shared" ca="1" si="3"/>
        <v>0</v>
      </c>
      <c r="E59" s="262">
        <f t="shared" ca="1" si="4"/>
        <v>0</v>
      </c>
      <c r="F59" s="261">
        <f t="shared" ca="1" si="5"/>
        <v>0</v>
      </c>
      <c r="G59" s="261">
        <f t="shared" ca="1" si="6"/>
        <v>0</v>
      </c>
      <c r="H59" s="262">
        <f t="shared" ca="1" si="7"/>
        <v>0</v>
      </c>
      <c r="I59" s="260">
        <f t="shared" ca="1" si="8"/>
        <v>0</v>
      </c>
      <c r="J59" s="261">
        <f t="shared" ca="1" si="9"/>
        <v>0</v>
      </c>
      <c r="K59" s="261">
        <f t="shared" ca="1" si="10"/>
        <v>0</v>
      </c>
      <c r="L59" s="261">
        <f t="shared" ca="1" si="11"/>
        <v>0</v>
      </c>
      <c r="M59" s="261">
        <f t="shared" ca="1" si="12"/>
        <v>0</v>
      </c>
      <c r="N59" s="261">
        <f t="shared" ca="1" si="13"/>
        <v>0</v>
      </c>
      <c r="O59" s="261">
        <f t="shared" ca="1" si="14"/>
        <v>0</v>
      </c>
      <c r="P59" s="262">
        <f t="shared" ca="1" si="15"/>
        <v>0</v>
      </c>
    </row>
    <row r="60" spans="1:16">
      <c r="A60" s="259" t="s">
        <v>300</v>
      </c>
      <c r="B60" s="278" t="str">
        <f t="shared" ca="1" si="1"/>
        <v>Ốc đồng</v>
      </c>
      <c r="C60" s="261">
        <f t="shared" ca="1" si="2"/>
        <v>4773</v>
      </c>
      <c r="D60" s="261">
        <f t="shared" ca="1" si="3"/>
        <v>0</v>
      </c>
      <c r="E60" s="262">
        <f t="shared" ca="1" si="4"/>
        <v>0</v>
      </c>
      <c r="F60" s="261">
        <f t="shared" ca="1" si="5"/>
        <v>4720</v>
      </c>
      <c r="G60" s="261">
        <f t="shared" ca="1" si="6"/>
        <v>0</v>
      </c>
      <c r="H60" s="262">
        <f t="shared" ca="1" si="7"/>
        <v>0</v>
      </c>
      <c r="I60" s="260">
        <f t="shared" ca="1" si="8"/>
        <v>0</v>
      </c>
      <c r="J60" s="261">
        <f t="shared" ca="1" si="9"/>
        <v>0</v>
      </c>
      <c r="K60" s="261">
        <f t="shared" ca="1" si="10"/>
        <v>0</v>
      </c>
      <c r="L60" s="261">
        <f t="shared" ca="1" si="11"/>
        <v>0</v>
      </c>
      <c r="M60" s="261">
        <f t="shared" ca="1" si="12"/>
        <v>0</v>
      </c>
      <c r="N60" s="261">
        <f t="shared" ca="1" si="13"/>
        <v>9493</v>
      </c>
      <c r="O60" s="261">
        <f t="shared" ca="1" si="14"/>
        <v>0</v>
      </c>
      <c r="P60" s="262">
        <f t="shared" ca="1" si="15"/>
        <v>0</v>
      </c>
    </row>
    <row r="61" spans="1:16">
      <c r="A61" s="259" t="s">
        <v>303</v>
      </c>
      <c r="B61" s="278" t="str">
        <f t="shared" ca="1" si="1"/>
        <v>A5 0803</v>
      </c>
      <c r="C61" s="261">
        <f t="shared" ca="1" si="2"/>
        <v>0</v>
      </c>
      <c r="D61" s="261">
        <f t="shared" ca="1" si="3"/>
        <v>0</v>
      </c>
      <c r="E61" s="262">
        <f t="shared" ca="1" si="4"/>
        <v>0</v>
      </c>
      <c r="F61" s="261">
        <f t="shared" ca="1" si="5"/>
        <v>0</v>
      </c>
      <c r="G61" s="261">
        <f t="shared" ca="1" si="6"/>
        <v>0</v>
      </c>
      <c r="H61" s="262">
        <f t="shared" ca="1" si="7"/>
        <v>0</v>
      </c>
      <c r="I61" s="260">
        <f t="shared" ca="1" si="8"/>
        <v>0</v>
      </c>
      <c r="J61" s="261">
        <f t="shared" ca="1" si="9"/>
        <v>0</v>
      </c>
      <c r="K61" s="261">
        <f t="shared" ca="1" si="10"/>
        <v>0</v>
      </c>
      <c r="L61" s="261">
        <f t="shared" ca="1" si="11"/>
        <v>0</v>
      </c>
      <c r="M61" s="261">
        <f t="shared" ca="1" si="12"/>
        <v>0</v>
      </c>
      <c r="N61" s="261">
        <f t="shared" ca="1" si="13"/>
        <v>0</v>
      </c>
      <c r="O61" s="261">
        <f t="shared" ca="1" si="14"/>
        <v>0</v>
      </c>
      <c r="P61" s="262">
        <f t="shared" ca="1" si="15"/>
        <v>0</v>
      </c>
    </row>
    <row r="62" spans="1:16">
      <c r="A62" s="259" t="s">
        <v>307</v>
      </c>
      <c r="B62" s="278" t="str">
        <f t="shared" ca="1" si="1"/>
        <v>F3 105A</v>
      </c>
      <c r="C62" s="261">
        <f t="shared" ca="1" si="2"/>
        <v>1466</v>
      </c>
      <c r="D62" s="261">
        <f t="shared" ca="1" si="3"/>
        <v>0</v>
      </c>
      <c r="E62" s="262">
        <f t="shared" ca="1" si="4"/>
        <v>0</v>
      </c>
      <c r="F62" s="261">
        <f t="shared" ca="1" si="5"/>
        <v>1467</v>
      </c>
      <c r="G62" s="261">
        <f t="shared" ca="1" si="6"/>
        <v>0</v>
      </c>
      <c r="H62" s="262">
        <f t="shared" ca="1" si="7"/>
        <v>33</v>
      </c>
      <c r="I62" s="260">
        <f t="shared" ca="1" si="8"/>
        <v>0</v>
      </c>
      <c r="J62" s="261">
        <f t="shared" ca="1" si="9"/>
        <v>0</v>
      </c>
      <c r="K62" s="261">
        <f t="shared" ca="1" si="10"/>
        <v>0</v>
      </c>
      <c r="L62" s="261">
        <f t="shared" ca="1" si="11"/>
        <v>0</v>
      </c>
      <c r="M62" s="261">
        <f t="shared" ca="1" si="12"/>
        <v>0</v>
      </c>
      <c r="N62" s="261">
        <f t="shared" ca="1" si="13"/>
        <v>2933</v>
      </c>
      <c r="O62" s="261">
        <f t="shared" ca="1" si="14"/>
        <v>0</v>
      </c>
      <c r="P62" s="262">
        <f t="shared" ca="1" si="15"/>
        <v>33</v>
      </c>
    </row>
    <row r="63" spans="1:16">
      <c r="A63" s="259" t="s">
        <v>309</v>
      </c>
      <c r="B63" s="278" t="str">
        <f t="shared" ca="1" si="1"/>
        <v>H2 233</v>
      </c>
      <c r="C63" s="261">
        <f t="shared" ca="1" si="2"/>
        <v>0</v>
      </c>
      <c r="D63" s="261">
        <f t="shared" ca="1" si="3"/>
        <v>0</v>
      </c>
      <c r="E63" s="262">
        <f t="shared" ca="1" si="4"/>
        <v>0</v>
      </c>
      <c r="F63" s="261">
        <f t="shared" ca="1" si="5"/>
        <v>0</v>
      </c>
      <c r="G63" s="261">
        <f t="shared" ca="1" si="6"/>
        <v>0</v>
      </c>
      <c r="H63" s="262">
        <f t="shared" ca="1" si="7"/>
        <v>0</v>
      </c>
      <c r="I63" s="260">
        <f t="shared" ca="1" si="8"/>
        <v>0</v>
      </c>
      <c r="J63" s="261">
        <f t="shared" ca="1" si="9"/>
        <v>0</v>
      </c>
      <c r="K63" s="261">
        <f t="shared" ca="1" si="10"/>
        <v>0</v>
      </c>
      <c r="L63" s="261">
        <f t="shared" ca="1" si="11"/>
        <v>0</v>
      </c>
      <c r="M63" s="261">
        <f t="shared" ca="1" si="12"/>
        <v>0</v>
      </c>
      <c r="N63" s="261">
        <f t="shared" ca="1" si="13"/>
        <v>0</v>
      </c>
      <c r="O63" s="261">
        <f t="shared" ca="1" si="14"/>
        <v>0</v>
      </c>
      <c r="P63" s="262">
        <f t="shared" ca="1" si="15"/>
        <v>0</v>
      </c>
    </row>
    <row r="64" spans="1:16">
      <c r="A64" s="259" t="s">
        <v>311</v>
      </c>
      <c r="B64" s="278" t="str">
        <f t="shared" ca="1" si="1"/>
        <v>Y1 6800</v>
      </c>
      <c r="C64" s="261">
        <f t="shared" ca="1" si="2"/>
        <v>5474</v>
      </c>
      <c r="D64" s="261">
        <f t="shared" ca="1" si="3"/>
        <v>0</v>
      </c>
      <c r="E64" s="262">
        <f t="shared" ca="1" si="4"/>
        <v>0</v>
      </c>
      <c r="F64" s="261">
        <f t="shared" ca="1" si="5"/>
        <v>4526</v>
      </c>
      <c r="G64" s="261">
        <f t="shared" ca="1" si="6"/>
        <v>0</v>
      </c>
      <c r="H64" s="262">
        <f t="shared" ca="1" si="7"/>
        <v>0</v>
      </c>
      <c r="I64" s="260">
        <f t="shared" ca="1" si="8"/>
        <v>0</v>
      </c>
      <c r="J64" s="261">
        <f t="shared" ca="1" si="9"/>
        <v>0</v>
      </c>
      <c r="K64" s="261">
        <f t="shared" ca="1" si="10"/>
        <v>0</v>
      </c>
      <c r="L64" s="261">
        <f t="shared" ca="1" si="11"/>
        <v>0</v>
      </c>
      <c r="M64" s="261">
        <f t="shared" ca="1" si="12"/>
        <v>0</v>
      </c>
      <c r="N64" s="261">
        <f t="shared" ca="1" si="13"/>
        <v>10000</v>
      </c>
      <c r="O64" s="261">
        <f t="shared" ca="1" si="14"/>
        <v>0</v>
      </c>
      <c r="P64" s="262">
        <f t="shared" ca="1" si="15"/>
        <v>0</v>
      </c>
    </row>
    <row r="65" spans="1:16">
      <c r="A65" s="259" t="s">
        <v>314</v>
      </c>
      <c r="B65" s="278" t="str">
        <f t="shared" ca="1" si="1"/>
        <v>F3 105A</v>
      </c>
      <c r="C65" s="261">
        <f t="shared" ca="1" si="2"/>
        <v>800</v>
      </c>
      <c r="D65" s="261">
        <f t="shared" ca="1" si="3"/>
        <v>0</v>
      </c>
      <c r="E65" s="262">
        <f t="shared" ca="1" si="4"/>
        <v>0</v>
      </c>
      <c r="F65" s="261">
        <f t="shared" ca="1" si="5"/>
        <v>1466</v>
      </c>
      <c r="G65" s="261">
        <f t="shared" ca="1" si="6"/>
        <v>0</v>
      </c>
      <c r="H65" s="262">
        <f t="shared" ca="1" si="7"/>
        <v>0</v>
      </c>
      <c r="I65" s="260">
        <f t="shared" ca="1" si="8"/>
        <v>0</v>
      </c>
      <c r="J65" s="261">
        <f t="shared" ca="1" si="9"/>
        <v>0</v>
      </c>
      <c r="K65" s="261">
        <f t="shared" ca="1" si="10"/>
        <v>0</v>
      </c>
      <c r="L65" s="261">
        <f t="shared" ca="1" si="11"/>
        <v>0</v>
      </c>
      <c r="M65" s="261">
        <f t="shared" ca="1" si="12"/>
        <v>0</v>
      </c>
      <c r="N65" s="261">
        <f t="shared" ca="1" si="13"/>
        <v>2266</v>
      </c>
      <c r="O65" s="261">
        <f t="shared" ca="1" si="14"/>
        <v>0</v>
      </c>
      <c r="P65" s="262">
        <f t="shared" ca="1" si="15"/>
        <v>0</v>
      </c>
    </row>
    <row r="66" spans="1:16">
      <c r="A66" s="259" t="s">
        <v>316</v>
      </c>
      <c r="B66" s="278" t="str">
        <f t="shared" ca="1" si="1"/>
        <v>3201</v>
      </c>
      <c r="C66" s="261">
        <f t="shared" ca="1" si="2"/>
        <v>0</v>
      </c>
      <c r="D66" s="261">
        <f t="shared" ca="1" si="3"/>
        <v>0</v>
      </c>
      <c r="E66" s="262">
        <f t="shared" ca="1" si="4"/>
        <v>0</v>
      </c>
      <c r="F66" s="261">
        <f t="shared" ca="1" si="5"/>
        <v>0</v>
      </c>
      <c r="G66" s="261">
        <f t="shared" ca="1" si="6"/>
        <v>0</v>
      </c>
      <c r="H66" s="262">
        <f t="shared" ca="1" si="7"/>
        <v>0</v>
      </c>
      <c r="I66" s="260">
        <f t="shared" ca="1" si="8"/>
        <v>0</v>
      </c>
      <c r="J66" s="261">
        <f t="shared" ca="1" si="9"/>
        <v>0</v>
      </c>
      <c r="K66" s="261">
        <f t="shared" ca="1" si="10"/>
        <v>0</v>
      </c>
      <c r="L66" s="261">
        <f t="shared" ca="1" si="11"/>
        <v>0</v>
      </c>
      <c r="M66" s="261">
        <f t="shared" ca="1" si="12"/>
        <v>0</v>
      </c>
      <c r="N66" s="261">
        <f t="shared" ca="1" si="13"/>
        <v>0</v>
      </c>
      <c r="O66" s="261">
        <f t="shared" ca="1" si="14"/>
        <v>0</v>
      </c>
      <c r="P66" s="262">
        <f t="shared" ca="1" si="15"/>
        <v>0</v>
      </c>
    </row>
    <row r="67" spans="1:16">
      <c r="A67" s="259" t="s">
        <v>319</v>
      </c>
      <c r="B67" s="278" t="str">
        <f t="shared" ca="1" si="1"/>
        <v>S12 584</v>
      </c>
      <c r="C67" s="261">
        <f t="shared" ca="1" si="2"/>
        <v>0</v>
      </c>
      <c r="D67" s="261">
        <f t="shared" ca="1" si="3"/>
        <v>0</v>
      </c>
      <c r="E67" s="262">
        <f t="shared" ca="1" si="4"/>
        <v>0</v>
      </c>
      <c r="F67" s="261">
        <f t="shared" ca="1" si="5"/>
        <v>1223</v>
      </c>
      <c r="G67" s="261">
        <f t="shared" ca="1" si="6"/>
        <v>0</v>
      </c>
      <c r="H67" s="262">
        <f t="shared" ca="1" si="7"/>
        <v>0</v>
      </c>
      <c r="I67" s="260">
        <f t="shared" ca="1" si="8"/>
        <v>0</v>
      </c>
      <c r="J67" s="261">
        <f t="shared" ca="1" si="9"/>
        <v>1223</v>
      </c>
      <c r="K67" s="261">
        <f t="shared" ca="1" si="10"/>
        <v>0</v>
      </c>
      <c r="L67" s="261">
        <f t="shared" ca="1" si="11"/>
        <v>0</v>
      </c>
      <c r="M67" s="261">
        <f t="shared" ca="1" si="12"/>
        <v>0</v>
      </c>
      <c r="N67" s="261">
        <f t="shared" ca="1" si="13"/>
        <v>0</v>
      </c>
      <c r="O67" s="261">
        <f t="shared" ca="1" si="14"/>
        <v>0</v>
      </c>
      <c r="P67" s="262">
        <f t="shared" ca="1" si="15"/>
        <v>0</v>
      </c>
    </row>
    <row r="68" spans="1:16">
      <c r="A68" s="259" t="s">
        <v>320</v>
      </c>
      <c r="B68" s="278" t="str">
        <f t="shared" ca="1" si="1"/>
        <v>Y1 7034</v>
      </c>
      <c r="C68" s="261">
        <f t="shared" ca="1" si="2"/>
        <v>0</v>
      </c>
      <c r="D68" s="261">
        <f t="shared" ca="1" si="3"/>
        <v>0</v>
      </c>
      <c r="E68" s="262">
        <f t="shared" ca="1" si="4"/>
        <v>0</v>
      </c>
      <c r="F68" s="261">
        <f t="shared" ca="1" si="5"/>
        <v>0</v>
      </c>
      <c r="G68" s="261">
        <f t="shared" ca="1" si="6"/>
        <v>0</v>
      </c>
      <c r="H68" s="262">
        <f t="shared" ca="1" si="7"/>
        <v>0</v>
      </c>
      <c r="I68" s="260">
        <f t="shared" ca="1" si="8"/>
        <v>0</v>
      </c>
      <c r="J68" s="261">
        <f t="shared" ca="1" si="9"/>
        <v>0</v>
      </c>
      <c r="K68" s="261">
        <f t="shared" ca="1" si="10"/>
        <v>0</v>
      </c>
      <c r="L68" s="261">
        <f t="shared" ca="1" si="11"/>
        <v>0</v>
      </c>
      <c r="M68" s="261">
        <f t="shared" ca="1" si="12"/>
        <v>0</v>
      </c>
      <c r="N68" s="261">
        <f t="shared" ca="1" si="13"/>
        <v>0</v>
      </c>
      <c r="O68" s="261">
        <f t="shared" ca="1" si="14"/>
        <v>0</v>
      </c>
      <c r="P68" s="262">
        <f t="shared" ca="1" si="15"/>
        <v>0</v>
      </c>
    </row>
    <row r="69" spans="1:16">
      <c r="A69" s="259" t="s">
        <v>323</v>
      </c>
      <c r="B69" s="278" t="str">
        <f t="shared" ref="B69:B102" ca="1" si="16">VLOOKUP($A69,INDIRECT(CONCATENATE("'",$A$1,"'!$B$8:$D$1000")),3,0)</f>
        <v>F3 105A</v>
      </c>
      <c r="C69" s="261">
        <f t="shared" ref="C69:C102" ca="1" si="17">VLOOKUP($A69,INDIRECT(CONCATENATE("'",$A$1,"'!$B$8:$CQ$1000")),94,0)</f>
        <v>733</v>
      </c>
      <c r="D69" s="261">
        <f t="shared" ref="D69:D102" ca="1" si="18">VLOOKUP($A69,INDIRECT(CONCATENATE("'",$A$1,"'!$B$8:$CR$1000")),95,0)</f>
        <v>0</v>
      </c>
      <c r="E69" s="262">
        <f t="shared" ref="E69:E102" ca="1" si="19">VLOOKUP($A69,INDIRECT(CONCATENATE("'",$A$1,"'!$B$8:$CS$1000")),96,0)</f>
        <v>33</v>
      </c>
      <c r="F69" s="261">
        <f t="shared" ref="F69:F102" ca="1" si="20">VLOOKUP($A69,INDIRECT(CONCATENATE("'",$A$1,"'!$B$8:$CT$1000")),97,0)</f>
        <v>333</v>
      </c>
      <c r="G69" s="261">
        <f t="shared" ref="G69:G102" ca="1" si="21">VLOOKUP($A69,INDIRECT(CONCATENATE("'",$A$1,"'!$B$8:$CU$1000")),98,0)</f>
        <v>0</v>
      </c>
      <c r="H69" s="262">
        <f t="shared" ref="H69:H102" ca="1" si="22">VLOOKUP($A69,INDIRECT(CONCATENATE("'",$A$1,"'!$B$8:$CV$1000")),99,0)</f>
        <v>0</v>
      </c>
      <c r="I69" s="260">
        <f t="shared" ref="I69:I102" ca="1" si="23">VLOOKUP($A69,INDIRECT(CONCATENATE("'",$A$1,"'!$B$8:$W$1000")),22,0)</f>
        <v>0</v>
      </c>
      <c r="J69" s="261">
        <f t="shared" ref="J69:J102" ca="1" si="24">VLOOKUP($A69,INDIRECT(CONCATENATE("'",$A$1,"'!$B$8:$X$1000")),23,0)</f>
        <v>0</v>
      </c>
      <c r="K69" s="261">
        <f t="shared" ref="K69:K102" ca="1" si="25">VLOOKUP($A69,INDIRECT(CONCATENATE("'",$A$1,"'!$B$8:$Y$1000")),24,0)</f>
        <v>0</v>
      </c>
      <c r="L69" s="261">
        <f t="shared" ref="L69:L102" ca="1" si="26">VLOOKUP($A69,INDIRECT(CONCATENATE("'",$A$1,"'!$B$8:$Z$1000")),25,0)</f>
        <v>0</v>
      </c>
      <c r="M69" s="261">
        <f t="shared" ref="M69:M102" ca="1" si="27">VLOOKUP($A69,INDIRECT(CONCATENATE("'",$A$1,"'!$B$8:$AA$1000")),26,0)</f>
        <v>0</v>
      </c>
      <c r="N69" s="261">
        <f t="shared" ref="N69:N102" ca="1" si="28">VLOOKUP($A69,INDIRECT(CONCATENATE("'",$A$1,"'!$B$8:$AB$1000")),27,0)</f>
        <v>1066</v>
      </c>
      <c r="O69" s="261">
        <f t="shared" ref="O69:O102" ca="1" si="29">VLOOKUP($A69,INDIRECT(CONCATENATE("'",$A$1,"'!$B$8:$AC$1000")),28,0)</f>
        <v>0</v>
      </c>
      <c r="P69" s="262">
        <f t="shared" ref="P69:P102" ca="1" si="30">VLOOKUP($A69,INDIRECT(CONCATENATE("'",$A$1,"'!$B$8:$AD$1000")),29,0)</f>
        <v>33</v>
      </c>
    </row>
    <row r="70" spans="1:16">
      <c r="A70" s="259" t="s">
        <v>325</v>
      </c>
      <c r="B70" s="278" t="str">
        <f t="shared" ca="1" si="16"/>
        <v>1401G</v>
      </c>
      <c r="C70" s="261">
        <f t="shared" ca="1" si="17"/>
        <v>1815</v>
      </c>
      <c r="D70" s="261">
        <f t="shared" ca="1" si="18"/>
        <v>0</v>
      </c>
      <c r="E70" s="262">
        <f t="shared" ca="1" si="19"/>
        <v>0</v>
      </c>
      <c r="F70" s="261">
        <f t="shared" ca="1" si="20"/>
        <v>1871</v>
      </c>
      <c r="G70" s="261">
        <f t="shared" ca="1" si="21"/>
        <v>0</v>
      </c>
      <c r="H70" s="262">
        <f t="shared" ca="1" si="22"/>
        <v>0</v>
      </c>
      <c r="I70" s="260">
        <f t="shared" ca="1" si="23"/>
        <v>0</v>
      </c>
      <c r="J70" s="261">
        <f t="shared" ca="1" si="24"/>
        <v>3686</v>
      </c>
      <c r="K70" s="261">
        <f t="shared" ca="1" si="25"/>
        <v>0</v>
      </c>
      <c r="L70" s="261">
        <f t="shared" ca="1" si="26"/>
        <v>0</v>
      </c>
      <c r="M70" s="261">
        <f t="shared" ca="1" si="27"/>
        <v>0</v>
      </c>
      <c r="N70" s="261">
        <f t="shared" ca="1" si="28"/>
        <v>0</v>
      </c>
      <c r="O70" s="261">
        <f t="shared" ca="1" si="29"/>
        <v>0</v>
      </c>
      <c r="P70" s="262">
        <f t="shared" ca="1" si="30"/>
        <v>0</v>
      </c>
    </row>
    <row r="71" spans="1:16">
      <c r="A71" s="259" t="s">
        <v>329</v>
      </c>
      <c r="B71" s="278" t="str">
        <f t="shared" ca="1" si="16"/>
        <v>A4 1401</v>
      </c>
      <c r="C71" s="261">
        <f t="shared" ca="1" si="17"/>
        <v>0</v>
      </c>
      <c r="D71" s="261">
        <f t="shared" ca="1" si="18"/>
        <v>0</v>
      </c>
      <c r="E71" s="262">
        <f t="shared" ca="1" si="19"/>
        <v>0</v>
      </c>
      <c r="F71" s="261">
        <f t="shared" ca="1" si="20"/>
        <v>0</v>
      </c>
      <c r="G71" s="261">
        <f t="shared" ca="1" si="21"/>
        <v>0</v>
      </c>
      <c r="H71" s="262">
        <f t="shared" ca="1" si="22"/>
        <v>0</v>
      </c>
      <c r="I71" s="260">
        <f t="shared" ca="1" si="23"/>
        <v>0</v>
      </c>
      <c r="J71" s="261">
        <f t="shared" ca="1" si="24"/>
        <v>0</v>
      </c>
      <c r="K71" s="261">
        <f t="shared" ca="1" si="25"/>
        <v>0</v>
      </c>
      <c r="L71" s="261">
        <f t="shared" ca="1" si="26"/>
        <v>0</v>
      </c>
      <c r="M71" s="261">
        <f t="shared" ca="1" si="27"/>
        <v>0</v>
      </c>
      <c r="N71" s="261">
        <f t="shared" ca="1" si="28"/>
        <v>0</v>
      </c>
      <c r="O71" s="261">
        <f t="shared" ca="1" si="29"/>
        <v>0</v>
      </c>
      <c r="P71" s="262">
        <f t="shared" ca="1" si="30"/>
        <v>0</v>
      </c>
    </row>
    <row r="72" spans="1:16">
      <c r="A72" s="259" t="s">
        <v>332</v>
      </c>
      <c r="B72" s="278" t="str">
        <f t="shared" ca="1" si="16"/>
        <v>F3 105A</v>
      </c>
      <c r="C72" s="261">
        <f t="shared" ca="1" si="17"/>
        <v>1000</v>
      </c>
      <c r="D72" s="261">
        <f t="shared" ca="1" si="18"/>
        <v>0</v>
      </c>
      <c r="E72" s="262">
        <f t="shared" ca="1" si="19"/>
        <v>0</v>
      </c>
      <c r="F72" s="261">
        <f t="shared" ca="1" si="20"/>
        <v>1753</v>
      </c>
      <c r="G72" s="261">
        <f t="shared" ca="1" si="21"/>
        <v>0</v>
      </c>
      <c r="H72" s="262">
        <f t="shared" ca="1" si="22"/>
        <v>0</v>
      </c>
      <c r="I72" s="260">
        <f t="shared" ca="1" si="23"/>
        <v>0</v>
      </c>
      <c r="J72" s="261">
        <f t="shared" ca="1" si="24"/>
        <v>0</v>
      </c>
      <c r="K72" s="261">
        <f t="shared" ca="1" si="25"/>
        <v>0</v>
      </c>
      <c r="L72" s="261">
        <f t="shared" ca="1" si="26"/>
        <v>0</v>
      </c>
      <c r="M72" s="261">
        <f t="shared" ca="1" si="27"/>
        <v>0</v>
      </c>
      <c r="N72" s="261">
        <f t="shared" ca="1" si="28"/>
        <v>2753</v>
      </c>
      <c r="O72" s="261">
        <f t="shared" ca="1" si="29"/>
        <v>0</v>
      </c>
      <c r="P72" s="262">
        <f t="shared" ca="1" si="30"/>
        <v>0</v>
      </c>
    </row>
    <row r="73" spans="1:16">
      <c r="A73" s="259" t="s">
        <v>334</v>
      </c>
      <c r="B73" s="278" t="str">
        <f t="shared" ca="1" si="16"/>
        <v>F3 105A</v>
      </c>
      <c r="C73" s="261">
        <f t="shared" ca="1" si="17"/>
        <v>1533</v>
      </c>
      <c r="D73" s="261">
        <f t="shared" ca="1" si="18"/>
        <v>0</v>
      </c>
      <c r="E73" s="262">
        <f t="shared" ca="1" si="19"/>
        <v>0</v>
      </c>
      <c r="F73" s="261">
        <f t="shared" ca="1" si="20"/>
        <v>1467</v>
      </c>
      <c r="G73" s="261">
        <f t="shared" ca="1" si="21"/>
        <v>0</v>
      </c>
      <c r="H73" s="262">
        <f t="shared" ca="1" si="22"/>
        <v>0</v>
      </c>
      <c r="I73" s="260">
        <f t="shared" ca="1" si="23"/>
        <v>0</v>
      </c>
      <c r="J73" s="261">
        <f t="shared" ca="1" si="24"/>
        <v>0</v>
      </c>
      <c r="K73" s="261">
        <f t="shared" ca="1" si="25"/>
        <v>0</v>
      </c>
      <c r="L73" s="261">
        <f t="shared" ca="1" si="26"/>
        <v>0</v>
      </c>
      <c r="M73" s="261">
        <f t="shared" ca="1" si="27"/>
        <v>0</v>
      </c>
      <c r="N73" s="261">
        <f t="shared" ca="1" si="28"/>
        <v>3000</v>
      </c>
      <c r="O73" s="261">
        <f t="shared" ca="1" si="29"/>
        <v>0</v>
      </c>
      <c r="P73" s="262">
        <f t="shared" ca="1" si="30"/>
        <v>0</v>
      </c>
    </row>
    <row r="74" spans="1:16">
      <c r="A74" s="259" t="s">
        <v>336</v>
      </c>
      <c r="B74" s="278" t="str">
        <f t="shared" ca="1" si="16"/>
        <v>GN59100</v>
      </c>
      <c r="C74" s="261">
        <f t="shared" ca="1" si="17"/>
        <v>3714</v>
      </c>
      <c r="D74" s="261">
        <f t="shared" ca="1" si="18"/>
        <v>0</v>
      </c>
      <c r="E74" s="262">
        <f t="shared" ca="1" si="19"/>
        <v>0</v>
      </c>
      <c r="F74" s="261">
        <f t="shared" ca="1" si="20"/>
        <v>0</v>
      </c>
      <c r="G74" s="261">
        <f t="shared" ca="1" si="21"/>
        <v>0</v>
      </c>
      <c r="H74" s="262">
        <f t="shared" ca="1" si="22"/>
        <v>0</v>
      </c>
      <c r="I74" s="260">
        <f t="shared" ca="1" si="23"/>
        <v>0</v>
      </c>
      <c r="J74" s="261">
        <f t="shared" ca="1" si="24"/>
        <v>0</v>
      </c>
      <c r="K74" s="261">
        <f t="shared" ca="1" si="25"/>
        <v>0</v>
      </c>
      <c r="L74" s="261">
        <f t="shared" ca="1" si="26"/>
        <v>3714</v>
      </c>
      <c r="M74" s="261">
        <f t="shared" ca="1" si="27"/>
        <v>0</v>
      </c>
      <c r="N74" s="261">
        <f t="shared" ca="1" si="28"/>
        <v>0</v>
      </c>
      <c r="O74" s="261">
        <f t="shared" ca="1" si="29"/>
        <v>0</v>
      </c>
      <c r="P74" s="262">
        <f t="shared" ca="1" si="30"/>
        <v>0</v>
      </c>
    </row>
    <row r="75" spans="1:16">
      <c r="A75" s="259" t="s">
        <v>341</v>
      </c>
      <c r="B75" s="278" t="str">
        <f t="shared" ca="1" si="16"/>
        <v>A2 0100</v>
      </c>
      <c r="C75" s="261">
        <f t="shared" ca="1" si="17"/>
        <v>0</v>
      </c>
      <c r="D75" s="261">
        <f t="shared" ca="1" si="18"/>
        <v>0</v>
      </c>
      <c r="E75" s="262">
        <f t="shared" ca="1" si="19"/>
        <v>0</v>
      </c>
      <c r="F75" s="261">
        <f t="shared" ca="1" si="20"/>
        <v>0</v>
      </c>
      <c r="G75" s="261">
        <f t="shared" ca="1" si="21"/>
        <v>0</v>
      </c>
      <c r="H75" s="262">
        <f t="shared" ca="1" si="22"/>
        <v>0</v>
      </c>
      <c r="I75" s="260">
        <f t="shared" ca="1" si="23"/>
        <v>0</v>
      </c>
      <c r="J75" s="261">
        <f t="shared" ca="1" si="24"/>
        <v>0</v>
      </c>
      <c r="K75" s="261">
        <f t="shared" ca="1" si="25"/>
        <v>0</v>
      </c>
      <c r="L75" s="261">
        <f t="shared" ca="1" si="26"/>
        <v>0</v>
      </c>
      <c r="M75" s="261">
        <f t="shared" ca="1" si="27"/>
        <v>0</v>
      </c>
      <c r="N75" s="261">
        <f t="shared" ca="1" si="28"/>
        <v>0</v>
      </c>
      <c r="O75" s="261">
        <f t="shared" ca="1" si="29"/>
        <v>0</v>
      </c>
      <c r="P75" s="262">
        <f t="shared" ca="1" si="30"/>
        <v>0</v>
      </c>
    </row>
    <row r="76" spans="1:16">
      <c r="A76" s="259" t="s">
        <v>343</v>
      </c>
      <c r="B76" s="278" t="str">
        <f t="shared" ca="1" si="16"/>
        <v>3201</v>
      </c>
      <c r="C76" s="261">
        <f t="shared" ca="1" si="17"/>
        <v>1679</v>
      </c>
      <c r="D76" s="261">
        <f t="shared" ca="1" si="18"/>
        <v>0</v>
      </c>
      <c r="E76" s="262">
        <f t="shared" ca="1" si="19"/>
        <v>0</v>
      </c>
      <c r="F76" s="261">
        <f t="shared" ca="1" si="20"/>
        <v>1722</v>
      </c>
      <c r="G76" s="261">
        <f t="shared" ca="1" si="21"/>
        <v>0</v>
      </c>
      <c r="H76" s="262">
        <f t="shared" ca="1" si="22"/>
        <v>45</v>
      </c>
      <c r="I76" s="260">
        <f t="shared" ca="1" si="23"/>
        <v>0</v>
      </c>
      <c r="J76" s="261">
        <f t="shared" ca="1" si="24"/>
        <v>3401</v>
      </c>
      <c r="K76" s="261">
        <f t="shared" ca="1" si="25"/>
        <v>0</v>
      </c>
      <c r="L76" s="261">
        <f t="shared" ca="1" si="26"/>
        <v>0</v>
      </c>
      <c r="M76" s="261">
        <f t="shared" ca="1" si="27"/>
        <v>0</v>
      </c>
      <c r="N76" s="261">
        <f t="shared" ca="1" si="28"/>
        <v>0</v>
      </c>
      <c r="O76" s="261">
        <f t="shared" ca="1" si="29"/>
        <v>0</v>
      </c>
      <c r="P76" s="262">
        <f t="shared" ca="1" si="30"/>
        <v>45</v>
      </c>
    </row>
    <row r="77" spans="1:16">
      <c r="A77" s="259" t="s">
        <v>345</v>
      </c>
      <c r="B77" s="278" t="str">
        <f t="shared" ca="1" si="16"/>
        <v>1501</v>
      </c>
      <c r="C77" s="261">
        <f t="shared" ca="1" si="17"/>
        <v>2649</v>
      </c>
      <c r="D77" s="261">
        <f t="shared" ca="1" si="18"/>
        <v>0</v>
      </c>
      <c r="E77" s="262">
        <f t="shared" ca="1" si="19"/>
        <v>0</v>
      </c>
      <c r="F77" s="261">
        <f t="shared" ca="1" si="20"/>
        <v>2851</v>
      </c>
      <c r="G77" s="261">
        <f t="shared" ca="1" si="21"/>
        <v>0</v>
      </c>
      <c r="H77" s="262">
        <f t="shared" ca="1" si="22"/>
        <v>2</v>
      </c>
      <c r="I77" s="260">
        <f t="shared" ca="1" si="23"/>
        <v>0</v>
      </c>
      <c r="J77" s="261">
        <f t="shared" ca="1" si="24"/>
        <v>5500</v>
      </c>
      <c r="K77" s="261">
        <f t="shared" ca="1" si="25"/>
        <v>0</v>
      </c>
      <c r="L77" s="261">
        <f t="shared" ca="1" si="26"/>
        <v>0</v>
      </c>
      <c r="M77" s="261">
        <f t="shared" ca="1" si="27"/>
        <v>0</v>
      </c>
      <c r="N77" s="261">
        <f t="shared" ca="1" si="28"/>
        <v>0</v>
      </c>
      <c r="O77" s="261">
        <f t="shared" ca="1" si="29"/>
        <v>0</v>
      </c>
      <c r="P77" s="262">
        <f t="shared" ca="1" si="30"/>
        <v>2</v>
      </c>
    </row>
    <row r="78" spans="1:16">
      <c r="A78" s="259" t="s">
        <v>348</v>
      </c>
      <c r="B78" s="278" t="str">
        <f t="shared" ca="1" si="16"/>
        <v>BA0</v>
      </c>
      <c r="C78" s="261">
        <f t="shared" ca="1" si="17"/>
        <v>3037</v>
      </c>
      <c r="D78" s="261">
        <f t="shared" ca="1" si="18"/>
        <v>0</v>
      </c>
      <c r="E78" s="262">
        <f t="shared" ca="1" si="19"/>
        <v>0</v>
      </c>
      <c r="F78" s="261">
        <f t="shared" ca="1" si="20"/>
        <v>3079</v>
      </c>
      <c r="G78" s="261">
        <f t="shared" ca="1" si="21"/>
        <v>0</v>
      </c>
      <c r="H78" s="262">
        <f t="shared" ca="1" si="22"/>
        <v>0</v>
      </c>
      <c r="I78" s="260">
        <f t="shared" ca="1" si="23"/>
        <v>0</v>
      </c>
      <c r="J78" s="261">
        <f t="shared" ca="1" si="24"/>
        <v>0</v>
      </c>
      <c r="K78" s="261">
        <f t="shared" ca="1" si="25"/>
        <v>6116</v>
      </c>
      <c r="L78" s="261">
        <f t="shared" ca="1" si="26"/>
        <v>0</v>
      </c>
      <c r="M78" s="261">
        <f t="shared" ca="1" si="27"/>
        <v>0</v>
      </c>
      <c r="N78" s="261">
        <f t="shared" ca="1" si="28"/>
        <v>0</v>
      </c>
      <c r="O78" s="261">
        <f t="shared" ca="1" si="29"/>
        <v>0</v>
      </c>
      <c r="P78" s="262">
        <f t="shared" ca="1" si="30"/>
        <v>0</v>
      </c>
    </row>
    <row r="79" spans="1:16">
      <c r="A79" s="259" t="s">
        <v>351</v>
      </c>
      <c r="B79" s="278" t="str">
        <f t="shared" ca="1" si="16"/>
        <v>SA103</v>
      </c>
      <c r="C79" s="261">
        <f t="shared" ca="1" si="17"/>
        <v>0</v>
      </c>
      <c r="D79" s="261">
        <f t="shared" ca="1" si="18"/>
        <v>0</v>
      </c>
      <c r="E79" s="262">
        <f t="shared" ca="1" si="19"/>
        <v>0</v>
      </c>
      <c r="F79" s="261">
        <f t="shared" ca="1" si="20"/>
        <v>0</v>
      </c>
      <c r="G79" s="261">
        <f t="shared" ca="1" si="21"/>
        <v>0</v>
      </c>
      <c r="H79" s="262">
        <f t="shared" ca="1" si="22"/>
        <v>0</v>
      </c>
      <c r="I79" s="260">
        <f t="shared" ca="1" si="23"/>
        <v>0</v>
      </c>
      <c r="J79" s="261">
        <f t="shared" ca="1" si="24"/>
        <v>0</v>
      </c>
      <c r="K79" s="261">
        <f t="shared" ca="1" si="25"/>
        <v>0</v>
      </c>
      <c r="L79" s="261">
        <f t="shared" ca="1" si="26"/>
        <v>0</v>
      </c>
      <c r="M79" s="261">
        <f t="shared" ca="1" si="27"/>
        <v>0</v>
      </c>
      <c r="N79" s="261">
        <f t="shared" ca="1" si="28"/>
        <v>0</v>
      </c>
      <c r="O79" s="261">
        <f t="shared" ca="1" si="29"/>
        <v>0</v>
      </c>
      <c r="P79" s="262">
        <f t="shared" ca="1" si="30"/>
        <v>0</v>
      </c>
    </row>
    <row r="80" spans="1:16">
      <c r="A80" s="259" t="s">
        <v>354</v>
      </c>
      <c r="B80" s="278" t="str">
        <f t="shared" ca="1" si="16"/>
        <v>F3 105A</v>
      </c>
      <c r="C80" s="261">
        <f t="shared" ca="1" si="17"/>
        <v>1693</v>
      </c>
      <c r="D80" s="261">
        <f t="shared" ca="1" si="18"/>
        <v>0</v>
      </c>
      <c r="E80" s="262">
        <f t="shared" ca="1" si="19"/>
        <v>0</v>
      </c>
      <c r="F80" s="261">
        <f t="shared" ca="1" si="20"/>
        <v>1720</v>
      </c>
      <c r="G80" s="261">
        <f t="shared" ca="1" si="21"/>
        <v>0</v>
      </c>
      <c r="H80" s="262">
        <f t="shared" ca="1" si="22"/>
        <v>0</v>
      </c>
      <c r="I80" s="260">
        <f t="shared" ca="1" si="23"/>
        <v>0</v>
      </c>
      <c r="J80" s="261">
        <f t="shared" ca="1" si="24"/>
        <v>0</v>
      </c>
      <c r="K80" s="261">
        <f t="shared" ca="1" si="25"/>
        <v>0</v>
      </c>
      <c r="L80" s="261">
        <f t="shared" ca="1" si="26"/>
        <v>0</v>
      </c>
      <c r="M80" s="261">
        <f t="shared" ca="1" si="27"/>
        <v>0</v>
      </c>
      <c r="N80" s="261">
        <f t="shared" ca="1" si="28"/>
        <v>3413</v>
      </c>
      <c r="O80" s="261">
        <f t="shared" ca="1" si="29"/>
        <v>0</v>
      </c>
      <c r="P80" s="262">
        <f t="shared" ca="1" si="30"/>
        <v>0</v>
      </c>
    </row>
    <row r="81" spans="1:16">
      <c r="A81" s="259" t="s">
        <v>356</v>
      </c>
      <c r="B81" s="278" t="str">
        <f t="shared" ca="1" si="16"/>
        <v>A6 201</v>
      </c>
      <c r="C81" s="261">
        <f t="shared" ca="1" si="17"/>
        <v>0</v>
      </c>
      <c r="D81" s="261">
        <f t="shared" ca="1" si="18"/>
        <v>0</v>
      </c>
      <c r="E81" s="262">
        <f t="shared" ca="1" si="19"/>
        <v>0</v>
      </c>
      <c r="F81" s="261">
        <f t="shared" ca="1" si="20"/>
        <v>0</v>
      </c>
      <c r="G81" s="261">
        <f t="shared" ca="1" si="21"/>
        <v>0</v>
      </c>
      <c r="H81" s="262">
        <f t="shared" ca="1" si="22"/>
        <v>0</v>
      </c>
      <c r="I81" s="260">
        <f t="shared" ca="1" si="23"/>
        <v>0</v>
      </c>
      <c r="J81" s="261">
        <f t="shared" ca="1" si="24"/>
        <v>0</v>
      </c>
      <c r="K81" s="261">
        <f t="shared" ca="1" si="25"/>
        <v>0</v>
      </c>
      <c r="L81" s="261">
        <f t="shared" ca="1" si="26"/>
        <v>0</v>
      </c>
      <c r="M81" s="261">
        <f t="shared" ca="1" si="27"/>
        <v>0</v>
      </c>
      <c r="N81" s="261">
        <f t="shared" ca="1" si="28"/>
        <v>0</v>
      </c>
      <c r="O81" s="261">
        <f t="shared" ca="1" si="29"/>
        <v>0</v>
      </c>
      <c r="P81" s="262">
        <f t="shared" ca="1" si="30"/>
        <v>0</v>
      </c>
    </row>
    <row r="82" spans="1:16">
      <c r="A82" s="259" t="s">
        <v>358</v>
      </c>
      <c r="B82" s="278" t="str">
        <f t="shared" ca="1" si="16"/>
        <v>A6 101</v>
      </c>
      <c r="C82" s="261">
        <f t="shared" ca="1" si="17"/>
        <v>91</v>
      </c>
      <c r="D82" s="261">
        <f t="shared" ca="1" si="18"/>
        <v>0</v>
      </c>
      <c r="E82" s="262">
        <f t="shared" ca="1" si="19"/>
        <v>0</v>
      </c>
      <c r="F82" s="261">
        <f t="shared" ca="1" si="20"/>
        <v>83</v>
      </c>
      <c r="G82" s="261">
        <f t="shared" ca="1" si="21"/>
        <v>0</v>
      </c>
      <c r="H82" s="262">
        <f t="shared" ca="1" si="22"/>
        <v>0</v>
      </c>
      <c r="I82" s="260">
        <f t="shared" ca="1" si="23"/>
        <v>174</v>
      </c>
      <c r="J82" s="261">
        <f t="shared" ca="1" si="24"/>
        <v>0</v>
      </c>
      <c r="K82" s="261">
        <f t="shared" ca="1" si="25"/>
        <v>0</v>
      </c>
      <c r="L82" s="261">
        <f t="shared" ca="1" si="26"/>
        <v>0</v>
      </c>
      <c r="M82" s="261">
        <f t="shared" ca="1" si="27"/>
        <v>0</v>
      </c>
      <c r="N82" s="261">
        <f t="shared" ca="1" si="28"/>
        <v>0</v>
      </c>
      <c r="O82" s="261">
        <f t="shared" ca="1" si="29"/>
        <v>0</v>
      </c>
      <c r="P82" s="262">
        <f t="shared" ca="1" si="30"/>
        <v>0</v>
      </c>
    </row>
    <row r="83" spans="1:16">
      <c r="A83" s="259" t="s">
        <v>361</v>
      </c>
      <c r="B83" s="278" t="str">
        <f t="shared" ca="1" si="16"/>
        <v>A2 3005</v>
      </c>
      <c r="C83" s="261">
        <f t="shared" ca="1" si="17"/>
        <v>434</v>
      </c>
      <c r="D83" s="261">
        <f t="shared" ca="1" si="18"/>
        <v>0</v>
      </c>
      <c r="E83" s="262">
        <f t="shared" ca="1" si="19"/>
        <v>0</v>
      </c>
      <c r="F83" s="261">
        <f t="shared" ca="1" si="20"/>
        <v>436</v>
      </c>
      <c r="G83" s="261">
        <f t="shared" ca="1" si="21"/>
        <v>0</v>
      </c>
      <c r="H83" s="262">
        <f t="shared" ca="1" si="22"/>
        <v>0</v>
      </c>
      <c r="I83" s="260">
        <f t="shared" ca="1" si="23"/>
        <v>0</v>
      </c>
      <c r="J83" s="261">
        <f t="shared" ca="1" si="24"/>
        <v>0</v>
      </c>
      <c r="K83" s="261">
        <f t="shared" ca="1" si="25"/>
        <v>0</v>
      </c>
      <c r="L83" s="261">
        <f t="shared" ca="1" si="26"/>
        <v>0</v>
      </c>
      <c r="M83" s="261">
        <f t="shared" ca="1" si="27"/>
        <v>0</v>
      </c>
      <c r="N83" s="261">
        <f t="shared" ca="1" si="28"/>
        <v>870</v>
      </c>
      <c r="O83" s="261">
        <f t="shared" ca="1" si="29"/>
        <v>0</v>
      </c>
      <c r="P83" s="262">
        <f t="shared" ca="1" si="30"/>
        <v>0</v>
      </c>
    </row>
    <row r="84" spans="1:16">
      <c r="A84" s="259" t="s">
        <v>364</v>
      </c>
      <c r="B84" s="278" t="str">
        <f t="shared" ca="1" si="16"/>
        <v>888Z0</v>
      </c>
      <c r="C84" s="261">
        <f t="shared" ca="1" si="17"/>
        <v>0</v>
      </c>
      <c r="D84" s="261">
        <f t="shared" ca="1" si="18"/>
        <v>0</v>
      </c>
      <c r="E84" s="262">
        <f t="shared" ca="1" si="19"/>
        <v>0</v>
      </c>
      <c r="F84" s="261">
        <f t="shared" ca="1" si="20"/>
        <v>0</v>
      </c>
      <c r="G84" s="261">
        <f t="shared" ca="1" si="21"/>
        <v>0</v>
      </c>
      <c r="H84" s="262">
        <f t="shared" ca="1" si="22"/>
        <v>0</v>
      </c>
      <c r="I84" s="260">
        <f t="shared" ca="1" si="23"/>
        <v>0</v>
      </c>
      <c r="J84" s="261">
        <f t="shared" ca="1" si="24"/>
        <v>0</v>
      </c>
      <c r="K84" s="261">
        <f t="shared" ca="1" si="25"/>
        <v>0</v>
      </c>
      <c r="L84" s="261">
        <f t="shared" ca="1" si="26"/>
        <v>0</v>
      </c>
      <c r="M84" s="261">
        <f t="shared" ca="1" si="27"/>
        <v>0</v>
      </c>
      <c r="N84" s="261">
        <f t="shared" ca="1" si="28"/>
        <v>0</v>
      </c>
      <c r="O84" s="261">
        <f t="shared" ca="1" si="29"/>
        <v>0</v>
      </c>
      <c r="P84" s="262">
        <f t="shared" ca="1" si="30"/>
        <v>0</v>
      </c>
    </row>
    <row r="85" spans="1:16">
      <c r="A85" s="259" t="s">
        <v>366</v>
      </c>
      <c r="B85" s="278">
        <f t="shared" ca="1" si="16"/>
        <v>0</v>
      </c>
      <c r="C85" s="261">
        <f t="shared" ca="1" si="17"/>
        <v>0</v>
      </c>
      <c r="D85" s="261">
        <f t="shared" ca="1" si="18"/>
        <v>0</v>
      </c>
      <c r="E85" s="262">
        <f t="shared" ca="1" si="19"/>
        <v>0</v>
      </c>
      <c r="F85" s="261">
        <f t="shared" ca="1" si="20"/>
        <v>0</v>
      </c>
      <c r="G85" s="261">
        <f t="shared" ca="1" si="21"/>
        <v>0</v>
      </c>
      <c r="H85" s="262">
        <f t="shared" ca="1" si="22"/>
        <v>0</v>
      </c>
      <c r="I85" s="260">
        <f t="shared" ca="1" si="23"/>
        <v>0</v>
      </c>
      <c r="J85" s="261">
        <f t="shared" ca="1" si="24"/>
        <v>0</v>
      </c>
      <c r="K85" s="261">
        <f t="shared" ca="1" si="25"/>
        <v>0</v>
      </c>
      <c r="L85" s="261">
        <f t="shared" ca="1" si="26"/>
        <v>0</v>
      </c>
      <c r="M85" s="261">
        <f t="shared" ca="1" si="27"/>
        <v>0</v>
      </c>
      <c r="N85" s="261">
        <f t="shared" ca="1" si="28"/>
        <v>0</v>
      </c>
      <c r="O85" s="261">
        <f t="shared" ca="1" si="29"/>
        <v>0</v>
      </c>
      <c r="P85" s="262">
        <f t="shared" ca="1" si="30"/>
        <v>0</v>
      </c>
    </row>
    <row r="86" spans="1:16">
      <c r="A86" s="259" t="s">
        <v>367</v>
      </c>
      <c r="B86" s="278">
        <f t="shared" ca="1" si="16"/>
        <v>0</v>
      </c>
      <c r="C86" s="261">
        <f t="shared" ca="1" si="17"/>
        <v>0</v>
      </c>
      <c r="D86" s="261">
        <f t="shared" ca="1" si="18"/>
        <v>0</v>
      </c>
      <c r="E86" s="262">
        <f t="shared" ca="1" si="19"/>
        <v>0</v>
      </c>
      <c r="F86" s="261">
        <f t="shared" ca="1" si="20"/>
        <v>0</v>
      </c>
      <c r="G86" s="261">
        <f t="shared" ca="1" si="21"/>
        <v>0</v>
      </c>
      <c r="H86" s="262">
        <f t="shared" ca="1" si="22"/>
        <v>0</v>
      </c>
      <c r="I86" s="260">
        <f t="shared" ca="1" si="23"/>
        <v>0</v>
      </c>
      <c r="J86" s="261">
        <f t="shared" ca="1" si="24"/>
        <v>0</v>
      </c>
      <c r="K86" s="261">
        <f t="shared" ca="1" si="25"/>
        <v>0</v>
      </c>
      <c r="L86" s="261">
        <f t="shared" ca="1" si="26"/>
        <v>0</v>
      </c>
      <c r="M86" s="261">
        <f t="shared" ca="1" si="27"/>
        <v>0</v>
      </c>
      <c r="N86" s="261">
        <f t="shared" ca="1" si="28"/>
        <v>0</v>
      </c>
      <c r="O86" s="261">
        <f t="shared" ca="1" si="29"/>
        <v>0</v>
      </c>
      <c r="P86" s="262">
        <f t="shared" ca="1" si="30"/>
        <v>0</v>
      </c>
    </row>
    <row r="87" spans="1:16">
      <c r="A87" s="259" t="s">
        <v>368</v>
      </c>
      <c r="B87" s="278" t="str">
        <f t="shared" ca="1" si="16"/>
        <v>S14 - 01</v>
      </c>
      <c r="C87" s="261">
        <f t="shared" ca="1" si="17"/>
        <v>0</v>
      </c>
      <c r="D87" s="261">
        <f t="shared" ca="1" si="18"/>
        <v>0</v>
      </c>
      <c r="E87" s="262">
        <f t="shared" ca="1" si="19"/>
        <v>0</v>
      </c>
      <c r="F87" s="261">
        <f t="shared" ca="1" si="20"/>
        <v>0</v>
      </c>
      <c r="G87" s="261">
        <f t="shared" ca="1" si="21"/>
        <v>0</v>
      </c>
      <c r="H87" s="262">
        <f t="shared" ca="1" si="22"/>
        <v>0</v>
      </c>
      <c r="I87" s="260">
        <f t="shared" ca="1" si="23"/>
        <v>0</v>
      </c>
      <c r="J87" s="261">
        <f t="shared" ca="1" si="24"/>
        <v>0</v>
      </c>
      <c r="K87" s="261">
        <f t="shared" ca="1" si="25"/>
        <v>0</v>
      </c>
      <c r="L87" s="261">
        <f t="shared" ca="1" si="26"/>
        <v>0</v>
      </c>
      <c r="M87" s="261">
        <f t="shared" ca="1" si="27"/>
        <v>0</v>
      </c>
      <c r="N87" s="261">
        <f t="shared" ca="1" si="28"/>
        <v>0</v>
      </c>
      <c r="O87" s="261">
        <f t="shared" ca="1" si="29"/>
        <v>0</v>
      </c>
      <c r="P87" s="262">
        <f t="shared" ca="1" si="30"/>
        <v>0</v>
      </c>
    </row>
    <row r="88" spans="1:16">
      <c r="A88" s="259" t="s">
        <v>371</v>
      </c>
      <c r="B88" s="278" t="str">
        <f t="shared" ca="1" si="16"/>
        <v>A6 201</v>
      </c>
      <c r="C88" s="261">
        <f t="shared" ca="1" si="17"/>
        <v>0</v>
      </c>
      <c r="D88" s="261">
        <f t="shared" ca="1" si="18"/>
        <v>0</v>
      </c>
      <c r="E88" s="262">
        <f t="shared" ca="1" si="19"/>
        <v>0</v>
      </c>
      <c r="F88" s="261">
        <f t="shared" ca="1" si="20"/>
        <v>0</v>
      </c>
      <c r="G88" s="261">
        <f t="shared" ca="1" si="21"/>
        <v>0</v>
      </c>
      <c r="H88" s="262">
        <f t="shared" ca="1" si="22"/>
        <v>0</v>
      </c>
      <c r="I88" s="260">
        <f t="shared" ca="1" si="23"/>
        <v>0</v>
      </c>
      <c r="J88" s="261">
        <f t="shared" ca="1" si="24"/>
        <v>0</v>
      </c>
      <c r="K88" s="261">
        <f t="shared" ca="1" si="25"/>
        <v>0</v>
      </c>
      <c r="L88" s="261">
        <f t="shared" ca="1" si="26"/>
        <v>0</v>
      </c>
      <c r="M88" s="261">
        <f t="shared" ca="1" si="27"/>
        <v>0</v>
      </c>
      <c r="N88" s="261">
        <f t="shared" ca="1" si="28"/>
        <v>0</v>
      </c>
      <c r="O88" s="261">
        <f t="shared" ca="1" si="29"/>
        <v>0</v>
      </c>
      <c r="P88" s="262">
        <f t="shared" ca="1" si="30"/>
        <v>0</v>
      </c>
    </row>
    <row r="89" spans="1:16">
      <c r="A89" s="259" t="s">
        <v>372</v>
      </c>
      <c r="B89" s="278" t="str">
        <f t="shared" ca="1" si="16"/>
        <v>HA6</v>
      </c>
      <c r="C89" s="261">
        <f t="shared" ca="1" si="17"/>
        <v>299</v>
      </c>
      <c r="D89" s="261">
        <f t="shared" ca="1" si="18"/>
        <v>0</v>
      </c>
      <c r="E89" s="262">
        <f t="shared" ca="1" si="19"/>
        <v>0</v>
      </c>
      <c r="F89" s="261">
        <f t="shared" ca="1" si="20"/>
        <v>283</v>
      </c>
      <c r="G89" s="261">
        <f t="shared" ca="1" si="21"/>
        <v>0</v>
      </c>
      <c r="H89" s="262">
        <f t="shared" ca="1" si="22"/>
        <v>0</v>
      </c>
      <c r="I89" s="260">
        <f t="shared" ca="1" si="23"/>
        <v>582</v>
      </c>
      <c r="J89" s="261">
        <f t="shared" ca="1" si="24"/>
        <v>0</v>
      </c>
      <c r="K89" s="261">
        <f t="shared" ca="1" si="25"/>
        <v>0</v>
      </c>
      <c r="L89" s="261">
        <f t="shared" ca="1" si="26"/>
        <v>0</v>
      </c>
      <c r="M89" s="261">
        <f t="shared" ca="1" si="27"/>
        <v>0</v>
      </c>
      <c r="N89" s="261">
        <f t="shared" ca="1" si="28"/>
        <v>0</v>
      </c>
      <c r="O89" s="261">
        <f t="shared" ca="1" si="29"/>
        <v>0</v>
      </c>
      <c r="P89" s="262">
        <f t="shared" ca="1" si="30"/>
        <v>0</v>
      </c>
    </row>
    <row r="90" spans="1:16">
      <c r="A90" s="259" t="s">
        <v>375</v>
      </c>
      <c r="B90" s="278" t="str">
        <f t="shared" ca="1" si="16"/>
        <v>HA12</v>
      </c>
      <c r="C90" s="261">
        <f t="shared" ca="1" si="17"/>
        <v>0</v>
      </c>
      <c r="D90" s="261">
        <f t="shared" ca="1" si="18"/>
        <v>0</v>
      </c>
      <c r="E90" s="262">
        <f t="shared" ca="1" si="19"/>
        <v>0</v>
      </c>
      <c r="F90" s="261">
        <f t="shared" ca="1" si="20"/>
        <v>0</v>
      </c>
      <c r="G90" s="261">
        <f t="shared" ca="1" si="21"/>
        <v>0</v>
      </c>
      <c r="H90" s="262">
        <f t="shared" ca="1" si="22"/>
        <v>0</v>
      </c>
      <c r="I90" s="260">
        <f t="shared" ca="1" si="23"/>
        <v>0</v>
      </c>
      <c r="J90" s="261">
        <f t="shared" ca="1" si="24"/>
        <v>0</v>
      </c>
      <c r="K90" s="261">
        <f t="shared" ca="1" si="25"/>
        <v>0</v>
      </c>
      <c r="L90" s="261">
        <f t="shared" ca="1" si="26"/>
        <v>0</v>
      </c>
      <c r="M90" s="261">
        <f t="shared" ca="1" si="27"/>
        <v>0</v>
      </c>
      <c r="N90" s="261">
        <f t="shared" ca="1" si="28"/>
        <v>0</v>
      </c>
      <c r="O90" s="261">
        <f t="shared" ca="1" si="29"/>
        <v>0</v>
      </c>
      <c r="P90" s="262">
        <f t="shared" ca="1" si="30"/>
        <v>0</v>
      </c>
    </row>
    <row r="91" spans="1:16">
      <c r="A91" s="259" t="s">
        <v>378</v>
      </c>
      <c r="B91" s="278" t="str">
        <f t="shared" ca="1" si="16"/>
        <v>701Z2</v>
      </c>
      <c r="C91" s="261">
        <f t="shared" ca="1" si="17"/>
        <v>0</v>
      </c>
      <c r="D91" s="261">
        <f t="shared" ca="1" si="18"/>
        <v>0</v>
      </c>
      <c r="E91" s="262">
        <f t="shared" ca="1" si="19"/>
        <v>0</v>
      </c>
      <c r="F91" s="261">
        <f t="shared" ca="1" si="20"/>
        <v>0</v>
      </c>
      <c r="G91" s="261">
        <f t="shared" ca="1" si="21"/>
        <v>0</v>
      </c>
      <c r="H91" s="262">
        <f t="shared" ca="1" si="22"/>
        <v>0</v>
      </c>
      <c r="I91" s="260">
        <f t="shared" ca="1" si="23"/>
        <v>0</v>
      </c>
      <c r="J91" s="261">
        <f t="shared" ca="1" si="24"/>
        <v>0</v>
      </c>
      <c r="K91" s="261">
        <f t="shared" ca="1" si="25"/>
        <v>0</v>
      </c>
      <c r="L91" s="261">
        <f t="shared" ca="1" si="26"/>
        <v>0</v>
      </c>
      <c r="M91" s="261">
        <f t="shared" ca="1" si="27"/>
        <v>0</v>
      </c>
      <c r="N91" s="261">
        <f t="shared" ca="1" si="28"/>
        <v>0</v>
      </c>
      <c r="O91" s="261">
        <f t="shared" ca="1" si="29"/>
        <v>0</v>
      </c>
      <c r="P91" s="262">
        <f t="shared" ca="1" si="30"/>
        <v>0</v>
      </c>
    </row>
    <row r="92" spans="1:16">
      <c r="A92" s="259" t="s">
        <v>380</v>
      </c>
      <c r="B92" s="278" t="str">
        <f t="shared" ca="1" si="16"/>
        <v>S316000</v>
      </c>
      <c r="C92" s="261">
        <f t="shared" ca="1" si="17"/>
        <v>0</v>
      </c>
      <c r="D92" s="261">
        <f t="shared" ca="1" si="18"/>
        <v>0</v>
      </c>
      <c r="E92" s="262">
        <f t="shared" ca="1" si="19"/>
        <v>0</v>
      </c>
      <c r="F92" s="261">
        <f t="shared" ca="1" si="20"/>
        <v>0</v>
      </c>
      <c r="G92" s="261">
        <f t="shared" ca="1" si="21"/>
        <v>0</v>
      </c>
      <c r="H92" s="262">
        <f t="shared" ca="1" si="22"/>
        <v>0</v>
      </c>
      <c r="I92" s="260">
        <f t="shared" ca="1" si="23"/>
        <v>0</v>
      </c>
      <c r="J92" s="261">
        <f t="shared" ca="1" si="24"/>
        <v>0</v>
      </c>
      <c r="K92" s="261">
        <f t="shared" ca="1" si="25"/>
        <v>0</v>
      </c>
      <c r="L92" s="261">
        <f t="shared" ca="1" si="26"/>
        <v>0</v>
      </c>
      <c r="M92" s="261">
        <f t="shared" ca="1" si="27"/>
        <v>0</v>
      </c>
      <c r="N92" s="261">
        <f t="shared" ca="1" si="28"/>
        <v>0</v>
      </c>
      <c r="O92" s="261">
        <f t="shared" ca="1" si="29"/>
        <v>0</v>
      </c>
      <c r="P92" s="262">
        <f t="shared" ca="1" si="30"/>
        <v>0</v>
      </c>
    </row>
    <row r="93" spans="1:16">
      <c r="A93" s="259" t="s">
        <v>382</v>
      </c>
      <c r="B93" s="278" t="str">
        <f t="shared" ca="1" si="16"/>
        <v>575Z0</v>
      </c>
      <c r="C93" s="261">
        <f t="shared" ca="1" si="17"/>
        <v>0</v>
      </c>
      <c r="D93" s="261">
        <f t="shared" ca="1" si="18"/>
        <v>0</v>
      </c>
      <c r="E93" s="262">
        <f t="shared" ca="1" si="19"/>
        <v>0</v>
      </c>
      <c r="F93" s="261">
        <f t="shared" ca="1" si="20"/>
        <v>0</v>
      </c>
      <c r="G93" s="261">
        <f t="shared" ca="1" si="21"/>
        <v>0</v>
      </c>
      <c r="H93" s="262">
        <f t="shared" ca="1" si="22"/>
        <v>0</v>
      </c>
      <c r="I93" s="260">
        <f t="shared" ca="1" si="23"/>
        <v>0</v>
      </c>
      <c r="J93" s="261">
        <f t="shared" ca="1" si="24"/>
        <v>0</v>
      </c>
      <c r="K93" s="261">
        <f t="shared" ca="1" si="25"/>
        <v>0</v>
      </c>
      <c r="L93" s="261">
        <f t="shared" ca="1" si="26"/>
        <v>0</v>
      </c>
      <c r="M93" s="261">
        <f t="shared" ca="1" si="27"/>
        <v>0</v>
      </c>
      <c r="N93" s="261">
        <f t="shared" ca="1" si="28"/>
        <v>0</v>
      </c>
      <c r="O93" s="261">
        <f t="shared" ca="1" si="29"/>
        <v>0</v>
      </c>
      <c r="P93" s="262">
        <f t="shared" ca="1" si="30"/>
        <v>0</v>
      </c>
    </row>
    <row r="94" spans="1:16">
      <c r="A94" s="259" t="s">
        <v>385</v>
      </c>
      <c r="B94" s="278" t="str">
        <f t="shared" ca="1" si="16"/>
        <v>V1 016</v>
      </c>
      <c r="C94" s="261">
        <f t="shared" ca="1" si="17"/>
        <v>0</v>
      </c>
      <c r="D94" s="261">
        <f t="shared" ca="1" si="18"/>
        <v>0</v>
      </c>
      <c r="E94" s="262">
        <f t="shared" ca="1" si="19"/>
        <v>0</v>
      </c>
      <c r="F94" s="261">
        <f t="shared" ca="1" si="20"/>
        <v>0</v>
      </c>
      <c r="G94" s="261">
        <f t="shared" ca="1" si="21"/>
        <v>0</v>
      </c>
      <c r="H94" s="262">
        <f t="shared" ca="1" si="22"/>
        <v>0</v>
      </c>
      <c r="I94" s="260">
        <f t="shared" ca="1" si="23"/>
        <v>0</v>
      </c>
      <c r="J94" s="261">
        <f t="shared" ca="1" si="24"/>
        <v>0</v>
      </c>
      <c r="K94" s="261">
        <f t="shared" ca="1" si="25"/>
        <v>0</v>
      </c>
      <c r="L94" s="261">
        <f t="shared" ca="1" si="26"/>
        <v>0</v>
      </c>
      <c r="M94" s="261">
        <f t="shared" ca="1" si="27"/>
        <v>0</v>
      </c>
      <c r="N94" s="261">
        <f t="shared" ca="1" si="28"/>
        <v>0</v>
      </c>
      <c r="O94" s="261">
        <f t="shared" ca="1" si="29"/>
        <v>0</v>
      </c>
      <c r="P94" s="262">
        <f t="shared" ca="1" si="30"/>
        <v>0</v>
      </c>
    </row>
    <row r="95" spans="1:16">
      <c r="A95" s="259" t="s">
        <v>389</v>
      </c>
      <c r="B95" s="278" t="str">
        <f t="shared" ca="1" si="16"/>
        <v>H8</v>
      </c>
      <c r="C95" s="261">
        <f t="shared" ca="1" si="17"/>
        <v>0</v>
      </c>
      <c r="D95" s="261">
        <f t="shared" ca="1" si="18"/>
        <v>0</v>
      </c>
      <c r="E95" s="262">
        <f t="shared" ca="1" si="19"/>
        <v>0</v>
      </c>
      <c r="F95" s="261">
        <f t="shared" ca="1" si="20"/>
        <v>0</v>
      </c>
      <c r="G95" s="261">
        <f t="shared" ca="1" si="21"/>
        <v>0</v>
      </c>
      <c r="H95" s="262">
        <f t="shared" ca="1" si="22"/>
        <v>0</v>
      </c>
      <c r="I95" s="260">
        <f t="shared" ca="1" si="23"/>
        <v>0</v>
      </c>
      <c r="J95" s="261">
        <f t="shared" ca="1" si="24"/>
        <v>0</v>
      </c>
      <c r="K95" s="261">
        <f t="shared" ca="1" si="25"/>
        <v>0</v>
      </c>
      <c r="L95" s="261">
        <f t="shared" ca="1" si="26"/>
        <v>0</v>
      </c>
      <c r="M95" s="261">
        <f t="shared" ca="1" si="27"/>
        <v>0</v>
      </c>
      <c r="N95" s="261">
        <f t="shared" ca="1" si="28"/>
        <v>0</v>
      </c>
      <c r="O95" s="261">
        <f t="shared" ca="1" si="29"/>
        <v>0</v>
      </c>
      <c r="P95" s="262">
        <f t="shared" ca="1" si="30"/>
        <v>0</v>
      </c>
    </row>
    <row r="96" spans="1:16">
      <c r="A96" s="259" t="s">
        <v>391</v>
      </c>
      <c r="B96" s="278" t="str">
        <f t="shared" ca="1" si="16"/>
        <v>R6600</v>
      </c>
      <c r="C96" s="261">
        <f t="shared" ca="1" si="17"/>
        <v>0</v>
      </c>
      <c r="D96" s="261">
        <f t="shared" ca="1" si="18"/>
        <v>0</v>
      </c>
      <c r="E96" s="262">
        <f t="shared" ca="1" si="19"/>
        <v>0</v>
      </c>
      <c r="F96" s="261">
        <f t="shared" ca="1" si="20"/>
        <v>253</v>
      </c>
      <c r="G96" s="261">
        <f t="shared" ca="1" si="21"/>
        <v>0</v>
      </c>
      <c r="H96" s="262">
        <f t="shared" ca="1" si="22"/>
        <v>133</v>
      </c>
      <c r="I96" s="260">
        <f t="shared" ca="1" si="23"/>
        <v>0</v>
      </c>
      <c r="J96" s="261">
        <f t="shared" ca="1" si="24"/>
        <v>0</v>
      </c>
      <c r="K96" s="261">
        <f t="shared" ca="1" si="25"/>
        <v>0</v>
      </c>
      <c r="L96" s="261">
        <f t="shared" ca="1" si="26"/>
        <v>0</v>
      </c>
      <c r="M96" s="261">
        <f t="shared" ca="1" si="27"/>
        <v>0</v>
      </c>
      <c r="N96" s="261">
        <f t="shared" ca="1" si="28"/>
        <v>253</v>
      </c>
      <c r="O96" s="261">
        <f t="shared" ca="1" si="29"/>
        <v>0</v>
      </c>
      <c r="P96" s="262">
        <f t="shared" ca="1" si="30"/>
        <v>133</v>
      </c>
    </row>
    <row r="97" spans="1:16">
      <c r="A97" s="259" t="s">
        <v>395</v>
      </c>
      <c r="B97" s="278" t="str">
        <f t="shared" ca="1" si="16"/>
        <v>H2 819</v>
      </c>
      <c r="C97" s="261">
        <f t="shared" ca="1" si="17"/>
        <v>0</v>
      </c>
      <c r="D97" s="261">
        <f t="shared" ca="1" si="18"/>
        <v>0</v>
      </c>
      <c r="E97" s="262">
        <f t="shared" ca="1" si="19"/>
        <v>0</v>
      </c>
      <c r="F97" s="261">
        <f t="shared" ca="1" si="20"/>
        <v>0</v>
      </c>
      <c r="G97" s="261">
        <f t="shared" ca="1" si="21"/>
        <v>0</v>
      </c>
      <c r="H97" s="262">
        <f t="shared" ca="1" si="22"/>
        <v>0</v>
      </c>
      <c r="I97" s="260">
        <f t="shared" ca="1" si="23"/>
        <v>0</v>
      </c>
      <c r="J97" s="261">
        <f t="shared" ca="1" si="24"/>
        <v>0</v>
      </c>
      <c r="K97" s="261">
        <f t="shared" ca="1" si="25"/>
        <v>0</v>
      </c>
      <c r="L97" s="261">
        <f t="shared" ca="1" si="26"/>
        <v>0</v>
      </c>
      <c r="M97" s="261">
        <f t="shared" ca="1" si="27"/>
        <v>0</v>
      </c>
      <c r="N97" s="261">
        <f t="shared" ca="1" si="28"/>
        <v>0</v>
      </c>
      <c r="O97" s="261">
        <f t="shared" ca="1" si="29"/>
        <v>0</v>
      </c>
      <c r="P97" s="262">
        <f t="shared" ca="1" si="30"/>
        <v>0</v>
      </c>
    </row>
    <row r="98" spans="1:16">
      <c r="A98" s="259" t="s">
        <v>397</v>
      </c>
      <c r="B98" s="278">
        <f t="shared" ca="1" si="16"/>
        <v>0</v>
      </c>
      <c r="C98" s="261">
        <f t="shared" ca="1" si="17"/>
        <v>0</v>
      </c>
      <c r="D98" s="261">
        <f t="shared" ca="1" si="18"/>
        <v>0</v>
      </c>
      <c r="E98" s="262">
        <f t="shared" ca="1" si="19"/>
        <v>0</v>
      </c>
      <c r="F98" s="261">
        <f t="shared" ca="1" si="20"/>
        <v>0</v>
      </c>
      <c r="G98" s="261">
        <f t="shared" ca="1" si="21"/>
        <v>0</v>
      </c>
      <c r="H98" s="262">
        <f t="shared" ca="1" si="22"/>
        <v>0</v>
      </c>
      <c r="I98" s="260">
        <f t="shared" ca="1" si="23"/>
        <v>0</v>
      </c>
      <c r="J98" s="261">
        <f t="shared" ca="1" si="24"/>
        <v>0</v>
      </c>
      <c r="K98" s="261">
        <f t="shared" ca="1" si="25"/>
        <v>0</v>
      </c>
      <c r="L98" s="261">
        <f t="shared" ca="1" si="26"/>
        <v>0</v>
      </c>
      <c r="M98" s="261">
        <f t="shared" ca="1" si="27"/>
        <v>0</v>
      </c>
      <c r="N98" s="261">
        <f t="shared" ca="1" si="28"/>
        <v>0</v>
      </c>
      <c r="O98" s="261">
        <f t="shared" ca="1" si="29"/>
        <v>0</v>
      </c>
      <c r="P98" s="262">
        <f t="shared" ca="1" si="30"/>
        <v>0</v>
      </c>
    </row>
    <row r="99" spans="1:16">
      <c r="A99" s="259" t="s">
        <v>398</v>
      </c>
      <c r="B99" s="278" t="str">
        <f t="shared" ca="1" si="16"/>
        <v>V1 9603</v>
      </c>
      <c r="C99" s="261">
        <f t="shared" ca="1" si="17"/>
        <v>0</v>
      </c>
      <c r="D99" s="261">
        <f t="shared" ca="1" si="18"/>
        <v>0</v>
      </c>
      <c r="E99" s="262">
        <f t="shared" ca="1" si="19"/>
        <v>0</v>
      </c>
      <c r="F99" s="261">
        <f t="shared" ca="1" si="20"/>
        <v>0</v>
      </c>
      <c r="G99" s="261">
        <f t="shared" ca="1" si="21"/>
        <v>0</v>
      </c>
      <c r="H99" s="262">
        <f t="shared" ca="1" si="22"/>
        <v>0</v>
      </c>
      <c r="I99" s="260">
        <f t="shared" ca="1" si="23"/>
        <v>0</v>
      </c>
      <c r="J99" s="261">
        <f t="shared" ca="1" si="24"/>
        <v>0</v>
      </c>
      <c r="K99" s="261">
        <f t="shared" ca="1" si="25"/>
        <v>0</v>
      </c>
      <c r="L99" s="261">
        <f t="shared" ca="1" si="26"/>
        <v>0</v>
      </c>
      <c r="M99" s="261">
        <f t="shared" ca="1" si="27"/>
        <v>0</v>
      </c>
      <c r="N99" s="261">
        <f t="shared" ca="1" si="28"/>
        <v>0</v>
      </c>
      <c r="O99" s="261">
        <f t="shared" ca="1" si="29"/>
        <v>0</v>
      </c>
      <c r="P99" s="262">
        <f t="shared" ca="1" si="30"/>
        <v>0</v>
      </c>
    </row>
    <row r="100" spans="1:16">
      <c r="A100" s="259" t="s">
        <v>400</v>
      </c>
      <c r="B100" s="278" t="str">
        <f t="shared" ca="1" si="16"/>
        <v>H8</v>
      </c>
      <c r="C100" s="261">
        <f t="shared" ca="1" si="17"/>
        <v>0</v>
      </c>
      <c r="D100" s="261">
        <f t="shared" ca="1" si="18"/>
        <v>0</v>
      </c>
      <c r="E100" s="262">
        <f t="shared" ca="1" si="19"/>
        <v>0</v>
      </c>
      <c r="F100" s="261">
        <f t="shared" ca="1" si="20"/>
        <v>0</v>
      </c>
      <c r="G100" s="261">
        <f t="shared" ca="1" si="21"/>
        <v>0</v>
      </c>
      <c r="H100" s="262">
        <f t="shared" ca="1" si="22"/>
        <v>0</v>
      </c>
      <c r="I100" s="260">
        <f t="shared" ca="1" si="23"/>
        <v>0</v>
      </c>
      <c r="J100" s="261">
        <f t="shared" ca="1" si="24"/>
        <v>0</v>
      </c>
      <c r="K100" s="261">
        <f t="shared" ca="1" si="25"/>
        <v>0</v>
      </c>
      <c r="L100" s="261">
        <f t="shared" ca="1" si="26"/>
        <v>0</v>
      </c>
      <c r="M100" s="261">
        <f t="shared" ca="1" si="27"/>
        <v>0</v>
      </c>
      <c r="N100" s="261">
        <f t="shared" ca="1" si="28"/>
        <v>0</v>
      </c>
      <c r="O100" s="261">
        <f t="shared" ca="1" si="29"/>
        <v>0</v>
      </c>
      <c r="P100" s="262">
        <f t="shared" ca="1" si="30"/>
        <v>0</v>
      </c>
    </row>
    <row r="101" spans="1:16">
      <c r="A101" s="259" t="s">
        <v>402</v>
      </c>
      <c r="B101" s="278" t="str">
        <f t="shared" ca="1" si="16"/>
        <v>P2124</v>
      </c>
      <c r="C101" s="261">
        <f t="shared" ca="1" si="17"/>
        <v>0</v>
      </c>
      <c r="D101" s="261">
        <f t="shared" ca="1" si="18"/>
        <v>0</v>
      </c>
      <c r="E101" s="262">
        <f t="shared" ca="1" si="19"/>
        <v>0</v>
      </c>
      <c r="F101" s="261">
        <f t="shared" ca="1" si="20"/>
        <v>0</v>
      </c>
      <c r="G101" s="261">
        <f t="shared" ca="1" si="21"/>
        <v>0</v>
      </c>
      <c r="H101" s="262">
        <f t="shared" ca="1" si="22"/>
        <v>0</v>
      </c>
      <c r="I101" s="260">
        <f t="shared" ca="1" si="23"/>
        <v>0</v>
      </c>
      <c r="J101" s="261">
        <f t="shared" ca="1" si="24"/>
        <v>0</v>
      </c>
      <c r="K101" s="261">
        <f t="shared" ca="1" si="25"/>
        <v>0</v>
      </c>
      <c r="L101" s="261">
        <f t="shared" ca="1" si="26"/>
        <v>0</v>
      </c>
      <c r="M101" s="261">
        <f t="shared" ca="1" si="27"/>
        <v>0</v>
      </c>
      <c r="N101" s="261">
        <f t="shared" ca="1" si="28"/>
        <v>0</v>
      </c>
      <c r="O101" s="261">
        <f t="shared" ca="1" si="29"/>
        <v>0</v>
      </c>
      <c r="P101" s="262">
        <f t="shared" ca="1" si="30"/>
        <v>0</v>
      </c>
    </row>
    <row r="102" spans="1:16">
      <c r="A102" s="259" t="s">
        <v>404</v>
      </c>
      <c r="B102" s="278" t="str">
        <f t="shared" ca="1" si="16"/>
        <v>A6 02</v>
      </c>
      <c r="C102" s="261">
        <f t="shared" ca="1" si="17"/>
        <v>0</v>
      </c>
      <c r="D102" s="261">
        <f t="shared" ca="1" si="18"/>
        <v>0</v>
      </c>
      <c r="E102" s="262">
        <f t="shared" ca="1" si="19"/>
        <v>0</v>
      </c>
      <c r="F102" s="261">
        <f t="shared" ca="1" si="20"/>
        <v>0</v>
      </c>
      <c r="G102" s="261">
        <f t="shared" ca="1" si="21"/>
        <v>0</v>
      </c>
      <c r="H102" s="262">
        <f t="shared" ca="1" si="22"/>
        <v>0</v>
      </c>
      <c r="I102" s="260">
        <f t="shared" ca="1" si="23"/>
        <v>0</v>
      </c>
      <c r="J102" s="261">
        <f t="shared" ca="1" si="24"/>
        <v>0</v>
      </c>
      <c r="K102" s="261">
        <f t="shared" ca="1" si="25"/>
        <v>0</v>
      </c>
      <c r="L102" s="261">
        <f t="shared" ca="1" si="26"/>
        <v>0</v>
      </c>
      <c r="M102" s="261">
        <f t="shared" ca="1" si="27"/>
        <v>0</v>
      </c>
      <c r="N102" s="261">
        <f t="shared" ca="1" si="28"/>
        <v>0</v>
      </c>
      <c r="O102" s="261">
        <f t="shared" ca="1" si="29"/>
        <v>0</v>
      </c>
      <c r="P102" s="262">
        <f t="shared" ca="1" si="30"/>
        <v>0</v>
      </c>
    </row>
  </sheetData>
  <conditionalFormatting sqref="M1">
    <cfRule type="cellIs" dxfId="4" priority="1" operator="equal">
      <formula>"Loi"</formula>
    </cfRule>
    <cfRule type="cellIs" dxfId="3" priority="2" operator="equal">
      <formula>"Oke"</formula>
    </cfRule>
  </conditionalFormatting>
  <conditionalFormatting sqref="K1">
    <cfRule type="cellIs" dxfId="2" priority="7" operator="notEqual">
      <formula>$G$1</formula>
    </cfRule>
  </conditionalFormatting>
  <conditionalFormatting sqref="L1">
    <cfRule type="cellIs" dxfId="1" priority="8" operator="notEqual">
      <formula>$H$1</formula>
    </cfRule>
  </conditionalFormatting>
  <conditionalFormatting sqref="J1">
    <cfRule type="cellIs" dxfId="0" priority="9" operator="notEqual">
      <formula>$D$1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02"/>
  <sheetViews>
    <sheetView tabSelected="1" topLeftCell="A58" workbookViewId="0">
      <selection activeCell="M71" sqref="M71"/>
    </sheetView>
  </sheetViews>
  <sheetFormatPr defaultRowHeight="15"/>
  <sheetData>
    <row r="1" spans="1:16">
      <c r="A1" t="s">
        <v>586</v>
      </c>
      <c r="C1" t="s">
        <v>578</v>
      </c>
      <c r="D1">
        <v>132247</v>
      </c>
      <c r="F1" t="s">
        <v>577</v>
      </c>
      <c r="G1">
        <v>61</v>
      </c>
      <c r="H1">
        <v>2116</v>
      </c>
      <c r="I1" t="s">
        <v>585</v>
      </c>
      <c r="J1">
        <v>132247</v>
      </c>
      <c r="K1">
        <v>61</v>
      </c>
      <c r="L1">
        <v>2116</v>
      </c>
      <c r="M1" t="s">
        <v>575</v>
      </c>
    </row>
    <row r="2" spans="1:16">
      <c r="A2" t="s">
        <v>572</v>
      </c>
      <c r="B2" t="s">
        <v>573</v>
      </c>
      <c r="C2" t="s">
        <v>575</v>
      </c>
      <c r="D2" t="s">
        <v>574</v>
      </c>
      <c r="E2" t="s">
        <v>576</v>
      </c>
      <c r="F2" t="s">
        <v>575</v>
      </c>
      <c r="G2" t="s">
        <v>574</v>
      </c>
      <c r="H2" t="s">
        <v>576</v>
      </c>
      <c r="I2" t="s">
        <v>579</v>
      </c>
      <c r="J2" t="s">
        <v>580</v>
      </c>
      <c r="K2" t="s">
        <v>581</v>
      </c>
      <c r="L2" t="s">
        <v>582</v>
      </c>
      <c r="M2" t="s">
        <v>583</v>
      </c>
      <c r="N2" t="s">
        <v>584</v>
      </c>
      <c r="O2" t="s">
        <v>574</v>
      </c>
      <c r="P2" t="s">
        <v>576</v>
      </c>
    </row>
    <row r="3" spans="1:16">
      <c r="C3">
        <v>68477</v>
      </c>
      <c r="D3">
        <v>61</v>
      </c>
      <c r="E3">
        <v>1059</v>
      </c>
      <c r="F3">
        <v>63770</v>
      </c>
      <c r="G3">
        <v>0</v>
      </c>
      <c r="H3">
        <v>1057</v>
      </c>
      <c r="I3">
        <v>1106</v>
      </c>
      <c r="J3">
        <v>48897</v>
      </c>
      <c r="K3">
        <v>6126</v>
      </c>
      <c r="L3">
        <v>11705</v>
      </c>
      <c r="M3">
        <v>3393</v>
      </c>
      <c r="N3">
        <v>61020</v>
      </c>
      <c r="O3">
        <v>61</v>
      </c>
      <c r="P3">
        <v>2116</v>
      </c>
    </row>
    <row r="4" spans="1:16">
      <c r="A4" t="s">
        <v>126</v>
      </c>
      <c r="B4" t="s">
        <v>127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134</v>
      </c>
      <c r="B5" t="s">
        <v>135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140</v>
      </c>
      <c r="B6" t="s">
        <v>127</v>
      </c>
      <c r="C6">
        <v>594</v>
      </c>
      <c r="D6">
        <v>0</v>
      </c>
      <c r="E6">
        <v>26</v>
      </c>
      <c r="F6">
        <v>475</v>
      </c>
      <c r="G6">
        <v>0</v>
      </c>
      <c r="H6">
        <v>0</v>
      </c>
      <c r="I6">
        <v>0</v>
      </c>
      <c r="J6">
        <v>1069</v>
      </c>
      <c r="K6">
        <v>0</v>
      </c>
      <c r="L6">
        <v>0</v>
      </c>
      <c r="M6">
        <v>0</v>
      </c>
      <c r="N6">
        <v>0</v>
      </c>
      <c r="O6">
        <v>0</v>
      </c>
      <c r="P6">
        <v>26</v>
      </c>
    </row>
    <row r="7" spans="1:16">
      <c r="A7" t="s">
        <v>142</v>
      </c>
      <c r="B7" t="s">
        <v>143</v>
      </c>
      <c r="C7">
        <v>1891</v>
      </c>
      <c r="D7">
        <v>0</v>
      </c>
      <c r="E7">
        <v>0</v>
      </c>
      <c r="F7">
        <v>1000</v>
      </c>
      <c r="G7">
        <v>0</v>
      </c>
      <c r="H7">
        <v>80</v>
      </c>
      <c r="I7">
        <v>0</v>
      </c>
      <c r="J7">
        <v>2891</v>
      </c>
      <c r="K7">
        <v>0</v>
      </c>
      <c r="L7">
        <v>0</v>
      </c>
      <c r="M7">
        <v>0</v>
      </c>
      <c r="N7">
        <v>0</v>
      </c>
      <c r="O7">
        <v>0</v>
      </c>
      <c r="P7">
        <v>80</v>
      </c>
    </row>
    <row r="8" spans="1:16">
      <c r="A8" t="s">
        <v>146</v>
      </c>
      <c r="B8">
        <v>10620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151</v>
      </c>
      <c r="B9">
        <v>10620</v>
      </c>
      <c r="C9">
        <v>1371</v>
      </c>
      <c r="D9">
        <v>0</v>
      </c>
      <c r="E9">
        <v>20</v>
      </c>
      <c r="F9">
        <v>1560</v>
      </c>
      <c r="G9">
        <v>0</v>
      </c>
      <c r="H9">
        <v>13</v>
      </c>
      <c r="I9">
        <v>0</v>
      </c>
      <c r="J9">
        <v>2931</v>
      </c>
      <c r="K9">
        <v>0</v>
      </c>
      <c r="L9">
        <v>0</v>
      </c>
      <c r="M9">
        <v>0</v>
      </c>
      <c r="N9">
        <v>0</v>
      </c>
      <c r="O9">
        <v>0</v>
      </c>
      <c r="P9">
        <v>33</v>
      </c>
    </row>
    <row r="10" spans="1:16">
      <c r="A10" t="s">
        <v>153</v>
      </c>
      <c r="B10" t="s">
        <v>154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158</v>
      </c>
      <c r="B11" t="s">
        <v>159</v>
      </c>
      <c r="C11">
        <v>0</v>
      </c>
      <c r="D11">
        <v>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61</v>
      </c>
      <c r="P11">
        <v>0</v>
      </c>
    </row>
    <row r="12" spans="1:16">
      <c r="A12" t="s">
        <v>162</v>
      </c>
      <c r="B12" t="s">
        <v>163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165</v>
      </c>
      <c r="B13">
        <v>31100</v>
      </c>
      <c r="C13">
        <v>364</v>
      </c>
      <c r="D13">
        <v>0</v>
      </c>
      <c r="E13">
        <v>0</v>
      </c>
      <c r="F13">
        <v>273</v>
      </c>
      <c r="G13">
        <v>0</v>
      </c>
      <c r="H13">
        <v>0</v>
      </c>
      <c r="I13">
        <v>0</v>
      </c>
      <c r="J13">
        <v>637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167</v>
      </c>
      <c r="B14" t="s">
        <v>163</v>
      </c>
      <c r="C14">
        <v>551</v>
      </c>
      <c r="D14">
        <v>0</v>
      </c>
      <c r="E14">
        <v>0</v>
      </c>
      <c r="F14">
        <v>425</v>
      </c>
      <c r="G14">
        <v>0</v>
      </c>
      <c r="H14">
        <v>0</v>
      </c>
      <c r="I14">
        <v>0</v>
      </c>
      <c r="J14">
        <v>976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169</v>
      </c>
      <c r="B15" t="s">
        <v>170</v>
      </c>
      <c r="C15">
        <v>655</v>
      </c>
      <c r="D15">
        <v>0</v>
      </c>
      <c r="E15">
        <v>42</v>
      </c>
      <c r="F15">
        <v>51</v>
      </c>
      <c r="G15">
        <v>0</v>
      </c>
      <c r="H15">
        <v>19</v>
      </c>
      <c r="I15">
        <v>0</v>
      </c>
      <c r="J15">
        <v>706</v>
      </c>
      <c r="K15">
        <v>0</v>
      </c>
      <c r="L15">
        <v>0</v>
      </c>
      <c r="M15">
        <v>0</v>
      </c>
      <c r="N15">
        <v>0</v>
      </c>
      <c r="O15">
        <v>0</v>
      </c>
      <c r="P15">
        <v>61</v>
      </c>
    </row>
    <row r="16" spans="1:16">
      <c r="A16" t="s">
        <v>172</v>
      </c>
      <c r="B16" t="s">
        <v>173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144</v>
      </c>
      <c r="B17" t="s">
        <v>143</v>
      </c>
      <c r="C17">
        <v>2083</v>
      </c>
      <c r="D17">
        <v>0</v>
      </c>
      <c r="E17">
        <v>25</v>
      </c>
      <c r="F17">
        <v>2000</v>
      </c>
      <c r="G17">
        <v>0</v>
      </c>
      <c r="H17">
        <v>0</v>
      </c>
      <c r="I17">
        <v>0</v>
      </c>
      <c r="J17">
        <v>4083</v>
      </c>
      <c r="K17">
        <v>0</v>
      </c>
      <c r="L17">
        <v>0</v>
      </c>
      <c r="M17">
        <v>0</v>
      </c>
      <c r="N17">
        <v>0</v>
      </c>
      <c r="O17">
        <v>0</v>
      </c>
      <c r="P17">
        <v>25</v>
      </c>
    </row>
    <row r="18" spans="1:16">
      <c r="A18" t="s">
        <v>176</v>
      </c>
      <c r="B18" t="s">
        <v>177</v>
      </c>
      <c r="C18">
        <v>924</v>
      </c>
      <c r="D18">
        <v>0</v>
      </c>
      <c r="E18">
        <v>11</v>
      </c>
      <c r="F18">
        <v>0</v>
      </c>
      <c r="G18">
        <v>0</v>
      </c>
      <c r="H18">
        <v>0</v>
      </c>
      <c r="I18">
        <v>0</v>
      </c>
      <c r="J18">
        <v>924</v>
      </c>
      <c r="K18">
        <v>0</v>
      </c>
      <c r="L18">
        <v>0</v>
      </c>
      <c r="M18">
        <v>0</v>
      </c>
      <c r="N18">
        <v>0</v>
      </c>
      <c r="O18">
        <v>0</v>
      </c>
      <c r="P18">
        <v>11</v>
      </c>
    </row>
    <row r="19" spans="1:16">
      <c r="A19" t="s">
        <v>179</v>
      </c>
      <c r="B19" t="s">
        <v>180</v>
      </c>
      <c r="C19">
        <v>1635</v>
      </c>
      <c r="D19">
        <v>0</v>
      </c>
      <c r="E19">
        <v>28</v>
      </c>
      <c r="F19">
        <v>2526</v>
      </c>
      <c r="G19">
        <v>0</v>
      </c>
      <c r="H19">
        <v>50</v>
      </c>
      <c r="I19">
        <v>0</v>
      </c>
      <c r="J19">
        <v>4161</v>
      </c>
      <c r="K19">
        <v>0</v>
      </c>
      <c r="L19">
        <v>0</v>
      </c>
      <c r="M19">
        <v>0</v>
      </c>
      <c r="N19">
        <v>0</v>
      </c>
      <c r="O19">
        <v>0</v>
      </c>
      <c r="P19">
        <v>78</v>
      </c>
    </row>
    <row r="20" spans="1:16">
      <c r="A20" t="s">
        <v>183</v>
      </c>
      <c r="B20" t="s">
        <v>163</v>
      </c>
      <c r="C20">
        <v>408</v>
      </c>
      <c r="D20">
        <v>0</v>
      </c>
      <c r="E20">
        <v>0</v>
      </c>
      <c r="F20">
        <v>0</v>
      </c>
      <c r="G20">
        <v>0</v>
      </c>
      <c r="H20">
        <v>30</v>
      </c>
      <c r="I20">
        <v>0</v>
      </c>
      <c r="J20">
        <v>408</v>
      </c>
      <c r="K20">
        <v>0</v>
      </c>
      <c r="L20">
        <v>0</v>
      </c>
      <c r="M20">
        <v>0</v>
      </c>
      <c r="N20">
        <v>0</v>
      </c>
      <c r="O20">
        <v>0</v>
      </c>
      <c r="P20">
        <v>30</v>
      </c>
    </row>
    <row r="21" spans="1:16">
      <c r="A21" t="s">
        <v>185</v>
      </c>
      <c r="B21" t="s">
        <v>127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189</v>
      </c>
      <c r="B23" t="s">
        <v>190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194</v>
      </c>
      <c r="B24">
        <v>31100</v>
      </c>
      <c r="C24">
        <v>444</v>
      </c>
      <c r="D24">
        <v>0</v>
      </c>
      <c r="E24">
        <v>5</v>
      </c>
      <c r="F24">
        <v>386</v>
      </c>
      <c r="G24">
        <v>0</v>
      </c>
      <c r="H24">
        <v>0</v>
      </c>
      <c r="I24">
        <v>0</v>
      </c>
      <c r="J24">
        <v>830</v>
      </c>
      <c r="K24">
        <v>0</v>
      </c>
      <c r="L24">
        <v>0</v>
      </c>
      <c r="M24">
        <v>0</v>
      </c>
      <c r="N24">
        <v>0</v>
      </c>
      <c r="O24">
        <v>0</v>
      </c>
      <c r="P24">
        <v>5</v>
      </c>
    </row>
    <row r="25" spans="1:16">
      <c r="A25" t="s">
        <v>196</v>
      </c>
      <c r="B25" t="s">
        <v>143</v>
      </c>
      <c r="C25">
        <v>1835</v>
      </c>
      <c r="D25">
        <v>0</v>
      </c>
      <c r="E25">
        <v>0</v>
      </c>
      <c r="F25">
        <v>1951</v>
      </c>
      <c r="G25">
        <v>0</v>
      </c>
      <c r="H25">
        <v>150</v>
      </c>
      <c r="I25">
        <v>0</v>
      </c>
      <c r="J25">
        <v>3786</v>
      </c>
      <c r="K25">
        <v>0</v>
      </c>
      <c r="L25">
        <v>0</v>
      </c>
      <c r="M25">
        <v>0</v>
      </c>
      <c r="N25">
        <v>0</v>
      </c>
      <c r="O25">
        <v>0</v>
      </c>
      <c r="P25">
        <v>150</v>
      </c>
    </row>
    <row r="26" spans="1:16">
      <c r="A26" t="s">
        <v>198</v>
      </c>
      <c r="B26" t="s">
        <v>199</v>
      </c>
      <c r="C26">
        <v>1966</v>
      </c>
      <c r="D26">
        <v>0</v>
      </c>
      <c r="E26">
        <v>0</v>
      </c>
      <c r="F26">
        <v>1134</v>
      </c>
      <c r="G26">
        <v>0</v>
      </c>
      <c r="H26">
        <v>66</v>
      </c>
      <c r="I26">
        <v>0</v>
      </c>
      <c r="J26">
        <v>3100</v>
      </c>
      <c r="K26">
        <v>0</v>
      </c>
      <c r="L26">
        <v>0</v>
      </c>
      <c r="M26">
        <v>0</v>
      </c>
      <c r="N26">
        <v>0</v>
      </c>
      <c r="O26">
        <v>0</v>
      </c>
      <c r="P26">
        <v>66</v>
      </c>
    </row>
    <row r="27" spans="1:16">
      <c r="A27" t="s">
        <v>202</v>
      </c>
      <c r="B27" t="s">
        <v>203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205</v>
      </c>
      <c r="B28" t="s">
        <v>485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210</v>
      </c>
      <c r="B29" t="s">
        <v>211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212</v>
      </c>
      <c r="B30" t="s">
        <v>213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216</v>
      </c>
      <c r="B31">
        <v>699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217</v>
      </c>
      <c r="B32" t="s">
        <v>177</v>
      </c>
      <c r="C32">
        <v>1494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1494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219</v>
      </c>
      <c r="B33" t="s">
        <v>220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224</v>
      </c>
      <c r="B34" t="s">
        <v>225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230</v>
      </c>
      <c r="B35" t="s">
        <v>220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232</v>
      </c>
      <c r="B36" t="s">
        <v>233</v>
      </c>
      <c r="C36">
        <v>4800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4800</v>
      </c>
      <c r="O36">
        <v>0</v>
      </c>
      <c r="P36">
        <v>0</v>
      </c>
    </row>
    <row r="37" spans="1:16">
      <c r="A37" t="s">
        <v>236</v>
      </c>
      <c r="B37" t="s">
        <v>237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240</v>
      </c>
      <c r="B38" t="s">
        <v>241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242</v>
      </c>
      <c r="B39">
        <v>2401</v>
      </c>
      <c r="C39">
        <v>3959</v>
      </c>
      <c r="D39">
        <v>0</v>
      </c>
      <c r="E39">
        <v>0</v>
      </c>
      <c r="F39">
        <v>4132</v>
      </c>
      <c r="G39">
        <v>0</v>
      </c>
      <c r="H39">
        <v>0</v>
      </c>
      <c r="I39">
        <v>0</v>
      </c>
      <c r="J39">
        <v>8091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244</v>
      </c>
      <c r="B40" t="s">
        <v>213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248</v>
      </c>
      <c r="B41" t="s">
        <v>249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250</v>
      </c>
      <c r="B42" t="s">
        <v>251</v>
      </c>
      <c r="C42">
        <v>1643</v>
      </c>
      <c r="D42">
        <v>0</v>
      </c>
      <c r="E42">
        <v>22</v>
      </c>
      <c r="F42">
        <v>1587</v>
      </c>
      <c r="G42">
        <v>0</v>
      </c>
      <c r="H42">
        <v>43</v>
      </c>
      <c r="I42">
        <v>0</v>
      </c>
      <c r="J42">
        <v>0</v>
      </c>
      <c r="K42">
        <v>0</v>
      </c>
      <c r="L42">
        <v>0</v>
      </c>
      <c r="M42">
        <v>3230</v>
      </c>
      <c r="N42">
        <v>0</v>
      </c>
      <c r="O42">
        <v>0</v>
      </c>
      <c r="P42">
        <v>65</v>
      </c>
    </row>
    <row r="43" spans="1:16">
      <c r="A43" t="s">
        <v>253</v>
      </c>
      <c r="B43" t="s">
        <v>254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255</v>
      </c>
      <c r="B44" t="s">
        <v>256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259</v>
      </c>
      <c r="B45" t="s">
        <v>260</v>
      </c>
      <c r="C45">
        <v>666</v>
      </c>
      <c r="D45">
        <v>0</v>
      </c>
      <c r="E45">
        <v>133</v>
      </c>
      <c r="F45">
        <v>1334</v>
      </c>
      <c r="G45">
        <v>0</v>
      </c>
      <c r="H45">
        <v>33</v>
      </c>
      <c r="I45">
        <v>0</v>
      </c>
      <c r="J45">
        <v>0</v>
      </c>
      <c r="K45">
        <v>0</v>
      </c>
      <c r="L45">
        <v>0</v>
      </c>
      <c r="M45">
        <v>0</v>
      </c>
      <c r="N45">
        <v>2000</v>
      </c>
      <c r="O45">
        <v>0</v>
      </c>
      <c r="P45">
        <v>166</v>
      </c>
    </row>
    <row r="46" spans="1:16">
      <c r="A46" t="s">
        <v>262</v>
      </c>
      <c r="B46" t="s">
        <v>263</v>
      </c>
      <c r="C46">
        <v>656</v>
      </c>
      <c r="D46">
        <v>0</v>
      </c>
      <c r="E46">
        <v>0</v>
      </c>
      <c r="F46">
        <v>2675</v>
      </c>
      <c r="G46">
        <v>0</v>
      </c>
      <c r="H46">
        <v>0</v>
      </c>
      <c r="I46">
        <v>0</v>
      </c>
      <c r="J46">
        <v>0</v>
      </c>
      <c r="K46">
        <v>0</v>
      </c>
      <c r="L46">
        <v>3331</v>
      </c>
      <c r="M46">
        <v>0</v>
      </c>
      <c r="N46">
        <v>0</v>
      </c>
      <c r="O46">
        <v>0</v>
      </c>
      <c r="P46">
        <v>0</v>
      </c>
    </row>
    <row r="47" spans="1:16">
      <c r="A47" t="s">
        <v>266</v>
      </c>
      <c r="B47" t="s">
        <v>267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268</v>
      </c>
      <c r="B48" t="s">
        <v>263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269</v>
      </c>
      <c r="B49" t="s">
        <v>270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273</v>
      </c>
      <c r="B50" t="s">
        <v>274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276</v>
      </c>
      <c r="B51">
        <v>305</v>
      </c>
      <c r="C51">
        <v>4696</v>
      </c>
      <c r="D51">
        <v>0</v>
      </c>
      <c r="E51">
        <v>34</v>
      </c>
      <c r="F51">
        <v>4639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9335</v>
      </c>
      <c r="O51">
        <v>0</v>
      </c>
      <c r="P51">
        <v>34</v>
      </c>
    </row>
    <row r="52" spans="1:16">
      <c r="A52" t="s">
        <v>278</v>
      </c>
      <c r="B52" t="s">
        <v>279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281</v>
      </c>
      <c r="B53" t="s">
        <v>282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284</v>
      </c>
      <c r="B54">
        <v>378</v>
      </c>
      <c r="C54">
        <v>3306</v>
      </c>
      <c r="D54">
        <v>0</v>
      </c>
      <c r="E54">
        <v>0</v>
      </c>
      <c r="F54">
        <v>2723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6029</v>
      </c>
      <c r="O54">
        <v>0</v>
      </c>
      <c r="P54">
        <v>0</v>
      </c>
    </row>
    <row r="55" spans="1:16">
      <c r="A55" t="s">
        <v>286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287</v>
      </c>
      <c r="B56" t="s">
        <v>288</v>
      </c>
      <c r="C56">
        <v>410</v>
      </c>
      <c r="D56">
        <v>0</v>
      </c>
      <c r="E56">
        <v>136</v>
      </c>
      <c r="F56">
        <v>822</v>
      </c>
      <c r="G56">
        <v>0</v>
      </c>
      <c r="H56">
        <v>266</v>
      </c>
      <c r="I56">
        <v>0</v>
      </c>
      <c r="J56">
        <v>0</v>
      </c>
      <c r="K56">
        <v>0</v>
      </c>
      <c r="L56">
        <v>1232</v>
      </c>
      <c r="M56">
        <v>0</v>
      </c>
      <c r="N56">
        <v>0</v>
      </c>
      <c r="O56">
        <v>0</v>
      </c>
      <c r="P56">
        <v>402</v>
      </c>
    </row>
    <row r="57" spans="1:16">
      <c r="A57" t="s">
        <v>290</v>
      </c>
      <c r="B57" t="s">
        <v>291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293</v>
      </c>
      <c r="B58" t="s">
        <v>294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296</v>
      </c>
      <c r="B59" t="s">
        <v>297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300</v>
      </c>
      <c r="B60" t="s">
        <v>301</v>
      </c>
      <c r="C60">
        <v>5132</v>
      </c>
      <c r="D60">
        <v>0</v>
      </c>
      <c r="E60">
        <v>0</v>
      </c>
      <c r="F60">
        <v>5015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10147</v>
      </c>
      <c r="O60">
        <v>0</v>
      </c>
      <c r="P60">
        <v>0</v>
      </c>
    </row>
    <row r="61" spans="1:16">
      <c r="A61" t="s">
        <v>303</v>
      </c>
      <c r="B61" t="s">
        <v>304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307</v>
      </c>
      <c r="B62" t="s">
        <v>260</v>
      </c>
      <c r="C62">
        <v>1266</v>
      </c>
      <c r="D62">
        <v>0</v>
      </c>
      <c r="E62">
        <v>0</v>
      </c>
      <c r="F62">
        <v>1647</v>
      </c>
      <c r="G62">
        <v>0</v>
      </c>
      <c r="H62">
        <v>66</v>
      </c>
      <c r="I62">
        <v>0</v>
      </c>
      <c r="J62">
        <v>0</v>
      </c>
      <c r="K62">
        <v>0</v>
      </c>
      <c r="L62">
        <v>0</v>
      </c>
      <c r="M62">
        <v>0</v>
      </c>
      <c r="N62">
        <v>2913</v>
      </c>
      <c r="O62">
        <v>0</v>
      </c>
      <c r="P62">
        <v>66</v>
      </c>
    </row>
    <row r="63" spans="1:16">
      <c r="A63" t="s">
        <v>309</v>
      </c>
      <c r="B63" t="s">
        <v>310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311</v>
      </c>
      <c r="B64" t="s">
        <v>312</v>
      </c>
      <c r="C64">
        <v>5271</v>
      </c>
      <c r="D64">
        <v>0</v>
      </c>
      <c r="E64">
        <v>0</v>
      </c>
      <c r="F64">
        <v>5838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11109</v>
      </c>
      <c r="O64">
        <v>0</v>
      </c>
      <c r="P64">
        <v>0</v>
      </c>
    </row>
    <row r="65" spans="1:16">
      <c r="A65" t="s">
        <v>314</v>
      </c>
      <c r="B65" t="s">
        <v>260</v>
      </c>
      <c r="C65">
        <v>1533</v>
      </c>
      <c r="D65">
        <v>0</v>
      </c>
      <c r="E65">
        <v>66</v>
      </c>
      <c r="F65">
        <v>1633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3166</v>
      </c>
      <c r="O65">
        <v>0</v>
      </c>
      <c r="P65">
        <v>66</v>
      </c>
    </row>
    <row r="66" spans="1:16">
      <c r="A66" t="s">
        <v>316</v>
      </c>
      <c r="B66" t="s">
        <v>317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319</v>
      </c>
      <c r="B67">
        <v>8400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320</v>
      </c>
      <c r="B68" t="s">
        <v>321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323</v>
      </c>
      <c r="B69" t="s">
        <v>260</v>
      </c>
      <c r="C69">
        <v>1133</v>
      </c>
      <c r="D69">
        <v>0</v>
      </c>
      <c r="E69">
        <v>0</v>
      </c>
      <c r="F69">
        <v>1667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2800</v>
      </c>
      <c r="O69">
        <v>0</v>
      </c>
      <c r="P69">
        <v>0</v>
      </c>
    </row>
    <row r="70" spans="1:16">
      <c r="A70" t="s">
        <v>325</v>
      </c>
      <c r="B70" t="s">
        <v>326</v>
      </c>
      <c r="C70">
        <v>1908</v>
      </c>
      <c r="D70">
        <v>0</v>
      </c>
      <c r="E70">
        <v>6</v>
      </c>
      <c r="F70">
        <v>1901</v>
      </c>
      <c r="G70">
        <v>0</v>
      </c>
      <c r="H70">
        <v>0</v>
      </c>
      <c r="I70">
        <v>0</v>
      </c>
      <c r="J70">
        <v>3809</v>
      </c>
      <c r="K70">
        <v>0</v>
      </c>
      <c r="L70">
        <v>0</v>
      </c>
      <c r="M70">
        <v>0</v>
      </c>
      <c r="N70">
        <v>0</v>
      </c>
      <c r="O70">
        <v>0</v>
      </c>
      <c r="P70">
        <v>6</v>
      </c>
    </row>
    <row r="71" spans="1:16">
      <c r="A71" t="s">
        <v>329</v>
      </c>
      <c r="B71" t="s">
        <v>330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332</v>
      </c>
      <c r="B72" t="s">
        <v>260</v>
      </c>
      <c r="C72">
        <v>1466</v>
      </c>
      <c r="D72">
        <v>0</v>
      </c>
      <c r="E72">
        <v>33</v>
      </c>
      <c r="F72">
        <v>1667</v>
      </c>
      <c r="G72">
        <v>0</v>
      </c>
      <c r="H72">
        <v>67</v>
      </c>
      <c r="I72">
        <v>0</v>
      </c>
      <c r="J72">
        <v>0</v>
      </c>
      <c r="K72">
        <v>0</v>
      </c>
      <c r="L72">
        <v>0</v>
      </c>
      <c r="M72">
        <v>0</v>
      </c>
      <c r="N72">
        <v>3133</v>
      </c>
      <c r="O72">
        <v>0</v>
      </c>
      <c r="P72">
        <v>100</v>
      </c>
    </row>
    <row r="73" spans="1:16">
      <c r="A73" t="s">
        <v>334</v>
      </c>
      <c r="B73" t="s">
        <v>260</v>
      </c>
      <c r="C73">
        <v>333</v>
      </c>
      <c r="D73">
        <v>0</v>
      </c>
      <c r="E73">
        <v>260</v>
      </c>
      <c r="F73">
        <v>1067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1400</v>
      </c>
      <c r="O73">
        <v>0</v>
      </c>
      <c r="P73">
        <v>260</v>
      </c>
    </row>
    <row r="74" spans="1:16">
      <c r="A74" t="s">
        <v>336</v>
      </c>
      <c r="B74" t="s">
        <v>337</v>
      </c>
      <c r="C74">
        <v>3571</v>
      </c>
      <c r="D74">
        <v>0</v>
      </c>
      <c r="E74">
        <v>0</v>
      </c>
      <c r="F74">
        <v>3571</v>
      </c>
      <c r="G74">
        <v>0</v>
      </c>
      <c r="H74">
        <v>0</v>
      </c>
      <c r="I74">
        <v>0</v>
      </c>
      <c r="J74">
        <v>0</v>
      </c>
      <c r="K74">
        <v>0</v>
      </c>
      <c r="L74">
        <v>7142</v>
      </c>
      <c r="M74">
        <v>0</v>
      </c>
      <c r="N74">
        <v>0</v>
      </c>
      <c r="O74">
        <v>0</v>
      </c>
      <c r="P74">
        <v>0</v>
      </c>
    </row>
    <row r="75" spans="1:16">
      <c r="A75" t="s">
        <v>341</v>
      </c>
      <c r="B75" t="s">
        <v>342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343</v>
      </c>
      <c r="B76" t="s">
        <v>317</v>
      </c>
      <c r="C76">
        <v>1790</v>
      </c>
      <c r="D76">
        <v>0</v>
      </c>
      <c r="E76">
        <v>0</v>
      </c>
      <c r="F76">
        <v>1606</v>
      </c>
      <c r="G76">
        <v>0</v>
      </c>
      <c r="H76">
        <v>0</v>
      </c>
      <c r="I76">
        <v>0</v>
      </c>
      <c r="J76">
        <v>3396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345</v>
      </c>
      <c r="B77" t="s">
        <v>346</v>
      </c>
      <c r="C77">
        <v>2787</v>
      </c>
      <c r="D77">
        <v>0</v>
      </c>
      <c r="E77">
        <v>0</v>
      </c>
      <c r="F77">
        <v>2818</v>
      </c>
      <c r="G77">
        <v>0</v>
      </c>
      <c r="H77">
        <v>0</v>
      </c>
      <c r="I77">
        <v>0</v>
      </c>
      <c r="J77">
        <v>5605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348</v>
      </c>
      <c r="B78" t="s">
        <v>349</v>
      </c>
      <c r="C78">
        <v>3110</v>
      </c>
      <c r="D78">
        <v>0</v>
      </c>
      <c r="E78">
        <v>8</v>
      </c>
      <c r="F78">
        <v>3016</v>
      </c>
      <c r="G78">
        <v>0</v>
      </c>
      <c r="H78">
        <v>105</v>
      </c>
      <c r="I78">
        <v>0</v>
      </c>
      <c r="J78">
        <v>0</v>
      </c>
      <c r="K78">
        <v>6126</v>
      </c>
      <c r="L78">
        <v>0</v>
      </c>
      <c r="M78">
        <v>0</v>
      </c>
      <c r="N78">
        <v>0</v>
      </c>
      <c r="O78">
        <v>0</v>
      </c>
      <c r="P78">
        <v>113</v>
      </c>
    </row>
    <row r="79" spans="1:16">
      <c r="A79" t="s">
        <v>351</v>
      </c>
      <c r="B79" t="s">
        <v>352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354</v>
      </c>
      <c r="B80" t="s">
        <v>260</v>
      </c>
      <c r="C80">
        <v>1493</v>
      </c>
      <c r="D80">
        <v>0</v>
      </c>
      <c r="E80">
        <v>80</v>
      </c>
      <c r="F80">
        <v>1667</v>
      </c>
      <c r="G80">
        <v>0</v>
      </c>
      <c r="H80">
        <v>66</v>
      </c>
      <c r="I80">
        <v>0</v>
      </c>
      <c r="J80">
        <v>0</v>
      </c>
      <c r="K80">
        <v>0</v>
      </c>
      <c r="L80">
        <v>0</v>
      </c>
      <c r="M80">
        <v>0</v>
      </c>
      <c r="N80">
        <v>3160</v>
      </c>
      <c r="O80">
        <v>0</v>
      </c>
      <c r="P80">
        <v>146</v>
      </c>
    </row>
    <row r="81" spans="1:16">
      <c r="A81" t="s">
        <v>356</v>
      </c>
      <c r="B81" t="s">
        <v>357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358</v>
      </c>
      <c r="B82" t="s">
        <v>359</v>
      </c>
      <c r="C82">
        <v>80</v>
      </c>
      <c r="D82">
        <v>0</v>
      </c>
      <c r="E82">
        <v>11</v>
      </c>
      <c r="F82">
        <v>69</v>
      </c>
      <c r="G82">
        <v>0</v>
      </c>
      <c r="H82">
        <v>0</v>
      </c>
      <c r="I82">
        <v>149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11</v>
      </c>
    </row>
    <row r="83" spans="1:16">
      <c r="A83" t="s">
        <v>361</v>
      </c>
      <c r="B83" t="s">
        <v>362</v>
      </c>
      <c r="C83">
        <v>424</v>
      </c>
      <c r="D83">
        <v>0</v>
      </c>
      <c r="E83">
        <v>0</v>
      </c>
      <c r="F83">
        <v>327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751</v>
      </c>
      <c r="O83">
        <v>0</v>
      </c>
      <c r="P83">
        <v>0</v>
      </c>
    </row>
    <row r="84" spans="1:16">
      <c r="A84" t="s">
        <v>364</v>
      </c>
      <c r="B84" t="s">
        <v>365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366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367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368</v>
      </c>
      <c r="B87" t="s">
        <v>369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371</v>
      </c>
      <c r="B88" t="s">
        <v>357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372</v>
      </c>
      <c r="B89" t="s">
        <v>373</v>
      </c>
      <c r="C89">
        <v>282</v>
      </c>
      <c r="D89">
        <v>0</v>
      </c>
      <c r="E89">
        <v>0</v>
      </c>
      <c r="F89">
        <v>304</v>
      </c>
      <c r="G89">
        <v>0</v>
      </c>
      <c r="H89">
        <v>0</v>
      </c>
      <c r="I89">
        <v>586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375</v>
      </c>
      <c r="B90" t="s">
        <v>376</v>
      </c>
      <c r="C90">
        <v>190</v>
      </c>
      <c r="D90">
        <v>0</v>
      </c>
      <c r="E90">
        <v>3</v>
      </c>
      <c r="F90">
        <v>181</v>
      </c>
      <c r="G90">
        <v>0</v>
      </c>
      <c r="H90">
        <v>3</v>
      </c>
      <c r="I90">
        <v>371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</v>
      </c>
    </row>
    <row r="91" spans="1:16">
      <c r="A91" t="s">
        <v>378</v>
      </c>
      <c r="B91" t="s">
        <v>379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380</v>
      </c>
      <c r="B92" t="s">
        <v>381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382</v>
      </c>
      <c r="B93" t="s">
        <v>383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385</v>
      </c>
      <c r="B94" t="s">
        <v>386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389</v>
      </c>
      <c r="B95" t="s">
        <v>390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391</v>
      </c>
      <c r="B96" t="s">
        <v>478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395</v>
      </c>
      <c r="B97" t="s">
        <v>488</v>
      </c>
      <c r="C97">
        <v>163</v>
      </c>
      <c r="D97">
        <v>0</v>
      </c>
      <c r="E97">
        <v>103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163</v>
      </c>
      <c r="N97">
        <v>0</v>
      </c>
      <c r="O97">
        <v>0</v>
      </c>
      <c r="P97">
        <v>103</v>
      </c>
    </row>
    <row r="98" spans="1:16">
      <c r="A98" t="s">
        <v>397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398</v>
      </c>
      <c r="B99" t="s">
        <v>399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400</v>
      </c>
      <c r="B100" t="s">
        <v>390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402</v>
      </c>
      <c r="B101" t="s">
        <v>403</v>
      </c>
      <c r="C101">
        <v>194</v>
      </c>
      <c r="D101">
        <v>0</v>
      </c>
      <c r="E101">
        <v>7</v>
      </c>
      <c r="F101">
        <v>83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277</v>
      </c>
      <c r="O101">
        <v>0</v>
      </c>
      <c r="P101">
        <v>7</v>
      </c>
    </row>
    <row r="102" spans="1:16">
      <c r="A102" t="s">
        <v>404</v>
      </c>
      <c r="B102" t="s">
        <v>405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31.01</vt:lpstr>
      <vt:lpstr>02.02</vt:lpstr>
      <vt:lpstr>03.02</vt:lpstr>
      <vt:lpstr>04.02</vt:lpstr>
      <vt:lpstr>05.02</vt:lpstr>
      <vt:lpstr>06.02</vt:lpstr>
      <vt:lpstr>07.02</vt:lpstr>
      <vt:lpstr>09.02</vt:lpstr>
      <vt:lpstr>09.02 (2)</vt:lpstr>
      <vt:lpstr>cong thuc</vt:lpstr>
      <vt:lpstr>parse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</dc:creator>
  <cp:lastModifiedBy>Tashi</cp:lastModifiedBy>
  <cp:lastPrinted>2015-02-10T02:37:57Z</cp:lastPrinted>
  <dcterms:created xsi:type="dcterms:W3CDTF">2015-02-02T06:15:29Z</dcterms:created>
  <dcterms:modified xsi:type="dcterms:W3CDTF">2015-02-11T06:35:58Z</dcterms:modified>
</cp:coreProperties>
</file>