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Values only sheet(removed NA,0," sheetId="2" r:id="rId5"/>
    <sheet state="visible" name="Filtered Data which match fines" sheetId="3" r:id="rId6"/>
    <sheet state="visible" name="from 2019-20 to 2022-23" sheetId="4" r:id="rId7"/>
  </sheets>
  <definedNames>
    <definedName hidden="1" localSheetId="0" name="_xlnm._FilterDatabase">Worksheet!$A$1:$J$1000</definedName>
    <definedName hidden="1" localSheetId="1" name="_xlnm._FilterDatabase">'Values only sheet(removed NA,0,'!$A$1:$A$1000</definedName>
    <definedName hidden="1" localSheetId="3" name="_xlnm._FilterDatabase">'from 2019-20 to 2022-23'!$B$1:$B$1000</definedName>
  </definedNames>
  <calcPr/>
</workbook>
</file>

<file path=xl/sharedStrings.xml><?xml version="1.0" encoding="utf-8"?>
<sst xmlns="http://schemas.openxmlformats.org/spreadsheetml/2006/main" count="158" uniqueCount="55">
  <si>
    <t>Sl. No.</t>
  </si>
  <si>
    <t>State/UT</t>
  </si>
  <si>
    <t>2018-19 - Accrual</t>
  </si>
  <si>
    <t>2018-19 - Release</t>
  </si>
  <si>
    <t>2019-20 - Accrual</t>
  </si>
  <si>
    <t>2019-20 - Release</t>
  </si>
  <si>
    <t>2020-21 - Accrual</t>
  </si>
  <si>
    <t>2020-21 - Release</t>
  </si>
  <si>
    <t>2021-22 - Accrual</t>
  </si>
  <si>
    <t>2021-22 - Release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</si>
  <si>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</si>
  <si>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</si>
  <si>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</si>
  <si>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</si>
  <si>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</si>
  <si>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</si>
  <si>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</si>
  <si>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</si>
  <si>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</si>
  <si>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</si>
  <si>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</si>
  <si>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</si>
  <si>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</si>
  <si>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</si>
  <si>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</si>
  <si>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</si>
  <si>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</si>
  <si>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</si>
  <si>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</si>
  <si>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</si>
  <si>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</si>
  <si>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</si>
  <si>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</si>
  <si>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</si>
  <si>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</si>
  <si>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</si>
  <si>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</si>
  <si>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</si>
  <si>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</si>
  <si>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</si>
  <si>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</si>
  <si>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</si>
  <si>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</si>
  <si>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</si>
  <si>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Jammu and Kashmir</t>
  </si>
  <si>
    <t>Ladakh</t>
  </si>
  <si>
    <t>Puducherry</t>
  </si>
  <si>
    <t>2022-23 (Till 31.10.2022) - Accrual</t>
  </si>
  <si>
    <t>2022-23 (Till 31.10.2022) - Release</t>
  </si>
  <si>
    <t>Total</t>
  </si>
  <si>
    <t xml:space="preserve">Blank Check </t>
  </si>
  <si>
    <t>Duplicate Check</t>
  </si>
  <si>
    <t>Number check</t>
  </si>
  <si>
    <t>Meaning there is no blank cells in the data range</t>
  </si>
  <si>
    <t>Meaning there is no duplicate items in state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</si>
</sst>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Road Development Budget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'Filtered Data which match fines'!$B$1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'Filtered Data which match fines'!$A$2:$A$6</c:f>
            </c:strRef>
          </c:cat>
          <c:val>
            <c:numRef>
              <c:f>'Filtered Data which match fines'!$B$2:$B$6</c:f>
              <c:numCache/>
            </c:numRef>
          </c:val>
        </c:ser>
        <c:ser>
          <c:idx val="1"/>
          <c:order val="1"/>
          <c:tx>
            <c:strRef>
              <c:f>'Filtered Data which match fines'!$C$1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'Filtered Data which match fines'!$A$2:$A$6</c:f>
            </c:strRef>
          </c:cat>
          <c:val>
            <c:numRef>
              <c:f>'Filtered Data which match fines'!$C$2:$C$6</c:f>
              <c:numCache/>
            </c:numRef>
          </c:val>
        </c:ser>
        <c:ser>
          <c:idx val="2"/>
          <c:order val="2"/>
          <c:tx>
            <c:strRef>
              <c:f>'Filtered Data which match fines'!$D$1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'Filtered Data which match fines'!$A$2:$A$6</c:f>
            </c:strRef>
          </c:cat>
          <c:val>
            <c:numRef>
              <c:f>'Filtered Data which match fines'!$D$2:$D$6</c:f>
              <c:numCache/>
            </c:numRef>
          </c:val>
        </c:ser>
        <c:ser>
          <c:idx val="3"/>
          <c:order val="3"/>
          <c:tx>
            <c:strRef>
              <c:f>'Filtered Data which match fines'!$E$1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'Filtered Data which match fines'!$A$2:$A$6</c:f>
            </c:strRef>
          </c:cat>
          <c:val>
            <c:numRef>
              <c:f>'Filtered Data which match fines'!$E$2:$E$6</c:f>
              <c:numCache/>
            </c:numRef>
          </c:val>
        </c:ser>
        <c:axId val="1681206532"/>
        <c:axId val="1150150453"/>
      </c:barChart>
      <c:catAx>
        <c:axId val="1681206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150453"/>
      </c:catAx>
      <c:valAx>
        <c:axId val="1150150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400">
                    <a:solidFill>
                      <a:srgbClr val="000000"/>
                    </a:solidFill>
                    <a:latin typeface="+mn-lt"/>
                  </a:rPr>
                  <a:t>(in Rs.Crore)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1206532"/>
      </c:valAx>
    </c:plotArea>
    <c:legend>
      <c:legendPos val="b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76200</xdr:rowOff>
    </xdr:from>
    <xdr:ext cx="10477500" cy="4648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tr">
        <f>IFERROR(__xludf.DUMMYFUNCTION("FILTER(A:J, (A:A&lt;&gt;0) * (A:A&lt;&gt;"""") * (A:A&lt;&gt;""NA"") * (B:B&lt;&gt;0) * (B:B&lt;&gt;"""") * (B:B&lt;&gt;""NA"") * (C:C&lt;&gt;0) * (C:C&lt;&gt;"""") * (C:C&lt;&gt;""NA"") * (D:D&lt;&gt;0) * (D:D&lt;&gt;"""") * (D:D&lt;&gt;""NA"") * (E:E&lt;&gt;0) * (E:E&lt;&gt;"""") * (E:E&lt;&gt;""NA"") * (F:F&lt;&gt;0) * (F:F&lt;&gt;"""") * (F:F&lt;&gt;""NA"")"&amp;" * (G:G&lt;&gt;0) * (G:G&lt;&gt;"""") * (G:G&lt;&gt;""NA"") * (H:H&lt;&gt;0) * (H:H&lt;&gt;"""") * (H:H&lt;&gt;""NA"") * (I:I&lt;&gt;0) * (I:I&lt;&gt;"""") * (I:I&lt;&gt;""NA"") * (J:J&lt;&gt;0))"),"Sl. No.")</f>
        <v>Sl. No.</v>
      </c>
      <c r="L1" s="1" t="str">
        <f>IFERROR(__xludf.DUMMYFUNCTION("""COMPUTED_VALUE"""),"State/UT")</f>
        <v>State/UT</v>
      </c>
      <c r="M1" s="1" t="str">
        <f>IFERROR(__xludf.DUMMYFUNCTION("""COMPUTED_VALUE"""),"2018-19 - Accrual")</f>
        <v>2018-19 - Accrual</v>
      </c>
      <c r="N1" s="1" t="str">
        <f>IFERROR(__xludf.DUMMYFUNCTION("""COMPUTED_VALUE"""),"2018-19 - Release")</f>
        <v>2018-19 - Release</v>
      </c>
      <c r="O1" s="1" t="str">
        <f>IFERROR(__xludf.DUMMYFUNCTION("""COMPUTED_VALUE"""),"2019-20 - Accrual")</f>
        <v>2019-20 - Accrual</v>
      </c>
      <c r="P1" s="1" t="str">
        <f>IFERROR(__xludf.DUMMYFUNCTION("""COMPUTED_VALUE"""),"2019-20 - Release")</f>
        <v>2019-20 - Release</v>
      </c>
      <c r="Q1" s="1" t="str">
        <f>IFERROR(__xludf.DUMMYFUNCTION("""COMPUTED_VALUE"""),"2020-21 - Accrual")</f>
        <v>2020-21 - Accrual</v>
      </c>
      <c r="R1" s="1" t="str">
        <f>IFERROR(__xludf.DUMMYFUNCTION("""COMPUTED_VALUE"""),"2020-21 - Release")</f>
        <v>2020-21 - Release</v>
      </c>
      <c r="S1" s="1" t="str">
        <f>IFERROR(__xludf.DUMMYFUNCTION("""COMPUTED_VALUE"""),"2021-22 - Accrual")</f>
        <v>2021-22 - Accrual</v>
      </c>
      <c r="T1" s="1" t="str">
        <f>IFERROR(__xludf.DUMMYFUNCTION("""COMPUTED_VALUE"""),"2021-22 - Release")</f>
        <v>2021-22 - Release</v>
      </c>
    </row>
    <row r="2">
      <c r="A2" s="1">
        <v>1.0</v>
      </c>
      <c r="B2" s="1" t="s">
        <v>10</v>
      </c>
      <c r="C2" s="1">
        <v>330.27</v>
      </c>
      <c r="D2" s="1">
        <v>326.88</v>
      </c>
      <c r="E2" s="1">
        <v>349.64</v>
      </c>
      <c r="F2" s="1">
        <v>350.08</v>
      </c>
      <c r="G2" s="1">
        <v>325.54</v>
      </c>
      <c r="H2" s="1">
        <v>322.0</v>
      </c>
      <c r="I2" s="1">
        <v>334.96</v>
      </c>
      <c r="J2" s="1">
        <v>300.8</v>
      </c>
      <c r="K2" s="1">
        <f>IFERROR(__xludf.DUMMYFUNCTION("""COMPUTED_VALUE"""),1.0)</f>
        <v>1</v>
      </c>
      <c r="L2" s="1" t="str">
        <f>IFERROR(__xludf.DUMMYFUNCTION("""COMPUTED_VALUE"""),"Andhra Pradesh")</f>
        <v>Andhra Pradesh</v>
      </c>
      <c r="M2" s="1">
        <f>IFERROR(__xludf.DUMMYFUNCTION("""COMPUTED_VALUE"""),330.27)</f>
        <v>330.27</v>
      </c>
      <c r="N2" s="1">
        <f>IFERROR(__xludf.DUMMYFUNCTION("""COMPUTED_VALUE"""),326.88)</f>
        <v>326.88</v>
      </c>
      <c r="O2" s="1">
        <f>IFERROR(__xludf.DUMMYFUNCTION("""COMPUTED_VALUE"""),349.64)</f>
        <v>349.64</v>
      </c>
      <c r="P2" s="1">
        <f>IFERROR(__xludf.DUMMYFUNCTION("""COMPUTED_VALUE"""),350.08)</f>
        <v>350.08</v>
      </c>
      <c r="Q2" s="1">
        <f>IFERROR(__xludf.DUMMYFUNCTION("""COMPUTED_VALUE"""),325.54)</f>
        <v>325.54</v>
      </c>
      <c r="R2" s="1">
        <f>IFERROR(__xludf.DUMMYFUNCTION("""COMPUTED_VALUE"""),322.0)</f>
        <v>322</v>
      </c>
      <c r="S2" s="1">
        <f>IFERROR(__xludf.DUMMYFUNCTION("""COMPUTED_VALUE"""),334.96)</f>
        <v>334.96</v>
      </c>
      <c r="T2" s="1">
        <f>IFERROR(__xludf.DUMMYFUNCTION("""COMPUTED_VALUE"""),300.8)</f>
        <v>300.8</v>
      </c>
    </row>
    <row r="3">
      <c r="A3" s="1">
        <v>2.0</v>
      </c>
      <c r="B3" s="1" t="s">
        <v>11</v>
      </c>
      <c r="C3" s="1">
        <v>127.91</v>
      </c>
      <c r="D3" s="1">
        <v>108.39</v>
      </c>
      <c r="E3" s="1">
        <v>133.2</v>
      </c>
      <c r="F3" s="1">
        <v>126.61</v>
      </c>
      <c r="G3" s="1">
        <v>125.48</v>
      </c>
      <c r="H3" s="1">
        <v>42.03</v>
      </c>
      <c r="I3" s="1">
        <v>128.39</v>
      </c>
      <c r="J3" s="1">
        <v>128.33</v>
      </c>
      <c r="K3" s="1">
        <f>IFERROR(__xludf.DUMMYFUNCTION("""COMPUTED_VALUE"""),2.0)</f>
        <v>2</v>
      </c>
      <c r="L3" s="1" t="str">
        <f>IFERROR(__xludf.DUMMYFUNCTION("""COMPUTED_VALUE"""),"Arunachal Pradesh")</f>
        <v>Arunachal Pradesh</v>
      </c>
      <c r="M3" s="1">
        <f>IFERROR(__xludf.DUMMYFUNCTION("""COMPUTED_VALUE"""),127.91)</f>
        <v>127.91</v>
      </c>
      <c r="N3" s="1">
        <f>IFERROR(__xludf.DUMMYFUNCTION("""COMPUTED_VALUE"""),108.39)</f>
        <v>108.39</v>
      </c>
      <c r="O3" s="1">
        <f>IFERROR(__xludf.DUMMYFUNCTION("""COMPUTED_VALUE"""),133.2)</f>
        <v>133.2</v>
      </c>
      <c r="P3" s="1">
        <f>IFERROR(__xludf.DUMMYFUNCTION("""COMPUTED_VALUE"""),126.61)</f>
        <v>126.61</v>
      </c>
      <c r="Q3" s="1">
        <f>IFERROR(__xludf.DUMMYFUNCTION("""COMPUTED_VALUE"""),125.48)</f>
        <v>125.48</v>
      </c>
      <c r="R3" s="1">
        <f>IFERROR(__xludf.DUMMYFUNCTION("""COMPUTED_VALUE"""),42.03)</f>
        <v>42.03</v>
      </c>
      <c r="S3" s="1">
        <f>IFERROR(__xludf.DUMMYFUNCTION("""COMPUTED_VALUE"""),128.39)</f>
        <v>128.39</v>
      </c>
      <c r="T3" s="1">
        <f>IFERROR(__xludf.DUMMYFUNCTION("""COMPUTED_VALUE"""),128.33)</f>
        <v>128.33</v>
      </c>
    </row>
    <row r="4">
      <c r="A4" s="1">
        <v>3.0</v>
      </c>
      <c r="B4" s="1" t="s">
        <v>12</v>
      </c>
      <c r="C4" s="1">
        <v>140.97</v>
      </c>
      <c r="D4" s="1">
        <v>255.92</v>
      </c>
      <c r="E4" s="1">
        <v>149.03</v>
      </c>
      <c r="F4" s="1">
        <v>149.03</v>
      </c>
      <c r="G4" s="1">
        <v>140.74</v>
      </c>
      <c r="H4" s="1">
        <v>220.81</v>
      </c>
      <c r="I4" s="1">
        <v>143.8</v>
      </c>
      <c r="J4" s="1">
        <v>77.51</v>
      </c>
      <c r="K4" s="1">
        <f>IFERROR(__xludf.DUMMYFUNCTION("""COMPUTED_VALUE"""),3.0)</f>
        <v>3</v>
      </c>
      <c r="L4" s="1" t="str">
        <f>IFERROR(__xludf.DUMMYFUNCTION("""COMPUTED_VALUE"""),"Assam")</f>
        <v>Assam</v>
      </c>
      <c r="M4" s="1">
        <f>IFERROR(__xludf.DUMMYFUNCTION("""COMPUTED_VALUE"""),140.97)</f>
        <v>140.97</v>
      </c>
      <c r="N4" s="1">
        <f>IFERROR(__xludf.DUMMYFUNCTION("""COMPUTED_VALUE"""),255.92)</f>
        <v>255.92</v>
      </c>
      <c r="O4" s="1">
        <f>IFERROR(__xludf.DUMMYFUNCTION("""COMPUTED_VALUE"""),149.03)</f>
        <v>149.03</v>
      </c>
      <c r="P4" s="1">
        <f>IFERROR(__xludf.DUMMYFUNCTION("""COMPUTED_VALUE"""),149.03)</f>
        <v>149.03</v>
      </c>
      <c r="Q4" s="1">
        <f>IFERROR(__xludf.DUMMYFUNCTION("""COMPUTED_VALUE"""),140.74)</f>
        <v>140.74</v>
      </c>
      <c r="R4" s="1">
        <f>IFERROR(__xludf.DUMMYFUNCTION("""COMPUTED_VALUE"""),220.81)</f>
        <v>220.81</v>
      </c>
      <c r="S4" s="1">
        <f>IFERROR(__xludf.DUMMYFUNCTION("""COMPUTED_VALUE"""),143.8)</f>
        <v>143.8</v>
      </c>
      <c r="T4" s="1">
        <f>IFERROR(__xludf.DUMMYFUNCTION("""COMPUTED_VALUE"""),77.51)</f>
        <v>77.51</v>
      </c>
    </row>
    <row r="5">
      <c r="A5" s="1">
        <v>4.0</v>
      </c>
      <c r="B5" s="1" t="s">
        <v>13</v>
      </c>
      <c r="C5" s="1">
        <v>197.71</v>
      </c>
      <c r="D5" s="1">
        <v>101.49</v>
      </c>
      <c r="E5" s="1">
        <v>210.35</v>
      </c>
      <c r="F5" s="1">
        <v>223.16</v>
      </c>
      <c r="G5" s="1">
        <v>195.3</v>
      </c>
      <c r="H5" s="1">
        <v>425.93</v>
      </c>
      <c r="I5" s="1">
        <v>201.16</v>
      </c>
      <c r="J5" s="1">
        <v>447.06</v>
      </c>
      <c r="K5" s="1">
        <f>IFERROR(__xludf.DUMMYFUNCTION("""COMPUTED_VALUE"""),4.0)</f>
        <v>4</v>
      </c>
      <c r="L5" s="1" t="str">
        <f>IFERROR(__xludf.DUMMYFUNCTION("""COMPUTED_VALUE"""),"Bihar")</f>
        <v>Bihar</v>
      </c>
      <c r="M5" s="1">
        <f>IFERROR(__xludf.DUMMYFUNCTION("""COMPUTED_VALUE"""),197.71)</f>
        <v>197.71</v>
      </c>
      <c r="N5" s="1">
        <f>IFERROR(__xludf.DUMMYFUNCTION("""COMPUTED_VALUE"""),101.49)</f>
        <v>101.49</v>
      </c>
      <c r="O5" s="1">
        <f>IFERROR(__xludf.DUMMYFUNCTION("""COMPUTED_VALUE"""),210.35)</f>
        <v>210.35</v>
      </c>
      <c r="P5" s="1">
        <f>IFERROR(__xludf.DUMMYFUNCTION("""COMPUTED_VALUE"""),223.16)</f>
        <v>223.16</v>
      </c>
      <c r="Q5" s="1">
        <f>IFERROR(__xludf.DUMMYFUNCTION("""COMPUTED_VALUE"""),195.3)</f>
        <v>195.3</v>
      </c>
      <c r="R5" s="1">
        <f>IFERROR(__xludf.DUMMYFUNCTION("""COMPUTED_VALUE"""),425.93)</f>
        <v>425.93</v>
      </c>
      <c r="S5" s="1">
        <f>IFERROR(__xludf.DUMMYFUNCTION("""COMPUTED_VALUE"""),201.16)</f>
        <v>201.16</v>
      </c>
      <c r="T5" s="1">
        <f>IFERROR(__xludf.DUMMYFUNCTION("""COMPUTED_VALUE"""),447.06)</f>
        <v>447.06</v>
      </c>
    </row>
    <row r="6">
      <c r="A6" s="1">
        <v>5.0</v>
      </c>
      <c r="B6" s="1" t="s">
        <v>14</v>
      </c>
      <c r="C6" s="1">
        <v>243.02</v>
      </c>
      <c r="D6" s="1">
        <v>214.02</v>
      </c>
      <c r="E6" s="1">
        <v>254.6</v>
      </c>
      <c r="F6" s="1">
        <v>371.61</v>
      </c>
      <c r="G6" s="1">
        <v>237.5</v>
      </c>
      <c r="H6" s="1">
        <v>234.92</v>
      </c>
      <c r="I6" s="1">
        <v>245.74</v>
      </c>
      <c r="J6" s="1">
        <v>230.29</v>
      </c>
      <c r="K6" s="1">
        <f>IFERROR(__xludf.DUMMYFUNCTION("""COMPUTED_VALUE"""),5.0)</f>
        <v>5</v>
      </c>
      <c r="L6" s="1" t="str">
        <f>IFERROR(__xludf.DUMMYFUNCTION("""COMPUTED_VALUE"""),"Chhattisgarh")</f>
        <v>Chhattisgarh</v>
      </c>
      <c r="M6" s="1">
        <f>IFERROR(__xludf.DUMMYFUNCTION("""COMPUTED_VALUE"""),243.02)</f>
        <v>243.02</v>
      </c>
      <c r="N6" s="1">
        <f>IFERROR(__xludf.DUMMYFUNCTION("""COMPUTED_VALUE"""),214.02)</f>
        <v>214.02</v>
      </c>
      <c r="O6" s="1">
        <f>IFERROR(__xludf.DUMMYFUNCTION("""COMPUTED_VALUE"""),254.6)</f>
        <v>254.6</v>
      </c>
      <c r="P6" s="1">
        <f>IFERROR(__xludf.DUMMYFUNCTION("""COMPUTED_VALUE"""),371.61)</f>
        <v>371.61</v>
      </c>
      <c r="Q6" s="1">
        <f>IFERROR(__xludf.DUMMYFUNCTION("""COMPUTED_VALUE"""),237.5)</f>
        <v>237.5</v>
      </c>
      <c r="R6" s="1">
        <f>IFERROR(__xludf.DUMMYFUNCTION("""COMPUTED_VALUE"""),234.92)</f>
        <v>234.92</v>
      </c>
      <c r="S6" s="1">
        <f>IFERROR(__xludf.DUMMYFUNCTION("""COMPUTED_VALUE"""),245.74)</f>
        <v>245.74</v>
      </c>
      <c r="T6" s="1">
        <f>IFERROR(__xludf.DUMMYFUNCTION("""COMPUTED_VALUE"""),230.29)</f>
        <v>230.29</v>
      </c>
    </row>
    <row r="7">
      <c r="A7" s="1">
        <v>6.0</v>
      </c>
      <c r="B7" s="1" t="s">
        <v>15</v>
      </c>
      <c r="C7" s="1">
        <v>15.4</v>
      </c>
      <c r="D7" s="1">
        <v>17.47</v>
      </c>
      <c r="E7" s="1">
        <v>15.67</v>
      </c>
      <c r="F7" s="1">
        <v>7.29</v>
      </c>
      <c r="G7" s="1">
        <v>14.43</v>
      </c>
      <c r="H7" s="1">
        <v>0.0</v>
      </c>
      <c r="I7" s="1">
        <v>13.41</v>
      </c>
      <c r="J7" s="1">
        <v>0.0</v>
      </c>
      <c r="K7" s="1">
        <f>IFERROR(__xludf.DUMMYFUNCTION("""COMPUTED_VALUE"""),7.0)</f>
        <v>7</v>
      </c>
      <c r="L7" s="1" t="str">
        <f>IFERROR(__xludf.DUMMYFUNCTION("""COMPUTED_VALUE"""),"Gujarat")</f>
        <v>Gujarat</v>
      </c>
      <c r="M7" s="1">
        <f>IFERROR(__xludf.DUMMYFUNCTION("""COMPUTED_VALUE"""),429.28)</f>
        <v>429.28</v>
      </c>
      <c r="N7" s="1">
        <f>IFERROR(__xludf.DUMMYFUNCTION("""COMPUTED_VALUE"""),531.19)</f>
        <v>531.19</v>
      </c>
      <c r="O7" s="1">
        <f>IFERROR(__xludf.DUMMYFUNCTION("""COMPUTED_VALUE"""),451.33)</f>
        <v>451.33</v>
      </c>
      <c r="P7" s="1">
        <f>IFERROR(__xludf.DUMMYFUNCTION("""COMPUTED_VALUE"""),718.87)</f>
        <v>718.87</v>
      </c>
      <c r="Q7" s="1">
        <f>IFERROR(__xludf.DUMMYFUNCTION("""COMPUTED_VALUE"""),424.68)</f>
        <v>424.68</v>
      </c>
      <c r="R7" s="1">
        <f>IFERROR(__xludf.DUMMYFUNCTION("""COMPUTED_VALUE"""),430.74)</f>
        <v>430.74</v>
      </c>
      <c r="S7" s="1">
        <f>IFERROR(__xludf.DUMMYFUNCTION("""COMPUTED_VALUE"""),434.06)</f>
        <v>434.06</v>
      </c>
      <c r="T7" s="1">
        <f>IFERROR(__xludf.DUMMYFUNCTION("""COMPUTED_VALUE"""),725.29)</f>
        <v>725.29</v>
      </c>
    </row>
    <row r="8">
      <c r="A8" s="1">
        <v>7.0</v>
      </c>
      <c r="B8" s="1" t="s">
        <v>16</v>
      </c>
      <c r="C8" s="1">
        <v>429.28</v>
      </c>
      <c r="D8" s="1">
        <v>531.19</v>
      </c>
      <c r="E8" s="1">
        <v>451.33</v>
      </c>
      <c r="F8" s="1">
        <v>718.87</v>
      </c>
      <c r="G8" s="1">
        <v>424.68</v>
      </c>
      <c r="H8" s="1">
        <v>430.74</v>
      </c>
      <c r="I8" s="1">
        <v>434.06</v>
      </c>
      <c r="J8" s="1">
        <v>725.29</v>
      </c>
      <c r="K8" s="1">
        <f>IFERROR(__xludf.DUMMYFUNCTION("""COMPUTED_VALUE"""),8.0)</f>
        <v>8</v>
      </c>
      <c r="L8" s="1" t="str">
        <f>IFERROR(__xludf.DUMMYFUNCTION("""COMPUTED_VALUE"""),"Haryana")</f>
        <v>Haryana</v>
      </c>
      <c r="M8" s="1">
        <f>IFERROR(__xludf.DUMMYFUNCTION("""COMPUTED_VALUE"""),185.06)</f>
        <v>185.06</v>
      </c>
      <c r="N8" s="1">
        <f>IFERROR(__xludf.DUMMYFUNCTION("""COMPUTED_VALUE"""),80.93)</f>
        <v>80.93</v>
      </c>
      <c r="O8" s="1">
        <f>IFERROR(__xludf.DUMMYFUNCTION("""COMPUTED_VALUE"""),185.1)</f>
        <v>185.1</v>
      </c>
      <c r="P8" s="1">
        <f>IFERROR(__xludf.DUMMYFUNCTION("""COMPUTED_VALUE"""),200.77)</f>
        <v>200.77</v>
      </c>
      <c r="Q8" s="1">
        <f>IFERROR(__xludf.DUMMYFUNCTION("""COMPUTED_VALUE"""),167.73)</f>
        <v>167.73</v>
      </c>
      <c r="R8" s="1">
        <f>IFERROR(__xludf.DUMMYFUNCTION("""COMPUTED_VALUE"""),78.54)</f>
        <v>78.54</v>
      </c>
      <c r="S8" s="1">
        <f>IFERROR(__xludf.DUMMYFUNCTION("""COMPUTED_VALUE"""),177.05)</f>
        <v>177.05</v>
      </c>
      <c r="T8" s="1">
        <f>IFERROR(__xludf.DUMMYFUNCTION("""COMPUTED_VALUE"""),163.71)</f>
        <v>163.71</v>
      </c>
    </row>
    <row r="9">
      <c r="A9" s="1">
        <v>8.0</v>
      </c>
      <c r="B9" s="1" t="s">
        <v>17</v>
      </c>
      <c r="C9" s="1">
        <v>185.06</v>
      </c>
      <c r="D9" s="1">
        <v>80.93</v>
      </c>
      <c r="E9" s="1">
        <v>185.1</v>
      </c>
      <c r="F9" s="1">
        <v>200.77</v>
      </c>
      <c r="G9" s="1">
        <v>167.73</v>
      </c>
      <c r="H9" s="1">
        <v>78.54</v>
      </c>
      <c r="I9" s="1">
        <v>177.05</v>
      </c>
      <c r="J9" s="1">
        <v>163.71</v>
      </c>
      <c r="K9" s="1">
        <f>IFERROR(__xludf.DUMMYFUNCTION("""COMPUTED_VALUE"""),9.0)</f>
        <v>9</v>
      </c>
      <c r="L9" s="1" t="str">
        <f>IFERROR(__xludf.DUMMYFUNCTION("""COMPUTED_VALUE"""),"Himachal Pradesh")</f>
        <v>Himachal Pradesh</v>
      </c>
      <c r="M9" s="1">
        <f>IFERROR(__xludf.DUMMYFUNCTION("""COMPUTED_VALUE"""),98.98)</f>
        <v>98.98</v>
      </c>
      <c r="N9" s="1">
        <f>IFERROR(__xludf.DUMMYFUNCTION("""COMPUTED_VALUE"""),92.56)</f>
        <v>92.56</v>
      </c>
      <c r="O9" s="1">
        <f>IFERROR(__xludf.DUMMYFUNCTION("""COMPUTED_VALUE"""),103.27)</f>
        <v>103.27</v>
      </c>
      <c r="P9" s="1">
        <f>IFERROR(__xludf.DUMMYFUNCTION("""COMPUTED_VALUE"""),87.12)</f>
        <v>87.12</v>
      </c>
      <c r="Q9" s="1">
        <f>IFERROR(__xludf.DUMMYFUNCTION("""COMPUTED_VALUE"""),97.27)</f>
        <v>97.27</v>
      </c>
      <c r="R9" s="1">
        <f>IFERROR(__xludf.DUMMYFUNCTION("""COMPUTED_VALUE"""),95.95)</f>
        <v>95.95</v>
      </c>
      <c r="S9" s="1">
        <f>IFERROR(__xludf.DUMMYFUNCTION("""COMPUTED_VALUE"""),99.74)</f>
        <v>99.74</v>
      </c>
      <c r="T9" s="1">
        <f>IFERROR(__xludf.DUMMYFUNCTION("""COMPUTED_VALUE"""),99.69)</f>
        <v>99.69</v>
      </c>
    </row>
    <row r="10">
      <c r="A10" s="1">
        <v>9.0</v>
      </c>
      <c r="B10" s="1" t="s">
        <v>18</v>
      </c>
      <c r="C10" s="1">
        <v>98.98</v>
      </c>
      <c r="D10" s="1">
        <v>92.56</v>
      </c>
      <c r="E10" s="1">
        <v>103.27</v>
      </c>
      <c r="F10" s="1">
        <v>87.12</v>
      </c>
      <c r="G10" s="1">
        <v>97.27</v>
      </c>
      <c r="H10" s="1">
        <v>95.95</v>
      </c>
      <c r="I10" s="1">
        <v>99.74</v>
      </c>
      <c r="J10" s="1">
        <v>99.69</v>
      </c>
      <c r="K10" s="1">
        <f>IFERROR(__xludf.DUMMYFUNCTION("""COMPUTED_VALUE"""),10.0)</f>
        <v>10</v>
      </c>
      <c r="L10" s="1" t="str">
        <f>IFERROR(__xludf.DUMMYFUNCTION("""COMPUTED_VALUE"""),"Jharkhand")</f>
        <v>Jharkhand</v>
      </c>
      <c r="M10" s="1">
        <f>IFERROR(__xludf.DUMMYFUNCTION("""COMPUTED_VALUE"""),160.4)</f>
        <v>160.4</v>
      </c>
      <c r="N10" s="1">
        <f>IFERROR(__xludf.DUMMYFUNCTION("""COMPUTED_VALUE"""),63.33)</f>
        <v>63.33</v>
      </c>
      <c r="O10" s="1">
        <f>IFERROR(__xludf.DUMMYFUNCTION("""COMPUTED_VALUE"""),171.07)</f>
        <v>171.07</v>
      </c>
      <c r="P10" s="1">
        <f>IFERROR(__xludf.DUMMYFUNCTION("""COMPUTED_VALUE"""),137.67)</f>
        <v>137.67</v>
      </c>
      <c r="Q10" s="1">
        <f>IFERROR(__xludf.DUMMYFUNCTION("""COMPUTED_VALUE"""),160.88)</f>
        <v>160.88</v>
      </c>
      <c r="R10" s="1">
        <f>IFERROR(__xludf.DUMMYFUNCTION("""COMPUTED_VALUE"""),78.77)</f>
        <v>78.77</v>
      </c>
      <c r="S10" s="1">
        <f>IFERROR(__xludf.DUMMYFUNCTION("""COMPUTED_VALUE"""),164.33)</f>
        <v>164.33</v>
      </c>
      <c r="T10" s="1">
        <f>IFERROR(__xludf.DUMMYFUNCTION("""COMPUTED_VALUE"""),40.79)</f>
        <v>40.79</v>
      </c>
    </row>
    <row r="11">
      <c r="A11" s="1">
        <v>10.0</v>
      </c>
      <c r="B11" s="1" t="s">
        <v>19</v>
      </c>
      <c r="C11" s="1">
        <v>160.4</v>
      </c>
      <c r="D11" s="1">
        <v>63.33</v>
      </c>
      <c r="E11" s="1">
        <v>171.07</v>
      </c>
      <c r="F11" s="1">
        <v>137.67</v>
      </c>
      <c r="G11" s="1">
        <v>160.88</v>
      </c>
      <c r="H11" s="1">
        <v>78.77</v>
      </c>
      <c r="I11" s="1">
        <v>164.33</v>
      </c>
      <c r="J11" s="1">
        <v>40.79</v>
      </c>
      <c r="K11" s="1">
        <f>IFERROR(__xludf.DUMMYFUNCTION("""COMPUTED_VALUE"""),11.0)</f>
        <v>11</v>
      </c>
      <c r="L11" s="1" t="str">
        <f>IFERROR(__xludf.DUMMYFUNCTION("""COMPUTED_VALUE"""),"Karnataka")</f>
        <v>Karnataka</v>
      </c>
      <c r="M11" s="1">
        <f>IFERROR(__xludf.DUMMYFUNCTION("""COMPUTED_VALUE"""),450.54)</f>
        <v>450.54</v>
      </c>
      <c r="N11" s="1">
        <f>IFERROR(__xludf.DUMMYFUNCTION("""COMPUTED_VALUE"""),508.39)</f>
        <v>508.39</v>
      </c>
      <c r="O11" s="1">
        <f>IFERROR(__xludf.DUMMYFUNCTION("""COMPUTED_VALUE"""),476.84)</f>
        <v>476.84</v>
      </c>
      <c r="P11" s="1">
        <f>IFERROR(__xludf.DUMMYFUNCTION("""COMPUTED_VALUE"""),382.57)</f>
        <v>382.57</v>
      </c>
      <c r="Q11" s="1">
        <f>IFERROR(__xludf.DUMMYFUNCTION("""COMPUTED_VALUE"""),439.77)</f>
        <v>439.77</v>
      </c>
      <c r="R11" s="1">
        <f>IFERROR(__xludf.DUMMYFUNCTION("""COMPUTED_VALUE"""),434.99)</f>
        <v>434.99</v>
      </c>
      <c r="S11" s="1">
        <f>IFERROR(__xludf.DUMMYFUNCTION("""COMPUTED_VALUE"""),443.11)</f>
        <v>443.11</v>
      </c>
      <c r="T11" s="1">
        <f>IFERROR(__xludf.DUMMYFUNCTION("""COMPUTED_VALUE"""),442.9)</f>
        <v>442.9</v>
      </c>
    </row>
    <row r="12">
      <c r="A12" s="1">
        <v>11.0</v>
      </c>
      <c r="B12" s="1" t="s">
        <v>20</v>
      </c>
      <c r="C12" s="1">
        <v>450.54</v>
      </c>
      <c r="D12" s="1">
        <v>508.39</v>
      </c>
      <c r="E12" s="1">
        <v>476.84</v>
      </c>
      <c r="F12" s="1">
        <v>382.57</v>
      </c>
      <c r="G12" s="1">
        <v>439.77</v>
      </c>
      <c r="H12" s="1">
        <v>434.99</v>
      </c>
      <c r="I12" s="1">
        <v>443.11</v>
      </c>
      <c r="J12" s="1">
        <v>442.9</v>
      </c>
      <c r="K12" s="1">
        <f>IFERROR(__xludf.DUMMYFUNCTION("""COMPUTED_VALUE"""),13.0)</f>
        <v>13</v>
      </c>
      <c r="L12" s="1" t="str">
        <f>IFERROR(__xludf.DUMMYFUNCTION("""COMPUTED_VALUE"""),"Madhya Pradesh")</f>
        <v>Madhya Pradesh</v>
      </c>
      <c r="M12" s="1">
        <f>IFERROR(__xludf.DUMMYFUNCTION("""COMPUTED_VALUE"""),551.98)</f>
        <v>551.98</v>
      </c>
      <c r="N12" s="1">
        <f>IFERROR(__xludf.DUMMYFUNCTION("""COMPUTED_VALUE"""),625.7)</f>
        <v>625.7</v>
      </c>
      <c r="O12" s="1">
        <f>IFERROR(__xludf.DUMMYFUNCTION("""COMPUTED_VALUE"""),579.67)</f>
        <v>579.67</v>
      </c>
      <c r="P12" s="1">
        <f>IFERROR(__xludf.DUMMYFUNCTION("""COMPUTED_VALUE"""),693.25)</f>
        <v>693.25</v>
      </c>
      <c r="Q12" s="1">
        <f>IFERROR(__xludf.DUMMYFUNCTION("""COMPUTED_VALUE"""),541.01)</f>
        <v>541.01</v>
      </c>
      <c r="R12" s="1">
        <f>IFERROR(__xludf.DUMMYFUNCTION("""COMPUTED_VALUE"""),535.13)</f>
        <v>535.13</v>
      </c>
      <c r="S12" s="1">
        <f>IFERROR(__xludf.DUMMYFUNCTION("""COMPUTED_VALUE"""),556.21)</f>
        <v>556.21</v>
      </c>
      <c r="T12" s="1">
        <f>IFERROR(__xludf.DUMMYFUNCTION("""COMPUTED_VALUE"""),622.93)</f>
        <v>622.93</v>
      </c>
    </row>
    <row r="13">
      <c r="A13" s="1">
        <v>12.0</v>
      </c>
      <c r="B13" s="1" t="s">
        <v>21</v>
      </c>
      <c r="C13" s="1">
        <v>136.74</v>
      </c>
      <c r="D13" s="1">
        <v>122.85</v>
      </c>
      <c r="E13" s="1">
        <v>140.54</v>
      </c>
      <c r="F13" s="1">
        <v>0.0</v>
      </c>
      <c r="G13" s="1">
        <v>132.26</v>
      </c>
      <c r="H13" s="1">
        <v>273.99</v>
      </c>
      <c r="I13" s="1">
        <v>126.77</v>
      </c>
      <c r="J13" s="1">
        <v>126.71</v>
      </c>
      <c r="K13" s="1">
        <f>IFERROR(__xludf.DUMMYFUNCTION("""COMPUTED_VALUE"""),14.0)</f>
        <v>14</v>
      </c>
      <c r="L13" s="1" t="str">
        <f>IFERROR(__xludf.DUMMYFUNCTION("""COMPUTED_VALUE"""),"Maharashtra")</f>
        <v>Maharashtra</v>
      </c>
      <c r="M13" s="1">
        <f>IFERROR(__xludf.DUMMYFUNCTION("""COMPUTED_VALUE"""),688.47)</f>
        <v>688.47</v>
      </c>
      <c r="N13" s="1">
        <f>IFERROR(__xludf.DUMMYFUNCTION("""COMPUTED_VALUE"""),780.42)</f>
        <v>780.42</v>
      </c>
      <c r="O13" s="1">
        <f>IFERROR(__xludf.DUMMYFUNCTION("""COMPUTED_VALUE"""),728.84)</f>
        <v>728.84</v>
      </c>
      <c r="P13" s="1">
        <f>IFERROR(__xludf.DUMMYFUNCTION("""COMPUTED_VALUE"""),629.83)</f>
        <v>629.83</v>
      </c>
      <c r="Q13" s="1">
        <f>IFERROR(__xludf.DUMMYFUNCTION("""COMPUTED_VALUE"""),683.27)</f>
        <v>683.27</v>
      </c>
      <c r="R13" s="1">
        <f>IFERROR(__xludf.DUMMYFUNCTION("""COMPUTED_VALUE"""),675.84)</f>
        <v>675.84</v>
      </c>
      <c r="S13" s="1">
        <f>IFERROR(__xludf.DUMMYFUNCTION("""COMPUTED_VALUE"""),683.8)</f>
        <v>683.8</v>
      </c>
      <c r="T13" s="1">
        <f>IFERROR(__xludf.DUMMYFUNCTION("""COMPUTED_VALUE"""),227.82)</f>
        <v>227.82</v>
      </c>
    </row>
    <row r="14">
      <c r="A14" s="1">
        <v>13.0</v>
      </c>
      <c r="B14" s="1" t="s">
        <v>22</v>
      </c>
      <c r="C14" s="1">
        <v>551.98</v>
      </c>
      <c r="D14" s="1">
        <v>625.7</v>
      </c>
      <c r="E14" s="1">
        <v>579.67</v>
      </c>
      <c r="F14" s="1">
        <v>693.25</v>
      </c>
      <c r="G14" s="1">
        <v>541.01</v>
      </c>
      <c r="H14" s="1">
        <v>535.13</v>
      </c>
      <c r="I14" s="1">
        <v>556.21</v>
      </c>
      <c r="J14" s="1">
        <v>622.93</v>
      </c>
      <c r="K14" s="1">
        <f>IFERROR(__xludf.DUMMYFUNCTION("""COMPUTED_VALUE"""),15.0)</f>
        <v>15</v>
      </c>
      <c r="L14" s="1" t="str">
        <f>IFERROR(__xludf.DUMMYFUNCTION("""COMPUTED_VALUE"""),"Manipur")</f>
        <v>Manipur</v>
      </c>
      <c r="M14" s="1">
        <f>IFERROR(__xludf.DUMMYFUNCTION("""COMPUTED_VALUE"""),36.14)</f>
        <v>36.14</v>
      </c>
      <c r="N14" s="1">
        <f>IFERROR(__xludf.DUMMYFUNCTION("""COMPUTED_VALUE"""),12.95)</f>
        <v>12.95</v>
      </c>
      <c r="O14" s="1">
        <f>IFERROR(__xludf.DUMMYFUNCTION("""COMPUTED_VALUE"""),38.0)</f>
        <v>38</v>
      </c>
      <c r="P14" s="1">
        <f>IFERROR(__xludf.DUMMYFUNCTION("""COMPUTED_VALUE"""),12.64)</f>
        <v>12.64</v>
      </c>
      <c r="Q14" s="1">
        <f>IFERROR(__xludf.DUMMYFUNCTION("""COMPUTED_VALUE"""),35.85)</f>
        <v>35.85</v>
      </c>
      <c r="R14" s="1">
        <f>IFERROR(__xludf.DUMMYFUNCTION("""COMPUTED_VALUE"""),13.22)</f>
        <v>13.22</v>
      </c>
      <c r="S14" s="1">
        <f>IFERROR(__xludf.DUMMYFUNCTION("""COMPUTED_VALUE"""),36.6)</f>
        <v>36.6</v>
      </c>
      <c r="T14" s="1">
        <f>IFERROR(__xludf.DUMMYFUNCTION("""COMPUTED_VALUE"""),13.43)</f>
        <v>13.43</v>
      </c>
    </row>
    <row r="15">
      <c r="A15" s="1">
        <v>14.0</v>
      </c>
      <c r="B15" s="1" t="s">
        <v>23</v>
      </c>
      <c r="C15" s="1">
        <v>688.47</v>
      </c>
      <c r="D15" s="1">
        <v>780.42</v>
      </c>
      <c r="E15" s="1">
        <v>728.84</v>
      </c>
      <c r="F15" s="1">
        <v>629.83</v>
      </c>
      <c r="G15" s="1">
        <v>683.27</v>
      </c>
      <c r="H15" s="1">
        <v>675.84</v>
      </c>
      <c r="I15" s="1">
        <v>683.8</v>
      </c>
      <c r="J15" s="1">
        <v>227.82</v>
      </c>
      <c r="K15" s="1">
        <f>IFERROR(__xludf.DUMMYFUNCTION("""COMPUTED_VALUE"""),16.0)</f>
        <v>16</v>
      </c>
      <c r="L15" s="1" t="str">
        <f>IFERROR(__xludf.DUMMYFUNCTION("""COMPUTED_VALUE"""),"Meghalaya")</f>
        <v>Meghalaya</v>
      </c>
      <c r="M15" s="1">
        <f>IFERROR(__xludf.DUMMYFUNCTION("""COMPUTED_VALUE"""),41.04)</f>
        <v>41.04</v>
      </c>
      <c r="N15" s="1">
        <f>IFERROR(__xludf.DUMMYFUNCTION("""COMPUTED_VALUE"""),28.53)</f>
        <v>28.53</v>
      </c>
      <c r="O15" s="1">
        <f>IFERROR(__xludf.DUMMYFUNCTION("""COMPUTED_VALUE"""),43.34)</f>
        <v>43.34</v>
      </c>
      <c r="P15" s="1">
        <f>IFERROR(__xludf.DUMMYFUNCTION("""COMPUTED_VALUE"""),29.1)</f>
        <v>29.1</v>
      </c>
      <c r="Q15" s="1">
        <f>IFERROR(__xludf.DUMMYFUNCTION("""COMPUTED_VALUE"""),40.81)</f>
        <v>40.81</v>
      </c>
      <c r="R15" s="1">
        <f>IFERROR(__xludf.DUMMYFUNCTION("""COMPUTED_VALUE"""),76.93)</f>
        <v>76.93</v>
      </c>
      <c r="S15" s="1">
        <f>IFERROR(__xludf.DUMMYFUNCTION("""COMPUTED_VALUE"""),40.63)</f>
        <v>40.63</v>
      </c>
      <c r="T15" s="1">
        <f>IFERROR(__xludf.DUMMYFUNCTION("""COMPUTED_VALUE"""),40.61)</f>
        <v>40.61</v>
      </c>
    </row>
    <row r="16">
      <c r="A16" s="1">
        <v>15.0</v>
      </c>
      <c r="B16" s="1" t="s">
        <v>24</v>
      </c>
      <c r="C16" s="1">
        <v>36.14</v>
      </c>
      <c r="D16" s="1">
        <v>12.95</v>
      </c>
      <c r="E16" s="1">
        <v>38.0</v>
      </c>
      <c r="F16" s="1">
        <v>12.64</v>
      </c>
      <c r="G16" s="1">
        <v>35.85</v>
      </c>
      <c r="H16" s="1">
        <v>13.22</v>
      </c>
      <c r="I16" s="1">
        <v>36.6</v>
      </c>
      <c r="J16" s="1">
        <v>13.43</v>
      </c>
      <c r="K16" s="1">
        <f>IFERROR(__xludf.DUMMYFUNCTION("""COMPUTED_VALUE"""),17.0)</f>
        <v>17</v>
      </c>
      <c r="L16" s="1" t="str">
        <f>IFERROR(__xludf.DUMMYFUNCTION("""COMPUTED_VALUE"""),"Mizoram")</f>
        <v>Mizoram</v>
      </c>
      <c r="M16" s="1">
        <f>IFERROR(__xludf.DUMMYFUNCTION("""COMPUTED_VALUE"""),33.06)</f>
        <v>33.06</v>
      </c>
      <c r="N16" s="1">
        <f>IFERROR(__xludf.DUMMYFUNCTION("""COMPUTED_VALUE"""),23.4)</f>
        <v>23.4</v>
      </c>
      <c r="O16" s="1">
        <f>IFERROR(__xludf.DUMMYFUNCTION("""COMPUTED_VALUE"""),34.55)</f>
        <v>34.55</v>
      </c>
      <c r="P16" s="1">
        <f>IFERROR(__xludf.DUMMYFUNCTION("""COMPUTED_VALUE"""),34.55)</f>
        <v>34.55</v>
      </c>
      <c r="Q16" s="1">
        <f>IFERROR(__xludf.DUMMYFUNCTION("""COMPUTED_VALUE"""),32.56)</f>
        <v>32.56</v>
      </c>
      <c r="R16" s="1">
        <f>IFERROR(__xludf.DUMMYFUNCTION("""COMPUTED_VALUE"""),32.28)</f>
        <v>32.28</v>
      </c>
      <c r="S16" s="1">
        <f>IFERROR(__xludf.DUMMYFUNCTION("""COMPUTED_VALUE"""),33.14)</f>
        <v>33.14</v>
      </c>
      <c r="T16" s="1">
        <f>IFERROR(__xludf.DUMMYFUNCTION("""COMPUTED_VALUE"""),22.06)</f>
        <v>22.06</v>
      </c>
    </row>
    <row r="17">
      <c r="A17" s="1">
        <v>16.0</v>
      </c>
      <c r="B17" s="1" t="s">
        <v>25</v>
      </c>
      <c r="C17" s="1">
        <v>41.04</v>
      </c>
      <c r="D17" s="1">
        <v>28.53</v>
      </c>
      <c r="E17" s="1">
        <v>43.34</v>
      </c>
      <c r="F17" s="1">
        <v>29.1</v>
      </c>
      <c r="G17" s="1">
        <v>40.81</v>
      </c>
      <c r="H17" s="1">
        <v>76.93</v>
      </c>
      <c r="I17" s="1">
        <v>40.63</v>
      </c>
      <c r="J17" s="1">
        <v>40.61</v>
      </c>
      <c r="K17" s="1">
        <f>IFERROR(__xludf.DUMMYFUNCTION("""COMPUTED_VALUE"""),18.0)</f>
        <v>18</v>
      </c>
      <c r="L17" s="1" t="str">
        <f>IFERROR(__xludf.DUMMYFUNCTION("""COMPUTED_VALUE"""),"Nagaland")</f>
        <v>Nagaland</v>
      </c>
      <c r="M17" s="1">
        <f>IFERROR(__xludf.DUMMYFUNCTION("""COMPUTED_VALUE"""),26.7)</f>
        <v>26.7</v>
      </c>
      <c r="N17" s="1">
        <f>IFERROR(__xludf.DUMMYFUNCTION("""COMPUTED_VALUE"""),54.7)</f>
        <v>54.7</v>
      </c>
      <c r="O17" s="1">
        <f>IFERROR(__xludf.DUMMYFUNCTION("""COMPUTED_VALUE"""),27.87)</f>
        <v>27.87</v>
      </c>
      <c r="P17" s="1">
        <f>IFERROR(__xludf.DUMMYFUNCTION("""COMPUTED_VALUE"""),9.29)</f>
        <v>9.29</v>
      </c>
      <c r="Q17" s="1">
        <f>IFERROR(__xludf.DUMMYFUNCTION("""COMPUTED_VALUE"""),26.44)</f>
        <v>26.44</v>
      </c>
      <c r="R17" s="1">
        <f>IFERROR(__xludf.DUMMYFUNCTION("""COMPUTED_VALUE"""),37.41)</f>
        <v>37.41</v>
      </c>
      <c r="S17" s="1">
        <f>IFERROR(__xludf.DUMMYFUNCTION("""COMPUTED_VALUE"""),27.02)</f>
        <v>27.02</v>
      </c>
      <c r="T17" s="1">
        <f>IFERROR(__xludf.DUMMYFUNCTION("""COMPUTED_VALUE"""),27.0)</f>
        <v>27</v>
      </c>
    </row>
    <row r="18">
      <c r="A18" s="1">
        <v>17.0</v>
      </c>
      <c r="B18" s="1" t="s">
        <v>26</v>
      </c>
      <c r="C18" s="1">
        <v>33.06</v>
      </c>
      <c r="D18" s="1">
        <v>23.4</v>
      </c>
      <c r="E18" s="1">
        <v>34.55</v>
      </c>
      <c r="F18" s="1">
        <v>34.55</v>
      </c>
      <c r="G18" s="1">
        <v>32.56</v>
      </c>
      <c r="H18" s="1">
        <v>32.28</v>
      </c>
      <c r="I18" s="1">
        <v>33.14</v>
      </c>
      <c r="J18" s="1">
        <v>22.06</v>
      </c>
      <c r="K18" s="1">
        <f>IFERROR(__xludf.DUMMYFUNCTION("""COMPUTED_VALUE"""),19.0)</f>
        <v>19</v>
      </c>
      <c r="L18" s="1" t="str">
        <f>IFERROR(__xludf.DUMMYFUNCTION("""COMPUTED_VALUE"""),"Odisha")</f>
        <v>Odisha</v>
      </c>
      <c r="M18" s="1">
        <f>IFERROR(__xludf.DUMMYFUNCTION("""COMPUTED_VALUE"""),293.08)</f>
        <v>293.08</v>
      </c>
      <c r="N18" s="1">
        <f>IFERROR(__xludf.DUMMYFUNCTION("""COMPUTED_VALUE"""),111.93)</f>
        <v>111.93</v>
      </c>
      <c r="O18" s="1">
        <f>IFERROR(__xludf.DUMMYFUNCTION("""COMPUTED_VALUE"""),308.94)</f>
        <v>308.94</v>
      </c>
      <c r="P18" s="1">
        <f>IFERROR(__xludf.DUMMYFUNCTION("""COMPUTED_VALUE"""),286.96)</f>
        <v>286.96</v>
      </c>
      <c r="Q18" s="1">
        <f>IFERROR(__xludf.DUMMYFUNCTION("""COMPUTED_VALUE"""),289.54)</f>
        <v>289.54</v>
      </c>
      <c r="R18" s="1">
        <f>IFERROR(__xludf.DUMMYFUNCTION("""COMPUTED_VALUE"""),534.19)</f>
        <v>534.19</v>
      </c>
      <c r="S18" s="1">
        <f>IFERROR(__xludf.DUMMYFUNCTION("""COMPUTED_VALUE"""),298.67)</f>
        <v>298.67</v>
      </c>
      <c r="T18" s="1">
        <f>IFERROR(__xludf.DUMMYFUNCTION("""COMPUTED_VALUE"""),296.01)</f>
        <v>296.01</v>
      </c>
    </row>
    <row r="19">
      <c r="A19" s="1">
        <v>18.0</v>
      </c>
      <c r="B19" s="1" t="s">
        <v>27</v>
      </c>
      <c r="C19" s="1">
        <v>26.7</v>
      </c>
      <c r="D19" s="1">
        <v>54.7</v>
      </c>
      <c r="E19" s="1">
        <v>27.87</v>
      </c>
      <c r="F19" s="1">
        <v>9.29</v>
      </c>
      <c r="G19" s="1">
        <v>26.44</v>
      </c>
      <c r="H19" s="1">
        <v>37.41</v>
      </c>
      <c r="I19" s="1">
        <v>27.02</v>
      </c>
      <c r="J19" s="1">
        <v>27.0</v>
      </c>
      <c r="K19" s="1">
        <f>IFERROR(__xludf.DUMMYFUNCTION("""COMPUTED_VALUE"""),20.0)</f>
        <v>20</v>
      </c>
      <c r="L19" s="1" t="str">
        <f>IFERROR(__xludf.DUMMYFUNCTION("""COMPUTED_VALUE"""),"Punjab")</f>
        <v>Punjab</v>
      </c>
      <c r="M19" s="1">
        <f>IFERROR(__xludf.DUMMYFUNCTION("""COMPUTED_VALUE"""),158.35)</f>
        <v>158.35</v>
      </c>
      <c r="N19" s="1">
        <f>IFERROR(__xludf.DUMMYFUNCTION("""COMPUTED_VALUE"""),170.11)</f>
        <v>170.11</v>
      </c>
      <c r="O19" s="1">
        <f>IFERROR(__xludf.DUMMYFUNCTION("""COMPUTED_VALUE"""),159.6)</f>
        <v>159.6</v>
      </c>
      <c r="P19" s="1">
        <f>IFERROR(__xludf.DUMMYFUNCTION("""COMPUTED_VALUE"""),259.37)</f>
        <v>259.37</v>
      </c>
      <c r="Q19" s="1">
        <f>IFERROR(__xludf.DUMMYFUNCTION("""COMPUTED_VALUE"""),148.77)</f>
        <v>148.77</v>
      </c>
      <c r="R19" s="1">
        <f>IFERROR(__xludf.DUMMYFUNCTION("""COMPUTED_VALUE"""),141.18)</f>
        <v>141.18</v>
      </c>
      <c r="S19" s="1">
        <f>IFERROR(__xludf.DUMMYFUNCTION("""COMPUTED_VALUE"""),149.41)</f>
        <v>149.41</v>
      </c>
      <c r="T19" s="1">
        <f>IFERROR(__xludf.DUMMYFUNCTION("""COMPUTED_VALUE"""),149.33)</f>
        <v>149.33</v>
      </c>
    </row>
    <row r="20">
      <c r="A20" s="1">
        <v>19.0</v>
      </c>
      <c r="B20" s="1" t="s">
        <v>28</v>
      </c>
      <c r="C20" s="1">
        <v>293.08</v>
      </c>
      <c r="D20" s="1">
        <v>111.93</v>
      </c>
      <c r="E20" s="1">
        <v>308.94</v>
      </c>
      <c r="F20" s="1">
        <v>286.96</v>
      </c>
      <c r="G20" s="1">
        <v>289.54</v>
      </c>
      <c r="H20" s="1">
        <v>534.19</v>
      </c>
      <c r="I20" s="1">
        <v>298.67</v>
      </c>
      <c r="J20" s="1">
        <v>296.01</v>
      </c>
      <c r="K20" s="1">
        <f>IFERROR(__xludf.DUMMYFUNCTION("""COMPUTED_VALUE"""),21.0)</f>
        <v>21</v>
      </c>
      <c r="L20" s="1" t="str">
        <f>IFERROR(__xludf.DUMMYFUNCTION("""COMPUTED_VALUE"""),"Rajasthan")</f>
        <v>Rajasthan</v>
      </c>
      <c r="M20" s="1">
        <f>IFERROR(__xludf.DUMMYFUNCTION("""COMPUTED_VALUE"""),644.38)</f>
        <v>644.38</v>
      </c>
      <c r="N20" s="1">
        <f>IFERROR(__xludf.DUMMYFUNCTION("""COMPUTED_VALUE"""),591.86)</f>
        <v>591.86</v>
      </c>
      <c r="O20" s="1">
        <f>IFERROR(__xludf.DUMMYFUNCTION("""COMPUTED_VALUE"""),669.01)</f>
        <v>669.01</v>
      </c>
      <c r="P20" s="1">
        <f>IFERROR(__xludf.DUMMYFUNCTION("""COMPUTED_VALUE"""),415.17)</f>
        <v>415.17</v>
      </c>
      <c r="Q20" s="1">
        <f>IFERROR(__xludf.DUMMYFUNCTION("""COMPUTED_VALUE"""),622.71)</f>
        <v>622.71</v>
      </c>
      <c r="R20" s="1">
        <f>IFERROR(__xludf.DUMMYFUNCTION("""COMPUTED_VALUE"""),141.81)</f>
        <v>141.81</v>
      </c>
      <c r="S20" s="1">
        <f>IFERROR(__xludf.DUMMYFUNCTION("""COMPUTED_VALUE"""),627.89)</f>
        <v>627.89</v>
      </c>
      <c r="T20" s="1">
        <f>IFERROR(__xludf.DUMMYFUNCTION("""COMPUTED_VALUE"""),148.4)</f>
        <v>148.4</v>
      </c>
    </row>
    <row r="21" ht="15.75" customHeight="1">
      <c r="A21" s="1">
        <v>20.0</v>
      </c>
      <c r="B21" s="1" t="s">
        <v>29</v>
      </c>
      <c r="C21" s="1">
        <v>158.35</v>
      </c>
      <c r="D21" s="1">
        <v>170.11</v>
      </c>
      <c r="E21" s="1">
        <v>159.6</v>
      </c>
      <c r="F21" s="1">
        <v>259.37</v>
      </c>
      <c r="G21" s="1">
        <v>148.77</v>
      </c>
      <c r="H21" s="1">
        <v>141.18</v>
      </c>
      <c r="I21" s="1">
        <v>149.41</v>
      </c>
      <c r="J21" s="1">
        <v>149.33</v>
      </c>
      <c r="K21" s="1">
        <f>IFERROR(__xludf.DUMMYFUNCTION("""COMPUTED_VALUE"""),22.0)</f>
        <v>22</v>
      </c>
      <c r="L21" s="1" t="str">
        <f>IFERROR(__xludf.DUMMYFUNCTION("""COMPUTED_VALUE"""),"Sikkim")</f>
        <v>Sikkim</v>
      </c>
      <c r="M21" s="1">
        <f>IFERROR(__xludf.DUMMYFUNCTION("""COMPUTED_VALUE"""),12.21)</f>
        <v>12.21</v>
      </c>
      <c r="N21" s="1">
        <f>IFERROR(__xludf.DUMMYFUNCTION("""COMPUTED_VALUE"""),16.76)</f>
        <v>16.76</v>
      </c>
      <c r="O21" s="1">
        <f>IFERROR(__xludf.DUMMYFUNCTION("""COMPUTED_VALUE"""),12.89)</f>
        <v>12.89</v>
      </c>
      <c r="P21" s="1">
        <f>IFERROR(__xludf.DUMMYFUNCTION("""COMPUTED_VALUE"""),4.29)</f>
        <v>4.29</v>
      </c>
      <c r="Q21" s="1">
        <f>IFERROR(__xludf.DUMMYFUNCTION("""COMPUTED_VALUE"""),12.09)</f>
        <v>12.09</v>
      </c>
      <c r="R21" s="1">
        <f>IFERROR(__xludf.DUMMYFUNCTION("""COMPUTED_VALUE"""),3.98)</f>
        <v>3.98</v>
      </c>
      <c r="S21" s="1">
        <f>IFERROR(__xludf.DUMMYFUNCTION("""COMPUTED_VALUE"""),12.06)</f>
        <v>12.06</v>
      </c>
      <c r="T21" s="1">
        <f>IFERROR(__xludf.DUMMYFUNCTION("""COMPUTED_VALUE"""),12.05)</f>
        <v>12.05</v>
      </c>
    </row>
    <row r="22" ht="15.75" customHeight="1">
      <c r="A22" s="1">
        <v>21.0</v>
      </c>
      <c r="B22" s="1" t="s">
        <v>30</v>
      </c>
      <c r="C22" s="1">
        <v>644.38</v>
      </c>
      <c r="D22" s="1">
        <v>591.86</v>
      </c>
      <c r="E22" s="1">
        <v>669.01</v>
      </c>
      <c r="F22" s="1">
        <v>415.17</v>
      </c>
      <c r="G22" s="1">
        <v>622.71</v>
      </c>
      <c r="H22" s="1">
        <v>141.81</v>
      </c>
      <c r="I22" s="1">
        <v>627.89</v>
      </c>
      <c r="J22" s="1">
        <v>148.4</v>
      </c>
      <c r="K22" s="1">
        <f>IFERROR(__xludf.DUMMYFUNCTION("""COMPUTED_VALUE"""),23.0)</f>
        <v>23</v>
      </c>
      <c r="L22" s="1" t="str">
        <f>IFERROR(__xludf.DUMMYFUNCTION("""COMPUTED_VALUE"""),"Tamil Nadu")</f>
        <v>Tamil Nadu</v>
      </c>
      <c r="M22" s="1">
        <f>IFERROR(__xludf.DUMMYFUNCTION("""COMPUTED_VALUE"""),367.76)</f>
        <v>367.76</v>
      </c>
      <c r="N22" s="1">
        <f>IFERROR(__xludf.DUMMYFUNCTION("""COMPUTED_VALUE"""),416.88)</f>
        <v>416.88</v>
      </c>
      <c r="O22" s="1">
        <f>IFERROR(__xludf.DUMMYFUNCTION("""COMPUTED_VALUE"""),379.65)</f>
        <v>379.65</v>
      </c>
      <c r="P22" s="1">
        <f>IFERROR(__xludf.DUMMYFUNCTION("""COMPUTED_VALUE"""),262.37)</f>
        <v>262.37</v>
      </c>
      <c r="Q22" s="1">
        <f>IFERROR(__xludf.DUMMYFUNCTION("""COMPUTED_VALUE"""),352.04)</f>
        <v>352.04</v>
      </c>
      <c r="R22" s="1">
        <f>IFERROR(__xludf.DUMMYFUNCTION("""COMPUTED_VALUE"""),503.17)</f>
        <v>503.17</v>
      </c>
      <c r="S22" s="1">
        <f>IFERROR(__xludf.DUMMYFUNCTION("""COMPUTED_VALUE"""),350.32)</f>
        <v>350.32</v>
      </c>
      <c r="T22" s="1">
        <f>IFERROR(__xludf.DUMMYFUNCTION("""COMPUTED_VALUE"""),350.15)</f>
        <v>350.15</v>
      </c>
    </row>
    <row r="23" ht="15.75" customHeight="1">
      <c r="A23" s="1">
        <v>22.0</v>
      </c>
      <c r="B23" s="1" t="s">
        <v>31</v>
      </c>
      <c r="C23" s="1">
        <v>12.21</v>
      </c>
      <c r="D23" s="1">
        <v>16.76</v>
      </c>
      <c r="E23" s="1">
        <v>12.89</v>
      </c>
      <c r="F23" s="1">
        <v>4.29</v>
      </c>
      <c r="G23" s="1">
        <v>12.09</v>
      </c>
      <c r="H23" s="1">
        <v>3.98</v>
      </c>
      <c r="I23" s="1">
        <v>12.06</v>
      </c>
      <c r="J23" s="1">
        <v>12.05</v>
      </c>
      <c r="K23" s="1">
        <f>IFERROR(__xludf.DUMMYFUNCTION("""COMPUTED_VALUE"""),24.0)</f>
        <v>24</v>
      </c>
      <c r="L23" s="1" t="str">
        <f>IFERROR(__xludf.DUMMYFUNCTION("""COMPUTED_VALUE"""),"Telangana")</f>
        <v>Telangana</v>
      </c>
      <c r="M23" s="1">
        <f>IFERROR(__xludf.DUMMYFUNCTION("""COMPUTED_VALUE"""),263.99)</f>
        <v>263.99</v>
      </c>
      <c r="N23" s="1">
        <f>IFERROR(__xludf.DUMMYFUNCTION("""COMPUTED_VALUE"""),279.08)</f>
        <v>279.08</v>
      </c>
      <c r="O23" s="1">
        <f>IFERROR(__xludf.DUMMYFUNCTION("""COMPUTED_VALUE"""),276.37)</f>
        <v>276.37</v>
      </c>
      <c r="P23" s="1">
        <f>IFERROR(__xludf.DUMMYFUNCTION("""COMPUTED_VALUE"""),234.06)</f>
        <v>234.06</v>
      </c>
      <c r="Q23" s="1">
        <f>IFERROR(__xludf.DUMMYFUNCTION("""COMPUTED_VALUE"""),256.08)</f>
        <v>256.08</v>
      </c>
      <c r="R23" s="1">
        <f>IFERROR(__xludf.DUMMYFUNCTION("""COMPUTED_VALUE"""),253.29)</f>
        <v>253.29</v>
      </c>
      <c r="S23" s="1">
        <f>IFERROR(__xludf.DUMMYFUNCTION("""COMPUTED_VALUE"""),262.01)</f>
        <v>262.01</v>
      </c>
      <c r="T23" s="1">
        <f>IFERROR(__xludf.DUMMYFUNCTION("""COMPUTED_VALUE"""),261.88)</f>
        <v>261.88</v>
      </c>
    </row>
    <row r="24" ht="15.75" customHeight="1">
      <c r="A24" s="1">
        <v>23.0</v>
      </c>
      <c r="B24" s="1" t="s">
        <v>32</v>
      </c>
      <c r="C24" s="1">
        <v>367.76</v>
      </c>
      <c r="D24" s="1">
        <v>416.88</v>
      </c>
      <c r="E24" s="1">
        <v>379.65</v>
      </c>
      <c r="F24" s="1">
        <v>262.37</v>
      </c>
      <c r="G24" s="1">
        <v>352.04</v>
      </c>
      <c r="H24" s="1">
        <v>503.17</v>
      </c>
      <c r="I24" s="1">
        <v>350.32</v>
      </c>
      <c r="J24" s="1">
        <v>350.15</v>
      </c>
      <c r="K24" s="1">
        <f>IFERROR(__xludf.DUMMYFUNCTION("""COMPUTED_VALUE"""),25.0)</f>
        <v>25</v>
      </c>
      <c r="L24" s="1" t="str">
        <f>IFERROR(__xludf.DUMMYFUNCTION("""COMPUTED_VALUE"""),"Tripura")</f>
        <v>Tripura</v>
      </c>
      <c r="M24" s="1">
        <f>IFERROR(__xludf.DUMMYFUNCTION("""COMPUTED_VALUE"""),18.44)</f>
        <v>18.44</v>
      </c>
      <c r="N24" s="1">
        <f>IFERROR(__xludf.DUMMYFUNCTION("""COMPUTED_VALUE"""),3.44)</f>
        <v>3.44</v>
      </c>
      <c r="O24" s="1">
        <f>IFERROR(__xludf.DUMMYFUNCTION("""COMPUTED_VALUE"""),19.13)</f>
        <v>19.13</v>
      </c>
      <c r="P24" s="1">
        <f>IFERROR(__xludf.DUMMYFUNCTION("""COMPUTED_VALUE"""),22.03)</f>
        <v>22.03</v>
      </c>
      <c r="Q24" s="1">
        <f>IFERROR(__xludf.DUMMYFUNCTION("""COMPUTED_VALUE"""),17.89)</f>
        <v>17.89</v>
      </c>
      <c r="R24" s="1">
        <f>IFERROR(__xludf.DUMMYFUNCTION("""COMPUTED_VALUE"""),48.84)</f>
        <v>48.84</v>
      </c>
      <c r="S24" s="1">
        <f>IFERROR(__xludf.DUMMYFUNCTION("""COMPUTED_VALUE"""),18.49)</f>
        <v>18.49</v>
      </c>
      <c r="T24" s="1">
        <f>IFERROR(__xludf.DUMMYFUNCTION("""COMPUTED_VALUE"""),18.48)</f>
        <v>18.48</v>
      </c>
    </row>
    <row r="25" ht="15.75" customHeight="1">
      <c r="A25" s="1">
        <v>24.0</v>
      </c>
      <c r="B25" s="1" t="s">
        <v>33</v>
      </c>
      <c r="C25" s="1">
        <v>263.99</v>
      </c>
      <c r="D25" s="1">
        <v>279.08</v>
      </c>
      <c r="E25" s="1">
        <v>276.37</v>
      </c>
      <c r="F25" s="1">
        <v>234.06</v>
      </c>
      <c r="G25" s="1">
        <v>256.08</v>
      </c>
      <c r="H25" s="1">
        <v>253.29</v>
      </c>
      <c r="I25" s="1">
        <v>262.01</v>
      </c>
      <c r="J25" s="1">
        <v>261.88</v>
      </c>
      <c r="K25" s="1">
        <f>IFERROR(__xludf.DUMMYFUNCTION("""COMPUTED_VALUE"""),26.0)</f>
        <v>26</v>
      </c>
      <c r="L25" s="1" t="str">
        <f>IFERROR(__xludf.DUMMYFUNCTION("""COMPUTED_VALUE"""),"Uttar Pradesh")</f>
        <v>Uttar Pradesh</v>
      </c>
      <c r="M25" s="1">
        <f>IFERROR(__xludf.DUMMYFUNCTION("""COMPUTED_VALUE"""),578.63)</f>
        <v>578.63</v>
      </c>
      <c r="N25" s="1">
        <f>IFERROR(__xludf.DUMMYFUNCTION("""COMPUTED_VALUE"""),655.91)</f>
        <v>655.91</v>
      </c>
      <c r="O25" s="1">
        <f>IFERROR(__xludf.DUMMYFUNCTION("""COMPUTED_VALUE"""),624.31)</f>
        <v>624.31</v>
      </c>
      <c r="P25" s="1">
        <f>IFERROR(__xludf.DUMMYFUNCTION("""COMPUTED_VALUE"""),541.09)</f>
        <v>541.09</v>
      </c>
      <c r="Q25" s="1">
        <f>IFERROR(__xludf.DUMMYFUNCTION("""COMPUTED_VALUE"""),582.69)</f>
        <v>582.69</v>
      </c>
      <c r="R25" s="1">
        <f>IFERROR(__xludf.DUMMYFUNCTION("""COMPUTED_VALUE"""),576.36)</f>
        <v>576.36</v>
      </c>
      <c r="S25" s="1">
        <f>IFERROR(__xludf.DUMMYFUNCTION("""COMPUTED_VALUE"""),616.59)</f>
        <v>616.59</v>
      </c>
      <c r="T25" s="1">
        <f>IFERROR(__xludf.DUMMYFUNCTION("""COMPUTED_VALUE"""),616.29)</f>
        <v>616.29</v>
      </c>
    </row>
    <row r="26" ht="15.75" customHeight="1">
      <c r="A26" s="1">
        <v>25.0</v>
      </c>
      <c r="B26" s="1" t="s">
        <v>34</v>
      </c>
      <c r="C26" s="1">
        <v>18.44</v>
      </c>
      <c r="D26" s="1">
        <v>3.44</v>
      </c>
      <c r="E26" s="1">
        <v>19.13</v>
      </c>
      <c r="F26" s="1">
        <v>22.03</v>
      </c>
      <c r="G26" s="1">
        <v>17.89</v>
      </c>
      <c r="H26" s="1">
        <v>48.84</v>
      </c>
      <c r="I26" s="1">
        <v>18.49</v>
      </c>
      <c r="J26" s="1">
        <v>18.48</v>
      </c>
      <c r="K26" s="1">
        <f>IFERROR(__xludf.DUMMYFUNCTION("""COMPUTED_VALUE"""),27.0)</f>
        <v>27</v>
      </c>
      <c r="L26" s="1" t="str">
        <f>IFERROR(__xludf.DUMMYFUNCTION("""COMPUTED_VALUE"""),"Uttarakhand")</f>
        <v>Uttarakhand</v>
      </c>
      <c r="M26" s="1">
        <f>IFERROR(__xludf.DUMMYFUNCTION("""COMPUTED_VALUE"""),99.05)</f>
        <v>99.05</v>
      </c>
      <c r="N26" s="1">
        <f>IFERROR(__xludf.DUMMYFUNCTION("""COMPUTED_VALUE"""),85.8)</f>
        <v>85.8</v>
      </c>
      <c r="O26" s="1">
        <f>IFERROR(__xludf.DUMMYFUNCTION("""COMPUTED_VALUE"""),103.98)</f>
        <v>103.98</v>
      </c>
      <c r="P26" s="1">
        <f>IFERROR(__xludf.DUMMYFUNCTION("""COMPUTED_VALUE"""),42.58)</f>
        <v>42.58</v>
      </c>
      <c r="Q26" s="1">
        <f>IFERROR(__xludf.DUMMYFUNCTION("""COMPUTED_VALUE"""),97.23)</f>
        <v>97.23</v>
      </c>
      <c r="R26" s="1">
        <f>IFERROR(__xludf.DUMMYFUNCTION("""COMPUTED_VALUE"""),61.34)</f>
        <v>61.34</v>
      </c>
      <c r="S26" s="1">
        <f>IFERROR(__xludf.DUMMYFUNCTION("""COMPUTED_VALUE"""),98.85)</f>
        <v>98.85</v>
      </c>
      <c r="T26" s="1">
        <f>IFERROR(__xludf.DUMMYFUNCTION("""COMPUTED_VALUE"""),98.8)</f>
        <v>98.8</v>
      </c>
    </row>
    <row r="27" ht="15.75" customHeight="1">
      <c r="A27" s="1">
        <v>26.0</v>
      </c>
      <c r="B27" s="1" t="s">
        <v>35</v>
      </c>
      <c r="C27" s="1">
        <v>578.63</v>
      </c>
      <c r="D27" s="1">
        <v>655.91</v>
      </c>
      <c r="E27" s="1">
        <v>624.31</v>
      </c>
      <c r="F27" s="1">
        <v>541.09</v>
      </c>
      <c r="G27" s="1">
        <v>582.69</v>
      </c>
      <c r="H27" s="1">
        <v>576.36</v>
      </c>
      <c r="I27" s="1">
        <v>616.59</v>
      </c>
      <c r="J27" s="1">
        <v>616.29</v>
      </c>
      <c r="K27" s="1">
        <f>IFERROR(__xludf.DUMMYFUNCTION("""COMPUTED_VALUE"""),28.0)</f>
        <v>28</v>
      </c>
      <c r="L27" s="1" t="str">
        <f>IFERROR(__xludf.DUMMYFUNCTION("""COMPUTED_VALUE"""),"West Bengal")</f>
        <v>West Bengal</v>
      </c>
      <c r="M27" s="1">
        <f>IFERROR(__xludf.DUMMYFUNCTION("""COMPUTED_VALUE"""),212.57)</f>
        <v>212.57</v>
      </c>
      <c r="N27" s="1">
        <f>IFERROR(__xludf.DUMMYFUNCTION("""COMPUTED_VALUE"""),138.33)</f>
        <v>138.33</v>
      </c>
      <c r="O27" s="1">
        <f>IFERROR(__xludf.DUMMYFUNCTION("""COMPUTED_VALUE"""),224.7)</f>
        <v>224.7</v>
      </c>
      <c r="P27" s="1">
        <f>IFERROR(__xludf.DUMMYFUNCTION("""COMPUTED_VALUE"""),451.67)</f>
        <v>451.67</v>
      </c>
      <c r="Q27" s="1">
        <f>IFERROR(__xludf.DUMMYFUNCTION("""COMPUTED_VALUE"""),209.2)</f>
        <v>209.2</v>
      </c>
      <c r="R27" s="1">
        <f>IFERROR(__xludf.DUMMYFUNCTION("""COMPUTED_VALUE"""),136.11)</f>
        <v>136.11</v>
      </c>
      <c r="S27" s="1">
        <f>IFERROR(__xludf.DUMMYFUNCTION("""COMPUTED_VALUE"""),213.97)</f>
        <v>213.97</v>
      </c>
      <c r="T27" s="1">
        <f>IFERROR(__xludf.DUMMYFUNCTION("""COMPUTED_VALUE"""),213.87)</f>
        <v>213.87</v>
      </c>
    </row>
    <row r="28" ht="15.75" customHeight="1">
      <c r="A28" s="1">
        <v>27.0</v>
      </c>
      <c r="B28" s="1" t="s">
        <v>36</v>
      </c>
      <c r="C28" s="1">
        <v>99.05</v>
      </c>
      <c r="D28" s="1">
        <v>85.8</v>
      </c>
      <c r="E28" s="1">
        <v>103.98</v>
      </c>
      <c r="F28" s="1">
        <v>42.58</v>
      </c>
      <c r="G28" s="1">
        <v>97.23</v>
      </c>
      <c r="H28" s="1">
        <v>61.34</v>
      </c>
      <c r="I28" s="1">
        <v>98.85</v>
      </c>
      <c r="J28" s="1">
        <v>98.8</v>
      </c>
      <c r="K28" s="1">
        <f>IFERROR(__xludf.DUMMYFUNCTION("""COMPUTED_VALUE"""),29.0)</f>
        <v>29</v>
      </c>
      <c r="L28" s="1" t="str">
        <f>IFERROR(__xludf.DUMMYFUNCTION("""COMPUTED_VALUE"""),"Andaman and Nicobar Islands")</f>
        <v>Andaman and Nicobar Islands</v>
      </c>
      <c r="M28" s="1">
        <f>IFERROR(__xludf.DUMMYFUNCTION("""COMPUTED_VALUE"""),20.01)</f>
        <v>20.01</v>
      </c>
      <c r="N28" s="1">
        <f>IFERROR(__xludf.DUMMYFUNCTION("""COMPUTED_VALUE"""),20.52)</f>
        <v>20.52</v>
      </c>
      <c r="O28" s="1">
        <f>IFERROR(__xludf.DUMMYFUNCTION("""COMPUTED_VALUE"""),20.22)</f>
        <v>20.22</v>
      </c>
      <c r="P28" s="1">
        <f>IFERROR(__xludf.DUMMYFUNCTION("""COMPUTED_VALUE"""),6.74)</f>
        <v>6.74</v>
      </c>
      <c r="Q28" s="1">
        <f>IFERROR(__xludf.DUMMYFUNCTION("""COMPUTED_VALUE"""),15.12)</f>
        <v>15.12</v>
      </c>
      <c r="R28" s="1">
        <f>IFERROR(__xludf.DUMMYFUNCTION("""COMPUTED_VALUE"""),15.12)</f>
        <v>15.12</v>
      </c>
      <c r="S28" s="1">
        <f>IFERROR(__xludf.DUMMYFUNCTION("""COMPUTED_VALUE"""),15.17)</f>
        <v>15.17</v>
      </c>
      <c r="T28" s="1">
        <f>IFERROR(__xludf.DUMMYFUNCTION("""COMPUTED_VALUE"""),10.08)</f>
        <v>10.08</v>
      </c>
    </row>
    <row r="29" ht="15.75" customHeight="1">
      <c r="A29" s="1">
        <v>28.0</v>
      </c>
      <c r="B29" s="1" t="s">
        <v>37</v>
      </c>
      <c r="C29" s="1">
        <v>212.57</v>
      </c>
      <c r="D29" s="1">
        <v>138.33</v>
      </c>
      <c r="E29" s="1">
        <v>224.7</v>
      </c>
      <c r="F29" s="1">
        <v>451.67</v>
      </c>
      <c r="G29" s="1">
        <v>209.2</v>
      </c>
      <c r="H29" s="1">
        <v>136.11</v>
      </c>
      <c r="I29" s="1">
        <v>213.97</v>
      </c>
      <c r="J29" s="1">
        <v>213.87</v>
      </c>
      <c r="K29" s="1">
        <f>IFERROR(__xludf.DUMMYFUNCTION("""COMPUTED_VALUE"""),34.0)</f>
        <v>34</v>
      </c>
      <c r="L29" s="1" t="str">
        <f>IFERROR(__xludf.DUMMYFUNCTION("""COMPUTED_VALUE"""),"Jammu and Kashmir")</f>
        <v>Jammu and Kashmir</v>
      </c>
      <c r="M29" s="1">
        <f>IFERROR(__xludf.DUMMYFUNCTION("""COMPUTED_VALUE"""),348.87)</f>
        <v>348.87</v>
      </c>
      <c r="N29" s="1">
        <f>IFERROR(__xludf.DUMMYFUNCTION("""COMPUTED_VALUE"""),344.75)</f>
        <v>344.75</v>
      </c>
      <c r="O29" s="1">
        <f>IFERROR(__xludf.DUMMYFUNCTION("""COMPUTED_VALUE"""),137.85)</f>
        <v>137.85</v>
      </c>
      <c r="P29" s="1">
        <f>IFERROR(__xludf.DUMMYFUNCTION("""COMPUTED_VALUE"""),152.96)</f>
        <v>152.96</v>
      </c>
      <c r="Q29" s="1">
        <f>IFERROR(__xludf.DUMMYFUNCTION("""COMPUTED_VALUE"""),94.51)</f>
        <v>94.51</v>
      </c>
      <c r="R29" s="1">
        <f>IFERROR(__xludf.DUMMYFUNCTION("""COMPUTED_VALUE"""),79.4)</f>
        <v>79.4</v>
      </c>
      <c r="S29" s="1">
        <f>IFERROR(__xludf.DUMMYFUNCTION("""COMPUTED_VALUE"""),96.91)</f>
        <v>96.91</v>
      </c>
      <c r="T29" s="1">
        <f>IFERROR(__xludf.DUMMYFUNCTION("""COMPUTED_VALUE"""),94.51)</f>
        <v>94.51</v>
      </c>
    </row>
    <row r="30" ht="15.75" customHeight="1">
      <c r="A30" s="1">
        <v>29.0</v>
      </c>
      <c r="B30" s="1" t="s">
        <v>38</v>
      </c>
      <c r="C30" s="1">
        <v>20.01</v>
      </c>
      <c r="D30" s="1">
        <v>20.52</v>
      </c>
      <c r="E30" s="1">
        <v>20.22</v>
      </c>
      <c r="F30" s="1">
        <v>6.74</v>
      </c>
      <c r="G30" s="1">
        <v>15.12</v>
      </c>
      <c r="H30" s="1">
        <v>15.12</v>
      </c>
      <c r="I30" s="1">
        <v>15.17</v>
      </c>
      <c r="J30" s="1">
        <v>10.08</v>
      </c>
    </row>
    <row r="31" ht="15.75" customHeight="1">
      <c r="A31" s="1">
        <v>30.0</v>
      </c>
      <c r="B31" s="1" t="s">
        <v>39</v>
      </c>
      <c r="C31" s="1">
        <v>5.62</v>
      </c>
      <c r="D31" s="1">
        <v>0.0</v>
      </c>
      <c r="E31" s="1">
        <v>5.65</v>
      </c>
      <c r="F31" s="1">
        <v>0.0</v>
      </c>
      <c r="G31" s="1">
        <v>6.16</v>
      </c>
      <c r="H31" s="1">
        <v>0.0</v>
      </c>
      <c r="I31" s="1">
        <v>4.76</v>
      </c>
      <c r="J31" s="1">
        <v>0.0</v>
      </c>
    </row>
    <row r="32" ht="15.75" customHeight="1">
      <c r="A32" s="1">
        <v>31.0</v>
      </c>
      <c r="B32" s="1" t="s">
        <v>40</v>
      </c>
      <c r="C32" s="1">
        <v>4.52</v>
      </c>
      <c r="D32" s="1">
        <v>0.0</v>
      </c>
      <c r="E32" s="1">
        <v>4.57</v>
      </c>
      <c r="F32" s="1">
        <v>4.57</v>
      </c>
      <c r="G32" s="1">
        <v>5.61</v>
      </c>
      <c r="H32" s="1">
        <v>5.61</v>
      </c>
      <c r="I32" s="1">
        <v>4.8</v>
      </c>
      <c r="J32" s="1">
        <v>2.59</v>
      </c>
    </row>
    <row r="33" ht="15.75" customHeight="1">
      <c r="A33" s="1">
        <v>32.0</v>
      </c>
      <c r="B33" s="1" t="s">
        <v>41</v>
      </c>
      <c r="C33" s="1">
        <v>2.77</v>
      </c>
      <c r="D33" s="1">
        <v>0.0</v>
      </c>
      <c r="E33" s="1">
        <v>2.8</v>
      </c>
      <c r="F33" s="1">
        <v>0.0</v>
      </c>
      <c r="G33" s="1" t="s">
        <v>42</v>
      </c>
      <c r="H33" s="1" t="s">
        <v>42</v>
      </c>
      <c r="I33" s="1" t="s">
        <v>42</v>
      </c>
      <c r="J33" s="1" t="s">
        <v>42</v>
      </c>
    </row>
    <row r="34" ht="15.75" customHeight="1">
      <c r="A34" s="1">
        <v>33.0</v>
      </c>
      <c r="B34" s="1" t="s">
        <v>43</v>
      </c>
      <c r="C34" s="1">
        <v>62.49</v>
      </c>
      <c r="D34" s="1">
        <v>0.0</v>
      </c>
      <c r="E34" s="1">
        <v>59.99</v>
      </c>
      <c r="F34" s="1">
        <v>0.0</v>
      </c>
      <c r="G34" s="1">
        <v>34.15</v>
      </c>
      <c r="H34" s="1">
        <v>0.0</v>
      </c>
      <c r="I34" s="1">
        <v>27.2</v>
      </c>
      <c r="J34" s="1">
        <v>0.0</v>
      </c>
    </row>
    <row r="35" ht="15.75" customHeight="1">
      <c r="A35" s="1">
        <v>34.0</v>
      </c>
      <c r="B35" s="1" t="s">
        <v>44</v>
      </c>
      <c r="C35" s="1">
        <v>348.87</v>
      </c>
      <c r="D35" s="1">
        <v>344.75</v>
      </c>
      <c r="E35" s="1">
        <v>137.85</v>
      </c>
      <c r="F35" s="1">
        <v>152.96</v>
      </c>
      <c r="G35" s="1">
        <v>94.51</v>
      </c>
      <c r="H35" s="1">
        <v>79.4</v>
      </c>
      <c r="I35" s="1">
        <v>96.91</v>
      </c>
      <c r="J35" s="1">
        <v>94.51</v>
      </c>
    </row>
    <row r="36" ht="15.75" customHeight="1">
      <c r="A36" s="1">
        <v>35.0</v>
      </c>
      <c r="B36" s="1" t="s">
        <v>45</v>
      </c>
      <c r="C36" s="1" t="s">
        <v>42</v>
      </c>
      <c r="D36" s="1" t="s">
        <v>42</v>
      </c>
      <c r="E36" s="1">
        <v>103.82</v>
      </c>
      <c r="F36" s="1">
        <v>17.36</v>
      </c>
      <c r="G36" s="1">
        <v>246.22</v>
      </c>
      <c r="H36" s="1">
        <v>96.95</v>
      </c>
      <c r="I36" s="1">
        <v>250.83</v>
      </c>
      <c r="J36" s="1">
        <v>0.0</v>
      </c>
    </row>
    <row r="37" ht="15.75" customHeight="1">
      <c r="A37" s="1">
        <v>36.0</v>
      </c>
      <c r="B37" s="1" t="s">
        <v>46</v>
      </c>
      <c r="C37" s="1">
        <v>12.51</v>
      </c>
      <c r="D37" s="1">
        <v>0.0</v>
      </c>
      <c r="E37" s="1">
        <v>12.01</v>
      </c>
      <c r="F37" s="1">
        <v>4.0</v>
      </c>
      <c r="G37" s="1">
        <v>8.47</v>
      </c>
      <c r="H37" s="1">
        <v>8.47</v>
      </c>
      <c r="I37" s="1">
        <v>7.39</v>
      </c>
      <c r="J37" s="1">
        <v>5.18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10</v>
      </c>
      <c r="B2" s="1">
        <v>330.27</v>
      </c>
      <c r="C2" s="1">
        <v>326.88</v>
      </c>
      <c r="D2" s="1">
        <v>349.64</v>
      </c>
      <c r="E2" s="1">
        <v>350.08</v>
      </c>
      <c r="F2" s="1">
        <v>325.54</v>
      </c>
      <c r="G2" s="1">
        <v>322.0</v>
      </c>
      <c r="H2" s="1">
        <v>334.96</v>
      </c>
      <c r="I2" s="1">
        <v>300.8</v>
      </c>
    </row>
    <row r="3">
      <c r="A3" s="1" t="s">
        <v>11</v>
      </c>
      <c r="B3" s="1">
        <v>127.91</v>
      </c>
      <c r="C3" s="1">
        <v>108.39</v>
      </c>
      <c r="D3" s="1">
        <v>133.2</v>
      </c>
      <c r="E3" s="1">
        <v>126.61</v>
      </c>
      <c r="F3" s="1">
        <v>125.48</v>
      </c>
      <c r="G3" s="1">
        <v>42.03</v>
      </c>
      <c r="H3" s="1">
        <v>128.39</v>
      </c>
      <c r="I3" s="1">
        <v>128.33</v>
      </c>
    </row>
    <row r="4">
      <c r="A4" s="1" t="s">
        <v>12</v>
      </c>
      <c r="B4" s="1">
        <v>140.97</v>
      </c>
      <c r="C4" s="1">
        <v>255.92</v>
      </c>
      <c r="D4" s="1">
        <v>149.03</v>
      </c>
      <c r="E4" s="1">
        <v>149.03</v>
      </c>
      <c r="F4" s="1">
        <v>140.74</v>
      </c>
      <c r="G4" s="1">
        <v>220.81</v>
      </c>
      <c r="H4" s="1">
        <v>143.8</v>
      </c>
      <c r="I4" s="1">
        <v>77.51</v>
      </c>
    </row>
    <row r="5">
      <c r="A5" s="1" t="s">
        <v>13</v>
      </c>
      <c r="B5" s="1">
        <v>197.71</v>
      </c>
      <c r="C5" s="1">
        <v>101.49</v>
      </c>
      <c r="D5" s="1">
        <v>210.35</v>
      </c>
      <c r="E5" s="1">
        <v>223.16</v>
      </c>
      <c r="F5" s="1">
        <v>195.3</v>
      </c>
      <c r="G5" s="1">
        <v>425.93</v>
      </c>
      <c r="H5" s="1">
        <v>201.16</v>
      </c>
      <c r="I5" s="1">
        <v>447.06</v>
      </c>
    </row>
    <row r="6">
      <c r="A6" s="1" t="s">
        <v>14</v>
      </c>
      <c r="B6" s="1">
        <v>243.02</v>
      </c>
      <c r="C6" s="1">
        <v>214.02</v>
      </c>
      <c r="D6" s="1">
        <v>254.6</v>
      </c>
      <c r="E6" s="1">
        <v>371.61</v>
      </c>
      <c r="F6" s="1">
        <v>237.5</v>
      </c>
      <c r="G6" s="1">
        <v>234.92</v>
      </c>
      <c r="H6" s="1">
        <v>245.74</v>
      </c>
      <c r="I6" s="1">
        <v>230.29</v>
      </c>
    </row>
    <row r="7">
      <c r="A7" s="1" t="s">
        <v>16</v>
      </c>
      <c r="B7" s="1">
        <v>429.28</v>
      </c>
      <c r="C7" s="1">
        <v>531.19</v>
      </c>
      <c r="D7" s="1">
        <v>451.33</v>
      </c>
      <c r="E7" s="1">
        <v>718.87</v>
      </c>
      <c r="F7" s="1">
        <v>424.68</v>
      </c>
      <c r="G7" s="1">
        <v>430.74</v>
      </c>
      <c r="H7" s="1">
        <v>434.06</v>
      </c>
      <c r="I7" s="1">
        <v>725.29</v>
      </c>
    </row>
    <row r="8">
      <c r="A8" s="1" t="s">
        <v>17</v>
      </c>
      <c r="B8" s="1">
        <v>185.06</v>
      </c>
      <c r="C8" s="1">
        <v>80.93</v>
      </c>
      <c r="D8" s="1">
        <v>185.1</v>
      </c>
      <c r="E8" s="1">
        <v>200.77</v>
      </c>
      <c r="F8" s="1">
        <v>167.73</v>
      </c>
      <c r="G8" s="1">
        <v>78.54</v>
      </c>
      <c r="H8" s="1">
        <v>177.05</v>
      </c>
      <c r="I8" s="1">
        <v>163.71</v>
      </c>
    </row>
    <row r="9">
      <c r="A9" s="1" t="s">
        <v>18</v>
      </c>
      <c r="B9" s="1">
        <v>98.98</v>
      </c>
      <c r="C9" s="1">
        <v>92.56</v>
      </c>
      <c r="D9" s="1">
        <v>103.27</v>
      </c>
      <c r="E9" s="1">
        <v>87.12</v>
      </c>
      <c r="F9" s="1">
        <v>97.27</v>
      </c>
      <c r="G9" s="1">
        <v>95.95</v>
      </c>
      <c r="H9" s="1">
        <v>99.74</v>
      </c>
      <c r="I9" s="1">
        <v>99.69</v>
      </c>
    </row>
    <row r="10">
      <c r="A10" s="1" t="s">
        <v>19</v>
      </c>
      <c r="B10" s="1">
        <v>160.4</v>
      </c>
      <c r="C10" s="1">
        <v>63.33</v>
      </c>
      <c r="D10" s="1">
        <v>171.07</v>
      </c>
      <c r="E10" s="1">
        <v>137.67</v>
      </c>
      <c r="F10" s="1">
        <v>160.88</v>
      </c>
      <c r="G10" s="1">
        <v>78.77</v>
      </c>
      <c r="H10" s="1">
        <v>164.33</v>
      </c>
      <c r="I10" s="1">
        <v>40.79</v>
      </c>
    </row>
    <row r="11">
      <c r="A11" s="1" t="s">
        <v>20</v>
      </c>
      <c r="B11" s="1">
        <v>450.54</v>
      </c>
      <c r="C11" s="1">
        <v>508.39</v>
      </c>
      <c r="D11" s="1">
        <v>476.84</v>
      </c>
      <c r="E11" s="1">
        <v>382.57</v>
      </c>
      <c r="F11" s="1">
        <v>439.77</v>
      </c>
      <c r="G11" s="1">
        <v>434.99</v>
      </c>
      <c r="H11" s="1">
        <v>443.11</v>
      </c>
      <c r="I11" s="1">
        <v>442.9</v>
      </c>
    </row>
    <row r="12">
      <c r="A12" s="1" t="s">
        <v>22</v>
      </c>
      <c r="B12" s="1">
        <v>551.98</v>
      </c>
      <c r="C12" s="1">
        <v>625.7</v>
      </c>
      <c r="D12" s="1">
        <v>579.67</v>
      </c>
      <c r="E12" s="1">
        <v>693.25</v>
      </c>
      <c r="F12" s="1">
        <v>541.01</v>
      </c>
      <c r="G12" s="1">
        <v>535.13</v>
      </c>
      <c r="H12" s="1">
        <v>556.21</v>
      </c>
      <c r="I12" s="1">
        <v>622.93</v>
      </c>
    </row>
    <row r="13">
      <c r="A13" s="1" t="s">
        <v>23</v>
      </c>
      <c r="B13" s="1">
        <v>688.47</v>
      </c>
      <c r="C13" s="1">
        <v>780.42</v>
      </c>
      <c r="D13" s="1">
        <v>728.84</v>
      </c>
      <c r="E13" s="1">
        <v>629.83</v>
      </c>
      <c r="F13" s="1">
        <v>683.27</v>
      </c>
      <c r="G13" s="1">
        <v>675.84</v>
      </c>
      <c r="H13" s="1">
        <v>683.8</v>
      </c>
      <c r="I13" s="1">
        <v>227.82</v>
      </c>
    </row>
    <row r="14">
      <c r="A14" s="1" t="s">
        <v>24</v>
      </c>
      <c r="B14" s="1">
        <v>36.14</v>
      </c>
      <c r="C14" s="1">
        <v>12.95</v>
      </c>
      <c r="D14" s="1">
        <v>38.0</v>
      </c>
      <c r="E14" s="1">
        <v>12.64</v>
      </c>
      <c r="F14" s="1">
        <v>35.85</v>
      </c>
      <c r="G14" s="1">
        <v>13.22</v>
      </c>
      <c r="H14" s="1">
        <v>36.6</v>
      </c>
      <c r="I14" s="1">
        <v>13.43</v>
      </c>
    </row>
    <row r="15">
      <c r="A15" s="1" t="s">
        <v>25</v>
      </c>
      <c r="B15" s="1">
        <v>41.04</v>
      </c>
      <c r="C15" s="1">
        <v>28.53</v>
      </c>
      <c r="D15" s="1">
        <v>43.34</v>
      </c>
      <c r="E15" s="1">
        <v>29.1</v>
      </c>
      <c r="F15" s="1">
        <v>40.81</v>
      </c>
      <c r="G15" s="1">
        <v>76.93</v>
      </c>
      <c r="H15" s="1">
        <v>40.63</v>
      </c>
      <c r="I15" s="1">
        <v>40.61</v>
      </c>
    </row>
    <row r="16">
      <c r="A16" s="1" t="s">
        <v>26</v>
      </c>
      <c r="B16" s="1">
        <v>33.06</v>
      </c>
      <c r="C16" s="1">
        <v>23.4</v>
      </c>
      <c r="D16" s="1">
        <v>34.55</v>
      </c>
      <c r="E16" s="1">
        <v>34.55</v>
      </c>
      <c r="F16" s="1">
        <v>32.56</v>
      </c>
      <c r="G16" s="1">
        <v>32.28</v>
      </c>
      <c r="H16" s="1">
        <v>33.14</v>
      </c>
      <c r="I16" s="1">
        <v>22.06</v>
      </c>
    </row>
    <row r="17">
      <c r="A17" s="1" t="s">
        <v>27</v>
      </c>
      <c r="B17" s="1">
        <v>26.7</v>
      </c>
      <c r="C17" s="1">
        <v>54.7</v>
      </c>
      <c r="D17" s="1">
        <v>27.87</v>
      </c>
      <c r="E17" s="1">
        <v>9.29</v>
      </c>
      <c r="F17" s="1">
        <v>26.44</v>
      </c>
      <c r="G17" s="1">
        <v>37.41</v>
      </c>
      <c r="H17" s="1">
        <v>27.02</v>
      </c>
      <c r="I17" s="1">
        <v>27.0</v>
      </c>
    </row>
    <row r="18">
      <c r="A18" s="1" t="s">
        <v>28</v>
      </c>
      <c r="B18" s="1">
        <v>293.08</v>
      </c>
      <c r="C18" s="1">
        <v>111.93</v>
      </c>
      <c r="D18" s="1">
        <v>308.94</v>
      </c>
      <c r="E18" s="1">
        <v>286.96</v>
      </c>
      <c r="F18" s="1">
        <v>289.54</v>
      </c>
      <c r="G18" s="1">
        <v>534.19</v>
      </c>
      <c r="H18" s="1">
        <v>298.67</v>
      </c>
      <c r="I18" s="1">
        <v>296.01</v>
      </c>
    </row>
    <row r="19">
      <c r="A19" s="1" t="s">
        <v>29</v>
      </c>
      <c r="B19" s="1">
        <v>158.35</v>
      </c>
      <c r="C19" s="1">
        <v>170.11</v>
      </c>
      <c r="D19" s="1">
        <v>159.6</v>
      </c>
      <c r="E19" s="1">
        <v>259.37</v>
      </c>
      <c r="F19" s="1">
        <v>148.77</v>
      </c>
      <c r="G19" s="1">
        <v>141.18</v>
      </c>
      <c r="H19" s="1">
        <v>149.41</v>
      </c>
      <c r="I19" s="1">
        <v>149.33</v>
      </c>
    </row>
    <row r="20">
      <c r="A20" s="1" t="s">
        <v>30</v>
      </c>
      <c r="B20" s="1">
        <v>644.38</v>
      </c>
      <c r="C20" s="1">
        <v>591.86</v>
      </c>
      <c r="D20" s="1">
        <v>669.01</v>
      </c>
      <c r="E20" s="1">
        <v>415.17</v>
      </c>
      <c r="F20" s="1">
        <v>622.71</v>
      </c>
      <c r="G20" s="1">
        <v>141.81</v>
      </c>
      <c r="H20" s="1">
        <v>627.89</v>
      </c>
      <c r="I20" s="1">
        <v>148.4</v>
      </c>
    </row>
    <row r="21">
      <c r="A21" s="1" t="s">
        <v>31</v>
      </c>
      <c r="B21" s="1">
        <v>12.21</v>
      </c>
      <c r="C21" s="1">
        <v>16.76</v>
      </c>
      <c r="D21" s="1">
        <v>12.89</v>
      </c>
      <c r="E21" s="1">
        <v>4.29</v>
      </c>
      <c r="F21" s="1">
        <v>12.09</v>
      </c>
      <c r="G21" s="1">
        <v>3.98</v>
      </c>
      <c r="H21" s="1">
        <v>12.06</v>
      </c>
      <c r="I21" s="1">
        <v>12.05</v>
      </c>
    </row>
    <row r="22">
      <c r="A22" s="1" t="s">
        <v>32</v>
      </c>
      <c r="B22" s="1">
        <v>367.76</v>
      </c>
      <c r="C22" s="1">
        <v>416.88</v>
      </c>
      <c r="D22" s="1">
        <v>379.65</v>
      </c>
      <c r="E22" s="1">
        <v>262.37</v>
      </c>
      <c r="F22" s="1">
        <v>352.04</v>
      </c>
      <c r="G22" s="1">
        <v>503.17</v>
      </c>
      <c r="H22" s="1">
        <v>350.32</v>
      </c>
      <c r="I22" s="1">
        <v>350.15</v>
      </c>
    </row>
    <row r="23">
      <c r="A23" s="1" t="s">
        <v>33</v>
      </c>
      <c r="B23" s="1">
        <v>263.99</v>
      </c>
      <c r="C23" s="1">
        <v>279.08</v>
      </c>
      <c r="D23" s="1">
        <v>276.37</v>
      </c>
      <c r="E23" s="1">
        <v>234.06</v>
      </c>
      <c r="F23" s="1">
        <v>256.08</v>
      </c>
      <c r="G23" s="1">
        <v>253.29</v>
      </c>
      <c r="H23" s="1">
        <v>262.01</v>
      </c>
      <c r="I23" s="1">
        <v>261.88</v>
      </c>
    </row>
    <row r="24">
      <c r="A24" s="1" t="s">
        <v>34</v>
      </c>
      <c r="B24" s="1">
        <v>18.44</v>
      </c>
      <c r="C24" s="1">
        <v>3.44</v>
      </c>
      <c r="D24" s="1">
        <v>19.13</v>
      </c>
      <c r="E24" s="1">
        <v>22.03</v>
      </c>
      <c r="F24" s="1">
        <v>17.89</v>
      </c>
      <c r="G24" s="1">
        <v>48.84</v>
      </c>
      <c r="H24" s="1">
        <v>18.49</v>
      </c>
      <c r="I24" s="1">
        <v>18.48</v>
      </c>
    </row>
    <row r="25">
      <c r="A25" s="1" t="s">
        <v>35</v>
      </c>
      <c r="B25" s="1">
        <v>578.63</v>
      </c>
      <c r="C25" s="1">
        <v>655.91</v>
      </c>
      <c r="D25" s="1">
        <v>624.31</v>
      </c>
      <c r="E25" s="1">
        <v>541.09</v>
      </c>
      <c r="F25" s="1">
        <v>582.69</v>
      </c>
      <c r="G25" s="1">
        <v>576.36</v>
      </c>
      <c r="H25" s="1">
        <v>616.59</v>
      </c>
      <c r="I25" s="1">
        <v>616.29</v>
      </c>
    </row>
    <row r="26">
      <c r="A26" s="1" t="s">
        <v>36</v>
      </c>
      <c r="B26" s="1">
        <v>99.05</v>
      </c>
      <c r="C26" s="1">
        <v>85.8</v>
      </c>
      <c r="D26" s="1">
        <v>103.98</v>
      </c>
      <c r="E26" s="1">
        <v>42.58</v>
      </c>
      <c r="F26" s="1">
        <v>97.23</v>
      </c>
      <c r="G26" s="1">
        <v>61.34</v>
      </c>
      <c r="H26" s="1">
        <v>98.85</v>
      </c>
      <c r="I26" s="1">
        <v>98.8</v>
      </c>
    </row>
    <row r="27">
      <c r="A27" s="1" t="s">
        <v>37</v>
      </c>
      <c r="B27" s="1">
        <v>212.57</v>
      </c>
      <c r="C27" s="1">
        <v>138.33</v>
      </c>
      <c r="D27" s="1">
        <v>224.7</v>
      </c>
      <c r="E27" s="1">
        <v>451.67</v>
      </c>
      <c r="F27" s="1">
        <v>209.2</v>
      </c>
      <c r="G27" s="1">
        <v>136.11</v>
      </c>
      <c r="H27" s="1">
        <v>213.97</v>
      </c>
      <c r="I27" s="1">
        <v>213.87</v>
      </c>
    </row>
    <row r="28">
      <c r="A28" s="1" t="s">
        <v>38</v>
      </c>
      <c r="B28" s="1">
        <v>20.01</v>
      </c>
      <c r="C28" s="1">
        <v>20.52</v>
      </c>
      <c r="D28" s="1">
        <v>20.22</v>
      </c>
      <c r="E28" s="1">
        <v>6.74</v>
      </c>
      <c r="F28" s="1">
        <v>15.12</v>
      </c>
      <c r="G28" s="1">
        <v>15.12</v>
      </c>
      <c r="H28" s="1">
        <v>15.17</v>
      </c>
      <c r="I28" s="1">
        <v>10.08</v>
      </c>
    </row>
    <row r="29">
      <c r="A29" s="1" t="s">
        <v>44</v>
      </c>
      <c r="B29" s="1">
        <v>348.87</v>
      </c>
      <c r="C29" s="1">
        <v>344.75</v>
      </c>
      <c r="D29" s="1">
        <v>137.85</v>
      </c>
      <c r="E29" s="1">
        <v>152.96</v>
      </c>
      <c r="F29" s="1">
        <v>94.51</v>
      </c>
      <c r="G29" s="1">
        <v>79.4</v>
      </c>
      <c r="H29" s="1">
        <v>96.91</v>
      </c>
      <c r="I29" s="1">
        <v>94.51</v>
      </c>
    </row>
  </sheetData>
  <autoFilter ref="$A$1:$A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6.0"/>
    <col customWidth="1" min="3" max="3" width="16.29"/>
    <col customWidth="1" min="4" max="4" width="16.0"/>
    <col customWidth="1" min="5" max="5" width="16.29"/>
  </cols>
  <sheetData>
    <row r="1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47</v>
      </c>
      <c r="G1" s="1" t="s">
        <v>48</v>
      </c>
    </row>
    <row r="2">
      <c r="A2" s="1" t="s">
        <v>17</v>
      </c>
      <c r="B2" s="1">
        <v>167.73</v>
      </c>
      <c r="C2" s="1">
        <v>78.54</v>
      </c>
      <c r="D2" s="1">
        <v>177.05</v>
      </c>
      <c r="E2" s="1">
        <v>163.71</v>
      </c>
      <c r="F2" s="1">
        <v>212.19</v>
      </c>
      <c r="G2" s="1">
        <v>0.0</v>
      </c>
      <c r="L2" s="1">
        <f t="shared" ref="L2:L5" si="1">B2*10000000</f>
        <v>1677300000</v>
      </c>
    </row>
    <row r="3">
      <c r="A3" s="1" t="s">
        <v>30</v>
      </c>
      <c r="B3" s="1">
        <v>622.71</v>
      </c>
      <c r="C3" s="1">
        <v>141.81</v>
      </c>
      <c r="D3" s="1">
        <v>627.89</v>
      </c>
      <c r="E3" s="1">
        <v>148.4</v>
      </c>
      <c r="F3" s="1">
        <v>768.16</v>
      </c>
      <c r="G3" s="1">
        <v>434.19</v>
      </c>
      <c r="L3" s="1">
        <f t="shared" si="1"/>
        <v>6227100000</v>
      </c>
    </row>
    <row r="4">
      <c r="A4" s="1" t="s">
        <v>35</v>
      </c>
      <c r="B4" s="1">
        <v>582.69</v>
      </c>
      <c r="C4" s="1">
        <v>576.36</v>
      </c>
      <c r="D4" s="1">
        <v>616.59</v>
      </c>
      <c r="E4" s="1">
        <v>616.29</v>
      </c>
      <c r="F4" s="1">
        <v>753.78</v>
      </c>
      <c r="G4" s="1">
        <v>636.91</v>
      </c>
      <c r="L4" s="1">
        <f t="shared" si="1"/>
        <v>5826900000</v>
      </c>
    </row>
    <row r="5">
      <c r="A5" s="1" t="s">
        <v>43</v>
      </c>
      <c r="B5" s="1">
        <v>34.15</v>
      </c>
      <c r="C5" s="1">
        <v>0.0</v>
      </c>
      <c r="D5" s="1">
        <v>27.2</v>
      </c>
      <c r="E5" s="1">
        <v>0.0</v>
      </c>
      <c r="F5" s="1">
        <v>34.42</v>
      </c>
      <c r="G5" s="1">
        <v>0.0</v>
      </c>
      <c r="L5" s="1">
        <f t="shared" si="1"/>
        <v>341500000</v>
      </c>
    </row>
    <row r="6">
      <c r="A6" s="2" t="s">
        <v>49</v>
      </c>
      <c r="B6" s="1">
        <f t="shared" ref="B6:G6" si="2">SUM(B2:B5)</f>
        <v>1407.28</v>
      </c>
      <c r="C6" s="1">
        <f t="shared" si="2"/>
        <v>796.71</v>
      </c>
      <c r="D6" s="1">
        <f t="shared" si="2"/>
        <v>1448.73</v>
      </c>
      <c r="E6" s="1">
        <f t="shared" si="2"/>
        <v>928.4</v>
      </c>
      <c r="F6" s="1">
        <f t="shared" si="2"/>
        <v>1768.55</v>
      </c>
      <c r="G6" s="1">
        <f t="shared" si="2"/>
        <v>1071.1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9.14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47</v>
      </c>
      <c r="J1" s="1" t="s">
        <v>48</v>
      </c>
      <c r="L1" s="2" t="s">
        <v>50</v>
      </c>
      <c r="N1" s="2" t="s">
        <v>51</v>
      </c>
      <c r="P1" s="2" t="s">
        <v>52</v>
      </c>
    </row>
    <row r="2">
      <c r="A2" s="1">
        <v>1.0</v>
      </c>
      <c r="B2" s="1" t="s">
        <v>10</v>
      </c>
      <c r="C2" s="1">
        <v>349.64</v>
      </c>
      <c r="D2" s="1">
        <v>350.08</v>
      </c>
      <c r="E2" s="1">
        <v>325.54</v>
      </c>
      <c r="F2" s="1">
        <v>322.0</v>
      </c>
      <c r="G2" s="1">
        <v>334.96</v>
      </c>
      <c r="H2" s="1">
        <v>300.8</v>
      </c>
      <c r="I2" s="1">
        <v>407.98</v>
      </c>
      <c r="J2" s="1">
        <v>344.73</v>
      </c>
      <c r="L2" s="1">
        <f>COUNTBLANK(A2:J37)</f>
        <v>0</v>
      </c>
      <c r="M2" s="2" t="s">
        <v>53</v>
      </c>
      <c r="N2" s="1">
        <f t="shared" ref="N2:N37" si="1">COUNTIF(B:B,B1)</f>
        <v>1</v>
      </c>
      <c r="O2" s="2" t="s">
        <v>54</v>
      </c>
      <c r="P2" s="1" t="b">
        <f>ISNUMBER(C2:J37)</f>
        <v>0</v>
      </c>
    </row>
    <row r="3">
      <c r="A3" s="1">
        <v>2.0</v>
      </c>
      <c r="B3" s="1" t="s">
        <v>11</v>
      </c>
      <c r="C3" s="1">
        <v>133.2</v>
      </c>
      <c r="D3" s="1">
        <v>126.61</v>
      </c>
      <c r="E3" s="1">
        <v>125.48</v>
      </c>
      <c r="F3" s="1">
        <v>42.03</v>
      </c>
      <c r="G3" s="1">
        <v>128.39</v>
      </c>
      <c r="H3" s="1">
        <v>128.33</v>
      </c>
      <c r="I3" s="1">
        <v>158.45</v>
      </c>
      <c r="J3" s="1">
        <v>42.01</v>
      </c>
      <c r="N3" s="1">
        <f t="shared" si="1"/>
        <v>1</v>
      </c>
    </row>
    <row r="4">
      <c r="A4" s="1">
        <v>3.0</v>
      </c>
      <c r="B4" s="1" t="s">
        <v>12</v>
      </c>
      <c r="C4" s="1">
        <v>149.03</v>
      </c>
      <c r="D4" s="1">
        <v>149.03</v>
      </c>
      <c r="E4" s="1">
        <v>140.74</v>
      </c>
      <c r="F4" s="1">
        <v>220.81</v>
      </c>
      <c r="G4" s="1">
        <v>143.8</v>
      </c>
      <c r="H4" s="1">
        <v>77.51</v>
      </c>
      <c r="I4" s="1">
        <v>182.04</v>
      </c>
      <c r="J4" s="1">
        <v>55.52</v>
      </c>
      <c r="N4" s="1">
        <f t="shared" si="1"/>
        <v>1</v>
      </c>
    </row>
    <row r="5">
      <c r="A5" s="1">
        <v>4.0</v>
      </c>
      <c r="B5" s="1" t="s">
        <v>13</v>
      </c>
      <c r="C5" s="1">
        <v>210.35</v>
      </c>
      <c r="D5" s="1">
        <v>223.16</v>
      </c>
      <c r="E5" s="1">
        <v>195.3</v>
      </c>
      <c r="F5" s="1">
        <v>425.93</v>
      </c>
      <c r="G5" s="1">
        <v>201.16</v>
      </c>
      <c r="H5" s="1">
        <v>447.06</v>
      </c>
      <c r="I5" s="1">
        <v>243.03</v>
      </c>
      <c r="J5" s="1">
        <v>205.35</v>
      </c>
      <c r="N5" s="1">
        <f t="shared" si="1"/>
        <v>1</v>
      </c>
    </row>
    <row r="6">
      <c r="A6" s="1">
        <v>5.0</v>
      </c>
      <c r="B6" s="1" t="s">
        <v>14</v>
      </c>
      <c r="C6" s="1">
        <v>254.6</v>
      </c>
      <c r="D6" s="1">
        <v>371.61</v>
      </c>
      <c r="E6" s="1">
        <v>237.5</v>
      </c>
      <c r="F6" s="1">
        <v>234.92</v>
      </c>
      <c r="G6" s="1">
        <v>245.74</v>
      </c>
      <c r="H6" s="1">
        <v>230.29</v>
      </c>
      <c r="I6" s="1">
        <v>301.67</v>
      </c>
      <c r="J6" s="1">
        <v>0.0</v>
      </c>
      <c r="N6" s="1">
        <f t="shared" si="1"/>
        <v>1</v>
      </c>
    </row>
    <row r="7">
      <c r="A7" s="1">
        <v>6.0</v>
      </c>
      <c r="B7" s="1" t="s">
        <v>15</v>
      </c>
      <c r="C7" s="1">
        <v>15.67</v>
      </c>
      <c r="D7" s="1">
        <v>7.29</v>
      </c>
      <c r="E7" s="1">
        <v>14.43</v>
      </c>
      <c r="F7" s="1">
        <v>0.0</v>
      </c>
      <c r="G7" s="1">
        <v>13.41</v>
      </c>
      <c r="H7" s="1">
        <v>0.0</v>
      </c>
      <c r="I7" s="1">
        <v>17.44</v>
      </c>
      <c r="J7" s="1">
        <v>0.0</v>
      </c>
      <c r="N7" s="1">
        <f t="shared" si="1"/>
        <v>1</v>
      </c>
    </row>
    <row r="8">
      <c r="A8" s="1">
        <v>7.0</v>
      </c>
      <c r="B8" s="1" t="s">
        <v>16</v>
      </c>
      <c r="C8" s="1">
        <v>451.33</v>
      </c>
      <c r="D8" s="1">
        <v>718.87</v>
      </c>
      <c r="E8" s="1">
        <v>424.68</v>
      </c>
      <c r="F8" s="1">
        <v>430.74</v>
      </c>
      <c r="G8" s="1">
        <v>434.06</v>
      </c>
      <c r="H8" s="1">
        <v>725.29</v>
      </c>
      <c r="I8" s="1">
        <v>546.55</v>
      </c>
      <c r="J8" s="1">
        <v>104.32</v>
      </c>
      <c r="N8" s="1">
        <f t="shared" si="1"/>
        <v>1</v>
      </c>
    </row>
    <row r="9">
      <c r="A9" s="1">
        <v>8.0</v>
      </c>
      <c r="B9" s="1" t="s">
        <v>17</v>
      </c>
      <c r="C9" s="1">
        <v>185.1</v>
      </c>
      <c r="D9" s="1">
        <v>200.77</v>
      </c>
      <c r="E9" s="1">
        <v>167.73</v>
      </c>
      <c r="F9" s="1">
        <v>78.54</v>
      </c>
      <c r="G9" s="1">
        <v>177.05</v>
      </c>
      <c r="H9" s="1">
        <v>163.71</v>
      </c>
      <c r="I9" s="1">
        <v>212.19</v>
      </c>
      <c r="J9" s="1">
        <v>0.0</v>
      </c>
      <c r="N9" s="1">
        <f t="shared" si="1"/>
        <v>1</v>
      </c>
    </row>
    <row r="10">
      <c r="A10" s="1">
        <v>9.0</v>
      </c>
      <c r="B10" s="1" t="s">
        <v>18</v>
      </c>
      <c r="C10" s="1">
        <v>103.27</v>
      </c>
      <c r="D10" s="1">
        <v>87.12</v>
      </c>
      <c r="E10" s="1">
        <v>97.27</v>
      </c>
      <c r="F10" s="1">
        <v>95.95</v>
      </c>
      <c r="G10" s="1">
        <v>99.74</v>
      </c>
      <c r="H10" s="1">
        <v>188.01</v>
      </c>
      <c r="I10" s="1">
        <v>126.34</v>
      </c>
      <c r="J10" s="1">
        <v>106.75</v>
      </c>
      <c r="N10" s="1">
        <f t="shared" si="1"/>
        <v>1</v>
      </c>
    </row>
    <row r="11">
      <c r="A11" s="1">
        <v>10.0</v>
      </c>
      <c r="B11" s="1" t="s">
        <v>19</v>
      </c>
      <c r="C11" s="1">
        <v>171.07</v>
      </c>
      <c r="D11" s="1">
        <v>137.67</v>
      </c>
      <c r="E11" s="1">
        <v>160.88</v>
      </c>
      <c r="F11" s="1">
        <v>78.77</v>
      </c>
      <c r="G11" s="1">
        <v>164.33</v>
      </c>
      <c r="H11" s="1">
        <v>40.79</v>
      </c>
      <c r="I11" s="1">
        <v>198.48</v>
      </c>
      <c r="J11" s="1">
        <v>0.0</v>
      </c>
      <c r="N11" s="1">
        <f t="shared" si="1"/>
        <v>1</v>
      </c>
    </row>
    <row r="12">
      <c r="A12" s="1">
        <v>11.0</v>
      </c>
      <c r="B12" s="1" t="s">
        <v>20</v>
      </c>
      <c r="C12" s="1">
        <v>476.84</v>
      </c>
      <c r="D12" s="1">
        <v>382.57</v>
      </c>
      <c r="E12" s="1">
        <v>439.77</v>
      </c>
      <c r="F12" s="1">
        <v>434.99</v>
      </c>
      <c r="G12" s="1">
        <v>443.11</v>
      </c>
      <c r="H12" s="1">
        <v>442.9</v>
      </c>
      <c r="I12" s="1">
        <v>550.64</v>
      </c>
      <c r="J12" s="1">
        <v>465.27</v>
      </c>
      <c r="N12" s="1">
        <f t="shared" si="1"/>
        <v>1</v>
      </c>
    </row>
    <row r="13">
      <c r="A13" s="1">
        <v>12.0</v>
      </c>
      <c r="B13" s="1" t="s">
        <v>21</v>
      </c>
      <c r="C13" s="1">
        <v>140.54</v>
      </c>
      <c r="D13" s="1">
        <v>0.0</v>
      </c>
      <c r="E13" s="1">
        <v>132.26</v>
      </c>
      <c r="F13" s="1">
        <v>273.99</v>
      </c>
      <c r="G13" s="1">
        <v>126.77</v>
      </c>
      <c r="H13" s="1">
        <v>126.71</v>
      </c>
      <c r="I13" s="1">
        <v>157.95</v>
      </c>
      <c r="J13" s="1">
        <v>133.46</v>
      </c>
      <c r="N13" s="1">
        <f t="shared" si="1"/>
        <v>1</v>
      </c>
    </row>
    <row r="14">
      <c r="A14" s="1">
        <v>13.0</v>
      </c>
      <c r="B14" s="1" t="s">
        <v>22</v>
      </c>
      <c r="C14" s="1">
        <v>579.67</v>
      </c>
      <c r="D14" s="1">
        <v>693.25</v>
      </c>
      <c r="E14" s="1">
        <v>541.01</v>
      </c>
      <c r="F14" s="1">
        <v>535.13</v>
      </c>
      <c r="G14" s="1">
        <v>556.21</v>
      </c>
      <c r="H14" s="1">
        <v>622.93</v>
      </c>
      <c r="I14" s="1">
        <v>679.27</v>
      </c>
      <c r="J14" s="1">
        <v>378.51</v>
      </c>
      <c r="N14" s="1">
        <f t="shared" si="1"/>
        <v>1</v>
      </c>
    </row>
    <row r="15">
      <c r="A15" s="1">
        <v>14.0</v>
      </c>
      <c r="B15" s="1" t="s">
        <v>23</v>
      </c>
      <c r="C15" s="1">
        <v>728.84</v>
      </c>
      <c r="D15" s="1">
        <v>629.83</v>
      </c>
      <c r="E15" s="1">
        <v>683.27</v>
      </c>
      <c r="F15" s="1">
        <v>675.84</v>
      </c>
      <c r="G15" s="1">
        <v>683.8</v>
      </c>
      <c r="H15" s="1">
        <v>390.27</v>
      </c>
      <c r="I15" s="1">
        <v>840.46</v>
      </c>
      <c r="J15" s="1">
        <v>710.15</v>
      </c>
      <c r="N15" s="1">
        <f t="shared" si="1"/>
        <v>1</v>
      </c>
    </row>
    <row r="16">
      <c r="A16" s="1">
        <v>15.0</v>
      </c>
      <c r="B16" s="1" t="s">
        <v>24</v>
      </c>
      <c r="C16" s="1">
        <v>38.0</v>
      </c>
      <c r="D16" s="1">
        <v>12.64</v>
      </c>
      <c r="E16" s="1">
        <v>35.85</v>
      </c>
      <c r="F16" s="1">
        <v>13.22</v>
      </c>
      <c r="G16" s="1">
        <v>36.6</v>
      </c>
      <c r="H16" s="1">
        <v>13.43</v>
      </c>
      <c r="I16" s="1">
        <v>45.17</v>
      </c>
      <c r="J16" s="1">
        <v>13.81</v>
      </c>
      <c r="N16" s="1">
        <f t="shared" si="1"/>
        <v>1</v>
      </c>
    </row>
    <row r="17">
      <c r="A17" s="1">
        <v>16.0</v>
      </c>
      <c r="B17" s="1" t="s">
        <v>25</v>
      </c>
      <c r="C17" s="1">
        <v>43.34</v>
      </c>
      <c r="D17" s="1">
        <v>29.1</v>
      </c>
      <c r="E17" s="1">
        <v>40.81</v>
      </c>
      <c r="F17" s="1">
        <v>76.93</v>
      </c>
      <c r="G17" s="1">
        <v>40.63</v>
      </c>
      <c r="H17" s="1">
        <v>90.55</v>
      </c>
      <c r="I17" s="1">
        <v>50.98</v>
      </c>
      <c r="J17" s="1">
        <v>43.08</v>
      </c>
      <c r="N17" s="1">
        <f t="shared" si="1"/>
        <v>1</v>
      </c>
    </row>
    <row r="18">
      <c r="A18" s="1">
        <v>17.0</v>
      </c>
      <c r="B18" s="1" t="s">
        <v>26</v>
      </c>
      <c r="C18" s="1">
        <v>34.55</v>
      </c>
      <c r="D18" s="1">
        <v>34.55</v>
      </c>
      <c r="E18" s="1">
        <v>32.56</v>
      </c>
      <c r="F18" s="1">
        <v>32.28</v>
      </c>
      <c r="G18" s="1">
        <v>33.14</v>
      </c>
      <c r="H18" s="1">
        <v>22.06</v>
      </c>
      <c r="I18" s="1">
        <v>41.0</v>
      </c>
      <c r="J18" s="1">
        <v>0.0</v>
      </c>
      <c r="N18" s="1">
        <f t="shared" si="1"/>
        <v>1</v>
      </c>
    </row>
    <row r="19">
      <c r="A19" s="1">
        <v>18.0</v>
      </c>
      <c r="B19" s="1" t="s">
        <v>27</v>
      </c>
      <c r="C19" s="1">
        <v>27.87</v>
      </c>
      <c r="D19" s="1">
        <v>9.29</v>
      </c>
      <c r="E19" s="1">
        <v>26.44</v>
      </c>
      <c r="F19" s="1">
        <v>37.41</v>
      </c>
      <c r="G19" s="1">
        <v>27.02</v>
      </c>
      <c r="H19" s="1">
        <v>27.0</v>
      </c>
      <c r="I19" s="1">
        <v>33.6</v>
      </c>
      <c r="J19" s="1">
        <v>28.39</v>
      </c>
      <c r="N19" s="1">
        <f t="shared" si="1"/>
        <v>1</v>
      </c>
    </row>
    <row r="20">
      <c r="A20" s="1">
        <v>19.0</v>
      </c>
      <c r="B20" s="1" t="s">
        <v>28</v>
      </c>
      <c r="C20" s="1">
        <v>308.94</v>
      </c>
      <c r="D20" s="1">
        <v>286.96</v>
      </c>
      <c r="E20" s="1">
        <v>289.54</v>
      </c>
      <c r="F20" s="1">
        <v>534.19</v>
      </c>
      <c r="G20" s="1">
        <v>298.67</v>
      </c>
      <c r="H20" s="1">
        <v>535.07</v>
      </c>
      <c r="I20" s="1">
        <v>365.87</v>
      </c>
      <c r="J20" s="1">
        <v>102.78</v>
      </c>
      <c r="N20" s="1">
        <f t="shared" si="1"/>
        <v>1</v>
      </c>
    </row>
    <row r="21" ht="15.75" customHeight="1">
      <c r="A21" s="1">
        <v>20.0</v>
      </c>
      <c r="B21" s="1" t="s">
        <v>29</v>
      </c>
      <c r="C21" s="1">
        <v>159.6</v>
      </c>
      <c r="D21" s="1">
        <v>259.37</v>
      </c>
      <c r="E21" s="1">
        <v>148.77</v>
      </c>
      <c r="F21" s="1">
        <v>141.18</v>
      </c>
      <c r="G21" s="1">
        <v>149.41</v>
      </c>
      <c r="H21" s="1">
        <v>193.35</v>
      </c>
      <c r="I21" s="1">
        <v>189.9</v>
      </c>
      <c r="J21" s="1">
        <v>53.42</v>
      </c>
      <c r="N21" s="1">
        <f t="shared" si="1"/>
        <v>1</v>
      </c>
    </row>
    <row r="22" ht="15.75" customHeight="1">
      <c r="A22" s="1">
        <v>21.0</v>
      </c>
      <c r="B22" s="1" t="s">
        <v>30</v>
      </c>
      <c r="C22" s="1">
        <v>669.01</v>
      </c>
      <c r="D22" s="1">
        <v>415.17</v>
      </c>
      <c r="E22" s="1">
        <v>622.71</v>
      </c>
      <c r="F22" s="1">
        <v>141.81</v>
      </c>
      <c r="G22" s="1">
        <v>627.89</v>
      </c>
      <c r="H22" s="1">
        <v>148.4</v>
      </c>
      <c r="I22" s="1">
        <v>768.16</v>
      </c>
      <c r="J22" s="1">
        <v>434.19</v>
      </c>
      <c r="N22" s="1">
        <f t="shared" si="1"/>
        <v>1</v>
      </c>
    </row>
    <row r="23" ht="15.75" customHeight="1">
      <c r="A23" s="1">
        <v>22.0</v>
      </c>
      <c r="B23" s="1" t="s">
        <v>31</v>
      </c>
      <c r="C23" s="1">
        <v>12.89</v>
      </c>
      <c r="D23" s="1">
        <v>4.29</v>
      </c>
      <c r="E23" s="1">
        <v>12.09</v>
      </c>
      <c r="F23" s="1">
        <v>3.98</v>
      </c>
      <c r="G23" s="1">
        <v>12.06</v>
      </c>
      <c r="H23" s="1">
        <v>25.78</v>
      </c>
      <c r="I23" s="1">
        <v>15.13</v>
      </c>
      <c r="J23" s="1">
        <v>0.0</v>
      </c>
      <c r="N23" s="1">
        <f t="shared" si="1"/>
        <v>1</v>
      </c>
    </row>
    <row r="24" ht="15.75" customHeight="1">
      <c r="A24" s="1">
        <v>23.0</v>
      </c>
      <c r="B24" s="1" t="s">
        <v>32</v>
      </c>
      <c r="C24" s="1">
        <v>379.65</v>
      </c>
      <c r="D24" s="1">
        <v>262.37</v>
      </c>
      <c r="E24" s="1">
        <v>352.04</v>
      </c>
      <c r="F24" s="1">
        <v>503.17</v>
      </c>
      <c r="G24" s="1">
        <v>350.32</v>
      </c>
      <c r="H24" s="1">
        <v>350.15</v>
      </c>
      <c r="I24" s="1">
        <v>432.11</v>
      </c>
      <c r="J24" s="1">
        <v>365.12</v>
      </c>
      <c r="N24" s="1">
        <f t="shared" si="1"/>
        <v>1</v>
      </c>
    </row>
    <row r="25" ht="15.75" customHeight="1">
      <c r="A25" s="1">
        <v>24.0</v>
      </c>
      <c r="B25" s="1" t="s">
        <v>33</v>
      </c>
      <c r="C25" s="1">
        <v>276.37</v>
      </c>
      <c r="D25" s="1">
        <v>234.06</v>
      </c>
      <c r="E25" s="1">
        <v>256.08</v>
      </c>
      <c r="F25" s="1">
        <v>253.29</v>
      </c>
      <c r="G25" s="1">
        <v>262.01</v>
      </c>
      <c r="H25" s="1">
        <v>261.88</v>
      </c>
      <c r="I25" s="1">
        <v>326.51</v>
      </c>
      <c r="J25" s="1">
        <v>275.89</v>
      </c>
      <c r="N25" s="1">
        <f t="shared" si="1"/>
        <v>1</v>
      </c>
    </row>
    <row r="26" ht="15.75" customHeight="1">
      <c r="A26" s="1">
        <v>25.0</v>
      </c>
      <c r="B26" s="1" t="s">
        <v>34</v>
      </c>
      <c r="C26" s="1">
        <v>19.13</v>
      </c>
      <c r="D26" s="1">
        <v>22.03</v>
      </c>
      <c r="E26" s="1">
        <v>17.89</v>
      </c>
      <c r="F26" s="1">
        <v>48.84</v>
      </c>
      <c r="G26" s="1">
        <v>18.49</v>
      </c>
      <c r="H26" s="1">
        <v>33.76</v>
      </c>
      <c r="I26" s="1">
        <v>22.78</v>
      </c>
      <c r="J26" s="1">
        <v>7.63</v>
      </c>
      <c r="N26" s="1">
        <f t="shared" si="1"/>
        <v>1</v>
      </c>
    </row>
    <row r="27" ht="15.75" customHeight="1">
      <c r="A27" s="1">
        <v>26.0</v>
      </c>
      <c r="B27" s="1" t="s">
        <v>35</v>
      </c>
      <c r="C27" s="1">
        <v>624.31</v>
      </c>
      <c r="D27" s="1">
        <v>541.09</v>
      </c>
      <c r="E27" s="1">
        <v>582.69</v>
      </c>
      <c r="F27" s="1">
        <v>576.36</v>
      </c>
      <c r="G27" s="1">
        <v>616.59</v>
      </c>
      <c r="H27" s="1">
        <v>616.29</v>
      </c>
      <c r="I27" s="1">
        <v>753.78</v>
      </c>
      <c r="J27" s="1">
        <v>636.91</v>
      </c>
      <c r="N27" s="1">
        <f t="shared" si="1"/>
        <v>1</v>
      </c>
    </row>
    <row r="28" ht="15.75" customHeight="1">
      <c r="A28" s="1">
        <v>27.0</v>
      </c>
      <c r="B28" s="1" t="s">
        <v>36</v>
      </c>
      <c r="C28" s="1">
        <v>103.98</v>
      </c>
      <c r="D28" s="1">
        <v>42.58</v>
      </c>
      <c r="E28" s="1">
        <v>97.23</v>
      </c>
      <c r="F28" s="1">
        <v>61.34</v>
      </c>
      <c r="G28" s="1">
        <v>98.85</v>
      </c>
      <c r="H28" s="1">
        <v>98.8</v>
      </c>
      <c r="I28" s="1">
        <v>122.35</v>
      </c>
      <c r="J28" s="1">
        <v>62.05</v>
      </c>
      <c r="N28" s="1">
        <f t="shared" si="1"/>
        <v>1</v>
      </c>
    </row>
    <row r="29" ht="15.75" customHeight="1">
      <c r="A29" s="1">
        <v>28.0</v>
      </c>
      <c r="B29" s="1" t="s">
        <v>37</v>
      </c>
      <c r="C29" s="1">
        <v>224.7</v>
      </c>
      <c r="D29" s="1">
        <v>451.67</v>
      </c>
      <c r="E29" s="1">
        <v>209.2</v>
      </c>
      <c r="F29" s="1">
        <v>136.11</v>
      </c>
      <c r="G29" s="1">
        <v>213.97</v>
      </c>
      <c r="H29" s="1">
        <v>287.06</v>
      </c>
      <c r="I29" s="1">
        <v>257.88</v>
      </c>
      <c r="J29" s="1">
        <v>217.9</v>
      </c>
      <c r="N29" s="1">
        <f t="shared" si="1"/>
        <v>1</v>
      </c>
    </row>
    <row r="30" ht="15.75" customHeight="1">
      <c r="A30" s="1">
        <v>29.0</v>
      </c>
      <c r="B30" s="1" t="s">
        <v>38</v>
      </c>
      <c r="C30" s="1">
        <v>20.22</v>
      </c>
      <c r="D30" s="1">
        <v>6.74</v>
      </c>
      <c r="E30" s="1">
        <v>15.12</v>
      </c>
      <c r="F30" s="1">
        <v>15.12</v>
      </c>
      <c r="G30" s="1">
        <v>15.17</v>
      </c>
      <c r="H30" s="1">
        <v>10.08</v>
      </c>
      <c r="I30" s="1">
        <v>18.72</v>
      </c>
      <c r="J30" s="1">
        <v>5.27</v>
      </c>
      <c r="N30" s="1">
        <f t="shared" si="1"/>
        <v>1</v>
      </c>
    </row>
    <row r="31" ht="15.75" customHeight="1">
      <c r="A31" s="1">
        <v>30.0</v>
      </c>
      <c r="B31" s="1" t="s">
        <v>39</v>
      </c>
      <c r="C31" s="1">
        <v>5.65</v>
      </c>
      <c r="D31" s="1">
        <v>0.0</v>
      </c>
      <c r="E31" s="1">
        <v>6.16</v>
      </c>
      <c r="F31" s="1">
        <v>0.0</v>
      </c>
      <c r="G31" s="1">
        <v>4.76</v>
      </c>
      <c r="H31" s="1">
        <v>0.0</v>
      </c>
      <c r="I31" s="1">
        <v>6.02</v>
      </c>
      <c r="J31" s="1">
        <v>0.0</v>
      </c>
      <c r="N31" s="1">
        <f t="shared" si="1"/>
        <v>1</v>
      </c>
    </row>
    <row r="32" ht="15.75" customHeight="1">
      <c r="A32" s="1">
        <v>31.0</v>
      </c>
      <c r="B32" s="1" t="s">
        <v>40</v>
      </c>
      <c r="C32" s="1">
        <v>4.57</v>
      </c>
      <c r="D32" s="1">
        <v>4.57</v>
      </c>
      <c r="E32" s="1">
        <v>5.61</v>
      </c>
      <c r="F32" s="1">
        <v>5.61</v>
      </c>
      <c r="G32" s="1">
        <v>4.8</v>
      </c>
      <c r="H32" s="1">
        <v>2.38</v>
      </c>
      <c r="I32" s="1">
        <v>6.03</v>
      </c>
      <c r="J32" s="1">
        <v>0.0</v>
      </c>
      <c r="N32" s="1">
        <f t="shared" si="1"/>
        <v>1</v>
      </c>
    </row>
    <row r="33" ht="15.75" customHeight="1">
      <c r="A33" s="1">
        <v>32.0</v>
      </c>
      <c r="B33" s="1" t="s">
        <v>41</v>
      </c>
      <c r="C33" s="1">
        <v>2.8</v>
      </c>
      <c r="D33" s="1">
        <v>0.0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N33" s="1">
        <f t="shared" si="1"/>
        <v>1</v>
      </c>
    </row>
    <row r="34" ht="15.75" customHeight="1">
      <c r="A34" s="1">
        <v>33.0</v>
      </c>
      <c r="B34" s="1" t="s">
        <v>43</v>
      </c>
      <c r="C34" s="1">
        <v>59.99</v>
      </c>
      <c r="D34" s="1">
        <v>0.0</v>
      </c>
      <c r="E34" s="1">
        <v>34.15</v>
      </c>
      <c r="F34" s="1">
        <v>0.0</v>
      </c>
      <c r="G34" s="1">
        <v>27.2</v>
      </c>
      <c r="H34" s="1">
        <v>0.0</v>
      </c>
      <c r="I34" s="1">
        <v>34.42</v>
      </c>
      <c r="J34" s="1">
        <v>0.0</v>
      </c>
      <c r="N34" s="1">
        <f t="shared" si="1"/>
        <v>1</v>
      </c>
    </row>
    <row r="35" ht="15.75" customHeight="1">
      <c r="A35" s="1">
        <v>34.0</v>
      </c>
      <c r="B35" s="1" t="s">
        <v>44</v>
      </c>
      <c r="C35" s="1">
        <v>137.85</v>
      </c>
      <c r="D35" s="1">
        <v>152.96</v>
      </c>
      <c r="E35" s="1">
        <v>94.51</v>
      </c>
      <c r="F35" s="1">
        <v>79.4</v>
      </c>
      <c r="G35" s="1">
        <v>96.91</v>
      </c>
      <c r="H35" s="1">
        <v>321.18</v>
      </c>
      <c r="I35" s="1">
        <v>121.81</v>
      </c>
      <c r="J35" s="1">
        <v>102.89</v>
      </c>
      <c r="N35" s="1">
        <f t="shared" si="1"/>
        <v>1</v>
      </c>
    </row>
    <row r="36" ht="15.75" customHeight="1">
      <c r="A36" s="1">
        <v>35.0</v>
      </c>
      <c r="B36" s="1" t="s">
        <v>45</v>
      </c>
      <c r="C36" s="1">
        <v>103.82</v>
      </c>
      <c r="D36" s="1">
        <v>17.36</v>
      </c>
      <c r="E36" s="1">
        <v>246.22</v>
      </c>
      <c r="F36" s="1">
        <v>96.95</v>
      </c>
      <c r="G36" s="1">
        <v>250.83</v>
      </c>
      <c r="H36" s="1">
        <v>0.0</v>
      </c>
      <c r="I36" s="1">
        <v>309.41</v>
      </c>
      <c r="J36" s="1">
        <v>83.44</v>
      </c>
      <c r="N36" s="1">
        <f t="shared" si="1"/>
        <v>1</v>
      </c>
    </row>
    <row r="37" ht="15.75" customHeight="1">
      <c r="A37" s="1">
        <v>36.0</v>
      </c>
      <c r="B37" s="1" t="s">
        <v>46</v>
      </c>
      <c r="C37" s="1">
        <v>12.01</v>
      </c>
      <c r="D37" s="1">
        <v>4.0</v>
      </c>
      <c r="E37" s="1">
        <v>8.47</v>
      </c>
      <c r="F37" s="1">
        <v>8.47</v>
      </c>
      <c r="G37" s="1">
        <v>7.39</v>
      </c>
      <c r="H37" s="1">
        <v>5.18</v>
      </c>
      <c r="I37" s="1">
        <v>9.29</v>
      </c>
      <c r="J37" s="1">
        <v>7.83</v>
      </c>
      <c r="N37" s="1">
        <f t="shared" si="1"/>
        <v>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1000"/>
  <printOptions/>
  <pageMargins bottom="0.75" footer="0.0" header="0.0" left="0.7" right="0.7" top="0.75"/>
  <pageSetup orientation="landscape"/>
  <drawing r:id="rId1"/>
</worksheet>
</file>