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729ED5E-1ADF-4800-9F1F-CEA46D8DB7B9}" xr6:coauthVersionLast="47" xr6:coauthVersionMax="47" xr10:uidLastSave="{00000000-0000-0000-0000-000000000000}"/>
  <bookViews>
    <workbookView xWindow="-110" yWindow="-110" windowWidth="19420" windowHeight="1030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I2" i="10"/>
  <c r="H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H2" i="6"/>
  <c r="G2" i="6"/>
  <c r="C2" i="6"/>
  <c r="F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G2" i="3" s="1"/>
  <c r="B73" i="1"/>
  <c r="B71" i="1"/>
  <c r="B70" i="1"/>
  <c r="B69" i="1"/>
  <c r="B68" i="1"/>
  <c r="B62" i="1"/>
  <c r="B61" i="1"/>
  <c r="B60" i="1"/>
  <c r="B59" i="1"/>
  <c r="B55" i="1"/>
  <c r="B48" i="1"/>
  <c r="B9" i="1"/>
  <c r="E3" i="1"/>
  <c r="I2" i="3" l="1"/>
  <c r="J2" i="3"/>
  <c r="H2" i="3"/>
  <c r="D2" i="8"/>
  <c r="E2" i="8"/>
  <c r="J2" i="10"/>
  <c r="F2" i="8"/>
  <c r="G2" i="8"/>
  <c r="H2" i="8"/>
  <c r="D2" i="3"/>
  <c r="D2" i="5"/>
  <c r="I2" i="8"/>
  <c r="E2" i="3"/>
  <c r="E2" i="5"/>
  <c r="D2" i="6"/>
  <c r="F2" i="3"/>
  <c r="F2" i="5"/>
  <c r="E2" i="6"/>
  <c r="D2" i="9"/>
  <c r="D2" i="7"/>
  <c r="E2" i="9"/>
  <c r="D2" i="10"/>
  <c r="E2" i="7"/>
  <c r="F2" i="9"/>
  <c r="E2" i="10"/>
  <c r="F2" i="7"/>
  <c r="G2" i="9"/>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<sst xmlns="http://schemas.openxmlformats.org/spreadsheetml/2006/main" count="3570" uniqueCount="1854">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</sst>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13" fillId="5" borderId="0" xfId="0" applyFont="1" applyFill="1" applyAlignment="1">
      <alignment wrapText="1"/>
    </xf>
    <xf numFmtId="0" fontId="14" fillId="0" borderId="0" xfId="0" applyFont="1" applyAlignment="1">
      <alignment wrapText="1"/>
    </xf>
    <xf numFmtId="0" fontId="2" fillId="0" borderId="0" xfId="0" applyFont="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12" fillId="4" borderId="0" xfId="0" applyFont="1" applyFill="1" applyAlignment="1">
      <alignment horizontal="left" vertical="center"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243" fillId="0" borderId="0" xfId="0" applyFont="1" applyAlignment="1">
      <alignment vertical="top"/>
    </xf>
    <xf numFmtId="0" fontId="75" fillId="0" borderId="0" xfId="0" applyFont="1" applyAlignment="1">
      <alignment horizontal="lef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91" fillId="0" borderId="0" xfId="0" applyFont="1" applyAlignment="1">
      <alignment horizontal="left" vertical="top"/>
    </xf>
  </cellXfs>
  <cellStyles count="1">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5.08984375" defaultRowHeight="15.75" customHeight="1"/>
  <cols>
    <col min="1" max="1" width="22.7265625" customWidth="1"/>
    <col min="7" max="7" width="16.26953125" customWidth="1"/>
    <col min="8" max="8" width="21.6328125" customWidth="1"/>
  </cols>
  <sheetData>
    <row r="1" spans="1:8" ht="12.5">
      <c r="A1" s="348" t="s">
        <v>0</v>
      </c>
      <c r="B1" s="349" t="s">
        <v>1</v>
      </c>
      <c r="C1" s="344"/>
      <c r="D1" s="344"/>
      <c r="E1" s="344"/>
      <c r="F1" s="344"/>
      <c r="G1" s="344"/>
      <c r="H1" s="344"/>
    </row>
    <row r="2" spans="1:8" ht="12.5">
      <c r="A2" s="344"/>
      <c r="B2" s="350" t="s">
        <v>2</v>
      </c>
      <c r="C2" s="344"/>
      <c r="D2" s="344"/>
      <c r="E2" s="344"/>
      <c r="F2" s="344"/>
      <c r="G2" s="344"/>
      <c r="H2" s="344"/>
    </row>
    <row r="3" spans="1:8" ht="13">
      <c r="A3" s="344"/>
      <c r="B3" s="350" t="s">
        <v>3</v>
      </c>
      <c r="C3" s="344"/>
      <c r="D3" s="3"/>
      <c r="E3" s="4" t="str">
        <f>HYPERLINK("https://goo.gl/unDETI","Latest Version")</f>
        <v>Latest Version</v>
      </c>
      <c r="F3" s="2"/>
      <c r="G3" s="2"/>
      <c r="H3" s="2"/>
    </row>
    <row r="4" spans="1:8" ht="13">
      <c r="A4" s="344"/>
      <c r="B4" s="351" t="s">
        <v>4</v>
      </c>
      <c r="C4" s="344"/>
      <c r="D4" s="344"/>
      <c r="E4" s="344"/>
      <c r="F4" s="2"/>
      <c r="G4" s="2"/>
      <c r="H4" s="2"/>
    </row>
    <row r="5" spans="1:8" ht="12.5">
      <c r="A5" s="344"/>
      <c r="B5" s="349" t="s">
        <v>5</v>
      </c>
      <c r="C5" s="344"/>
      <c r="D5" s="5" t="s">
        <v>6</v>
      </c>
      <c r="E5" s="2"/>
      <c r="F5" s="2"/>
      <c r="G5" s="2"/>
      <c r="H5" s="2"/>
    </row>
    <row r="6" spans="1:8" ht="13">
      <c r="A6" s="344"/>
      <c r="B6" s="1"/>
      <c r="C6" s="1"/>
      <c r="D6" s="1"/>
      <c r="E6" s="1"/>
      <c r="F6" s="1"/>
      <c r="G6" s="1"/>
      <c r="H6" s="2"/>
    </row>
    <row r="7" spans="1:8" ht="13">
      <c r="A7" s="344"/>
      <c r="B7" s="348" t="s">
        <v>7</v>
      </c>
      <c r="C7" s="344"/>
      <c r="D7" s="344"/>
      <c r="E7" s="344"/>
      <c r="F7" s="1"/>
      <c r="G7" s="1"/>
      <c r="H7" s="2"/>
    </row>
    <row r="8" spans="1:8" ht="13.5">
      <c r="A8" s="344"/>
      <c r="B8" s="343" t="s">
        <v>8</v>
      </c>
      <c r="C8" s="344"/>
      <c r="D8" s="344"/>
      <c r="E8" s="6"/>
      <c r="F8" s="1"/>
      <c r="G8" s="1"/>
      <c r="H8" s="2"/>
    </row>
    <row r="9" spans="1:8" ht="13">
      <c r="A9" s="344"/>
      <c r="B9" s="345" t="str">
        <f>HYPERLINK("https://www.youtube.com/watch?v=DZ6YTtILCE8","Video Introducing roadmap (Arabic) - to min 18 ONLY")</f>
        <v>Video Introducing roadmap (Arabic) - to min 18 ONLY</v>
      </c>
      <c r="C9" s="344"/>
      <c r="D9" s="344"/>
      <c r="E9" s="6"/>
      <c r="F9" s="1"/>
      <c r="G9" s="1"/>
      <c r="H9" s="2"/>
    </row>
    <row r="10" spans="1:8" ht="13">
      <c r="A10" s="344"/>
      <c r="B10" s="346" t="s">
        <v>9</v>
      </c>
      <c r="C10" s="344"/>
      <c r="D10" s="344"/>
      <c r="E10" s="6"/>
      <c r="F10" s="1"/>
      <c r="G10" s="1"/>
      <c r="H10" s="2"/>
    </row>
    <row r="11" spans="1:8" ht="12.5">
      <c r="A11" s="344"/>
      <c r="B11" s="347" t="s">
        <v>10</v>
      </c>
      <c r="C11" s="344"/>
      <c r="D11" s="344"/>
      <c r="E11" s="344"/>
      <c r="F11" s="344"/>
      <c r="G11" s="344"/>
      <c r="H11" s="2"/>
    </row>
    <row r="12" spans="1:8" ht="13">
      <c r="A12" s="344"/>
      <c r="B12" s="6"/>
      <c r="C12" s="6"/>
      <c r="D12" s="6"/>
      <c r="E12" s="6"/>
      <c r="F12" s="1"/>
      <c r="G12" s="1"/>
      <c r="H12" s="2"/>
    </row>
    <row r="13" spans="1:8" ht="12.5">
      <c r="A13" s="344"/>
      <c r="B13" s="347" t="s">
        <v>11</v>
      </c>
      <c r="C13" s="344"/>
      <c r="D13" s="344"/>
      <c r="E13" s="344"/>
      <c r="F13" s="344"/>
      <c r="G13" s="344"/>
      <c r="H13" s="2"/>
    </row>
    <row r="14" spans="1:8" ht="13">
      <c r="A14" s="344"/>
      <c r="B14" s="349" t="s">
        <v>12</v>
      </c>
      <c r="C14" s="344"/>
      <c r="D14" s="344"/>
      <c r="E14" s="344"/>
      <c r="F14" s="344"/>
      <c r="G14" s="8" t="s">
        <v>13</v>
      </c>
      <c r="H14" s="2"/>
    </row>
    <row r="15" spans="1:8" ht="13">
      <c r="A15" s="9"/>
      <c r="B15" s="10"/>
      <c r="C15" s="10"/>
      <c r="D15" s="10"/>
      <c r="E15" s="10"/>
      <c r="F15" s="10"/>
      <c r="G15" s="10"/>
      <c r="H15" s="10"/>
    </row>
    <row r="16" spans="1:8" ht="12.5">
      <c r="A16" s="355" t="s">
        <v>14</v>
      </c>
      <c r="B16" s="350" t="s">
        <v>15</v>
      </c>
      <c r="C16" s="344"/>
      <c r="D16" s="344"/>
      <c r="E16" s="344"/>
      <c r="F16" s="344"/>
      <c r="G16" s="11"/>
      <c r="H16" s="11"/>
    </row>
    <row r="17" spans="1:8" ht="12.5">
      <c r="A17" s="344"/>
      <c r="B17" s="356" t="s">
        <v>16</v>
      </c>
      <c r="C17" s="344"/>
      <c r="D17" s="344"/>
      <c r="H17" s="3"/>
    </row>
    <row r="18" spans="1:8" ht="12.5">
      <c r="A18" s="344"/>
      <c r="B18" s="357"/>
      <c r="C18" s="344"/>
      <c r="D18" s="344"/>
      <c r="E18" s="344"/>
      <c r="F18" s="344"/>
      <c r="G18" s="344"/>
      <c r="H18" s="3"/>
    </row>
    <row r="19" spans="1:8" ht="13">
      <c r="A19" s="9"/>
      <c r="B19" s="10"/>
      <c r="C19" s="10"/>
      <c r="D19" s="10"/>
      <c r="E19" s="10"/>
      <c r="F19" s="10"/>
      <c r="G19" s="10"/>
      <c r="H19" s="10"/>
    </row>
    <row r="20" spans="1:8" ht="13.5">
      <c r="A20" s="358" t="s">
        <v>17</v>
      </c>
      <c r="B20" s="352" t="s">
        <v>18</v>
      </c>
      <c r="C20" s="344"/>
      <c r="D20" s="344"/>
      <c r="E20" s="344"/>
    </row>
    <row r="21" spans="1:8" ht="13.5">
      <c r="A21" s="344"/>
      <c r="B21" s="353" t="s">
        <v>19</v>
      </c>
      <c r="C21" s="344"/>
      <c r="D21" s="344"/>
      <c r="E21" s="344"/>
      <c r="F21" s="354" t="s">
        <v>20</v>
      </c>
      <c r="G21" s="344"/>
      <c r="H21" s="344"/>
    </row>
    <row r="22" spans="1:8" ht="15.5">
      <c r="A22" s="344"/>
      <c r="B22" s="353" t="s">
        <v>21</v>
      </c>
      <c r="C22" s="344"/>
      <c r="D22" s="344"/>
      <c r="E22" s="344"/>
      <c r="F22" s="14"/>
      <c r="G22" s="10"/>
      <c r="H22" s="10"/>
    </row>
    <row r="23" spans="1:8" ht="13.5">
      <c r="A23" s="344"/>
      <c r="B23" s="353" t="s">
        <v>22</v>
      </c>
      <c r="C23" s="344"/>
      <c r="D23" s="344"/>
      <c r="E23" s="344"/>
      <c r="F23" s="10"/>
      <c r="G23" s="10"/>
      <c r="H23" s="10"/>
    </row>
    <row r="24" spans="1:8" ht="13.5">
      <c r="A24" s="344"/>
      <c r="B24" s="353" t="s">
        <v>23</v>
      </c>
      <c r="C24" s="344"/>
      <c r="D24" s="344"/>
      <c r="E24" s="344"/>
      <c r="F24" s="15"/>
      <c r="G24" s="15"/>
      <c r="H24" s="15"/>
    </row>
    <row r="25" spans="1:8" ht="13.5">
      <c r="A25" s="344"/>
      <c r="B25" s="353" t="s">
        <v>24</v>
      </c>
      <c r="C25" s="344"/>
      <c r="D25" s="344"/>
      <c r="E25" s="344"/>
      <c r="F25" s="12"/>
      <c r="G25" s="12"/>
      <c r="H25" s="12"/>
    </row>
    <row r="26" spans="1:8" ht="13">
      <c r="A26" s="9"/>
      <c r="B26" s="10"/>
      <c r="C26" s="10"/>
      <c r="D26" s="10"/>
      <c r="E26" s="10"/>
      <c r="F26" s="10"/>
      <c r="G26" s="10"/>
      <c r="H26" s="10"/>
    </row>
    <row r="27" spans="1:8" ht="13">
      <c r="A27" s="16" t="s">
        <v>25</v>
      </c>
      <c r="B27" s="354" t="s">
        <v>26</v>
      </c>
      <c r="C27" s="344"/>
      <c r="D27" s="344"/>
      <c r="E27" s="344"/>
      <c r="F27" s="344"/>
      <c r="G27" s="344"/>
      <c r="H27" s="10"/>
    </row>
    <row r="28" spans="1:8" ht="13">
      <c r="A28" s="9"/>
      <c r="B28" s="10"/>
      <c r="C28" s="10"/>
      <c r="D28" s="10"/>
      <c r="E28" s="10"/>
      <c r="F28" s="10"/>
      <c r="G28" s="10"/>
      <c r="H28" s="10"/>
    </row>
    <row r="29" spans="1:8" ht="13">
      <c r="A29" s="1" t="s">
        <v>27</v>
      </c>
      <c r="B29" s="350" t="s">
        <v>28</v>
      </c>
      <c r="C29" s="344"/>
      <c r="D29" s="344"/>
      <c r="E29" s="344"/>
      <c r="F29" s="344"/>
      <c r="G29" s="344"/>
      <c r="H29" s="344"/>
    </row>
    <row r="30" spans="1:8" ht="13">
      <c r="A30" s="1" t="s">
        <v>29</v>
      </c>
      <c r="B30" s="350" t="s">
        <v>30</v>
      </c>
      <c r="C30" s="344"/>
      <c r="D30" s="344"/>
      <c r="E30" s="344"/>
      <c r="F30" s="344"/>
      <c r="G30" s="344"/>
      <c r="H30" s="344"/>
    </row>
    <row r="31" spans="1:8" ht="13">
      <c r="A31" s="1"/>
      <c r="B31" s="3"/>
      <c r="C31" s="3"/>
      <c r="D31" s="3"/>
      <c r="E31" s="3"/>
      <c r="F31" s="3"/>
      <c r="G31" s="3"/>
      <c r="H31" s="3"/>
    </row>
    <row r="32" spans="1:8" ht="26">
      <c r="A32" s="1" t="s">
        <v>31</v>
      </c>
      <c r="B32" s="350" t="s">
        <v>32</v>
      </c>
      <c r="C32" s="344"/>
      <c r="D32" s="344"/>
      <c r="E32" s="344"/>
      <c r="F32" s="344"/>
      <c r="G32" s="344"/>
      <c r="H32" s="344"/>
    </row>
    <row r="33" spans="1:8" ht="13">
      <c r="A33" s="1"/>
      <c r="B33" s="3"/>
      <c r="C33" s="3"/>
      <c r="D33" s="3"/>
      <c r="E33" s="3"/>
      <c r="F33" s="3"/>
      <c r="G33" s="3"/>
      <c r="H33" s="3"/>
    </row>
    <row r="34" spans="1:8" ht="13">
      <c r="A34" s="17" t="s">
        <v>33</v>
      </c>
      <c r="B34" s="350" t="s">
        <v>34</v>
      </c>
      <c r="C34" s="344"/>
      <c r="D34" s="344"/>
      <c r="E34" s="344"/>
      <c r="F34" s="344"/>
      <c r="G34" s="344"/>
      <c r="H34" s="344"/>
    </row>
    <row r="35" spans="1:8" ht="13">
      <c r="A35" s="1" t="s">
        <v>35</v>
      </c>
      <c r="B35" s="350" t="s">
        <v>36</v>
      </c>
      <c r="C35" s="344"/>
      <c r="D35" s="344"/>
      <c r="E35" s="344"/>
      <c r="F35" s="344"/>
      <c r="G35" s="344"/>
      <c r="H35" s="344"/>
    </row>
    <row r="36" spans="1:8" ht="13">
      <c r="A36" s="18"/>
      <c r="B36" s="3"/>
      <c r="C36" s="3"/>
      <c r="D36" s="7"/>
      <c r="E36" s="3"/>
      <c r="F36" s="3"/>
      <c r="G36" s="3"/>
      <c r="H36" s="19"/>
    </row>
    <row r="37" spans="1:8" ht="13">
      <c r="A37" s="20"/>
      <c r="B37" s="3"/>
      <c r="C37" s="3"/>
      <c r="D37" s="3"/>
      <c r="E37" s="3"/>
      <c r="F37" s="3"/>
      <c r="G37" s="3"/>
      <c r="H37" s="3"/>
    </row>
    <row r="38" spans="1:8" ht="13">
      <c r="A38" s="1" t="s">
        <v>37</v>
      </c>
      <c r="B38" s="350" t="s">
        <v>38</v>
      </c>
      <c r="C38" s="344"/>
      <c r="D38" s="344"/>
      <c r="E38" s="344"/>
      <c r="F38" s="344"/>
      <c r="G38" s="344"/>
      <c r="H38" s="344"/>
    </row>
    <row r="39" spans="1:8" ht="13">
      <c r="A39" s="1" t="s">
        <v>39</v>
      </c>
      <c r="B39" s="350" t="s">
        <v>40</v>
      </c>
      <c r="C39" s="344"/>
      <c r="D39" s="344"/>
      <c r="E39" s="344"/>
      <c r="F39" s="344"/>
      <c r="G39" s="344"/>
      <c r="H39" s="344"/>
    </row>
    <row r="40" spans="1:8" ht="13">
      <c r="A40" s="20"/>
      <c r="B40" s="3"/>
      <c r="C40" s="3"/>
      <c r="D40" s="3"/>
      <c r="E40" s="3"/>
      <c r="F40" s="3"/>
      <c r="G40" s="3"/>
      <c r="H40" s="3"/>
    </row>
    <row r="41" spans="1:8" ht="12.5">
      <c r="A41" s="348" t="s">
        <v>41</v>
      </c>
      <c r="B41" s="350" t="s">
        <v>42</v>
      </c>
      <c r="C41" s="344"/>
      <c r="D41" s="344"/>
      <c r="E41" s="344"/>
      <c r="F41" s="344"/>
      <c r="G41" s="344"/>
      <c r="H41" s="344"/>
    </row>
    <row r="42" spans="1:8" ht="12.5">
      <c r="A42" s="344"/>
      <c r="B42" s="350" t="s">
        <v>43</v>
      </c>
      <c r="C42" s="344"/>
      <c r="D42" s="344"/>
      <c r="E42" s="344"/>
      <c r="F42" s="344"/>
      <c r="G42" s="344"/>
      <c r="H42" s="344"/>
    </row>
    <row r="43" spans="1:8" ht="12.5">
      <c r="A43" s="344"/>
      <c r="B43" s="350" t="s">
        <v>44</v>
      </c>
      <c r="C43" s="344"/>
      <c r="D43" s="344"/>
      <c r="E43" s="344"/>
      <c r="F43" s="344"/>
      <c r="G43" s="344"/>
      <c r="H43" s="344"/>
    </row>
    <row r="44" spans="1:8" ht="12.5">
      <c r="A44" s="344"/>
      <c r="B44" s="350" t="s">
        <v>45</v>
      </c>
      <c r="C44" s="344"/>
      <c r="D44" s="344"/>
      <c r="E44" s="344"/>
      <c r="F44" s="344"/>
      <c r="G44" s="344"/>
      <c r="H44" s="344"/>
    </row>
    <row r="45" spans="1:8" ht="12.5">
      <c r="A45" s="344"/>
      <c r="B45" s="350" t="s">
        <v>46</v>
      </c>
      <c r="C45" s="344"/>
      <c r="D45" s="344"/>
      <c r="E45" s="344"/>
      <c r="F45" s="344"/>
      <c r="G45" s="344"/>
      <c r="H45" s="344"/>
    </row>
    <row r="46" spans="1:8" ht="12.5">
      <c r="A46" s="344"/>
      <c r="B46" s="350" t="s">
        <v>47</v>
      </c>
      <c r="C46" s="344"/>
      <c r="D46" s="344"/>
      <c r="E46" s="344"/>
      <c r="F46" s="344"/>
      <c r="G46" s="344"/>
      <c r="H46" s="344"/>
    </row>
    <row r="47" spans="1:8" ht="12.5">
      <c r="A47" s="344"/>
      <c r="B47" s="350" t="s">
        <v>48</v>
      </c>
      <c r="C47" s="344"/>
      <c r="D47" s="344"/>
      <c r="E47" s="344"/>
      <c r="F47" s="344"/>
      <c r="G47" s="344"/>
      <c r="H47" s="344"/>
    </row>
    <row r="48" spans="1:8" ht="25">
      <c r="A48" s="344"/>
      <c r="B48" s="11" t="str">
        <f>HYPERLINK("https://uva.onlinejudge.org/index.php?option=com_content&amp;task=view&amp;id=16&amp;Itemid=31","Put problem Status")</f>
        <v>Put problem Status</v>
      </c>
      <c r="C48" s="19" t="s">
        <v>49</v>
      </c>
      <c r="D48" s="19" t="s">
        <v>50</v>
      </c>
      <c r="E48" s="364" t="s">
        <v>51</v>
      </c>
      <c r="F48" s="344"/>
      <c r="G48" s="344"/>
      <c r="H48" s="344"/>
    </row>
    <row r="49" spans="1:8" ht="12.5">
      <c r="A49" s="344"/>
      <c r="B49" s="350" t="s">
        <v>52</v>
      </c>
      <c r="C49" s="344"/>
      <c r="D49" s="344"/>
      <c r="E49" s="344"/>
      <c r="F49" s="344"/>
      <c r="G49" s="344"/>
      <c r="H49" s="344"/>
    </row>
    <row r="50" spans="1:8" ht="12.5">
      <c r="A50" s="344"/>
      <c r="B50" s="350" t="s">
        <v>53</v>
      </c>
      <c r="C50" s="344"/>
      <c r="D50" s="344"/>
      <c r="E50" s="344"/>
      <c r="F50" s="344"/>
      <c r="G50" s="344"/>
      <c r="H50" s="344"/>
    </row>
    <row r="51" spans="1:8" ht="12.5">
      <c r="A51" s="344"/>
      <c r="B51" s="350" t="s">
        <v>54</v>
      </c>
      <c r="C51" s="344"/>
      <c r="D51" s="344"/>
      <c r="E51" s="344"/>
      <c r="F51" s="344"/>
      <c r="G51" s="344"/>
      <c r="H51" s="344"/>
    </row>
    <row r="52" spans="1:8" ht="13">
      <c r="A52" s="20"/>
      <c r="B52" s="3"/>
      <c r="C52" s="3"/>
      <c r="D52" s="3"/>
      <c r="E52" s="3"/>
      <c r="F52" s="3"/>
      <c r="G52" s="3"/>
      <c r="H52" s="3"/>
    </row>
    <row r="53" spans="1:8" ht="13">
      <c r="A53" s="20" t="s">
        <v>55</v>
      </c>
      <c r="B53" s="350" t="s">
        <v>56</v>
      </c>
      <c r="C53" s="344"/>
      <c r="D53" s="344"/>
      <c r="E53" s="344"/>
      <c r="F53" s="344"/>
      <c r="G53" s="344"/>
      <c r="H53" s="344"/>
    </row>
    <row r="54" spans="1:8" ht="13">
      <c r="A54" s="20"/>
      <c r="B54" s="3"/>
      <c r="C54" s="3"/>
      <c r="D54" s="3"/>
      <c r="E54" s="3"/>
      <c r="F54" s="3"/>
      <c r="G54" s="3"/>
      <c r="H54" s="3"/>
    </row>
    <row r="55" spans="1:8" ht="12.5">
      <c r="A55" s="348" t="s">
        <v>57</v>
      </c>
      <c r="B55" s="21" t="str">
        <f>HYPERLINK("http://codeforces.com/contest/136/problem/A","CF136-D2-A")</f>
        <v>CF136-D2-A</v>
      </c>
      <c r="C55" s="350" t="s">
        <v>58</v>
      </c>
      <c r="D55" s="344"/>
      <c r="E55" s="344"/>
      <c r="F55" s="344"/>
      <c r="G55" s="344"/>
      <c r="H55" s="344"/>
    </row>
    <row r="56" spans="1:8" ht="25">
      <c r="A56" s="344"/>
      <c r="B56" s="3" t="s">
        <v>59</v>
      </c>
      <c r="C56" s="350" t="s">
        <v>60</v>
      </c>
      <c r="D56" s="344"/>
      <c r="E56" s="344"/>
      <c r="F56" s="344"/>
      <c r="G56" s="344"/>
      <c r="H56" s="344"/>
    </row>
    <row r="57" spans="1:8" ht="13">
      <c r="A57" s="20"/>
      <c r="B57" s="365" t="s">
        <v>61</v>
      </c>
      <c r="C57" s="366"/>
      <c r="D57" s="366"/>
      <c r="E57" s="366"/>
      <c r="F57" s="366"/>
      <c r="G57" s="366"/>
      <c r="H57" s="367"/>
    </row>
    <row r="58" spans="1:8" ht="13">
      <c r="A58" s="20"/>
      <c r="B58" s="3"/>
      <c r="C58" s="3"/>
      <c r="D58" s="3"/>
      <c r="E58" s="3"/>
      <c r="F58" s="3"/>
      <c r="G58" s="3"/>
      <c r="H58" s="3"/>
    </row>
    <row r="59" spans="1:8" ht="12.5">
      <c r="A59" s="348" t="s">
        <v>62</v>
      </c>
      <c r="B59" s="22" t="str">
        <f>HYPERLINK("http://codeforces.com/contest/483/problem/A","CF483-D2-A")</f>
        <v>CF483-D2-A</v>
      </c>
      <c r="C59" s="354" t="s">
        <v>63</v>
      </c>
      <c r="D59" s="344"/>
      <c r="E59" s="344"/>
      <c r="F59" s="344"/>
      <c r="G59" s="344"/>
      <c r="H59" s="344"/>
    </row>
    <row r="60" spans="1:8" ht="12.5">
      <c r="A60" s="344"/>
      <c r="B60" s="23" t="str">
        <f>HYPERLINK("https://uva.onlinejudge.org/index.php?option=onlinejudge&amp;page=show_problem&amp;problem=1183","UVA 10242")</f>
        <v>UVA 10242</v>
      </c>
      <c r="C60" s="354" t="s">
        <v>64</v>
      </c>
      <c r="D60" s="344"/>
      <c r="E60" s="344"/>
      <c r="F60" s="344"/>
      <c r="G60" s="344"/>
      <c r="H60" s="344"/>
    </row>
    <row r="61" spans="1:8" ht="12.5">
      <c r="A61" s="344"/>
      <c r="B61" s="24" t="str">
        <f>HYPERLINK("http://www.spoj.com/problems/CDOWN/","SPOJ CDOWN")</f>
        <v>SPOJ CDOWN</v>
      </c>
      <c r="C61" s="354" t="s">
        <v>65</v>
      </c>
      <c r="D61" s="344"/>
      <c r="E61" s="344"/>
      <c r="F61" s="344"/>
      <c r="G61" s="344"/>
      <c r="H61" s="344"/>
    </row>
    <row r="62" spans="1:8" ht="17.25" customHeight="1">
      <c r="A62" s="344"/>
      <c r="B62" s="25" t="str">
        <f>HYPERLINK("http://codeforces.com/contest/518/problem/B","CF518-D2-B")</f>
        <v>CF518-D2-B</v>
      </c>
      <c r="C62" s="354" t="s">
        <v>66</v>
      </c>
      <c r="D62" s="344"/>
      <c r="E62" s="344"/>
      <c r="F62" s="344"/>
      <c r="G62" s="344"/>
      <c r="H62" s="344"/>
    </row>
    <row r="63" spans="1:8" ht="13">
      <c r="A63" s="20"/>
      <c r="B63" s="10"/>
      <c r="C63" s="10"/>
      <c r="D63" s="10"/>
      <c r="E63" s="10"/>
      <c r="F63" s="10"/>
      <c r="G63" s="10"/>
      <c r="H63" s="10"/>
    </row>
    <row r="64" spans="1:8" ht="13">
      <c r="A64" s="1" t="s">
        <v>67</v>
      </c>
      <c r="B64" s="354" t="s">
        <v>68</v>
      </c>
      <c r="C64" s="344"/>
      <c r="D64" s="344"/>
      <c r="E64" s="344"/>
      <c r="F64" s="344"/>
      <c r="G64" s="344"/>
      <c r="H64" s="344"/>
    </row>
    <row r="65" spans="1:8" ht="13">
      <c r="A65" s="20"/>
      <c r="B65" s="10"/>
      <c r="C65" s="10"/>
      <c r="D65" s="10"/>
      <c r="E65" s="10"/>
      <c r="F65" s="10"/>
      <c r="G65" s="10"/>
      <c r="H65" s="10"/>
    </row>
    <row r="66" spans="1:8" ht="13">
      <c r="A66" s="1" t="s">
        <v>69</v>
      </c>
      <c r="B66" s="354" t="s">
        <v>70</v>
      </c>
      <c r="C66" s="344"/>
      <c r="D66" s="344"/>
      <c r="E66" s="344"/>
      <c r="F66" s="344"/>
      <c r="G66" s="344"/>
      <c r="H66" s="344"/>
    </row>
    <row r="67" spans="1:8" ht="13">
      <c r="A67" s="20"/>
      <c r="B67" s="10"/>
      <c r="C67" s="10"/>
      <c r="D67" s="10"/>
      <c r="E67" s="10"/>
      <c r="F67" s="10"/>
      <c r="G67" s="10"/>
      <c r="H67" s="10"/>
    </row>
    <row r="68" spans="1:8" ht="12.5">
      <c r="A68" s="348" t="s">
        <v>71</v>
      </c>
      <c r="B68" s="359" t="str">
        <f>HYPERLINK("https://github.com/lnishan/awesome-competitive-programming","Awesome Competitive Programming")</f>
        <v>Awesome Competitive Programming</v>
      </c>
      <c r="C68" s="344"/>
      <c r="D68" s="350" t="s">
        <v>72</v>
      </c>
      <c r="E68" s="344"/>
      <c r="F68" s="344"/>
      <c r="G68" s="344"/>
      <c r="H68" s="344"/>
    </row>
    <row r="69" spans="1:8" ht="12.5">
      <c r="A69" s="344"/>
      <c r="B69" s="359" t="str">
        <f>HYPERLINK("https://github.com/AhmadElsagheer/Competitive-programming-library/tree/master/curriculum","Ahmed Elsaghir Trainnig")</f>
        <v>Ahmed Elsaghir Trainnig</v>
      </c>
      <c r="C69" s="344"/>
      <c r="D69" s="350" t="s">
        <v>73</v>
      </c>
      <c r="E69" s="344"/>
      <c r="F69" s="344"/>
      <c r="G69" s="344"/>
      <c r="H69" s="344"/>
    </row>
    <row r="70" spans="1:8" ht="12.5">
      <c r="A70" s="344"/>
      <c r="B70" s="359" t="str">
        <f>HYPERLINK("https://a2oj.com/ladders","A2oj Ladders")</f>
        <v>A2oj Ladders</v>
      </c>
      <c r="C70" s="344"/>
      <c r="D70" s="350" t="s">
        <v>74</v>
      </c>
      <c r="E70" s="344"/>
      <c r="F70" s="344"/>
      <c r="G70" s="344"/>
      <c r="H70" s="344"/>
    </row>
    <row r="71" spans="1:8" ht="12.5">
      <c r="A71" s="344"/>
      <c r="B71" s="360" t="str">
        <f>HYPERLINK("https://www.youtube.com/watch?v=mUSajNUEWxg&amp;list=PLb7yniFBnvZIdfxYIKqNlGsTf5oZy4dKk","Prgramming Ahmed M sayd")</f>
        <v>Prgramming Ahmed M sayd</v>
      </c>
      <c r="C71" s="344"/>
      <c r="D71" s="350" t="s">
        <v>75</v>
      </c>
      <c r="E71" s="344"/>
      <c r="F71" s="344"/>
      <c r="G71" s="344"/>
      <c r="H71" s="344"/>
    </row>
    <row r="72" spans="1:8" ht="12.5">
      <c r="A72" s="344"/>
      <c r="B72" s="361" t="s">
        <v>76</v>
      </c>
      <c r="C72" s="344"/>
      <c r="D72" s="350" t="s">
        <v>75</v>
      </c>
      <c r="E72" s="344"/>
      <c r="F72" s="344"/>
      <c r="G72" s="344"/>
      <c r="H72" s="344"/>
    </row>
    <row r="73" spans="1:8" ht="12.5">
      <c r="A73" s="344"/>
      <c r="B73" s="26" t="str">
        <f>HYPERLINK("https://www.youtube.com/playlist?list=PLPt2dINI2MIZi6jW3pFvP9AHDsNi5XlD1","More Resources")</f>
        <v>More Resources</v>
      </c>
      <c r="C73" s="13"/>
      <c r="D73" s="350" t="s">
        <v>77</v>
      </c>
      <c r="E73" s="344"/>
      <c r="F73" s="344"/>
      <c r="G73" s="344"/>
      <c r="H73" s="344"/>
    </row>
    <row r="74" spans="1:8" ht="13">
      <c r="A74" s="20"/>
      <c r="B74" s="3"/>
      <c r="C74" s="3"/>
      <c r="D74" s="3"/>
      <c r="E74" s="3"/>
      <c r="F74" s="3"/>
      <c r="G74" s="3"/>
      <c r="H74" s="3"/>
    </row>
    <row r="75" spans="1:8" ht="12.5">
      <c r="A75" s="348" t="s">
        <v>78</v>
      </c>
      <c r="B75" s="363" t="s">
        <v>79</v>
      </c>
      <c r="C75" s="344"/>
      <c r="D75" s="344"/>
      <c r="E75" s="344"/>
      <c r="F75" s="344"/>
      <c r="G75" s="344"/>
      <c r="H75" s="344"/>
    </row>
    <row r="76" spans="1:8" ht="12.5">
      <c r="A76" s="344"/>
      <c r="B76" s="363" t="s">
        <v>80</v>
      </c>
      <c r="C76" s="344"/>
      <c r="D76" s="344"/>
      <c r="E76" s="344"/>
      <c r="F76" s="344"/>
      <c r="G76" s="344"/>
      <c r="H76" s="344"/>
    </row>
    <row r="77" spans="1:8" ht="12.5">
      <c r="A77" s="344"/>
      <c r="B77" s="350" t="s">
        <v>81</v>
      </c>
      <c r="C77" s="344"/>
      <c r="D77" s="344"/>
      <c r="E77" s="344"/>
      <c r="F77" s="344"/>
      <c r="G77" s="344"/>
      <c r="H77" s="344"/>
    </row>
    <row r="78" spans="1:8" ht="12.5">
      <c r="A78" s="344"/>
      <c r="B78" s="350" t="s">
        <v>82</v>
      </c>
      <c r="C78" s="344"/>
      <c r="D78" s="344"/>
      <c r="E78" s="344"/>
      <c r="F78" s="344"/>
      <c r="G78" s="344"/>
      <c r="H78" s="344"/>
    </row>
    <row r="79" spans="1:8" ht="12.5">
      <c r="A79" s="344"/>
      <c r="B79" s="3" t="s">
        <v>83</v>
      </c>
      <c r="C79" s="3"/>
      <c r="D79" s="3"/>
      <c r="E79" s="3"/>
      <c r="F79" s="3"/>
      <c r="G79" s="3"/>
      <c r="H79" s="3"/>
    </row>
    <row r="80" spans="1:8" ht="12.5">
      <c r="A80" s="344"/>
      <c r="B80" s="350" t="s">
        <v>84</v>
      </c>
      <c r="C80" s="344"/>
      <c r="D80" s="344"/>
      <c r="E80" s="344"/>
      <c r="F80" s="344"/>
      <c r="G80" s="344"/>
      <c r="H80" s="344"/>
    </row>
    <row r="81" spans="1:8" ht="12.5">
      <c r="A81" s="344"/>
      <c r="B81" s="350" t="s">
        <v>85</v>
      </c>
      <c r="C81" s="344"/>
      <c r="D81" s="344"/>
      <c r="E81" s="344"/>
      <c r="F81" s="344"/>
      <c r="G81" s="344"/>
      <c r="H81" s="344"/>
    </row>
    <row r="82" spans="1:8" ht="13">
      <c r="A82" s="27"/>
      <c r="B82" s="10"/>
      <c r="C82" s="10"/>
      <c r="D82" s="10"/>
      <c r="E82" s="10"/>
      <c r="F82" s="10"/>
      <c r="G82" s="10"/>
      <c r="H82" s="10"/>
    </row>
    <row r="83" spans="1:8" ht="13">
      <c r="A83" s="27"/>
      <c r="B83" s="10"/>
      <c r="C83" s="10"/>
      <c r="D83" s="10"/>
      <c r="E83" s="10"/>
      <c r="F83" s="10"/>
      <c r="G83" s="10"/>
      <c r="H83" s="10"/>
    </row>
    <row r="84" spans="1:8" ht="12.5">
      <c r="A84" s="362" t="s">
        <v>86</v>
      </c>
      <c r="B84" s="344"/>
      <c r="C84" s="344"/>
      <c r="D84" s="344"/>
      <c r="E84" s="344"/>
      <c r="F84" s="344"/>
      <c r="G84" s="344"/>
      <c r="H84" s="344"/>
    </row>
    <row r="85" spans="1:8" ht="12.5">
      <c r="A85" s="362" t="s">
        <v>87</v>
      </c>
      <c r="B85" s="344"/>
      <c r="C85" s="344"/>
      <c r="D85" s="344"/>
      <c r="E85" s="344"/>
      <c r="F85" s="344"/>
      <c r="G85" s="344"/>
      <c r="H85" s="344"/>
    </row>
    <row r="86" spans="1:8" ht="12.5">
      <c r="A86" s="362" t="s">
        <v>88</v>
      </c>
      <c r="B86" s="344"/>
      <c r="C86" s="344"/>
      <c r="D86" s="344"/>
      <c r="E86" s="344"/>
      <c r="F86" s="344"/>
      <c r="G86" s="344"/>
      <c r="H86" s="344"/>
    </row>
  </sheetData>
  <mergeCells count="79">
    <mergeCell ref="B57:H57"/>
    <mergeCell ref="C59:H59"/>
    <mergeCell ref="C60:H60"/>
    <mergeCell ref="C61:H61"/>
    <mergeCell ref="B69:C69"/>
    <mergeCell ref="B49:H49"/>
    <mergeCell ref="B39:H39"/>
    <mergeCell ref="A41:A51"/>
    <mergeCell ref="B41:H41"/>
    <mergeCell ref="B42:H42"/>
    <mergeCell ref="B43:H43"/>
    <mergeCell ref="B44:H44"/>
    <mergeCell ref="B45:H45"/>
    <mergeCell ref="B35:H35"/>
    <mergeCell ref="B38:H38"/>
    <mergeCell ref="B46:H46"/>
    <mergeCell ref="B47:H47"/>
    <mergeCell ref="E48:H48"/>
    <mergeCell ref="B27:G27"/>
    <mergeCell ref="B29:H29"/>
    <mergeCell ref="B30:H30"/>
    <mergeCell ref="B32:H32"/>
    <mergeCell ref="B34:H34"/>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B50:H50"/>
    <mergeCell ref="B51:H51"/>
    <mergeCell ref="B53:H53"/>
    <mergeCell ref="A55:A56"/>
    <mergeCell ref="C55:H55"/>
    <mergeCell ref="C56:H56"/>
    <mergeCell ref="B24:E24"/>
    <mergeCell ref="B25:E25"/>
    <mergeCell ref="B13:G13"/>
    <mergeCell ref="B14:F14"/>
    <mergeCell ref="A16:A18"/>
    <mergeCell ref="B16:F16"/>
    <mergeCell ref="B17:D17"/>
    <mergeCell ref="B18:G18"/>
    <mergeCell ref="A20:A25"/>
    <mergeCell ref="B20:E20"/>
    <mergeCell ref="B21:E21"/>
    <mergeCell ref="F21:H21"/>
    <mergeCell ref="B22:E22"/>
    <mergeCell ref="B23:E23"/>
    <mergeCell ref="B8:D8"/>
    <mergeCell ref="B9:D9"/>
    <mergeCell ref="B10:D10"/>
    <mergeCell ref="B11:G11"/>
    <mergeCell ref="A1:A14"/>
    <mergeCell ref="B1:H1"/>
    <mergeCell ref="B2:H2"/>
    <mergeCell ref="B3:C3"/>
    <mergeCell ref="B4:E4"/>
    <mergeCell ref="B5:C5"/>
    <mergeCell ref="B7:E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08984375" defaultRowHeight="15.75" customHeight="1"/>
  <cols>
    <col min="1" max="1" width="13.7265625" customWidth="1"/>
    <col min="2" max="2" width="17.36328125" customWidth="1"/>
    <col min="3" max="3" width="6" customWidth="1"/>
    <col min="4" max="4" width="6.6328125" customWidth="1"/>
    <col min="5" max="5" width="7.36328125" customWidth="1"/>
    <col min="6" max="6" width="8.08984375" customWidth="1"/>
    <col min="7" max="7" width="8.7265625" customWidth="1"/>
    <col min="8" max="9" width="7.453125" customWidth="1"/>
    <col min="10" max="12" width="8.7265625" customWidth="1"/>
    <col min="13" max="13" width="35.36328125" customWidth="1"/>
    <col min="14" max="14" width="31.6328125" customWidth="1"/>
    <col min="15" max="15" width="7.90625" customWidth="1"/>
    <col min="16" max="16" width="4.6328125" customWidth="1"/>
    <col min="17" max="17" width="6.36328125" customWidth="1"/>
  </cols>
  <sheetData>
    <row r="1" spans="1:17" ht="52">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
      <c r="A3" s="63"/>
      <c r="B3" s="63"/>
      <c r="C3" s="372" t="s">
        <v>1231</v>
      </c>
      <c r="D3" s="344"/>
      <c r="E3" s="344"/>
      <c r="F3" s="344"/>
      <c r="G3" s="344"/>
      <c r="H3" s="344"/>
      <c r="I3" s="344"/>
      <c r="J3" s="344"/>
      <c r="K3" s="344"/>
      <c r="L3" s="344"/>
      <c r="M3" s="344"/>
      <c r="N3" s="193"/>
      <c r="O3" s="193"/>
      <c r="P3" s="288"/>
    </row>
    <row r="4" spans="1:17" ht="13">
      <c r="A4" s="63"/>
      <c r="B4" s="63"/>
      <c r="C4" s="372" t="s">
        <v>1232</v>
      </c>
      <c r="D4" s="344"/>
      <c r="E4" s="344"/>
      <c r="F4" s="344"/>
      <c r="G4" s="344"/>
      <c r="H4" s="344"/>
      <c r="I4" s="344"/>
      <c r="J4" s="344"/>
      <c r="K4" s="344"/>
      <c r="L4" s="344"/>
      <c r="M4" s="344"/>
      <c r="N4" s="193"/>
      <c r="O4" s="193"/>
      <c r="P4" s="288"/>
    </row>
    <row r="5" spans="1:17" ht="13">
      <c r="A5" s="63"/>
      <c r="B5" s="63"/>
      <c r="C5" s="372" t="s">
        <v>1233</v>
      </c>
      <c r="D5" s="344"/>
      <c r="E5" s="344"/>
      <c r="F5" s="344"/>
      <c r="G5" s="344"/>
      <c r="H5" s="344"/>
      <c r="I5" s="344"/>
      <c r="J5" s="344"/>
      <c r="K5" s="344"/>
      <c r="L5" s="344"/>
      <c r="M5" s="344"/>
      <c r="N5" s="193"/>
      <c r="O5" s="193"/>
      <c r="P5" s="288"/>
    </row>
    <row r="6" spans="1:17" ht="12.5">
      <c r="A6" s="63"/>
      <c r="B6" s="63"/>
      <c r="C6" s="19"/>
      <c r="D6" s="19"/>
      <c r="E6" s="19"/>
      <c r="F6" s="19"/>
      <c r="G6" s="19"/>
      <c r="H6" s="19"/>
      <c r="I6" s="19"/>
      <c r="J6" s="19"/>
      <c r="K6" s="19"/>
      <c r="L6" s="19"/>
      <c r="M6" s="55"/>
      <c r="N6" s="193"/>
      <c r="O6" s="193"/>
      <c r="P6" s="288"/>
    </row>
    <row r="7" spans="1:17" ht="12.5">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2.5">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2.5">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2.5">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2.5">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2.5">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2.5">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2.5">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2.5">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2.5">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2.5">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2.5">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2.5">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2.5">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2.5">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2.5">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2.5">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2.5">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2.5">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2.5">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2.5">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2.5">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2.5">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2.5">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2.5">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2.5">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2.5">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2.5">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2.5">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2.5">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2.5">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2.5">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2.5">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2.5">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2.5">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2.5">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2.5">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2.5">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2.5">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2.5">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2.5">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2.5">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2.5">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2.5">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2.5">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2.5">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2.5">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2.5">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2.5">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2.5">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2.5">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2.5">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2.5">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2.5">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2.5">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2.5">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2.5">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2.5">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2.5">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2.5">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2.5">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2.5">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2.5">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2.5">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2.5">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2.5">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2.5">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2.5">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2.5">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2.5">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2.5">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2.5">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2.5">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2.5">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2.5">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2.5">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2.5">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2.5">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2.5">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2.5">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2.5">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2.5">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2.5">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2.5">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2.5">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2.5">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2.5">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2.5">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2.5">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2.5">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2.5">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2.5">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2.5">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2.5">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2.5">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2.5">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2.5">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2.5">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2.5">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2.5">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2.5">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2.5">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2.5">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2.5">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2.5">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2.5">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2.5">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2.5">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2.5">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2.5">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2.5">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2.5">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2.5">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2.5">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2.5">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2.5">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2.5">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2.5">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2.5">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2.5">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2.5">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2.5">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2.5">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2.5">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2.5">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2.5">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2.5">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2.5">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2.5">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2.5">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2.5">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2.5">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2.5">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2.5">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2.5">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2.5">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2.5">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2.5">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2.5">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2.5">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2.5">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2.5">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2.5">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2.5">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2.5">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2.5">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2.5">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2.5">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2.5">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2.5">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2.5">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2.5">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2.5">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2.5">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2.5">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2.5">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2.5">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2.5">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2.5">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2.5">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2.5">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2.5">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2.5">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2.5">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2.5">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2.5">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2.5">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2.5">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2.5">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2.5">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2.5">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2.5">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2.5">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2.5">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2.5">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2.5">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2.5">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2.5">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2.5">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2.5">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2.5">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2.5">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2.5">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2.5">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2.5">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2.5">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2.5">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2.5">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2.5">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2.5">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2.5">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2.5">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2.5">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2.5">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2.5">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2.5">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2.5">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2.5">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2.5">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2.5">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2.5">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2.5">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2.5">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2.5">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2.5">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2.5">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2.5">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5">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2.5">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2.5">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2.5">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2.5">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2.5">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2.5">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2.5">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2.5">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2.5">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2.5">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2.5">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2.5">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2.5">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2.5">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2.5">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2.5">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2.5">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2.5">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2.5">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2.5">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2.5">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2.5">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2.5">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2.5">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2.5">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2.5">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2.5">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2.5">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2.5">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2.5">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2.5">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2.5">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2.5">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2.5">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2.5">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2.5">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2.5">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2.5">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2.5">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2.5">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2.5">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2.5">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2.5">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2.5">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2.5">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2.5">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2.5">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2.5">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2.5">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2.5">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2.5">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2.5">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2.5">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2.5">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2.5">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2.5">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2.5">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2.5">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2.5">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2.5">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2.5">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2.5">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2.5">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2.5">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2.5">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2.5">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2.5">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2.5">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2.5">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2.5">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2.5">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2.5">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2.5">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2.5">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2.5">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2.5">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2.5">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2.5">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2.5">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2.5">
      <c r="A296" s="63"/>
      <c r="B296" s="63" t="s">
        <v>1218</v>
      </c>
      <c r="C296" s="70"/>
      <c r="D296" s="70"/>
      <c r="E296" s="70"/>
      <c r="F296" s="70"/>
      <c r="G296" s="70"/>
      <c r="H296" s="70"/>
      <c r="I296" s="36">
        <f t="shared" si="1"/>
        <v>0</v>
      </c>
      <c r="J296" s="70"/>
      <c r="K296" s="70"/>
      <c r="L296" s="70"/>
      <c r="M296" s="28"/>
      <c r="N296" s="288" t="s">
        <v>1360</v>
      </c>
      <c r="O296" s="288">
        <v>18</v>
      </c>
      <c r="P296" s="288">
        <v>5</v>
      </c>
    </row>
    <row r="297" spans="1:17" ht="12.5">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2.5">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2.5">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2.5">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2.5">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2.5">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2.5">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2.5">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2.5">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2.5">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2.5">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2.5">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2.5">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2.5">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2.5">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2.5">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2.5">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2.5">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2.5">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2.5">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2.5">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2.5">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2.5">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2.5">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2.5">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2.5">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2.5">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2.5">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2.5">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2.5">
      <c r="A328" s="63"/>
      <c r="B328" s="63" t="s">
        <v>1073</v>
      </c>
      <c r="C328" s="70"/>
      <c r="D328" s="70"/>
      <c r="E328" s="70"/>
      <c r="F328" s="70"/>
      <c r="G328" s="70"/>
      <c r="H328" s="70"/>
      <c r="I328" s="36">
        <f t="shared" si="1"/>
        <v>0</v>
      </c>
      <c r="J328" s="70"/>
      <c r="K328" s="70"/>
      <c r="L328" s="70"/>
      <c r="M328" s="288"/>
      <c r="N328" s="288" t="s">
        <v>1384</v>
      </c>
      <c r="O328" s="288">
        <v>32</v>
      </c>
      <c r="P328" s="288">
        <v>5</v>
      </c>
    </row>
    <row r="329" spans="1:17" ht="12.5">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2.5">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2.5">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2.5">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2.5">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2.5">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2.5">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2.5">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2.5">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2.5">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2.5">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2.5">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2.5">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2.5">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2.5">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2.5">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2.5">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2.5">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2.5">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2.5">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2.5">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2.5">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2.5">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2.5">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2.5">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2.5">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2.5">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2.5">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2.5">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2.5">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2.5">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2.5">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2.5">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2.5">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2.5">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2.5">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2.5">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2.5">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2.5">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2.5">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2.5">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2.5">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2.5">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2.5">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2.5">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2.5">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2.5">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2.5">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2.5">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2.5">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2.5">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2.5">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2.5">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2.5">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2.5">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2.5">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2.5">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2.5">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2.5">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2.5">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2.5">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2.5">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2.5">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2.5">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2.5">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2.5">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2.5">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2.5">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2.5">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2.5">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2.5">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2.5">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2.5">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2.5">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2.5">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2.5">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2.5">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2.5">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2.5">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2.5">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2.5">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2.5">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2.5">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2.5">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2.5">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2.5">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2.5">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2.5">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2.5">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2.5">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2.5">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2.5">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2.5">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2.5">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2.5">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2.5">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2.5">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2.5">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2.5">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2.5">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2.5">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2.5">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2.5">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2.5">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2.5">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2.5">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2.5">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2.5">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2.5">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2.5">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2.5">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2.5">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2.5">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2.5">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2.5">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2.5">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2.5">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2.5">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2.5">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2.5">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2.5">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2.5">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2.5">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2.5">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2.5">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2.5">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2.5">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2.5">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2.5">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2.5">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2.5">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2.5">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2.5">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2.5">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2.5">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2.5">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2.5">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2.5">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2.5">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2.5">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2.5">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2.5">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2.5">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2.5">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2.5">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2.5">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2.5">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2.5">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2.5">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2.5">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2.5">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2.5">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2.5">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2.5">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2.5">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2.5">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2.5">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2.5">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2.5">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2.5">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2.5">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2.5">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2.5">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2.5">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2.5">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2.5">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2.5">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2.5">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2.5">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2.5">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2.5">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2.5">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2.5">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2.5">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2.5">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2.5">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2.5">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2.5">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2.5">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2.5">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2.5">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2.5">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2.5">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2.5">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2.5">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2.5">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2.5">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2.5">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2.5">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2.5">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2.5">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2.5">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2.5">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2.5">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2.5">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2.5">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2.5">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2.5">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2.5">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2.5">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2.5">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2.5">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2.5">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2.5">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2.5">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2.5">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2.5">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2.5">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2.5">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2.5">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2.5">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2.5">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2.5">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2.5">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2.5">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2.5">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2.5">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2.5">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2.5">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2.5">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2.5">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2.5">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2.5">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2.5">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2.5">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2.5">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2.5">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2.5">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2.5">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2.5">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2.5">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2.5">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2.5">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2.5">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2.5">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2.5">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2.5">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2.5">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2.5">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2.5">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2.5">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2.5">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2.5">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2.5">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2.5">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2.5">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2.5">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2.5">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2.5">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2.5">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2.5">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2.5">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2.5">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2.5">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2.5">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2.5">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2.5">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2.5">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2.5">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2.5">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2.5">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2.5">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2.5">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2.5">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2.5">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2.5">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2.5">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2.5">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2.5">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2.5">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2.5">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2.5">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2.5">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2.5">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2.5">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2.5">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2.5">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2.5">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2.5">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2.5">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2.5">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2.5">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2.5">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2.5">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2.5">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2.5">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2.5">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2.5">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2.5">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2.5">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2.5">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2.5">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2.5">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2.5">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2.5">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2.5">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2.5">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2.5">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2.5">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2.5">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2.5">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2.5">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2.5">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2.5">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2.5">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2.5">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2.5">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2.5">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2.5">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2.5">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2.5">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2.5">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2.5">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2.5">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2.5">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2.5">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2.5">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2.5">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2.5">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2.5">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2.5">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2.5">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2.5">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2.5">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2.5">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2.5">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2.5">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2.5">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2.5">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2.5">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2.5">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2.5">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2.5">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2.5">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2.5">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2.5">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2.5">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2.5">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2.5">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2.5">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2.5">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2.5">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2.5">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2.5">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2.5">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2.5">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2.5">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2.5">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2.5">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2.5">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2.5">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2.5">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2.5">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2.5">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2.5">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2.5">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2.5">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2.5">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2.5">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2.5">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2.5">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2.5">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2.5">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2.5">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2.5">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2.5">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2.5">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2.5">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2.5">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2.5">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2.5">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2.5">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2.5">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2.5">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2.5">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2.5">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2.5">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2.5">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2.5">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2.5">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2.5">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2.5">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2.5">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2.5">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2.5">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2.5">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2.5">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2.5">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2.5">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2.5">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2.5">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2.5">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2.5">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2.5">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2.5">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2.5">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2.5">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2.5">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2.5">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2.5">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2.5">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2.5">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2.5">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2.5">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2.5">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2.5">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2.5">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2.5">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2.5">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2.5">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2.5">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2.5">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2.5">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2.5">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2.5">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2.5">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2.5">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2.5">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2.5">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2.5">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2.5">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2.5">
      <c r="A752" s="63"/>
      <c r="B752" s="63" t="s">
        <v>996</v>
      </c>
      <c r="C752" s="70"/>
      <c r="D752" s="70"/>
      <c r="E752" s="70"/>
      <c r="F752" s="70"/>
      <c r="G752" s="70"/>
      <c r="H752" s="70"/>
      <c r="I752" s="36">
        <f t="shared" si="2"/>
        <v>0</v>
      </c>
      <c r="J752" s="70"/>
      <c r="K752" s="70"/>
      <c r="L752" s="70"/>
      <c r="M752" s="288"/>
      <c r="N752" s="288" t="s">
        <v>1667</v>
      </c>
      <c r="O752" s="288">
        <v>95</v>
      </c>
      <c r="P752" s="288">
        <v>5</v>
      </c>
    </row>
    <row r="753" spans="1:17" ht="12.5">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2.5">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2.5">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2.5">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2.5">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2.5">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2.5">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2.5">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2.5">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2.5">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2.5">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2.5">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2.5">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2.5">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2.5">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2.5">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2.5">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2.5">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2.5">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2.5">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2.5">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2.5">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2.5">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2.5">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2.5">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2.5">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2.5">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2.5">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2.5">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2.5">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2.5">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2.5">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2.5">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2.5">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2.5">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2.5">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2.5">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2.5">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2.5">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2.5">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2.5">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2.5">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2.5">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2.5">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2.5">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2.5">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2.5">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2.5">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2.5">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2.5">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2.5">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2.5">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2.5">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2.5">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2.5">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2.5">
      <c r="A808" s="63"/>
      <c r="B808" s="63" t="s">
        <v>740</v>
      </c>
      <c r="C808" s="70"/>
      <c r="D808" s="70"/>
      <c r="E808" s="70"/>
      <c r="F808" s="70"/>
      <c r="G808" s="70"/>
      <c r="H808" s="70"/>
      <c r="I808" s="36">
        <f t="shared" si="3"/>
        <v>0</v>
      </c>
      <c r="J808" s="36"/>
      <c r="K808" s="36"/>
      <c r="L808" s="70"/>
      <c r="M808" s="175"/>
      <c r="N808" s="288" t="s">
        <v>1713</v>
      </c>
      <c r="O808" s="288">
        <v>114</v>
      </c>
      <c r="P808" s="288">
        <v>4</v>
      </c>
    </row>
    <row r="809" spans="1:17" ht="12.5">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2.5">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2.5">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2.5">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2.5">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2.5">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2.5">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2.5">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2.5">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2.5">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2.5">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2.5">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2.5">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2.5">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2.5">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2.5">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2.5">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2.5">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2.5">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2.5">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2.5">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2.5">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2.5">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2.5">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2.5">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7.5">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2.5">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2.5">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2.5">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2.5">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2.5">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2.5">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2.5">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2.5">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2.5">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2.5">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2.5">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2.5">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2.5">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2.5">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2.5">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2.5">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2.5">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2.5">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2.5">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2.5">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2.5">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2.5">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2.5">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2.5">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2.5">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2.5">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2.5">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2.5">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2.5">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2.5">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2.5">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2.5">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2.5">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2.5">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2.5">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2.5">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2.5">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2.5">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2.5">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2.5">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2.5">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2.5">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2.5">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2.5">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2.5">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2.5">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2.5">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2.5">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2.5">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2.5">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2.5">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2.5">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2.5">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2.5">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2.5">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2.5">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2.5">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2.5">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2.5">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2.5">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2.5">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2.5">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2.5">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2.5">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2.5">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2.5">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2.5">
      <c r="A902" s="76"/>
      <c r="B902" s="76"/>
      <c r="C902" s="317"/>
      <c r="D902" s="317"/>
      <c r="E902" s="317"/>
      <c r="F902" s="317"/>
      <c r="G902" s="317"/>
      <c r="H902" s="317"/>
      <c r="I902" s="318"/>
      <c r="J902" s="319"/>
      <c r="K902" s="318"/>
      <c r="L902" s="319"/>
      <c r="M902" s="320"/>
      <c r="N902" s="321"/>
      <c r="O902" s="322"/>
      <c r="P902" s="323"/>
      <c r="Q902" s="324"/>
    </row>
    <row r="903" spans="1:17" ht="13">
      <c r="A903" s="10"/>
      <c r="B903" s="10"/>
      <c r="C903" s="10"/>
      <c r="D903" s="10"/>
      <c r="E903" s="10"/>
      <c r="F903" s="10"/>
      <c r="G903" s="373" t="s">
        <v>1789</v>
      </c>
      <c r="H903" s="344"/>
      <c r="I903" s="344"/>
      <c r="J903" s="344"/>
      <c r="K903" s="373" t="s">
        <v>1790</v>
      </c>
      <c r="L903" s="344"/>
      <c r="M903" s="373" t="s">
        <v>1791</v>
      </c>
      <c r="N903" s="344"/>
      <c r="O903" s="10"/>
      <c r="P903" s="147"/>
      <c r="Q903" s="10"/>
    </row>
    <row r="904" spans="1:17" ht="13">
      <c r="A904" s="374" t="s">
        <v>1792</v>
      </c>
      <c r="B904" s="344"/>
      <c r="C904" s="10"/>
      <c r="D904" s="10"/>
      <c r="E904" s="10"/>
      <c r="F904" s="10"/>
      <c r="G904" s="325"/>
      <c r="H904" s="28"/>
      <c r="I904" s="28"/>
      <c r="K904" s="28">
        <v>1</v>
      </c>
      <c r="L904" s="28"/>
      <c r="M904" s="387" t="str">
        <f>HYPERLINK("https://www.youtube.com/watch?v=fd0Ebfa_mJ0","Watch - Approaching Problem Statement ")</f>
        <v xml:space="preserve">Watch - Approaching Problem Statement </v>
      </c>
      <c r="N904" s="344"/>
      <c r="O904" s="326"/>
      <c r="P904" s="147"/>
      <c r="Q904" s="10"/>
    </row>
    <row r="905" spans="1:17" ht="13">
      <c r="A905" s="344"/>
      <c r="B905" s="344"/>
      <c r="C905" s="10"/>
      <c r="D905" s="10"/>
      <c r="E905" s="10"/>
      <c r="F905" s="10"/>
      <c r="G905" s="327"/>
      <c r="H905" s="28"/>
      <c r="I905" s="28"/>
      <c r="K905" s="28">
        <v>2</v>
      </c>
      <c r="L905" s="28"/>
      <c r="M905" s="388" t="str">
        <f>HYPERLINK("https://www.youtube.com/watch?v=olcmPKZNqnM","Watch - Thinking - On papers Not on PC ")</f>
        <v xml:space="preserve">Watch - Thinking - On papers Not on PC </v>
      </c>
      <c r="N905" s="344"/>
      <c r="O905" s="326"/>
      <c r="P905" s="196"/>
    </row>
    <row r="906" spans="1:17" ht="13">
      <c r="A906" s="344"/>
      <c r="B906" s="344"/>
      <c r="C906" s="10"/>
      <c r="D906" s="10"/>
      <c r="E906" s="10"/>
      <c r="F906" s="10"/>
      <c r="G906" s="325"/>
      <c r="H906" s="28"/>
      <c r="I906" s="28"/>
      <c r="K906" s="28">
        <v>3</v>
      </c>
      <c r="L906" s="28"/>
      <c r="M906" s="387" t="str">
        <f>HYPERLINK("https://www.youtube.com/watch?v=EQzmtn4PzYQ","Watch - Measuring Algorithms Perfromance - 1")</f>
        <v>Watch - Measuring Algorithms Perfromance - 1</v>
      </c>
      <c r="N906" s="344"/>
      <c r="O906" s="326"/>
      <c r="P906" s="328"/>
    </row>
    <row r="907" spans="1:17" ht="13">
      <c r="A907" s="344"/>
      <c r="B907" s="344"/>
      <c r="C907" s="10"/>
      <c r="D907" s="10"/>
      <c r="E907" s="10"/>
      <c r="F907" s="10"/>
      <c r="G907" s="325"/>
      <c r="H907" s="28"/>
      <c r="I907" s="28"/>
      <c r="K907" s="28">
        <v>4</v>
      </c>
      <c r="L907" s="28"/>
      <c r="M907" s="389" t="str">
        <f>HYPERLINK("https://www.youtube.com/watch?v=Syx2qDjj7TE","Watch - Elementary Math - Introduction")</f>
        <v>Watch - Elementary Math - Introduction</v>
      </c>
      <c r="N907" s="344"/>
      <c r="O907" s="328"/>
      <c r="P907" s="328"/>
    </row>
    <row r="908" spans="1:17" ht="13">
      <c r="A908" s="344"/>
      <c r="B908" s="344"/>
      <c r="C908" s="10"/>
      <c r="D908" s="10"/>
      <c r="E908" s="10"/>
      <c r="F908" s="10"/>
      <c r="G908" s="325">
        <v>109</v>
      </c>
      <c r="H908" s="28"/>
      <c r="I908" s="28"/>
      <c r="K908" s="28">
        <v>5</v>
      </c>
      <c r="L908" s="28"/>
      <c r="M908" s="390" t="str">
        <f>HYPERLINK("https://www.youtube.com/watch?v=9sqvjnvuLtY","Watch - Number Theory - Modular Arithmatic")</f>
        <v>Watch - Number Theory - Modular Arithmatic</v>
      </c>
      <c r="N908" s="344"/>
      <c r="O908" s="316"/>
      <c r="P908" s="316"/>
    </row>
    <row r="909" spans="1:17" ht="13">
      <c r="A909" s="344"/>
      <c r="B909" s="344"/>
      <c r="C909" s="10"/>
      <c r="D909" s="10"/>
      <c r="E909" s="10"/>
      <c r="F909" s="10"/>
      <c r="G909" s="325" t="s">
        <v>1793</v>
      </c>
      <c r="H909" s="28"/>
      <c r="I909" s="28"/>
      <c r="K909" s="28">
        <v>6</v>
      </c>
      <c r="L909" s="28"/>
      <c r="M909" s="390" t="str">
        <f>HYPERLINK("https://www.youtube.com/watch?v=sr6WgCLcgVM","Watch - Combinatorics - Counting Principles")</f>
        <v>Watch - Combinatorics - Counting Principles</v>
      </c>
      <c r="N909" s="344"/>
      <c r="O909" s="196"/>
      <c r="P909" s="196"/>
    </row>
    <row r="910" spans="1:17" ht="13">
      <c r="A910" s="344"/>
      <c r="B910" s="344"/>
      <c r="C910" s="10"/>
      <c r="D910" s="10"/>
      <c r="E910" s="10"/>
      <c r="F910" s="10"/>
      <c r="G910" s="327"/>
      <c r="H910" s="28"/>
      <c r="I910" s="28"/>
      <c r="K910" s="28">
        <v>7</v>
      </c>
      <c r="L910" s="28"/>
      <c r="M910" s="391" t="str">
        <f>HYPERLINK("https://www.youtube.com/watch?v=jzfcfQVBtKA","Watch - Graph Theory - Intro")</f>
        <v>Watch - Graph Theory - Intro</v>
      </c>
      <c r="N910" s="344"/>
      <c r="O910" s="331"/>
      <c r="P910" s="331"/>
    </row>
    <row r="911" spans="1:17" ht="13">
      <c r="A911" s="344"/>
      <c r="B911" s="344"/>
      <c r="C911" s="10"/>
      <c r="D911" s="10"/>
      <c r="E911" s="10"/>
      <c r="F911" s="10"/>
      <c r="G911" s="327" t="s">
        <v>1794</v>
      </c>
      <c r="H911" s="28"/>
      <c r="I911" s="28"/>
      <c r="K911" s="28">
        <v>8</v>
      </c>
      <c r="L911" s="28"/>
      <c r="M911" s="391" t="str">
        <f>HYPERLINK("https://www.youtube.com/watch?v=9DP0X2xlPCo","Watch - Graph Theory - DFS")</f>
        <v>Watch - Graph Theory - DFS</v>
      </c>
      <c r="N911" s="344"/>
      <c r="O911" s="328"/>
      <c r="P911" s="328"/>
    </row>
    <row r="912" spans="1:17" ht="13">
      <c r="A912" s="344"/>
      <c r="B912" s="344"/>
      <c r="C912" s="10"/>
      <c r="D912" s="10"/>
      <c r="E912" s="10"/>
      <c r="F912" s="10"/>
      <c r="G912" s="327">
        <v>45</v>
      </c>
      <c r="H912" s="28"/>
      <c r="I912" s="28"/>
      <c r="K912" s="28">
        <v>9</v>
      </c>
      <c r="L912" s="28"/>
      <c r="M912" s="388" t="str">
        <f>HYPERLINK("https://www.youtube.com/watch?v=XhVmgLXYvuQ","Watch - Computational Geometry - Intro")</f>
        <v>Watch - Computational Geometry - Intro</v>
      </c>
      <c r="N912" s="344"/>
      <c r="O912" s="196"/>
      <c r="P912" s="196"/>
    </row>
    <row r="913" spans="1:17" ht="13">
      <c r="A913" s="344"/>
      <c r="B913" s="344"/>
      <c r="C913" s="10"/>
      <c r="D913" s="10"/>
      <c r="E913" s="10"/>
      <c r="F913" s="10"/>
      <c r="G913" s="327">
        <v>45</v>
      </c>
      <c r="H913" s="28"/>
      <c r="I913" s="28"/>
      <c r="K913" s="28">
        <v>10</v>
      </c>
      <c r="L913" s="28"/>
      <c r="M913" s="388" t="str">
        <f>HYPERLINK("https://www.youtube.com/watch?v=2CUN12WrNr4","Watch - Computational Geometry - Point and Vector")</f>
        <v>Watch - Computational Geometry - Point and Vector</v>
      </c>
      <c r="N913" s="344"/>
      <c r="O913" s="326"/>
      <c r="P913" s="147"/>
      <c r="Q913" s="10"/>
    </row>
    <row r="914" spans="1:17" ht="13">
      <c r="A914" s="344"/>
      <c r="B914" s="344"/>
      <c r="C914" s="10"/>
      <c r="D914" s="10"/>
      <c r="E914" s="10"/>
      <c r="F914" s="10"/>
      <c r="G914" s="325">
        <v>6</v>
      </c>
      <c r="H914" s="28"/>
      <c r="I914" s="28"/>
      <c r="K914" s="28">
        <v>11</v>
      </c>
      <c r="L914" s="28"/>
      <c r="M914" s="387" t="str">
        <f>HYPERLINK("https://www.youtube.com/watch?v=2G7RzlxTNPo","Watch - Search Techniques - Binary Search")</f>
        <v>Watch - Search Techniques - Binary Search</v>
      </c>
      <c r="N914" s="344"/>
      <c r="O914" s="332"/>
      <c r="P914" s="10"/>
      <c r="Q914" s="10"/>
    </row>
    <row r="915" spans="1:17" ht="13">
      <c r="A915" s="344"/>
      <c r="B915" s="344"/>
      <c r="C915" s="10"/>
      <c r="D915" s="10"/>
      <c r="E915" s="10"/>
      <c r="F915" s="10"/>
      <c r="G915" s="325"/>
      <c r="H915" s="28"/>
      <c r="I915" s="28"/>
      <c r="K915" s="28">
        <v>12</v>
      </c>
      <c r="L915" s="28"/>
      <c r="M915" s="378" t="str">
        <f>HYPERLINK("https://www.youtube.com/watch?v=x1rCxxKfFbM","Watch - Thinking - Problem Simplification ")</f>
        <v xml:space="preserve">Watch - Thinking - Problem Simplification </v>
      </c>
      <c r="N915" s="344"/>
      <c r="O915" s="332"/>
      <c r="P915" s="10"/>
      <c r="Q915" s="10"/>
    </row>
    <row r="916" spans="1:17" ht="13">
      <c r="A916" s="344"/>
      <c r="B916" s="344"/>
      <c r="C916" s="10"/>
      <c r="D916" s="10"/>
      <c r="E916" s="10"/>
      <c r="F916" s="10"/>
      <c r="G916" s="327"/>
      <c r="H916" s="28"/>
      <c r="I916" s="28"/>
      <c r="K916" s="28">
        <v>13</v>
      </c>
      <c r="L916" s="28"/>
      <c r="M916" s="378" t="str">
        <f>HYPERLINK("https://www.youtube.com/watch?v=7z1498LTCgg","Watch - Thinking - Brainstorm - Rank - Approach ")</f>
        <v xml:space="preserve">Watch - Thinking - Brainstorm - Rank - Approach </v>
      </c>
      <c r="N916" s="344"/>
      <c r="O916" s="196"/>
      <c r="P916" s="196"/>
    </row>
    <row r="917" spans="1:17" ht="13">
      <c r="A917" s="344"/>
      <c r="B917" s="344"/>
      <c r="C917" s="10"/>
      <c r="D917" s="10"/>
      <c r="E917" s="10"/>
      <c r="F917" s="10"/>
      <c r="G917" s="327"/>
      <c r="H917" s="28"/>
      <c r="I917" s="28"/>
      <c r="K917" s="28">
        <v>14</v>
      </c>
      <c r="L917" s="28"/>
      <c r="M917" s="392" t="str">
        <f>HYPERLINK("https://www.youtube.com/watch?v=KAS83uXf_8s&amp;list=PLPt2dINI2MIZPFq6HyUB1Uhxdh1UDnZMS","Study STL")</f>
        <v>Study STL</v>
      </c>
      <c r="N917" s="344"/>
      <c r="O917" s="196"/>
      <c r="P917" s="196"/>
    </row>
    <row r="918" spans="1:17" ht="13">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
      <c r="A920" s="344"/>
      <c r="B920" s="344"/>
      <c r="C920" s="10"/>
      <c r="D920" s="10"/>
      <c r="E920" s="10"/>
      <c r="F920" s="10"/>
      <c r="G920" s="327"/>
      <c r="H920" s="28"/>
      <c r="I920" s="28"/>
      <c r="K920" s="28">
        <v>17</v>
      </c>
      <c r="L920" s="28"/>
      <c r="M920" s="375" t="str">
        <f t="shared" ref="M920:M921" si="4">HYPERLINK("https://www.youtube.com/watch?v=tKGztXjnnuA","Watch - Training-Secrets of Success")</f>
        <v>Watch - Training-Secrets of Success</v>
      </c>
      <c r="N920" s="344"/>
      <c r="O920" s="115"/>
      <c r="P920" s="115"/>
    </row>
    <row r="921" spans="1:17" ht="13">
      <c r="A921" s="63"/>
      <c r="B921" s="63"/>
      <c r="C921" s="10"/>
      <c r="D921" s="10"/>
      <c r="E921" s="10"/>
      <c r="F921" s="10"/>
      <c r="G921" s="327"/>
      <c r="H921" s="28"/>
      <c r="I921" s="28"/>
      <c r="K921" s="28">
        <v>18</v>
      </c>
      <c r="L921" s="28"/>
      <c r="M921" s="333" t="str">
        <f t="shared" si="4"/>
        <v>Watch - Training-Secrets of Success</v>
      </c>
      <c r="N921" s="334"/>
      <c r="O921" s="115"/>
      <c r="P921" s="115"/>
    </row>
    <row r="922" spans="1:17" ht="13">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
      <c r="A923" s="10"/>
      <c r="B923" s="10"/>
      <c r="C923" s="10"/>
      <c r="D923" s="10"/>
      <c r="E923" s="10"/>
      <c r="F923" s="10"/>
      <c r="G923" s="325"/>
      <c r="H923" s="28"/>
      <c r="I923" s="28"/>
      <c r="K923" s="28">
        <v>20</v>
      </c>
      <c r="L923" s="28"/>
      <c r="M923" s="380" t="str">
        <f>HYPERLINK("https://www.youtube.com/watch?v=hqOqr6vFPp8","Watch - Prefix Sum")</f>
        <v>Watch - Prefix Sum</v>
      </c>
      <c r="N923" s="344"/>
      <c r="O923" s="115"/>
      <c r="P923" s="335"/>
      <c r="Q923" s="10"/>
    </row>
    <row r="924" spans="1:17" ht="13">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
      <c r="A926" s="63"/>
      <c r="B926" s="63"/>
      <c r="C926" s="10"/>
      <c r="D926" s="10"/>
      <c r="E926" s="10"/>
      <c r="F926" s="10"/>
      <c r="G926" s="327">
        <v>10</v>
      </c>
      <c r="H926" s="28"/>
      <c r="I926" s="28"/>
      <c r="K926" s="28">
        <v>23</v>
      </c>
      <c r="L926" s="28"/>
      <c r="M926" s="375" t="str">
        <f>HYPERLINK("https://www.youtube.com/watch?v=gFdP6X4CyKU","Watch - DP - intro 1")</f>
        <v>Watch - DP - intro 1</v>
      </c>
      <c r="N926" s="344"/>
      <c r="O926" s="115"/>
      <c r="P926" s="115"/>
    </row>
    <row r="927" spans="1:17" ht="13">
      <c r="A927" s="63"/>
      <c r="B927" s="63"/>
      <c r="C927" s="10"/>
      <c r="D927" s="10"/>
      <c r="E927" s="10"/>
      <c r="F927" s="10"/>
      <c r="G927" s="327">
        <v>10</v>
      </c>
      <c r="H927" s="28"/>
      <c r="I927" s="28"/>
      <c r="K927" s="28">
        <v>24</v>
      </c>
      <c r="L927" s="28"/>
      <c r="M927" s="375" t="str">
        <f>HYPERLINK("https://www.youtube.com/watch?v=1j3srLj-C5Q","Watch - DP - intro 2")</f>
        <v>Watch - DP - intro 2</v>
      </c>
      <c r="N927" s="344"/>
      <c r="O927" s="115"/>
      <c r="P927" s="115"/>
    </row>
    <row r="928" spans="1:17" ht="13">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
      <c r="A930" s="63"/>
      <c r="B930" s="63"/>
      <c r="C930" s="10"/>
      <c r="D930" s="10"/>
      <c r="E930" s="10"/>
      <c r="F930" s="10"/>
      <c r="G930" s="327"/>
      <c r="H930" s="28"/>
      <c r="I930" s="28"/>
      <c r="K930" s="28">
        <v>27</v>
      </c>
      <c r="L930" s="28"/>
      <c r="M930" s="376" t="str">
        <f>HYPERLINK("https://www.youtube.com/watch?v=WTr12dK2Se0","Watch - Focused and Diffused Thinking")</f>
        <v>Watch - Focused and Diffused Thinking</v>
      </c>
      <c r="N930" s="344"/>
      <c r="O930" s="115"/>
      <c r="P930" s="48"/>
    </row>
    <row r="931" spans="1:16" ht="13">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
      <c r="A932" s="63"/>
      <c r="B932" s="63"/>
      <c r="C932" s="10"/>
      <c r="D932" s="10"/>
      <c r="E932" s="10"/>
      <c r="F932" s="10"/>
      <c r="G932" s="327">
        <v>84</v>
      </c>
      <c r="H932" s="28"/>
      <c r="I932" s="28"/>
      <c r="K932" s="28">
        <v>29</v>
      </c>
      <c r="L932" s="28"/>
      <c r="M932" s="377" t="str">
        <f>HYPERLINK("https://www.youtube.com/watch?v=iXxP_liQklk","Watch - Intro to Greedy")</f>
        <v>Watch - Intro to Greedy</v>
      </c>
      <c r="N932" s="344"/>
      <c r="O932" s="115"/>
      <c r="P932" s="115"/>
    </row>
    <row r="933" spans="1:16" ht="13">
      <c r="A933" s="63"/>
      <c r="B933" s="63"/>
      <c r="C933" s="10"/>
      <c r="D933" s="10"/>
      <c r="E933" s="10"/>
      <c r="F933" s="10"/>
      <c r="G933" s="327"/>
      <c r="H933" s="28"/>
      <c r="I933" s="28"/>
      <c r="K933" s="28">
        <v>30</v>
      </c>
      <c r="L933" s="28"/>
      <c r="M933" s="378" t="str">
        <f>HYPERLINK("https://www.youtube.com/watch?v=Tm_Vlkv4mOo","Watch - Thinking - Concretely - Symbolically - Pictorially ")</f>
        <v xml:space="preserve">Watch - Thinking - Concretely - Symbolically - Pictorially </v>
      </c>
      <c r="N933" s="344"/>
      <c r="O933" s="115"/>
      <c r="P933" s="48"/>
    </row>
    <row r="934" spans="1:16" ht="13">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
      <c r="A942" s="63"/>
      <c r="B942" s="63"/>
      <c r="C942" s="10"/>
      <c r="D942" s="10"/>
      <c r="E942" s="10"/>
      <c r="F942" s="10"/>
      <c r="G942" s="327">
        <v>3</v>
      </c>
      <c r="H942" s="28"/>
      <c r="I942" s="28"/>
      <c r="K942" s="28">
        <v>39</v>
      </c>
      <c r="L942" s="28"/>
      <c r="M942" s="378" t="str">
        <f>HYPERLINK("https://www.youtube.com/watch?v=hLXVhRzqq18","Watch - Search Techniques - Backtracking")</f>
        <v>Watch - Search Techniques - Backtracking</v>
      </c>
      <c r="N942" s="344"/>
      <c r="O942" s="115"/>
      <c r="P942" s="116"/>
    </row>
    <row r="943" spans="1:16" ht="13">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
      <c r="A944" s="63"/>
      <c r="B944" s="63"/>
      <c r="C944" s="10"/>
      <c r="D944" s="10"/>
      <c r="E944" s="10"/>
      <c r="F944" s="10"/>
      <c r="G944" s="325">
        <v>10</v>
      </c>
      <c r="H944" s="28"/>
      <c r="I944" s="28"/>
      <c r="K944" s="28">
        <v>41</v>
      </c>
      <c r="L944" s="28"/>
      <c r="M944" s="378" t="str">
        <f>HYPERLINK("https://www.youtube.com/watch?v=vAqaki1BhS0","Watch - DP - Subset Style")</f>
        <v>Watch - DP - Subset Style</v>
      </c>
      <c r="N944" s="344"/>
      <c r="O944" s="115"/>
      <c r="P944" s="330"/>
    </row>
    <row r="945" spans="1:17" ht="13">
      <c r="A945" s="63"/>
      <c r="B945" s="63"/>
      <c r="C945" s="10"/>
      <c r="D945" s="10"/>
      <c r="E945" s="10"/>
      <c r="F945" s="10"/>
      <c r="G945" s="327">
        <v>32</v>
      </c>
      <c r="H945" s="28"/>
      <c r="I945" s="28"/>
      <c r="K945" s="28">
        <v>42</v>
      </c>
      <c r="L945" s="28"/>
      <c r="M945" s="378" t="str">
        <f>HYPERLINK("https://www.youtube.com/watch?v=bDlAqeWsKsg","Watch - DP - Consecutive Ranges Style")</f>
        <v>Watch - DP - Consecutive Ranges Style</v>
      </c>
      <c r="N945" s="344"/>
      <c r="O945" s="115"/>
      <c r="P945" s="115"/>
    </row>
    <row r="946" spans="1:17" ht="13">
      <c r="A946" s="63"/>
      <c r="B946" s="63"/>
      <c r="C946" s="10"/>
      <c r="D946" s="10"/>
      <c r="E946" s="10"/>
      <c r="F946" s="10"/>
      <c r="G946" s="327">
        <v>32</v>
      </c>
      <c r="H946" s="28"/>
      <c r="I946" s="28"/>
      <c r="K946" s="28">
        <v>43</v>
      </c>
      <c r="L946" s="28"/>
      <c r="M946" s="378" t="str">
        <f>HYPERLINK("https://www.youtube.com/watch?v=b4AC2jGNGEM","Watch - DP - Nested Ranges Style")</f>
        <v>Watch - DP - Nested Ranges Style</v>
      </c>
      <c r="N946" s="344"/>
      <c r="O946" s="115"/>
      <c r="P946" s="316"/>
    </row>
    <row r="947" spans="1:17" ht="13">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
      <c r="A951" s="63"/>
      <c r="B951" s="63"/>
      <c r="C951" s="10"/>
      <c r="D951" s="10"/>
      <c r="E951" s="10"/>
      <c r="F951" s="10"/>
      <c r="G951" s="325">
        <v>113</v>
      </c>
      <c r="H951" s="28"/>
      <c r="I951" s="28"/>
      <c r="K951" s="28">
        <v>48</v>
      </c>
      <c r="L951" s="28"/>
      <c r="M951" s="379" t="str">
        <f>HYPERLINK("https://www.youtube.com/playlist?list=PLC58778F28211FA19","Watch - Probability - First 9 videos")</f>
        <v>Watch - Probability - First 9 videos</v>
      </c>
      <c r="N951" s="344"/>
      <c r="O951" s="115"/>
      <c r="P951" s="329"/>
    </row>
    <row r="952" spans="1:17" ht="13">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
      <c r="A953" s="63"/>
      <c r="B953" s="63"/>
      <c r="C953" s="10"/>
      <c r="D953" s="10"/>
      <c r="E953" s="10"/>
      <c r="F953" s="10"/>
      <c r="G953" s="327"/>
      <c r="H953" s="28"/>
      <c r="I953" s="28"/>
      <c r="K953" s="28">
        <v>50</v>
      </c>
      <c r="L953" s="28"/>
      <c r="M953" s="378" t="str">
        <f>HYPERLINK("https://www.youtube.com/watch?v=TP8QXP6PBqM","Watch - Thinking - Observations Discovery ")</f>
        <v xml:space="preserve">Watch - Thinking - Observations Discovery </v>
      </c>
      <c r="N953" s="344"/>
      <c r="O953" s="115"/>
      <c r="P953" s="316"/>
      <c r="Q953" s="316"/>
    </row>
    <row r="954" spans="1:17" ht="13">
      <c r="A954" s="63"/>
      <c r="B954" s="63"/>
      <c r="C954" s="10"/>
      <c r="D954" s="10"/>
      <c r="E954" s="10"/>
      <c r="F954" s="10"/>
      <c r="G954" s="327">
        <v>41</v>
      </c>
      <c r="H954" s="28"/>
      <c r="I954" s="28"/>
      <c r="K954" s="28">
        <v>51</v>
      </c>
      <c r="L954" s="28"/>
      <c r="M954" s="378" t="str">
        <f>HYPERLINK("https://www.youtube.com/watch?v=rdUs4FGkgRo","Watch - Game Theory - Intro")</f>
        <v>Watch - Game Theory - Intro</v>
      </c>
      <c r="N954" s="344"/>
      <c r="O954" s="115"/>
      <c r="P954" s="336"/>
      <c r="Q954" s="336"/>
    </row>
    <row r="955" spans="1:17" ht="13">
      <c r="A955" s="63"/>
      <c r="B955" s="63"/>
      <c r="C955" s="10"/>
      <c r="D955" s="10"/>
      <c r="E955" s="10"/>
      <c r="F955" s="10"/>
      <c r="G955" s="327"/>
      <c r="H955" s="28"/>
      <c r="I955" s="28"/>
      <c r="K955" s="28">
        <v>52</v>
      </c>
      <c r="L955" s="28"/>
      <c r="M955" s="378" t="str">
        <f>HYPERLINK("https://www.youtube.com/watch?v=fT4JZU5hO58","Watch - Thinking - Misc - Solution Verification - Implementation")</f>
        <v>Watch - Thinking - Misc - Solution Verification - Implementation</v>
      </c>
      <c r="N955" s="344"/>
      <c r="O955" s="115"/>
      <c r="P955" s="112"/>
      <c r="Q955" s="112"/>
    </row>
    <row r="956" spans="1:17" ht="13">
      <c r="A956" s="63"/>
      <c r="B956" s="63"/>
      <c r="C956" s="10"/>
      <c r="D956" s="10"/>
      <c r="E956" s="10"/>
      <c r="F956" s="10"/>
      <c r="G956" s="337">
        <v>64</v>
      </c>
      <c r="H956" s="28"/>
      <c r="I956" s="28"/>
      <c r="K956" s="28">
        <v>53</v>
      </c>
      <c r="L956" s="28"/>
      <c r="M956" s="375" t="str">
        <f>HYPERLINK("https://www.youtube.com/watch?v=6GzxGabB5MI","Watch - Graph Theory - Dijkstra")</f>
        <v>Watch - Graph Theory - Dijkstra</v>
      </c>
      <c r="N956" s="344"/>
      <c r="O956" s="115"/>
      <c r="P956" s="47"/>
      <c r="Q956" s="47"/>
    </row>
    <row r="957" spans="1:17" ht="13">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
      <c r="A959" s="63"/>
      <c r="B959" s="63"/>
      <c r="C959" s="10"/>
      <c r="D959" s="10"/>
      <c r="E959" s="10"/>
      <c r="F959" s="10"/>
      <c r="G959" s="327"/>
      <c r="H959" s="28"/>
      <c r="I959" s="28"/>
      <c r="K959" s="28">
        <v>56</v>
      </c>
      <c r="L959" s="28"/>
      <c r="M959" s="378" t="str">
        <f>HYPERLINK("https://www.youtube.com/watch?v=uKSLJw0ZUd8","Watch - Thinking - Error Inspection - History - Contest Strategy ")</f>
        <v xml:space="preserve">Watch - Thinking - Error Inspection - History - Contest Strategy </v>
      </c>
      <c r="N959" s="344"/>
      <c r="O959" s="115"/>
      <c r="P959" s="115"/>
    </row>
    <row r="960" spans="1:17" ht="13">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
      <c r="A966" s="63"/>
      <c r="B966" s="63"/>
      <c r="C966" s="10"/>
      <c r="D966" s="10"/>
      <c r="E966" s="10"/>
      <c r="F966" s="10"/>
      <c r="G966" s="327">
        <v>62</v>
      </c>
      <c r="H966" s="28"/>
      <c r="I966" s="28"/>
      <c r="K966" s="28">
        <v>63</v>
      </c>
      <c r="L966" s="28"/>
      <c r="M966" s="380" t="str">
        <f>HYPERLINK("https://www.youtube.com/watch?v=RASvnfG2SSE","Watch - Graph Theory - Tree Diameter and Isomorphism")</f>
        <v>Watch - Graph Theory - Tree Diameter and Isomorphism</v>
      </c>
      <c r="N966" s="344"/>
      <c r="O966" s="115"/>
      <c r="P966" s="112"/>
      <c r="Q966" s="112"/>
    </row>
    <row r="967" spans="1:17" ht="13">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
      <c r="A968" s="63"/>
      <c r="B968" s="63"/>
      <c r="C968" s="10"/>
      <c r="D968" s="10"/>
      <c r="E968" s="10"/>
      <c r="F968" s="10"/>
      <c r="G968" s="327" t="s">
        <v>1796</v>
      </c>
      <c r="H968" s="28"/>
      <c r="I968" s="28"/>
      <c r="K968" s="28">
        <v>65</v>
      </c>
      <c r="L968" s="28"/>
      <c r="M968" s="381" t="str">
        <f>HYPERLINK("https://www.youtube.com/watch?v=OLu5oskGGqw&amp;list=PLPt2dINI2MIZX2EtY81WI-lDkvhKziLKM&amp;index=11","Watch - Data Structures - Segment Tree (2 vid)")</f>
        <v>Watch - Data Structures - Segment Tree (2 vid)</v>
      </c>
      <c r="N968" s="344"/>
      <c r="O968" s="115"/>
      <c r="P968" s="48"/>
      <c r="Q968" s="48"/>
    </row>
    <row r="969" spans="1:17" ht="13">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
      <c r="A970" s="63"/>
      <c r="B970" s="63"/>
      <c r="C970" s="10"/>
      <c r="D970" s="10"/>
      <c r="E970" s="10"/>
      <c r="F970" s="10"/>
      <c r="G970" s="327">
        <v>138</v>
      </c>
      <c r="H970" s="28"/>
      <c r="I970" s="28"/>
      <c r="K970" s="28">
        <v>67</v>
      </c>
      <c r="L970" s="28"/>
      <c r="M970" s="382" t="str">
        <f>HYPERLINK("https://www.youtube.com/watch?v=n-Xwrr8RFQ0","Watch - Two pointers technique")</f>
        <v>Watch - Two pointers technique</v>
      </c>
      <c r="N970" s="344"/>
      <c r="O970" s="115"/>
      <c r="P970" s="115"/>
      <c r="Q970" s="115"/>
    </row>
    <row r="971" spans="1:17" ht="13">
      <c r="A971" s="63"/>
      <c r="B971" s="63"/>
      <c r="C971" s="10"/>
      <c r="D971" s="10"/>
      <c r="E971" s="10"/>
      <c r="F971" s="10"/>
      <c r="G971" s="327">
        <v>29</v>
      </c>
      <c r="H971" s="28"/>
      <c r="I971" s="28"/>
      <c r="K971" s="28">
        <v>68</v>
      </c>
      <c r="L971" s="28"/>
      <c r="M971" s="383" t="str">
        <f>HYPERLINK("https://www.youtube.com/watch?v=nv6Z6n02Oi0","Watch - DP - Probability")</f>
        <v>Watch - DP - Probability</v>
      </c>
      <c r="N971" s="344"/>
      <c r="O971" s="115"/>
      <c r="P971" s="115"/>
      <c r="Q971" s="115"/>
    </row>
    <row r="972" spans="1:17" ht="13">
      <c r="A972" s="63"/>
      <c r="B972" s="63"/>
      <c r="C972" s="10"/>
      <c r="D972" s="10"/>
      <c r="E972" s="10"/>
      <c r="F972" s="10"/>
      <c r="G972" s="327">
        <v>11</v>
      </c>
      <c r="H972" s="28"/>
      <c r="I972" s="28"/>
      <c r="K972" s="28">
        <v>69</v>
      </c>
      <c r="L972" s="28"/>
      <c r="M972" s="383" t="str">
        <f>HYPERLINK("https://www.youtube.com/watch?v=8aATaY9sdeE&amp;index=10&amp;list=PLPt2dINI2MIattDutu7IOAMlUuLeN8k2p&amp;t=3s","Watch - DP - Masks (2 vid)")</f>
        <v>Watch - DP - Masks (2 vid)</v>
      </c>
      <c r="N972" s="344"/>
      <c r="O972" s="115"/>
      <c r="P972" s="115"/>
      <c r="Q972" s="115"/>
    </row>
    <row r="973" spans="1:17" ht="13">
      <c r="A973" s="63"/>
      <c r="B973" s="63"/>
      <c r="C973" s="10"/>
      <c r="D973" s="10"/>
      <c r="E973" s="10"/>
      <c r="F973" s="10"/>
      <c r="G973" s="327">
        <v>135</v>
      </c>
      <c r="H973" s="28"/>
      <c r="I973" s="28"/>
      <c r="K973" s="28">
        <v>70</v>
      </c>
      <c r="L973" s="28"/>
      <c r="M973" s="383" t="str">
        <f>HYPERLINK("https://www.youtube.com/watch?v=IGaJWl0jPY4","Watch - String Processing - Trie")</f>
        <v>Watch - String Processing - Trie</v>
      </c>
      <c r="N973" s="344"/>
      <c r="O973" s="115"/>
      <c r="P973" s="112"/>
      <c r="Q973" s="112"/>
    </row>
    <row r="974" spans="1:17" ht="13">
      <c r="A974" s="63"/>
      <c r="B974" s="63"/>
      <c r="C974" s="10"/>
      <c r="D974" s="10"/>
      <c r="E974" s="10"/>
      <c r="F974" s="10"/>
      <c r="G974" s="327">
        <v>36</v>
      </c>
      <c r="H974" s="28"/>
      <c r="I974" s="28"/>
      <c r="K974" s="28">
        <v>71</v>
      </c>
      <c r="L974" s="28"/>
      <c r="M974" s="380" t="str">
        <f>HYPERLINK("https://www.youtube.com/watch?v=t-52tQ3vEgo","Watch - DP - Sub-rectangle style")</f>
        <v>Watch - DP - Sub-rectangle style</v>
      </c>
      <c r="N974" s="344"/>
      <c r="O974" s="115"/>
      <c r="P974" s="115"/>
      <c r="Q974" s="115"/>
    </row>
    <row r="975" spans="1:17" ht="13">
      <c r="A975" s="63"/>
      <c r="B975" s="63"/>
      <c r="C975" s="10"/>
      <c r="D975" s="10"/>
      <c r="E975" s="10"/>
      <c r="F975" s="10"/>
      <c r="G975" s="327">
        <v>130</v>
      </c>
      <c r="H975" s="28"/>
      <c r="I975" s="28"/>
      <c r="K975" s="28">
        <v>72</v>
      </c>
      <c r="L975" s="28"/>
      <c r="M975" s="381" t="str">
        <f>HYPERLINK("https://www.youtube.com/watch?v=vjxLlFTKhrU&amp;index=2&amp;list=PLPt2dINI2MIYrtHBahPW16S-Wz9wx24Nc","Watch - String Processing - KMP (2 vid)")</f>
        <v>Watch - String Processing - KMP (2 vid)</v>
      </c>
      <c r="N975" s="344"/>
      <c r="O975" s="115"/>
      <c r="P975" s="116"/>
      <c r="Q975" s="116"/>
    </row>
    <row r="976" spans="1:17" ht="13">
      <c r="A976" s="63"/>
      <c r="B976" s="63"/>
      <c r="C976" s="10"/>
      <c r="D976" s="10"/>
      <c r="E976" s="10"/>
      <c r="F976" s="10"/>
      <c r="G976" s="325">
        <v>23</v>
      </c>
      <c r="H976" s="28"/>
      <c r="I976" s="28"/>
      <c r="K976" s="28">
        <v>73</v>
      </c>
      <c r="L976" s="28"/>
      <c r="M976" s="381" t="str">
        <f>HYPERLINK("https://www.youtube.com/watch?v=X-cMRvuTGuM&amp;list=PLPt2dINI2MIattDutu7IOAMlUuLeN8k2p&amp;index=19","Watch - DP - Games (2 vid)")</f>
        <v>Watch - DP - Games (2 vid)</v>
      </c>
      <c r="N976" s="344"/>
      <c r="O976" s="115"/>
      <c r="P976" s="338"/>
      <c r="Q976" s="338"/>
    </row>
    <row r="977" spans="1:17" ht="13">
      <c r="A977" s="10"/>
      <c r="B977" s="10"/>
      <c r="C977" s="10"/>
      <c r="D977" s="10"/>
      <c r="E977" s="10"/>
      <c r="F977" s="10"/>
      <c r="G977" s="325">
        <v>49</v>
      </c>
      <c r="H977" s="28"/>
      <c r="I977" s="28"/>
      <c r="K977" s="28">
        <v>74</v>
      </c>
      <c r="L977" s="28"/>
      <c r="M977" s="384" t="str">
        <f>HYPERLINK("https://www.youtube.com/watch?v=OnysyxVPPD0","Watch - Computational Geometry - Simple and Convex Polygons")</f>
        <v>Watch - Computational Geometry - Simple and Convex Polygons</v>
      </c>
      <c r="N977" s="344"/>
      <c r="O977" s="115"/>
      <c r="P977" s="147"/>
      <c r="Q977" s="10"/>
    </row>
    <row r="978" spans="1:17" ht="13">
      <c r="A978" s="63"/>
      <c r="B978" s="63"/>
      <c r="C978" s="10"/>
      <c r="D978" s="10"/>
      <c r="E978" s="10"/>
      <c r="F978" s="10"/>
      <c r="G978" s="327">
        <v>49</v>
      </c>
      <c r="H978" s="28"/>
      <c r="I978" s="28"/>
      <c r="K978" s="28">
        <v>75</v>
      </c>
      <c r="L978" s="28"/>
      <c r="M978" s="385" t="str">
        <f>HYPERLINK("http://w.youtube.com/watch?v=Cce_O7EKv2Y","Watch - Computational Geometry - Polygon Area - Centroid - Cut")</f>
        <v>Watch - Computational Geometry - Polygon Area - Centroid - Cut</v>
      </c>
      <c r="N978" s="344"/>
      <c r="O978" s="115"/>
      <c r="P978" s="115"/>
    </row>
    <row r="979" spans="1:17" ht="13">
      <c r="A979" s="63"/>
      <c r="B979" s="63"/>
      <c r="C979" s="10"/>
      <c r="D979" s="10"/>
      <c r="E979" s="10"/>
      <c r="F979" s="10"/>
      <c r="G979" s="327">
        <v>49</v>
      </c>
      <c r="H979" s="28"/>
      <c r="I979" s="28"/>
      <c r="K979" s="28">
        <v>76</v>
      </c>
      <c r="L979" s="28"/>
      <c r="M979" s="386" t="str">
        <f>HYPERLINK("https://www.youtube.com/watch?v=I5A6OYH1yuM","Watch - Computational Geometry - Point in polygon")</f>
        <v>Watch - Computational Geometry - Point in polygon</v>
      </c>
      <c r="N979" s="344"/>
      <c r="O979" s="115"/>
      <c r="P979" s="115"/>
    </row>
    <row r="980" spans="1:17" ht="13">
      <c r="A980" s="63"/>
      <c r="B980" s="63"/>
      <c r="C980" s="10"/>
      <c r="D980" s="10"/>
      <c r="E980" s="10"/>
      <c r="F980" s="10"/>
      <c r="G980" s="327" t="s">
        <v>1797</v>
      </c>
      <c r="H980" s="28"/>
      <c r="I980" s="28"/>
      <c r="K980" s="28">
        <v>77</v>
      </c>
      <c r="L980" s="28"/>
      <c r="M980" s="381" t="str">
        <f>HYPERLINK("https://www.youtube.com/watch?v=QuOiEwefssM&amp;t=2s&amp;list=PLPt2dINI2MIb4OXlJ_EEwIDV9WVUpRQ5K&amp;index=16","Watch - Graph Theory - Maximum Flow (2 vid)")</f>
        <v>Watch - Graph Theory - Maximum Flow (2 vid)</v>
      </c>
      <c r="N980" s="344"/>
      <c r="O980" s="115"/>
      <c r="P980" s="115"/>
    </row>
    <row r="981" spans="1:17" ht="13">
      <c r="A981" s="63"/>
      <c r="B981" s="63"/>
      <c r="C981" s="10"/>
      <c r="D981" s="10"/>
      <c r="E981" s="10"/>
      <c r="F981" s="10"/>
      <c r="G981" s="327">
        <v>77</v>
      </c>
      <c r="H981" s="28"/>
      <c r="I981" s="28"/>
      <c r="K981" s="28">
        <v>78</v>
      </c>
      <c r="L981" s="28"/>
      <c r="M981" s="381" t="str">
        <f>HYPERLINK("https://www.youtube.com/watch?v=xVMe4JSEQo0&amp;index=14&amp;list=PLPt2dINI2MIb4OXlJ_EEwIDV9WVUpRQ5K","Watch - Graph Theory - SCC (2 vid)")</f>
        <v>Watch - Graph Theory - SCC (2 vid)</v>
      </c>
      <c r="N981" s="344"/>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08984375" defaultRowHeight="15.75" customHeight="1"/>
  <cols>
    <col min="1" max="1" width="17.08984375" customWidth="1"/>
    <col min="2" max="2" width="101.2695312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5.75" customHeight="1">
      <c r="A5" s="29" t="s">
        <v>1799</v>
      </c>
    </row>
    <row r="6" spans="1:2" ht="15.75" customHeight="1">
      <c r="B6" s="12" t="s">
        <v>1800</v>
      </c>
    </row>
    <row r="7" spans="1:2" ht="15.75" customHeight="1">
      <c r="B7" s="12" t="s">
        <v>1801</v>
      </c>
    </row>
    <row r="9" spans="1:2" ht="15.75" customHeight="1">
      <c r="A9" s="29" t="s">
        <v>1802</v>
      </c>
    </row>
    <row r="10" spans="1:2" ht="15.75" customHeight="1">
      <c r="B10" s="12" t="s">
        <v>1803</v>
      </c>
    </row>
    <row r="11" spans="1:2" ht="15.75" customHeight="1">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1804</v>
      </c>
    </row>
    <row r="14" spans="1:2" ht="15.75" customHeight="1">
      <c r="A14" s="29" t="s">
        <v>1805</v>
      </c>
    </row>
    <row r="15" spans="1:2" ht="15.75" customHeight="1">
      <c r="B15" s="12" t="s">
        <v>1806</v>
      </c>
    </row>
    <row r="16" spans="1:2" ht="15.75" customHeight="1">
      <c r="B16" s="12" t="s">
        <v>1807</v>
      </c>
    </row>
    <row r="17" spans="1:2" ht="15.75" customHeight="1">
      <c r="B17" s="12" t="s">
        <v>1808</v>
      </c>
    </row>
    <row r="18" spans="1:2" ht="15.75" customHeight="1">
      <c r="B18" s="12" t="s">
        <v>1809</v>
      </c>
    </row>
    <row r="20" spans="1:2" ht="12.5">
      <c r="A20" s="29" t="s">
        <v>1810</v>
      </c>
    </row>
    <row r="21" spans="1:2" ht="12.5">
      <c r="B21" s="12" t="s">
        <v>1811</v>
      </c>
    </row>
    <row r="22" spans="1:2" ht="12.5">
      <c r="B22" s="12" t="s">
        <v>1812</v>
      </c>
    </row>
    <row r="23" spans="1:2" ht="12.5">
      <c r="B23" s="12" t="s">
        <v>1813</v>
      </c>
    </row>
    <row r="25" spans="1:2" ht="12.5">
      <c r="A25" s="29" t="s">
        <v>1814</v>
      </c>
    </row>
    <row r="26" spans="1:2" ht="25">
      <c r="B26" s="12" t="s">
        <v>1815</v>
      </c>
    </row>
    <row r="27" spans="1:2" ht="12.5">
      <c r="B27" s="12" t="s">
        <v>1816</v>
      </c>
    </row>
    <row r="29" spans="1:2" ht="12.5">
      <c r="A29" s="29" t="s">
        <v>1817</v>
      </c>
    </row>
    <row r="30" spans="1:2" ht="12.5">
      <c r="B30" s="12" t="s">
        <v>1818</v>
      </c>
    </row>
    <row r="31" spans="1:2" ht="12.5">
      <c r="B31" s="12" t="s">
        <v>1819</v>
      </c>
    </row>
    <row r="33" spans="1:2" ht="12.5">
      <c r="A33" s="29" t="s">
        <v>1820</v>
      </c>
    </row>
    <row r="34" spans="1:2" ht="12.5">
      <c r="B34" s="12" t="s">
        <v>1821</v>
      </c>
    </row>
    <row r="35" spans="1:2" ht="12.5">
      <c r="B35" s="12" t="s">
        <v>1822</v>
      </c>
    </row>
    <row r="36" spans="1:2" ht="12.5">
      <c r="B36" s="12" t="s">
        <v>1823</v>
      </c>
    </row>
    <row r="37" spans="1:2" ht="12.5">
      <c r="B37" s="12" t="s">
        <v>1824</v>
      </c>
    </row>
    <row r="39" spans="1:2" ht="12.5">
      <c r="A39" s="29" t="s">
        <v>1825</v>
      </c>
    </row>
    <row r="40" spans="1:2" ht="12.5">
      <c r="B40" s="12" t="s">
        <v>1826</v>
      </c>
    </row>
    <row r="41" spans="1:2" ht="12.5">
      <c r="B41" s="12" t="s">
        <v>1827</v>
      </c>
    </row>
    <row r="43" spans="1:2" ht="12.5">
      <c r="A43" s="29" t="s">
        <v>1828</v>
      </c>
    </row>
    <row r="44" spans="1:2" ht="12.5">
      <c r="B44" s="12" t="s">
        <v>1829</v>
      </c>
    </row>
    <row r="45" spans="1:2" ht="12.5">
      <c r="B45" s="12" t="s">
        <v>1830</v>
      </c>
    </row>
    <row r="47" spans="1:2" ht="12.5">
      <c r="A47" s="29" t="s">
        <v>1831</v>
      </c>
    </row>
    <row r="48" spans="1:2" ht="12.5">
      <c r="B48" s="12" t="s">
        <v>1832</v>
      </c>
    </row>
    <row r="49" spans="1:2" ht="12.5">
      <c r="B49" s="12" t="s">
        <v>1833</v>
      </c>
    </row>
    <row r="50" spans="1:2" ht="25">
      <c r="B50" s="12" t="s">
        <v>1834</v>
      </c>
    </row>
    <row r="52" spans="1:2" ht="12.5">
      <c r="A52" s="29" t="s">
        <v>1835</v>
      </c>
    </row>
    <row r="53" spans="1:2" ht="12.5">
      <c r="B53" s="12" t="s">
        <v>1836</v>
      </c>
    </row>
    <row r="54" spans="1:2" ht="12.5">
      <c r="B54" s="12" t="s">
        <v>1837</v>
      </c>
    </row>
    <row r="55" spans="1:2" ht="12.5">
      <c r="B55" s="12" t="s">
        <v>1838</v>
      </c>
    </row>
    <row r="57" spans="1:2" ht="12.5">
      <c r="A57" s="29" t="s">
        <v>1839</v>
      </c>
    </row>
    <row r="58" spans="1:2" ht="12.5">
      <c r="B58" s="12" t="s">
        <v>1840</v>
      </c>
    </row>
    <row r="60" spans="1:2" ht="25">
      <c r="A60" s="29" t="s">
        <v>1841</v>
      </c>
    </row>
    <row r="61" spans="1:2" ht="12.5">
      <c r="B61" s="12" t="s">
        <v>1842</v>
      </c>
    </row>
    <row r="62" spans="1:2" ht="12.5">
      <c r="B62" s="12" t="s">
        <v>1843</v>
      </c>
    </row>
    <row r="63" spans="1:2" ht="12.5">
      <c r="B63" s="12" t="s">
        <v>1844</v>
      </c>
    </row>
    <row r="64" spans="1:2" ht="12.5">
      <c r="B64" s="12" t="s">
        <v>1845</v>
      </c>
    </row>
    <row r="65" spans="2:2" ht="12.5">
      <c r="B65" s="12" t="s">
        <v>1846</v>
      </c>
    </row>
    <row r="66" spans="2:2" ht="12.5">
      <c r="B66" s="12" t="s">
        <v>1847</v>
      </c>
    </row>
    <row r="67" spans="2:2" ht="12.5">
      <c r="B67" s="12" t="s">
        <v>1848</v>
      </c>
    </row>
    <row r="68" spans="2:2" ht="12.5">
      <c r="B68" s="12" t="s">
        <v>1849</v>
      </c>
    </row>
    <row r="69" spans="2:2" ht="12.5">
      <c r="B69" s="12" t="s">
        <v>1850</v>
      </c>
    </row>
    <row r="70" spans="2:2" ht="12.5">
      <c r="B70" s="12" t="s">
        <v>1851</v>
      </c>
    </row>
    <row r="71" spans="2:2" ht="12.5">
      <c r="B71" s="12"/>
    </row>
    <row r="72" spans="2:2" ht="12.5">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08984375" defaultRowHeight="15.75" customHeight="1"/>
  <cols>
    <col min="1" max="1" width="146.4531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2.5">
      <c r="A21" s="29" t="s">
        <v>103</v>
      </c>
    </row>
    <row r="22" spans="1:1" ht="175.5">
      <c r="A22" s="12" t="s">
        <v>104</v>
      </c>
    </row>
    <row r="24" spans="1:1" ht="13">
      <c r="A24" s="29" t="s">
        <v>105</v>
      </c>
    </row>
    <row r="25" spans="1:1" ht="62.5">
      <c r="A25" s="12" t="s">
        <v>106</v>
      </c>
    </row>
    <row r="27" spans="1:1" ht="13">
      <c r="A27" s="30" t="s">
        <v>107</v>
      </c>
    </row>
    <row r="28" spans="1:1" ht="25">
      <c r="A28" s="10" t="s">
        <v>108</v>
      </c>
    </row>
    <row r="29" spans="1:1" ht="12.5">
      <c r="A29" s="10"/>
    </row>
    <row r="30" spans="1:1" ht="13">
      <c r="A30" s="30" t="s">
        <v>109</v>
      </c>
    </row>
    <row r="31" spans="1:1" ht="50">
      <c r="A31" s="12" t="s">
        <v>110</v>
      </c>
    </row>
    <row r="33" spans="1:1" ht="13">
      <c r="A33" s="30" t="s">
        <v>111</v>
      </c>
    </row>
    <row r="34" spans="1:1" ht="275">
      <c r="A34" s="12" t="s">
        <v>112</v>
      </c>
    </row>
    <row r="36" spans="1:1" ht="25">
      <c r="A36" s="12" t="s">
        <v>113</v>
      </c>
    </row>
    <row r="38" spans="1:1" ht="13">
      <c r="A38" s="30" t="s">
        <v>114</v>
      </c>
    </row>
    <row r="39" spans="1:1" ht="100">
      <c r="A39" s="12" t="s">
        <v>115</v>
      </c>
    </row>
    <row r="41" spans="1:1" ht="13">
      <c r="A41" s="30" t="s">
        <v>116</v>
      </c>
    </row>
    <row r="42" spans="1:1" ht="75">
      <c r="A42" s="12" t="s">
        <v>117</v>
      </c>
    </row>
    <row r="45" spans="1:1" ht="13">
      <c r="A45" s="30" t="s">
        <v>118</v>
      </c>
    </row>
    <row r="46" spans="1:1" ht="175">
      <c r="A46" s="12" t="s">
        <v>119</v>
      </c>
    </row>
    <row r="48" spans="1:1" ht="13">
      <c r="A48" s="30" t="s">
        <v>120</v>
      </c>
    </row>
    <row r="49" spans="1:1" ht="112.5">
      <c r="A49" s="12" t="s">
        <v>121</v>
      </c>
    </row>
    <row r="51" spans="1:1" ht="13">
      <c r="A51" s="30" t="s">
        <v>122</v>
      </c>
    </row>
    <row r="52" spans="1:1" ht="87.5">
      <c r="A52" s="12" t="s">
        <v>123</v>
      </c>
    </row>
    <row r="54" spans="1:1" ht="13">
      <c r="A54" s="30" t="s">
        <v>124</v>
      </c>
    </row>
    <row r="55" spans="1:1" ht="12.5">
      <c r="A55" s="12" t="s">
        <v>125</v>
      </c>
    </row>
    <row r="57" spans="1:1" ht="13">
      <c r="A57" s="30" t="s">
        <v>126</v>
      </c>
    </row>
    <row r="58" spans="1:1" ht="50">
      <c r="A58" s="12" t="s">
        <v>127</v>
      </c>
    </row>
    <row r="60" spans="1:1" ht="13">
      <c r="A60" s="30" t="s">
        <v>128</v>
      </c>
    </row>
    <row r="61" spans="1:1" ht="12.5">
      <c r="A61" s="12" t="s">
        <v>129</v>
      </c>
    </row>
    <row r="63" spans="1:1" ht="13">
      <c r="A63" s="30" t="s">
        <v>130</v>
      </c>
    </row>
    <row r="64" spans="1:1" ht="12.5">
      <c r="A64" s="31" t="s">
        <v>131</v>
      </c>
    </row>
    <row r="66" spans="1:1" ht="13">
      <c r="A66" s="30" t="s">
        <v>132</v>
      </c>
    </row>
    <row r="67" spans="1:1" ht="25">
      <c r="A67" s="12" t="s">
        <v>133</v>
      </c>
    </row>
    <row r="69" spans="1:1" ht="12.5">
      <c r="A69" s="30" t="s">
        <v>134</v>
      </c>
    </row>
    <row r="70" spans="1:1" ht="187.5">
      <c r="A70" s="12" t="s">
        <v>135</v>
      </c>
    </row>
    <row r="72" spans="1:1" ht="12.5">
      <c r="A72" s="30" t="s">
        <v>136</v>
      </c>
    </row>
    <row r="73" spans="1:1" ht="12.5">
      <c r="A73" s="31" t="s">
        <v>137</v>
      </c>
    </row>
    <row r="75" spans="1:1" ht="12.5">
      <c r="A75" s="30" t="s">
        <v>138</v>
      </c>
    </row>
    <row r="76" spans="1:1" ht="12.5">
      <c r="A76" s="31" t="s">
        <v>139</v>
      </c>
    </row>
    <row r="78" spans="1:1" ht="12.5">
      <c r="A78" s="30" t="s">
        <v>140</v>
      </c>
    </row>
    <row r="79" spans="1:1" ht="37.5">
      <c r="A79" s="12" t="s">
        <v>141</v>
      </c>
    </row>
    <row r="81" spans="1:1" ht="12.5">
      <c r="A81" s="30" t="s">
        <v>142</v>
      </c>
    </row>
    <row r="82" spans="1:1" ht="12.5">
      <c r="A82" s="12" t="s">
        <v>143</v>
      </c>
    </row>
    <row r="84" spans="1:1" ht="12.5">
      <c r="A84" s="30" t="s">
        <v>144</v>
      </c>
    </row>
    <row r="85" spans="1:1" ht="12.5">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3" activePane="bottomLeft" state="frozen"/>
      <selection pane="bottomLeft" activeCell="C11" sqref="C11"/>
    </sheetView>
  </sheetViews>
  <sheetFormatPr defaultColWidth="15.08984375" defaultRowHeight="15.75" customHeight="1"/>
  <cols>
    <col min="1" max="1" width="11.7265625" customWidth="1"/>
    <col min="2" max="2" width="13.36328125" customWidth="1"/>
    <col min="3" max="3" width="6" customWidth="1"/>
    <col min="4" max="4" width="7.08984375" customWidth="1"/>
    <col min="5" max="5" width="7.36328125" customWidth="1"/>
    <col min="6" max="6" width="7.6328125" customWidth="1"/>
    <col min="7" max="7" width="8.7265625" customWidth="1"/>
    <col min="8" max="9" width="7.453125" customWidth="1"/>
    <col min="10" max="12" width="8.7265625" customWidth="1"/>
    <col min="13" max="13" width="65.4531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t="s">
        <v>1853</v>
      </c>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2.5">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2.5">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2.5">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2.5">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2.5">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2.5">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2.5">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3">
      <c r="A30" s="40"/>
      <c r="B30" s="41"/>
      <c r="C30" s="36"/>
      <c r="D30" s="36"/>
      <c r="E30" s="36"/>
      <c r="F30" s="36"/>
      <c r="G30" s="36"/>
      <c r="H30" s="36"/>
      <c r="I30" s="36"/>
      <c r="J30" s="36"/>
      <c r="K30" s="36"/>
      <c r="L30" s="36"/>
      <c r="M30" s="47"/>
    </row>
    <row r="31" spans="1:13" ht="13">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5">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2.5">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2.5">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2.5">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2.5">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2.5">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2.5">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2.5">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2.5">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2.5">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2.5">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2.5">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
      <c r="A44" s="63" t="s">
        <v>214</v>
      </c>
      <c r="B44" s="74" t="str">
        <f>HYPERLINK("http://codeforces.com/contest/770/problem/A","CF770-D2-A")</f>
        <v>CF770-D2-A</v>
      </c>
      <c r="C44" s="36"/>
      <c r="D44" s="36"/>
      <c r="E44" s="36"/>
      <c r="F44" s="36"/>
      <c r="G44" s="36"/>
      <c r="H44" s="36"/>
      <c r="I44" s="36">
        <f t="shared" si="1"/>
        <v>0</v>
      </c>
      <c r="J44" s="70"/>
      <c r="K44" s="36"/>
      <c r="L44" s="10"/>
      <c r="M44" s="75"/>
    </row>
    <row r="45" spans="1:13" ht="13">
      <c r="A45" s="10"/>
      <c r="B45" s="10"/>
      <c r="C45" s="36"/>
      <c r="D45" s="36"/>
      <c r="E45" s="36"/>
      <c r="F45" s="36"/>
      <c r="G45" s="36"/>
      <c r="H45" s="36"/>
      <c r="I45" s="36"/>
      <c r="J45" s="10"/>
      <c r="K45" s="36"/>
      <c r="L45" s="10"/>
      <c r="M45" s="75"/>
    </row>
    <row r="46" spans="1:13" ht="13">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2.5">
      <c r="A48" s="10"/>
      <c r="B48" s="10"/>
      <c r="C48" s="36"/>
      <c r="D48" s="36"/>
      <c r="E48" s="36"/>
      <c r="F48" s="36"/>
      <c r="G48" s="36"/>
      <c r="H48" s="36"/>
      <c r="I48" s="36"/>
      <c r="J48" s="10"/>
      <c r="K48" s="36"/>
      <c r="L48" s="10"/>
      <c r="M48" s="76" t="s">
        <v>215</v>
      </c>
    </row>
    <row r="49" spans="1:13" ht="12.5">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2.5">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2.5">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2.5">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5">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2.5">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2.5">
      <c r="A55" s="63"/>
      <c r="B55" s="74"/>
      <c r="C55" s="36"/>
      <c r="D55" s="36"/>
      <c r="E55" s="36"/>
      <c r="F55" s="36"/>
      <c r="G55" s="36"/>
      <c r="H55" s="36"/>
      <c r="I55" s="36">
        <f t="shared" si="3"/>
        <v>0</v>
      </c>
      <c r="J55" s="10"/>
      <c r="K55" s="36"/>
      <c r="L55" s="10"/>
      <c r="M55" s="59"/>
    </row>
    <row r="56" spans="1:13" ht="12.5">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2.5">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2.5">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2.5">
      <c r="A59" s="59" t="s">
        <v>224</v>
      </c>
      <c r="B59" s="86" t="str">
        <f>HYPERLINK("http://codeforces.com/problemset/problem/767/A","CF767-D2-A")</f>
        <v>CF767-D2-A</v>
      </c>
      <c r="C59" s="36"/>
      <c r="D59" s="36"/>
      <c r="E59" s="36"/>
      <c r="F59" s="36"/>
      <c r="G59" s="36"/>
      <c r="H59" s="36"/>
      <c r="I59" s="36">
        <f t="shared" si="3"/>
        <v>0</v>
      </c>
      <c r="J59" s="10"/>
      <c r="K59" s="36"/>
      <c r="L59" s="10"/>
      <c r="M59" s="59"/>
    </row>
    <row r="60" spans="1:13" ht="12.5">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2.5">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2.5">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2.5">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
      <c r="A64" s="10"/>
      <c r="B64" s="10"/>
      <c r="C64" s="36"/>
      <c r="D64" s="36"/>
      <c r="E64" s="36"/>
      <c r="F64" s="36"/>
      <c r="G64" s="36"/>
      <c r="H64" s="36"/>
      <c r="I64" s="36">
        <f t="shared" si="3"/>
        <v>0</v>
      </c>
      <c r="J64" s="10"/>
      <c r="K64" s="36"/>
      <c r="L64" s="10"/>
      <c r="M64" s="87"/>
    </row>
    <row r="65" spans="1:13" ht="13">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2.5">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2.5">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2.5">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2.5">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2.5">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5">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2.5">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2.5">
      <c r="A74" s="59"/>
      <c r="B74" s="60"/>
      <c r="C74" s="36"/>
      <c r="D74" s="36"/>
      <c r="E74" s="36"/>
      <c r="F74" s="36"/>
      <c r="G74" s="36"/>
      <c r="H74" s="36"/>
      <c r="I74" s="36">
        <f t="shared" si="3"/>
        <v>0</v>
      </c>
      <c r="J74" s="10"/>
      <c r="K74" s="36"/>
      <c r="L74" s="10"/>
      <c r="M74" s="10"/>
    </row>
    <row r="75" spans="1:13" ht="12.5">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2.5">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2.5">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2.5">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2.5">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2.5">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2.5">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2.5">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2.5">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2.5">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2.5">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2.5">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2.5">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2.5">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
      <c r="A89" s="40"/>
      <c r="B89" s="91"/>
      <c r="C89" s="36"/>
      <c r="D89" s="36"/>
      <c r="E89" s="36"/>
      <c r="F89" s="36"/>
      <c r="G89" s="36"/>
      <c r="H89" s="36"/>
      <c r="I89" s="36">
        <f t="shared" si="3"/>
        <v>0</v>
      </c>
      <c r="J89" s="36"/>
      <c r="K89" s="36"/>
      <c r="L89" s="36"/>
      <c r="M89" s="48"/>
    </row>
    <row r="90" spans="1:13" ht="13">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5">
      <c r="A93" s="94" t="s">
        <v>249</v>
      </c>
      <c r="B93" s="95" t="str">
        <f>HYPERLINK("http://codeforces.com/contest/127/problem/A","CF127-D2-A")</f>
        <v>CF127-D2-A</v>
      </c>
      <c r="C93" s="36"/>
      <c r="D93" s="36"/>
      <c r="E93" s="36"/>
      <c r="F93" s="36"/>
      <c r="G93" s="36"/>
      <c r="H93" s="36"/>
      <c r="I93" s="36">
        <f t="shared" si="3"/>
        <v>0</v>
      </c>
      <c r="J93" s="10"/>
      <c r="K93" s="36"/>
      <c r="L93" s="10"/>
      <c r="M93" s="10"/>
    </row>
    <row r="94" spans="1:13" ht="12.5">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2.5">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2.5">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2.5">
      <c r="A97" s="94" t="s">
        <v>253</v>
      </c>
      <c r="B97" s="95" t="str">
        <f>HYPERLINK("http://codeforces.com/contest/667/problem/A","CF667-D2-A")</f>
        <v>CF667-D2-A</v>
      </c>
      <c r="C97" s="36"/>
      <c r="D97" s="36"/>
      <c r="E97" s="36"/>
      <c r="F97" s="36"/>
      <c r="G97" s="36"/>
      <c r="H97" s="36"/>
      <c r="I97" s="36">
        <f t="shared" si="3"/>
        <v>0</v>
      </c>
      <c r="J97" s="10"/>
      <c r="K97" s="36"/>
      <c r="L97" s="10"/>
      <c r="M97" s="10"/>
    </row>
    <row r="98" spans="1:13" ht="12.5">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2.5">
      <c r="A99" s="49"/>
      <c r="B99" s="93"/>
      <c r="C99" s="36"/>
      <c r="D99" s="36"/>
      <c r="E99" s="36"/>
      <c r="F99" s="36"/>
      <c r="G99" s="36"/>
      <c r="H99" s="36"/>
      <c r="I99" s="36">
        <f t="shared" si="3"/>
        <v>0</v>
      </c>
      <c r="J99" s="96"/>
      <c r="K99" s="36"/>
      <c r="L99" s="96"/>
      <c r="M99" s="49"/>
    </row>
    <row r="100" spans="1:13" ht="12.5">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2.5">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2.5">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2.5">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2.5">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2.5">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2.5">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2.5">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2.5">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2.5">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2.5">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2.5">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2.5">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2.5">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12.5">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
      <c r="A115" s="49"/>
      <c r="B115" s="93"/>
      <c r="C115" s="36"/>
      <c r="D115" s="36"/>
      <c r="E115" s="36"/>
      <c r="F115" s="36"/>
      <c r="G115" s="36"/>
      <c r="H115" s="36"/>
      <c r="I115" s="36">
        <f t="shared" si="3"/>
        <v>0</v>
      </c>
      <c r="J115" s="96"/>
      <c r="K115" s="36"/>
      <c r="L115" s="96"/>
      <c r="M115" s="47"/>
    </row>
    <row r="116" spans="1:13" ht="13">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2.5">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2.5">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2.5">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2.5">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2.5">
      <c r="A121" s="105"/>
      <c r="B121" s="106"/>
      <c r="C121" s="107"/>
      <c r="D121" s="107"/>
      <c r="E121" s="107"/>
      <c r="F121" s="107"/>
      <c r="G121" s="107"/>
      <c r="H121" s="107"/>
      <c r="I121" s="107">
        <f t="shared" ref="I121:I123" si="4">SUM(E121:G121)</f>
        <v>0</v>
      </c>
      <c r="J121" s="107"/>
      <c r="K121" s="107"/>
      <c r="L121" s="107"/>
      <c r="M121" s="105"/>
    </row>
    <row r="122" spans="1:13" ht="12.5">
      <c r="A122" s="40"/>
      <c r="B122" s="41"/>
      <c r="C122" s="36"/>
      <c r="D122" s="368" t="s">
        <v>274</v>
      </c>
      <c r="E122" s="344"/>
      <c r="F122" s="344"/>
      <c r="G122" s="344"/>
      <c r="H122" s="36"/>
      <c r="I122" s="36">
        <f t="shared" si="4"/>
        <v>0</v>
      </c>
      <c r="J122" s="369" t="s">
        <v>275</v>
      </c>
      <c r="K122" s="344"/>
      <c r="L122" s="344"/>
      <c r="M122" s="344"/>
    </row>
    <row r="123" spans="1:13" ht="12.5">
      <c r="A123" s="105"/>
      <c r="B123" s="106"/>
      <c r="C123" s="107"/>
      <c r="D123" s="107"/>
      <c r="E123" s="107"/>
      <c r="F123" s="107"/>
      <c r="G123" s="107"/>
      <c r="H123" s="107"/>
      <c r="I123" s="107">
        <f t="shared" si="4"/>
        <v>0</v>
      </c>
      <c r="J123" s="107"/>
      <c r="K123" s="107"/>
      <c r="L123" s="107"/>
      <c r="M123" s="105"/>
    </row>
    <row r="124" spans="1:13" ht="12.5">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2.5">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2.5">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2.5">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2.5">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2.5">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2.5">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2.5">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2.5">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2.5">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2.5">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2.5">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2.5">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2.5">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2.5">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2.5">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2.5">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2.5">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2.5">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2.5">
      <c r="A143" s="49"/>
      <c r="B143" s="93"/>
      <c r="C143" s="36"/>
      <c r="D143" s="36"/>
      <c r="E143" s="36"/>
      <c r="F143" s="36"/>
      <c r="G143" s="36"/>
      <c r="H143" s="36"/>
      <c r="I143" s="36">
        <f t="shared" si="5"/>
        <v>0</v>
      </c>
      <c r="J143" s="108"/>
      <c r="K143" s="36"/>
      <c r="L143" s="108"/>
      <c r="M143" s="40"/>
    </row>
    <row r="144" spans="1:13" ht="12.5">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2.5">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2.5">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2.5">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2.5">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2.5">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2.5">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2.5">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2.5">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2.5">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2.5">
      <c r="A154" s="49"/>
      <c r="B154" s="93"/>
      <c r="C154" s="36"/>
      <c r="D154" s="36"/>
      <c r="E154" s="36"/>
      <c r="F154" s="36"/>
      <c r="G154" s="36"/>
      <c r="H154" s="36"/>
      <c r="I154" s="36">
        <f t="shared" si="5"/>
        <v>0</v>
      </c>
      <c r="J154" s="108"/>
      <c r="K154" s="36"/>
      <c r="L154" s="108"/>
      <c r="M154" s="10"/>
    </row>
    <row r="155" spans="1:13" ht="12.5">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2.5">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2.5">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2.5">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2.5">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2.5">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2.5">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2.5">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2.5">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2.5">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2.5">
      <c r="A165" s="49"/>
      <c r="B165" s="93"/>
      <c r="C165" s="36"/>
      <c r="D165" s="36"/>
      <c r="E165" s="36"/>
      <c r="F165" s="36"/>
      <c r="G165" s="36"/>
      <c r="H165" s="36"/>
      <c r="I165" s="36">
        <f t="shared" si="5"/>
        <v>0</v>
      </c>
      <c r="J165" s="108"/>
      <c r="K165" s="36"/>
      <c r="L165" s="108"/>
      <c r="M165" s="40"/>
    </row>
    <row r="166" spans="1:13" ht="12.5">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2.5">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2.5">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2.5">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2.5">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2.5">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2.5">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2.5">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2.5">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2.5">
      <c r="A175" s="49"/>
      <c r="B175" s="93"/>
      <c r="C175" s="36"/>
      <c r="D175" s="36"/>
      <c r="E175" s="36"/>
      <c r="F175" s="36"/>
      <c r="G175" s="36"/>
      <c r="H175" s="36"/>
      <c r="I175" s="36">
        <f t="shared" si="5"/>
        <v>0</v>
      </c>
      <c r="J175" s="108"/>
      <c r="K175" s="36"/>
      <c r="L175" s="108"/>
      <c r="M175" s="10"/>
    </row>
    <row r="176" spans="1:13" ht="12.5">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2.5">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2.5">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2.5">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2.5">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2.5">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2.5">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2.5">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2.5">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2.5">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2.5">
      <c r="A186" s="49"/>
      <c r="B186" s="93"/>
      <c r="C186" s="36"/>
      <c r="D186" s="36"/>
      <c r="E186" s="36"/>
      <c r="F186" s="36"/>
      <c r="G186" s="36"/>
      <c r="H186" s="36"/>
      <c r="I186" s="36">
        <f t="shared" si="5"/>
        <v>0</v>
      </c>
      <c r="J186" s="108"/>
      <c r="K186" s="36"/>
      <c r="L186" s="108"/>
      <c r="M186" s="40"/>
    </row>
    <row r="187" spans="1:13" ht="12.5">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2.5">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2.5">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2.5">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2.5">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2.5">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2.5">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2.5">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2.5">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2.5">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2.5">
      <c r="A197" s="59"/>
      <c r="B197" s="66"/>
      <c r="C197" s="36"/>
      <c r="D197" s="36"/>
      <c r="E197" s="36"/>
      <c r="F197" s="36"/>
      <c r="G197" s="36"/>
      <c r="H197" s="36"/>
      <c r="I197" s="36">
        <f t="shared" si="5"/>
        <v>0</v>
      </c>
      <c r="J197" s="108"/>
      <c r="K197" s="36"/>
      <c r="L197" s="108"/>
      <c r="M197" s="40"/>
    </row>
    <row r="198" spans="1:13" ht="12.5">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2.5">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2.5">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2.5">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2.5">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2.5">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2.5">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2.5">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2.5">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2.5">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2.5">
      <c r="A208" s="49"/>
      <c r="B208" s="93"/>
      <c r="C208" s="36"/>
      <c r="D208" s="36"/>
      <c r="E208" s="36"/>
      <c r="F208" s="36"/>
      <c r="G208" s="36"/>
      <c r="H208" s="36"/>
      <c r="I208" s="36">
        <f t="shared" si="5"/>
        <v>0</v>
      </c>
      <c r="J208" s="108"/>
      <c r="K208" s="36"/>
      <c r="L208" s="108"/>
      <c r="M208" s="40"/>
    </row>
    <row r="209" spans="1:13" ht="12.5">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2.5">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2.5">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2.5">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2.5">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2.5">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2.5">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2.5">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2.5">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2.5">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2.5">
      <c r="A219" s="49"/>
      <c r="B219" s="93"/>
      <c r="C219" s="36"/>
      <c r="D219" s="36"/>
      <c r="E219" s="36"/>
      <c r="F219" s="36"/>
      <c r="G219" s="36"/>
      <c r="H219" s="36"/>
      <c r="I219" s="36">
        <f t="shared" si="5"/>
        <v>0</v>
      </c>
      <c r="J219" s="108"/>
      <c r="K219" s="36"/>
      <c r="L219" s="108"/>
      <c r="M219" s="40"/>
    </row>
    <row r="220" spans="1:13" ht="12.5">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2.5">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2.5">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2.5">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2.5">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2.5">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2.5">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2.5">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2.5">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2.5">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2.5">
      <c r="A230" s="49"/>
      <c r="B230" s="93"/>
      <c r="C230" s="36"/>
      <c r="D230" s="36"/>
      <c r="E230" s="36"/>
      <c r="F230" s="36"/>
      <c r="G230" s="36"/>
      <c r="H230" s="36"/>
      <c r="I230" s="36">
        <f t="shared" si="5"/>
        <v>0</v>
      </c>
      <c r="J230" s="108"/>
      <c r="K230" s="36"/>
      <c r="L230" s="108"/>
      <c r="M230" s="40"/>
    </row>
    <row r="231" spans="1:13" ht="12.5">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2.5">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2.5">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2.5">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2.5">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2.5">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2.5">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2.5">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2.5">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2.5">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2.5">
      <c r="A241" s="49"/>
      <c r="B241" s="93"/>
      <c r="C241" s="36"/>
      <c r="D241" s="36"/>
      <c r="E241" s="36"/>
      <c r="F241" s="36"/>
      <c r="G241" s="36"/>
      <c r="H241" s="36"/>
      <c r="I241" s="36">
        <f t="shared" si="5"/>
        <v>0</v>
      </c>
      <c r="J241" s="108"/>
      <c r="K241" s="36"/>
      <c r="L241" s="108"/>
      <c r="M241" s="40"/>
    </row>
    <row r="242" spans="1:13" ht="12.5">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2.5">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2.5">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2.5">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2.5">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2.5">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2.5">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2.5">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2.5">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08984375" defaultRowHeight="15.75" customHeight="1"/>
  <cols>
    <col min="1" max="1" width="14" customWidth="1"/>
    <col min="2" max="2" width="15" customWidth="1"/>
    <col min="3" max="3" width="6" customWidth="1"/>
    <col min="4" max="4" width="6.36328125" customWidth="1"/>
    <col min="5" max="5" width="7.36328125" customWidth="1"/>
    <col min="6" max="6" width="7.6328125" customWidth="1"/>
    <col min="7" max="7" width="8.7265625" customWidth="1"/>
    <col min="8" max="9" width="7.453125" customWidth="1"/>
    <col min="10" max="12" width="8.7265625" customWidth="1"/>
    <col min="13" max="13" width="69.6328125" customWidth="1"/>
  </cols>
  <sheetData>
    <row r="1" spans="1:13" ht="37.5">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2.5">
      <c r="A5" s="59"/>
      <c r="B5" s="10"/>
      <c r="C5" s="70"/>
      <c r="D5" s="70"/>
      <c r="E5" s="70"/>
      <c r="F5" s="70"/>
      <c r="G5" s="70"/>
      <c r="H5" s="70"/>
      <c r="I5" s="36">
        <f t="shared" si="0"/>
        <v>0</v>
      </c>
      <c r="J5" s="36"/>
      <c r="K5" s="36"/>
      <c r="L5" s="70"/>
      <c r="M5" s="113" t="s">
        <v>393</v>
      </c>
    </row>
    <row r="6" spans="1:13" ht="13">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2.5">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2.5">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2.5">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2.5">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2.5">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2.5">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2.5">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2.5">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2.5">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2.5">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2.5">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2.5">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2.5">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2.5">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2.5">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2.5">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2.5">
      <c r="A28" s="59" t="s">
        <v>412</v>
      </c>
      <c r="B28" s="117" t="str">
        <f>HYPERLINK("http://codeforces.com/contest/433/problem/B","CF433-D2-B")</f>
        <v>CF433-D2-B</v>
      </c>
      <c r="C28" s="10"/>
      <c r="D28" s="10"/>
      <c r="E28" s="10"/>
      <c r="F28" s="10"/>
      <c r="G28" s="10"/>
      <c r="H28" s="10"/>
      <c r="I28" s="70">
        <f t="shared" si="0"/>
        <v>0</v>
      </c>
      <c r="J28" s="10"/>
      <c r="K28" s="10"/>
      <c r="L28" s="10"/>
      <c r="M28" s="10"/>
    </row>
    <row r="29" spans="1:13" ht="12.5">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2.5">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2.5">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2.5">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2.5">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2.5">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2.5">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2.5">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
      <c r="A37" s="59"/>
      <c r="B37" s="114"/>
      <c r="C37" s="70"/>
      <c r="D37" s="70"/>
      <c r="E37" s="70"/>
      <c r="F37" s="70"/>
      <c r="G37" s="70"/>
      <c r="H37" s="70"/>
      <c r="I37" s="36">
        <f t="shared" si="0"/>
        <v>0</v>
      </c>
      <c r="J37" s="36"/>
      <c r="K37" s="36"/>
      <c r="L37" s="70"/>
      <c r="M37" s="115"/>
    </row>
    <row r="38" spans="1:13" ht="13">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2.5">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2.5">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2.5">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2.5">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2.5">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2.5">
      <c r="A44" s="82"/>
      <c r="B44" s="125" t="s">
        <v>426</v>
      </c>
      <c r="C44" s="70"/>
      <c r="D44" s="70"/>
      <c r="E44" s="70"/>
      <c r="F44" s="70"/>
      <c r="G44" s="70"/>
      <c r="H44" s="70"/>
      <c r="I44" s="36">
        <f t="shared" si="0"/>
        <v>0</v>
      </c>
      <c r="J44" s="36"/>
      <c r="K44" s="36"/>
      <c r="L44" s="70"/>
      <c r="M44" s="126" t="s">
        <v>427</v>
      </c>
    </row>
    <row r="45" spans="1:13" ht="25">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2.5">
      <c r="A46" s="59"/>
      <c r="B46" s="114"/>
      <c r="C46" s="70"/>
      <c r="D46" s="70"/>
      <c r="E46" s="70"/>
      <c r="F46" s="70"/>
      <c r="G46" s="70"/>
      <c r="H46" s="70"/>
      <c r="I46" s="36">
        <f t="shared" si="0"/>
        <v>0</v>
      </c>
      <c r="J46" s="36"/>
      <c r="K46" s="36"/>
      <c r="L46" s="70"/>
      <c r="M46" s="59"/>
    </row>
    <row r="47" spans="1:13" ht="12.5">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2.5">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2.5">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2.5">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2.5">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2.5">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2.5">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2.5">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2.5">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
      <c r="A56" s="59"/>
      <c r="B56" s="114"/>
      <c r="C56" s="70"/>
      <c r="D56" s="70"/>
      <c r="E56" s="70"/>
      <c r="F56" s="70"/>
      <c r="G56" s="70"/>
      <c r="H56" s="70"/>
      <c r="I56" s="36"/>
      <c r="J56" s="36"/>
      <c r="K56" s="36"/>
      <c r="L56" s="70"/>
      <c r="M56" s="129" t="s">
        <v>438</v>
      </c>
    </row>
    <row r="57" spans="1:13" ht="13">
      <c r="A57" s="59"/>
      <c r="B57" s="114"/>
      <c r="C57" s="70"/>
      <c r="D57" s="70"/>
      <c r="E57" s="70"/>
      <c r="F57" s="70"/>
      <c r="G57" s="70"/>
      <c r="H57" s="70"/>
      <c r="I57" s="36">
        <f>SUM(E57:H57)</f>
        <v>0</v>
      </c>
      <c r="J57" s="36"/>
      <c r="K57" s="36"/>
      <c r="L57" s="70"/>
      <c r="M57" s="129" t="s">
        <v>439</v>
      </c>
    </row>
    <row r="58" spans="1:13" ht="13">
      <c r="A58" s="59"/>
      <c r="B58" s="114"/>
      <c r="C58" s="70"/>
      <c r="D58" s="70"/>
      <c r="E58" s="70"/>
      <c r="F58" s="70"/>
      <c r="G58" s="70"/>
      <c r="H58" s="70"/>
      <c r="I58" s="36"/>
      <c r="J58" s="36"/>
      <c r="K58" s="36"/>
      <c r="L58" s="70"/>
      <c r="M58" s="129"/>
    </row>
    <row r="59" spans="1:13" ht="13">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2.5">
      <c r="A61" s="77" t="s">
        <v>440</v>
      </c>
      <c r="B61" s="130" t="str">
        <f>HYPERLINK("http://codeforces.com/contest/699/problem/C","CF699-D2-C")</f>
        <v>CF699-D2-C</v>
      </c>
      <c r="C61" s="10"/>
      <c r="D61" s="10"/>
      <c r="E61" s="10"/>
      <c r="F61" s="10"/>
      <c r="G61" s="10"/>
      <c r="H61" s="70"/>
      <c r="I61" s="36">
        <f t="shared" si="1"/>
        <v>0</v>
      </c>
      <c r="J61" s="36"/>
      <c r="K61" s="36"/>
      <c r="L61" s="10"/>
      <c r="M61" s="10"/>
    </row>
    <row r="62" spans="1:13" ht="12.5">
      <c r="A62" s="77" t="s">
        <v>441</v>
      </c>
      <c r="B62" s="130" t="str">
        <f>HYPERLINK("http://codeforces.com/contest/545/problem/C","CF545-D2-C")</f>
        <v>CF545-D2-C</v>
      </c>
      <c r="C62" s="10"/>
      <c r="D62" s="10"/>
      <c r="E62" s="10"/>
      <c r="F62" s="10"/>
      <c r="G62" s="10"/>
      <c r="H62" s="70"/>
      <c r="I62" s="36">
        <f t="shared" si="1"/>
        <v>0</v>
      </c>
      <c r="J62" s="36"/>
      <c r="K62" s="36"/>
      <c r="L62" s="10"/>
      <c r="M62" s="10"/>
    </row>
    <row r="63" spans="1:13" ht="12.5">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2.5">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2.5">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2.5">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2.5">
      <c r="A67" s="59"/>
      <c r="B67" s="114"/>
      <c r="C67" s="70"/>
      <c r="D67" s="70"/>
      <c r="E67" s="70"/>
      <c r="F67" s="70"/>
      <c r="G67" s="70"/>
      <c r="H67" s="70"/>
      <c r="I67" s="36">
        <f t="shared" si="1"/>
        <v>0</v>
      </c>
      <c r="J67" s="36"/>
      <c r="K67" s="36"/>
      <c r="L67" s="70"/>
      <c r="M67" s="59"/>
    </row>
    <row r="68" spans="1:13" ht="12.5">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2.5">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2.5">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2.5">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2.5">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2.5">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2.5">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2.5">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2.5">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2.5">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
      <c r="A78" s="59"/>
      <c r="B78" s="114"/>
      <c r="C78" s="10"/>
      <c r="D78" s="10"/>
      <c r="E78" s="10"/>
      <c r="F78" s="10"/>
      <c r="G78" s="10"/>
      <c r="H78" s="70"/>
      <c r="I78" s="36">
        <f t="shared" si="1"/>
        <v>0</v>
      </c>
      <c r="J78" s="36"/>
      <c r="K78" s="36"/>
      <c r="L78" s="70"/>
      <c r="M78" s="115"/>
    </row>
    <row r="79" spans="1:13" ht="13">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2.5">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2.5">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2.5">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2.5">
      <c r="A84" s="59"/>
      <c r="B84" s="114"/>
      <c r="C84" s="70"/>
      <c r="D84" s="70"/>
      <c r="E84" s="70"/>
      <c r="F84" s="70"/>
      <c r="G84" s="70"/>
      <c r="H84" s="70"/>
      <c r="I84" s="36">
        <f t="shared" si="1"/>
        <v>0</v>
      </c>
      <c r="J84" s="36"/>
      <c r="K84" s="36"/>
      <c r="L84" s="70"/>
      <c r="M84" s="59"/>
    </row>
    <row r="85" spans="1:13" ht="12.5">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2.5">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2.5">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2.5">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2.5">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2.5">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2.5">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2.5">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2.5">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
      <c r="A94" s="59"/>
      <c r="B94" s="114"/>
      <c r="C94" s="10"/>
      <c r="D94" s="10"/>
      <c r="E94" s="10"/>
      <c r="F94" s="10"/>
      <c r="G94" s="10"/>
      <c r="H94" s="70"/>
      <c r="I94" s="36">
        <f t="shared" si="1"/>
        <v>0</v>
      </c>
      <c r="J94" s="36"/>
      <c r="K94" s="36"/>
      <c r="L94" s="70"/>
      <c r="M94" s="115"/>
    </row>
    <row r="95" spans="1:13" ht="13">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2.5">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2.5">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2.5">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2.5">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2.5">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2.5">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2.5">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2.5">
      <c r="A105" s="59"/>
      <c r="B105" s="114"/>
      <c r="C105" s="70"/>
      <c r="D105" s="70"/>
      <c r="E105" s="70"/>
      <c r="F105" s="70"/>
      <c r="G105" s="70"/>
      <c r="H105" s="70"/>
      <c r="I105" s="36">
        <f t="shared" si="1"/>
        <v>0</v>
      </c>
      <c r="J105" s="36"/>
      <c r="K105" s="36"/>
      <c r="L105" s="70"/>
      <c r="M105" s="59"/>
    </row>
    <row r="106" spans="1:13" ht="12.5">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2.5">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2.5">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7.5">
      <c r="A109" s="46" t="s">
        <v>481</v>
      </c>
      <c r="B109" s="137" t="s">
        <v>482</v>
      </c>
      <c r="C109" s="70"/>
      <c r="D109" s="70"/>
      <c r="E109" s="70"/>
      <c r="F109" s="70"/>
      <c r="G109" s="70"/>
      <c r="H109" s="70"/>
      <c r="I109" s="36">
        <f t="shared" si="1"/>
        <v>0</v>
      </c>
      <c r="J109" s="36"/>
      <c r="K109" s="36"/>
      <c r="L109" s="70"/>
      <c r="M109" s="136" t="s">
        <v>482</v>
      </c>
    </row>
    <row r="110" spans="1:13" ht="12.5">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2.5">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2.5">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2.5">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2.5">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2.5">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2.5">
      <c r="A117" s="59"/>
      <c r="B117" s="79"/>
      <c r="C117" s="10"/>
      <c r="D117" s="10"/>
      <c r="E117" s="10"/>
      <c r="F117" s="10"/>
      <c r="G117" s="10"/>
      <c r="H117" s="10"/>
      <c r="I117" s="70">
        <f t="shared" si="1"/>
        <v>0</v>
      </c>
      <c r="J117" s="10"/>
      <c r="K117" s="10"/>
      <c r="L117" s="10"/>
      <c r="M117" s="59"/>
    </row>
    <row r="118" spans="1:13" ht="12.5">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2.5">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2.5">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2.5">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
      <c r="A122" s="10"/>
      <c r="B122" s="10"/>
      <c r="C122" s="10"/>
      <c r="D122" s="10"/>
      <c r="E122" s="10"/>
      <c r="F122" s="10"/>
      <c r="G122" s="10"/>
      <c r="H122" s="70"/>
      <c r="I122" s="36">
        <f t="shared" si="1"/>
        <v>0</v>
      </c>
      <c r="J122" s="36"/>
      <c r="K122" s="36"/>
      <c r="L122" s="10"/>
      <c r="M122" s="115"/>
    </row>
    <row r="123" spans="1:13" ht="13">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2.5">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2.5">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2.5">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2.5">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2.5">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2.5">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2.5">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5">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2.5">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2.5">
      <c r="A133" s="82" t="s">
        <v>500</v>
      </c>
      <c r="B133" s="143" t="s">
        <v>501</v>
      </c>
      <c r="C133" s="70"/>
      <c r="D133" s="70"/>
      <c r="E133" s="70"/>
      <c r="F133" s="70"/>
      <c r="G133" s="70"/>
      <c r="H133" s="70"/>
      <c r="I133" s="84">
        <f t="shared" si="1"/>
        <v>0</v>
      </c>
      <c r="J133" s="36"/>
      <c r="K133" s="36"/>
      <c r="L133" s="70"/>
      <c r="M133" s="10"/>
    </row>
    <row r="134" spans="1:13" ht="12.5">
      <c r="A134" s="144"/>
      <c r="B134" s="145"/>
      <c r="C134" s="146"/>
      <c r="D134" s="146"/>
      <c r="E134" s="146"/>
      <c r="F134" s="146"/>
      <c r="G134" s="146"/>
      <c r="H134" s="146"/>
      <c r="I134" s="146">
        <f t="shared" ref="I134:I136" si="2">SUM(E134:G134)</f>
        <v>0</v>
      </c>
      <c r="J134" s="146"/>
      <c r="K134" s="146"/>
      <c r="L134" s="146"/>
      <c r="M134" s="144"/>
    </row>
    <row r="135" spans="1:13" ht="12.5">
      <c r="A135" s="59"/>
      <c r="B135" s="10"/>
      <c r="C135" s="70"/>
      <c r="D135" s="370" t="s">
        <v>274</v>
      </c>
      <c r="E135" s="344"/>
      <c r="F135" s="344"/>
      <c r="G135" s="344"/>
      <c r="H135" s="70"/>
      <c r="I135" s="70">
        <f t="shared" si="2"/>
        <v>0</v>
      </c>
      <c r="J135" s="369" t="s">
        <v>275</v>
      </c>
      <c r="K135" s="344"/>
      <c r="L135" s="344"/>
      <c r="M135" s="344"/>
    </row>
    <row r="136" spans="1:13" ht="12.5">
      <c r="A136" s="144"/>
      <c r="B136" s="145"/>
      <c r="C136" s="146"/>
      <c r="D136" s="146"/>
      <c r="E136" s="146"/>
      <c r="F136" s="146"/>
      <c r="G136" s="146"/>
      <c r="H136" s="146"/>
      <c r="I136" s="146">
        <f t="shared" si="2"/>
        <v>0</v>
      </c>
      <c r="J136" s="146"/>
      <c r="K136" s="146"/>
      <c r="L136" s="146"/>
      <c r="M136" s="144"/>
    </row>
    <row r="137" spans="1:13" ht="12.5">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2.5">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2.5">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2.5">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2.5">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2.5">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2.5">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2.5">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2.5">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2.5">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2.5">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2.5">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2.5">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2.5">
      <c r="A150" s="46"/>
      <c r="C150" s="70"/>
      <c r="D150" s="70"/>
      <c r="E150" s="70"/>
      <c r="F150" s="70"/>
      <c r="G150" s="70"/>
      <c r="H150" s="70"/>
      <c r="I150" s="36">
        <f t="shared" si="3"/>
        <v>0</v>
      </c>
      <c r="J150" s="36"/>
      <c r="K150" s="36"/>
      <c r="L150" s="70"/>
      <c r="M150" s="59"/>
    </row>
    <row r="151" spans="1:13" ht="12.5">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2.5">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2.5">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2.5">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2.5">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2.5">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2.5">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2.5">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2.5">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2.5">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2.5">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2.5">
      <c r="A162" s="59"/>
      <c r="B162" s="66"/>
      <c r="C162" s="10"/>
      <c r="D162" s="10"/>
      <c r="E162" s="10"/>
      <c r="F162" s="10"/>
      <c r="G162" s="10"/>
      <c r="H162" s="70"/>
      <c r="I162" s="36">
        <f t="shared" si="3"/>
        <v>0</v>
      </c>
      <c r="J162" s="36"/>
      <c r="K162" s="36"/>
      <c r="L162" s="10"/>
      <c r="M162" s="10"/>
    </row>
    <row r="163" spans="1:13" ht="12.5">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2.5">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2.5">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2.5">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2.5">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2.5">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2.5">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2.5">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2.5">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2.5">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2.5">
      <c r="A173" s="46"/>
      <c r="C173" s="70"/>
      <c r="D173" s="70"/>
      <c r="E173" s="70"/>
      <c r="F173" s="70"/>
      <c r="G173" s="70"/>
      <c r="H173" s="70"/>
      <c r="I173" s="36">
        <f t="shared" si="3"/>
        <v>0</v>
      </c>
      <c r="J173" s="36"/>
      <c r="K173" s="36"/>
      <c r="L173" s="70"/>
      <c r="M173" s="59"/>
    </row>
    <row r="174" spans="1:13" ht="12.5">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2.5">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2.5">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2.5">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2.5">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2.5">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2.5">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2.5">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2.5">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2.5">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2.5">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2.5">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2.5">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2.5">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2.5">
      <c r="A188" s="46"/>
      <c r="C188" s="70"/>
      <c r="D188" s="70"/>
      <c r="E188" s="70"/>
      <c r="F188" s="70"/>
      <c r="G188" s="70"/>
      <c r="H188" s="70"/>
      <c r="I188" s="36">
        <f t="shared" si="3"/>
        <v>0</v>
      </c>
      <c r="J188" s="36"/>
      <c r="K188" s="36"/>
      <c r="L188" s="70"/>
      <c r="M188" s="59"/>
    </row>
    <row r="189" spans="1:13" ht="12.5">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2.5">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2.5">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2.5">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2.5">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2.5">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2.5">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2.5">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2.5">
      <c r="A197" s="46"/>
      <c r="C197" s="70"/>
      <c r="D197" s="70"/>
      <c r="E197" s="70"/>
      <c r="F197" s="70"/>
      <c r="G197" s="70"/>
      <c r="H197" s="70"/>
      <c r="I197" s="36">
        <f t="shared" si="3"/>
        <v>0</v>
      </c>
      <c r="J197" s="36"/>
      <c r="K197" s="36"/>
      <c r="L197" s="70"/>
      <c r="M197" s="59"/>
    </row>
    <row r="198" spans="1:13" ht="12.5">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2.5">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2.5">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2.5">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2.5">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2.5">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2.5">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2.5">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2.5">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2.5">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2.5">
      <c r="A208" s="46"/>
      <c r="C208" s="70"/>
      <c r="D208" s="70"/>
      <c r="E208" s="70"/>
      <c r="F208" s="70"/>
      <c r="G208" s="70"/>
      <c r="H208" s="70"/>
      <c r="I208" s="36">
        <f t="shared" si="3"/>
        <v>0</v>
      </c>
      <c r="J208" s="36"/>
      <c r="K208" s="36"/>
      <c r="L208" s="70"/>
      <c r="M208" s="59"/>
    </row>
    <row r="209" spans="1:13" ht="12.5">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2.5">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2.5">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2.5">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2.5">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2.5">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2.5">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2.5">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2.5">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2.5">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08984375" defaultRowHeight="15.75" customHeight="1"/>
  <cols>
    <col min="1" max="1" width="14.26953125" customWidth="1"/>
    <col min="3" max="3" width="6" customWidth="1"/>
    <col min="4" max="4" width="6.90625" customWidth="1"/>
    <col min="5" max="5" width="7.36328125" customWidth="1"/>
    <col min="6" max="6" width="7.6328125" customWidth="1"/>
    <col min="7" max="7" width="8.7265625" customWidth="1"/>
    <col min="8" max="9" width="7.453125" customWidth="1"/>
    <col min="10" max="12" width="8.7265625" customWidth="1"/>
    <col min="13" max="13" width="68.2695312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2.5">
      <c r="A23" s="152" t="s">
        <v>591</v>
      </c>
      <c r="B23" s="25" t="str">
        <f>HYPERLINK("http://codeforces.com/contest/437/problem/B","CF437-D2-B")</f>
        <v>CF437-D2-B</v>
      </c>
      <c r="C23" s="70"/>
      <c r="D23" s="70"/>
      <c r="E23" s="70"/>
      <c r="F23" s="70"/>
      <c r="G23" s="70"/>
      <c r="H23" s="70"/>
      <c r="I23" s="36">
        <f t="shared" si="0"/>
        <v>0</v>
      </c>
      <c r="J23" s="10"/>
      <c r="K23" s="10"/>
      <c r="L23" s="10"/>
      <c r="M23" s="10"/>
    </row>
    <row r="24" spans="1:13" ht="12.5">
      <c r="A24" s="152" t="s">
        <v>592</v>
      </c>
      <c r="B24" s="25" t="str">
        <f>HYPERLINK("http://codeforces.com/contest/518/problem/B","CF518-D2-B")</f>
        <v>CF518-D2-B</v>
      </c>
      <c r="C24" s="70"/>
      <c r="D24" s="70"/>
      <c r="E24" s="70"/>
      <c r="F24" s="70"/>
      <c r="G24" s="70"/>
      <c r="H24" s="70"/>
      <c r="I24" s="36">
        <f t="shared" si="0"/>
        <v>0</v>
      </c>
      <c r="J24" s="10"/>
      <c r="K24" s="10"/>
      <c r="L24" s="10"/>
      <c r="M24" s="10"/>
    </row>
    <row r="25" spans="1:13" ht="12.5">
      <c r="A25" s="46"/>
      <c r="B25" s="46"/>
      <c r="C25" s="70"/>
      <c r="D25" s="70"/>
      <c r="E25" s="70"/>
      <c r="F25" s="70"/>
      <c r="G25" s="70"/>
      <c r="H25" s="70"/>
      <c r="I25" s="36">
        <f t="shared" si="0"/>
        <v>0</v>
      </c>
      <c r="J25" s="36"/>
      <c r="K25" s="36"/>
      <c r="L25" s="70"/>
      <c r="M25" s="59"/>
    </row>
    <row r="26" spans="1:13" ht="12.5">
      <c r="A26" s="59" t="s">
        <v>593</v>
      </c>
      <c r="B26" s="90" t="str">
        <f>HYPERLINK("http://codeforces.com/contest/296/problem/C","CF296-D2-C")</f>
        <v>CF296-D2-C</v>
      </c>
      <c r="C26" s="10"/>
      <c r="D26" s="10"/>
      <c r="E26" s="10"/>
      <c r="F26" s="10"/>
      <c r="G26" s="10"/>
      <c r="H26" s="10"/>
      <c r="I26" s="70">
        <f t="shared" si="0"/>
        <v>0</v>
      </c>
      <c r="J26" s="10"/>
      <c r="K26" s="10"/>
      <c r="L26" s="10"/>
      <c r="M26" s="10"/>
    </row>
    <row r="27" spans="1:13" ht="12.5">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2.5">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2.5">
      <c r="A29" s="152" t="s">
        <v>596</v>
      </c>
      <c r="B29" s="25" t="str">
        <f>HYPERLINK("http://codeforces.com/contest/378/problem/B","CF378-D2-B")</f>
        <v>CF378-D2-B</v>
      </c>
      <c r="C29" s="70"/>
      <c r="D29" s="70"/>
      <c r="E29" s="70"/>
      <c r="F29" s="70"/>
      <c r="G29" s="70"/>
      <c r="H29" s="70"/>
      <c r="I29" s="36">
        <f t="shared" si="0"/>
        <v>0</v>
      </c>
      <c r="J29" s="10"/>
      <c r="K29" s="10"/>
      <c r="L29" s="10"/>
      <c r="M29" s="73"/>
    </row>
    <row r="30" spans="1:13" ht="12.5">
      <c r="A30" s="152" t="s">
        <v>597</v>
      </c>
      <c r="B30" s="25" t="str">
        <f>HYPERLINK("http://codeforces.com/contest/479/problem/B","CF479-D2-B")</f>
        <v>CF479-D2-B</v>
      </c>
      <c r="C30" s="70"/>
      <c r="D30" s="70"/>
      <c r="E30" s="70"/>
      <c r="F30" s="70"/>
      <c r="G30" s="70"/>
      <c r="H30" s="70"/>
      <c r="I30" s="36">
        <f t="shared" si="0"/>
        <v>0</v>
      </c>
      <c r="J30" s="10"/>
      <c r="K30" s="10"/>
      <c r="L30" s="10"/>
      <c r="M30" s="73"/>
    </row>
    <row r="31" spans="1:13" ht="13">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2.5">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2.5">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2.5">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2.5">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2.5">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2.5">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2.5">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2.5">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2.5">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2.5">
      <c r="A44" s="46" t="s">
        <v>604</v>
      </c>
      <c r="B44" s="149" t="str">
        <f>HYPERLINK("http://codeforces.com/contest/402/problem/C","CF402-D2-C")</f>
        <v>CF402-D2-C</v>
      </c>
      <c r="C44" s="70"/>
      <c r="D44" s="70"/>
      <c r="E44" s="70"/>
      <c r="F44" s="70"/>
      <c r="G44" s="70"/>
      <c r="H44" s="70"/>
      <c r="I44" s="36">
        <f t="shared" si="0"/>
        <v>0</v>
      </c>
      <c r="J44" s="36"/>
      <c r="K44" s="36"/>
      <c r="L44" s="70"/>
      <c r="M44" s="46"/>
    </row>
    <row r="45" spans="1:13" ht="12.5">
      <c r="A45" s="59" t="s">
        <v>605</v>
      </c>
      <c r="B45" s="90" t="str">
        <f>HYPERLINK("http://codeforces.com/contest/227/problem/C","CF227-D2-C")</f>
        <v>CF227-D2-C</v>
      </c>
      <c r="C45" s="70"/>
      <c r="D45" s="70"/>
      <c r="E45" s="70"/>
      <c r="F45" s="70"/>
      <c r="G45" s="70"/>
      <c r="H45" s="70"/>
      <c r="I45" s="36">
        <f t="shared" si="0"/>
        <v>0</v>
      </c>
      <c r="J45" s="36"/>
      <c r="K45" s="36"/>
      <c r="L45" s="10"/>
      <c r="M45" s="10"/>
    </row>
    <row r="46" spans="1:13" ht="12.5">
      <c r="A46" s="59" t="s">
        <v>606</v>
      </c>
      <c r="B46" s="90" t="str">
        <f>HYPERLINK("http://codeforces.com/contest/577/problem/C","CF577-D2-C")</f>
        <v>CF577-D2-C</v>
      </c>
      <c r="C46" s="70"/>
      <c r="D46" s="70"/>
      <c r="E46" s="70"/>
      <c r="F46" s="70"/>
      <c r="G46" s="70"/>
      <c r="H46" s="70"/>
      <c r="I46" s="36">
        <f t="shared" si="0"/>
        <v>0</v>
      </c>
      <c r="J46" s="36"/>
      <c r="K46" s="36"/>
      <c r="L46" s="10"/>
      <c r="M46" s="10"/>
    </row>
    <row r="47" spans="1:13" ht="12.5">
      <c r="A47" s="46" t="s">
        <v>607</v>
      </c>
      <c r="B47" s="149" t="str">
        <f>HYPERLINK("http://codeforces.com/contest/71/problem/C","CF71-D2-C")</f>
        <v>CF71-D2-C</v>
      </c>
      <c r="C47" s="70"/>
      <c r="D47" s="70"/>
      <c r="E47" s="70"/>
      <c r="F47" s="70"/>
      <c r="G47" s="70"/>
      <c r="H47" s="70"/>
      <c r="I47" s="36">
        <f t="shared" si="0"/>
        <v>0</v>
      </c>
      <c r="J47" s="36"/>
      <c r="K47" s="36"/>
      <c r="L47" s="70"/>
      <c r="M47" s="46"/>
    </row>
    <row r="48" spans="1:13" ht="12.5">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2.5">
      <c r="A49" s="59" t="s">
        <v>609</v>
      </c>
      <c r="B49" s="90" t="str">
        <f>HYPERLINK("http://codeforces.com/contest/357/problem/C","CF357-D2-C")</f>
        <v>CF357-D2-C</v>
      </c>
      <c r="C49" s="10"/>
      <c r="D49" s="10"/>
      <c r="E49" s="10"/>
      <c r="F49" s="10"/>
      <c r="G49" s="10"/>
      <c r="H49" s="10"/>
      <c r="I49" s="70">
        <f t="shared" si="0"/>
        <v>0</v>
      </c>
      <c r="J49" s="10"/>
      <c r="K49" s="10"/>
      <c r="L49" s="10"/>
      <c r="M49" s="10"/>
    </row>
    <row r="50" spans="1:13" ht="12.5">
      <c r="A50" s="152" t="s">
        <v>610</v>
      </c>
      <c r="B50" s="25" t="str">
        <f>HYPERLINK("http://codeforces.com/contest/219/problem/B","CF219-D2-B")</f>
        <v>CF219-D2-B</v>
      </c>
      <c r="C50" s="70"/>
      <c r="D50" s="70"/>
      <c r="E50" s="70"/>
      <c r="F50" s="70"/>
      <c r="G50" s="70"/>
      <c r="H50" s="70"/>
      <c r="I50" s="36">
        <f t="shared" si="0"/>
        <v>0</v>
      </c>
      <c r="J50" s="36"/>
      <c r="K50" s="36"/>
      <c r="L50" s="70"/>
      <c r="M50" s="59"/>
    </row>
    <row r="51" spans="1:13" ht="13">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2.5">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2.5">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2.5">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2.5">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2.5">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2.5">
      <c r="A59" s="46"/>
      <c r="B59" s="46"/>
      <c r="C59" s="70"/>
      <c r="D59" s="70"/>
      <c r="E59" s="70"/>
      <c r="F59" s="70"/>
      <c r="G59" s="70"/>
      <c r="H59" s="70"/>
      <c r="I59" s="36">
        <f t="shared" si="0"/>
        <v>0</v>
      </c>
      <c r="J59" s="36"/>
      <c r="K59" s="36"/>
      <c r="L59" s="70"/>
      <c r="M59" s="46"/>
    </row>
    <row r="60" spans="1:13" ht="12.5">
      <c r="A60" s="46" t="s">
        <v>616</v>
      </c>
      <c r="B60" s="149" t="str">
        <f>HYPERLINK("http://codeforces.com/contest/424/problem/C","CF424-D2-C")</f>
        <v>CF424-D2-C</v>
      </c>
      <c r="C60" s="70"/>
      <c r="D60" s="70"/>
      <c r="E60" s="70"/>
      <c r="F60" s="70"/>
      <c r="G60" s="70"/>
      <c r="H60" s="70"/>
      <c r="I60" s="36">
        <f t="shared" si="0"/>
        <v>0</v>
      </c>
      <c r="J60" s="36"/>
      <c r="K60" s="36"/>
      <c r="L60" s="70"/>
      <c r="M60" s="59"/>
    </row>
    <row r="61" spans="1:13" ht="12.5">
      <c r="A61" s="46" t="s">
        <v>617</v>
      </c>
      <c r="B61" s="149" t="str">
        <f>HYPERLINK("http://codeforces.com/contest/707/problem/C","CF707-D2-C")</f>
        <v>CF707-D2-C</v>
      </c>
      <c r="C61" s="70"/>
      <c r="D61" s="70"/>
      <c r="E61" s="70"/>
      <c r="F61" s="70"/>
      <c r="G61" s="70"/>
      <c r="H61" s="70"/>
      <c r="I61" s="36">
        <f t="shared" si="0"/>
        <v>0</v>
      </c>
      <c r="J61" s="36"/>
      <c r="K61" s="36"/>
      <c r="L61" s="70"/>
      <c r="M61" s="59"/>
    </row>
    <row r="62" spans="1:13" ht="12.5">
      <c r="A62" s="46" t="s">
        <v>618</v>
      </c>
      <c r="B62" s="149" t="str">
        <f>HYPERLINK("http://codeforces.com/contest/560/problem/C","CF560-D2-C")</f>
        <v>CF560-D2-C</v>
      </c>
      <c r="C62" s="70"/>
      <c r="D62" s="70"/>
      <c r="E62" s="70"/>
      <c r="F62" s="70"/>
      <c r="G62" s="70"/>
      <c r="H62" s="70"/>
      <c r="I62" s="36">
        <f t="shared" si="0"/>
        <v>0</v>
      </c>
      <c r="J62" s="36"/>
      <c r="K62" s="36"/>
      <c r="L62" s="70"/>
      <c r="M62" s="158"/>
    </row>
    <row r="63" spans="1:13" ht="12.5">
      <c r="A63" s="59" t="s">
        <v>619</v>
      </c>
      <c r="B63" s="90" t="str">
        <f>HYPERLINK("http://codeforces.com/contest/252/problem/C","CF252-D2-C")</f>
        <v>CF252-D2-C</v>
      </c>
      <c r="C63" s="70"/>
      <c r="D63" s="70"/>
      <c r="E63" s="70"/>
      <c r="F63" s="70"/>
      <c r="G63" s="70"/>
      <c r="H63" s="70"/>
      <c r="I63" s="36">
        <f t="shared" si="0"/>
        <v>0</v>
      </c>
      <c r="J63" s="36"/>
      <c r="K63" s="36"/>
      <c r="L63" s="10"/>
      <c r="M63" s="10"/>
    </row>
    <row r="64" spans="1:13" ht="12.5">
      <c r="A64" s="59" t="s">
        <v>620</v>
      </c>
      <c r="B64" s="90" t="str">
        <f>HYPERLINK("http://codeforces.com/contest/353/problem/C","CF353-D2-C")</f>
        <v>CF353-D2-C</v>
      </c>
      <c r="C64" s="70"/>
      <c r="D64" s="70"/>
      <c r="E64" s="70"/>
      <c r="F64" s="70"/>
      <c r="G64" s="70"/>
      <c r="H64" s="70"/>
      <c r="I64" s="36">
        <f t="shared" si="0"/>
        <v>0</v>
      </c>
      <c r="J64" s="36"/>
      <c r="K64" s="36"/>
      <c r="L64" s="10"/>
      <c r="M64" s="10"/>
    </row>
    <row r="65" spans="1:13" ht="12.5">
      <c r="A65" s="152" t="s">
        <v>621</v>
      </c>
      <c r="B65" s="25" t="str">
        <f>HYPERLINK("http://codeforces.com/contest/450/problem/B","CF450-D2-B")</f>
        <v>CF450-D2-B</v>
      </c>
      <c r="C65" s="70"/>
      <c r="D65" s="70"/>
      <c r="E65" s="70"/>
      <c r="F65" s="70"/>
      <c r="G65" s="70"/>
      <c r="H65" s="70"/>
      <c r="I65" s="36">
        <f t="shared" si="0"/>
        <v>0</v>
      </c>
      <c r="J65" s="36"/>
      <c r="K65" s="36"/>
      <c r="L65" s="70"/>
      <c r="M65" s="46"/>
    </row>
    <row r="66" spans="1:13" ht="12.5">
      <c r="A66" s="152" t="s">
        <v>622</v>
      </c>
      <c r="B66" s="25" t="str">
        <f>HYPERLINK("http://codeforces.com/contest/570/problem/B","CF570-D2-B")</f>
        <v>CF570-D2-B</v>
      </c>
      <c r="C66" s="70"/>
      <c r="D66" s="70"/>
      <c r="E66" s="70"/>
      <c r="F66" s="70"/>
      <c r="G66" s="70"/>
      <c r="H66" s="70"/>
      <c r="I66" s="36">
        <f t="shared" si="0"/>
        <v>0</v>
      </c>
      <c r="J66" s="36"/>
      <c r="K66" s="36"/>
      <c r="L66" s="70"/>
      <c r="M66" s="46"/>
    </row>
    <row r="67" spans="1:13" ht="12.5">
      <c r="A67" s="152" t="s">
        <v>623</v>
      </c>
      <c r="B67" s="25" t="str">
        <f>HYPERLINK("http://codeforces.com/contest/271/problem/B","CF271-D2-B")</f>
        <v>CF271-D2-B</v>
      </c>
      <c r="C67" s="70"/>
      <c r="D67" s="70"/>
      <c r="E67" s="70"/>
      <c r="F67" s="70"/>
      <c r="G67" s="70"/>
      <c r="H67" s="70"/>
      <c r="I67" s="36">
        <f t="shared" si="0"/>
        <v>0</v>
      </c>
      <c r="J67" s="36"/>
      <c r="K67" s="36"/>
      <c r="L67" s="70"/>
      <c r="M67" s="46"/>
    </row>
    <row r="68" spans="1:13" ht="13">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2.5">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2.5">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
      <c r="A73" s="77"/>
      <c r="B73" s="77" t="s">
        <v>627</v>
      </c>
      <c r="C73" s="70"/>
      <c r="D73" s="70"/>
      <c r="E73" s="70"/>
      <c r="F73" s="70"/>
      <c r="G73" s="70"/>
      <c r="H73" s="70"/>
      <c r="I73" s="36">
        <f t="shared" si="0"/>
        <v>0</v>
      </c>
      <c r="J73" s="36"/>
      <c r="K73" s="36"/>
      <c r="L73" s="70"/>
      <c r="M73" s="112"/>
    </row>
    <row r="74" spans="1:13" ht="13">
      <c r="A74" s="77"/>
      <c r="B74" s="77" t="s">
        <v>628</v>
      </c>
      <c r="C74" s="70"/>
      <c r="D74" s="70"/>
      <c r="E74" s="70"/>
      <c r="F74" s="70"/>
      <c r="G74" s="70"/>
      <c r="H74" s="70"/>
      <c r="I74" s="36">
        <f t="shared" si="0"/>
        <v>0</v>
      </c>
      <c r="J74" s="36"/>
      <c r="K74" s="36"/>
      <c r="L74" s="70"/>
      <c r="M74" s="112"/>
    </row>
    <row r="75" spans="1:13" ht="12.5">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2.5">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2.5">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2.5">
      <c r="A78" s="46"/>
      <c r="B78" s="46"/>
      <c r="C78" s="70"/>
      <c r="D78" s="70"/>
      <c r="E78" s="70"/>
      <c r="F78" s="70"/>
      <c r="G78" s="70"/>
      <c r="H78" s="70"/>
      <c r="I78" s="36">
        <f t="shared" si="0"/>
        <v>0</v>
      </c>
      <c r="J78" s="36"/>
      <c r="K78" s="36"/>
      <c r="L78" s="70"/>
      <c r="M78" s="46"/>
    </row>
    <row r="79" spans="1:13" ht="12.5">
      <c r="A79" s="59" t="s">
        <v>633</v>
      </c>
      <c r="B79" s="90" t="str">
        <f>HYPERLINK("http://codeforces.com/contest/344/problem/C","CF344-D2-C")</f>
        <v>CF344-D2-C</v>
      </c>
      <c r="C79" s="70"/>
      <c r="D79" s="70"/>
      <c r="E79" s="70"/>
      <c r="F79" s="70"/>
      <c r="G79" s="70"/>
      <c r="H79" s="70"/>
      <c r="I79" s="36">
        <f t="shared" si="0"/>
        <v>0</v>
      </c>
      <c r="J79" s="10"/>
      <c r="K79" s="10"/>
      <c r="L79" s="10"/>
      <c r="M79" s="46"/>
    </row>
    <row r="80" spans="1:13" ht="12.5">
      <c r="A80" s="46" t="s">
        <v>634</v>
      </c>
      <c r="B80" s="149" t="str">
        <f>HYPERLINK("http://codeforces.com/contest/275/problem/C","CF275-D2-C")</f>
        <v>CF275-D2-C</v>
      </c>
      <c r="C80" s="70"/>
      <c r="D80" s="70"/>
      <c r="E80" s="70"/>
      <c r="F80" s="70"/>
      <c r="G80" s="70"/>
      <c r="H80" s="70"/>
      <c r="I80" s="36">
        <f t="shared" si="0"/>
        <v>0</v>
      </c>
      <c r="J80" s="36"/>
      <c r="K80" s="36"/>
      <c r="L80" s="70"/>
      <c r="M80" s="59"/>
    </row>
    <row r="81" spans="1:13" ht="12.5">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2.5">
      <c r="A82" s="152" t="s">
        <v>636</v>
      </c>
      <c r="B82" s="25" t="str">
        <f>HYPERLINK("http://codeforces.com/contest/631/problem/B","CF631-D2-B")</f>
        <v>CF631-D2-B</v>
      </c>
      <c r="C82" s="70"/>
      <c r="D82" s="70"/>
      <c r="E82" s="70"/>
      <c r="F82" s="70"/>
      <c r="G82" s="70"/>
      <c r="H82" s="70"/>
      <c r="I82" s="36">
        <f t="shared" si="0"/>
        <v>0</v>
      </c>
      <c r="J82" s="36"/>
      <c r="K82" s="36"/>
      <c r="L82" s="10"/>
      <c r="M82" s="10"/>
    </row>
    <row r="83" spans="1:13" ht="12.5">
      <c r="A83" s="152" t="s">
        <v>637</v>
      </c>
      <c r="B83" s="25" t="str">
        <f>HYPERLINK("http://codeforces.com/contest/257/problem/B","CF257-D2-B")</f>
        <v>CF257-D2-B</v>
      </c>
      <c r="C83" s="70"/>
      <c r="D83" s="70"/>
      <c r="E83" s="70"/>
      <c r="F83" s="70"/>
      <c r="G83" s="70"/>
      <c r="H83" s="70"/>
      <c r="I83" s="36">
        <f t="shared" si="0"/>
        <v>0</v>
      </c>
      <c r="J83" s="36"/>
      <c r="K83" s="36"/>
      <c r="L83" s="10"/>
      <c r="M83" s="10"/>
    </row>
    <row r="84" spans="1:13" ht="12.5">
      <c r="A84" s="152" t="s">
        <v>638</v>
      </c>
      <c r="B84" s="25" t="str">
        <f>HYPERLINK("http://codeforces.com/contest/230/problem/B","CF230-D2-B")</f>
        <v>CF230-D2-B</v>
      </c>
      <c r="C84" s="70"/>
      <c r="D84" s="70"/>
      <c r="E84" s="70"/>
      <c r="F84" s="70"/>
      <c r="G84" s="70"/>
      <c r="H84" s="70"/>
      <c r="I84" s="36">
        <f t="shared" si="0"/>
        <v>0</v>
      </c>
      <c r="J84" s="36"/>
      <c r="K84" s="36"/>
      <c r="L84" s="10"/>
      <c r="M84" s="10"/>
    </row>
    <row r="85" spans="1:13" ht="13">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2.5">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2.5">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2.5">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2.5">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2.5">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2.5">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2.5">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2.5">
      <c r="A94" s="82"/>
      <c r="B94" s="151" t="s">
        <v>646</v>
      </c>
      <c r="C94" s="70"/>
      <c r="D94" s="70"/>
      <c r="E94" s="70"/>
      <c r="F94" s="70"/>
      <c r="G94" s="70"/>
      <c r="H94" s="70"/>
      <c r="I94" s="36">
        <f t="shared" si="0"/>
        <v>0</v>
      </c>
      <c r="J94" s="36"/>
      <c r="K94" s="36"/>
      <c r="L94" s="70"/>
      <c r="M94" s="118" t="s">
        <v>630</v>
      </c>
    </row>
    <row r="95" spans="1:13" ht="12.5">
      <c r="A95" s="46"/>
      <c r="B95" s="46"/>
      <c r="C95" s="70"/>
      <c r="D95" s="70"/>
      <c r="E95" s="70"/>
      <c r="F95" s="70"/>
      <c r="G95" s="70"/>
      <c r="H95" s="70"/>
      <c r="I95" s="36">
        <f t="shared" si="0"/>
        <v>0</v>
      </c>
      <c r="J95" s="36"/>
      <c r="K95" s="36"/>
      <c r="L95" s="70"/>
      <c r="M95" s="158"/>
    </row>
    <row r="96" spans="1:13" ht="12.5">
      <c r="A96" s="46" t="s">
        <v>647</v>
      </c>
      <c r="B96" s="149" t="str">
        <f>HYPERLINK("http://codeforces.com/contest/378/problem/C","CF378-D2-C")</f>
        <v>CF378-D2-C</v>
      </c>
      <c r="C96" s="70"/>
      <c r="D96" s="70"/>
      <c r="E96" s="70"/>
      <c r="F96" s="70"/>
      <c r="G96" s="70"/>
      <c r="H96" s="70"/>
      <c r="I96" s="36">
        <f t="shared" si="0"/>
        <v>0</v>
      </c>
      <c r="J96" s="36"/>
      <c r="K96" s="36"/>
      <c r="L96" s="70"/>
      <c r="M96" s="59"/>
    </row>
    <row r="97" spans="1:13" ht="12.5">
      <c r="A97" s="46" t="s">
        <v>648</v>
      </c>
      <c r="B97" s="149" t="str">
        <f>HYPERLINK("http://codeforces.com/contest/705/problem/C","CF705-D2-C")</f>
        <v>CF705-D2-C</v>
      </c>
      <c r="C97" s="70"/>
      <c r="D97" s="70"/>
      <c r="E97" s="70"/>
      <c r="F97" s="70"/>
      <c r="G97" s="70"/>
      <c r="H97" s="70"/>
      <c r="I97" s="36">
        <f t="shared" si="0"/>
        <v>0</v>
      </c>
      <c r="J97" s="36"/>
      <c r="K97" s="36"/>
      <c r="L97" s="70"/>
      <c r="M97" s="46"/>
    </row>
    <row r="98" spans="1:13" ht="12.5">
      <c r="A98" s="46" t="s">
        <v>649</v>
      </c>
      <c r="B98" s="149" t="str">
        <f>HYPERLINK("http://codeforces.com/contest/706/problem/C","CF706-D2-C")</f>
        <v>CF706-D2-C</v>
      </c>
      <c r="C98" s="70"/>
      <c r="D98" s="70"/>
      <c r="E98" s="70"/>
      <c r="F98" s="70"/>
      <c r="G98" s="70"/>
      <c r="H98" s="70"/>
      <c r="I98" s="36">
        <f t="shared" si="0"/>
        <v>0</v>
      </c>
      <c r="J98" s="36"/>
      <c r="K98" s="36"/>
      <c r="L98" s="70"/>
      <c r="M98" s="46"/>
    </row>
    <row r="99" spans="1:13" ht="12.5">
      <c r="A99" s="46" t="s">
        <v>650</v>
      </c>
      <c r="B99" s="149" t="str">
        <f>HYPERLINK("http://codeforces.com/contest/405/problem/C","CF405-D2-C")</f>
        <v>CF405-D2-C</v>
      </c>
      <c r="C99" s="70"/>
      <c r="D99" s="70"/>
      <c r="E99" s="70"/>
      <c r="F99" s="70"/>
      <c r="G99" s="70"/>
      <c r="H99" s="70"/>
      <c r="I99" s="36">
        <f t="shared" si="0"/>
        <v>0</v>
      </c>
      <c r="J99" s="36"/>
      <c r="K99" s="36"/>
      <c r="L99" s="70"/>
      <c r="M99" s="46"/>
    </row>
    <row r="100" spans="1:13" ht="12.5">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2.5">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2.5">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2.5">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2.5">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2.5">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2.5">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2.5">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2.5">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2.5">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2.5">
      <c r="A113" s="82"/>
      <c r="B113" s="82" t="s">
        <v>661</v>
      </c>
      <c r="C113" s="70"/>
      <c r="D113" s="70"/>
      <c r="E113" s="70"/>
      <c r="F113" s="70"/>
      <c r="G113" s="70"/>
      <c r="H113" s="70"/>
      <c r="I113" s="36">
        <f t="shared" si="0"/>
        <v>0</v>
      </c>
      <c r="J113" s="36"/>
      <c r="K113" s="36"/>
      <c r="L113" s="70"/>
      <c r="M113" s="165" t="s">
        <v>630</v>
      </c>
    </row>
    <row r="114" spans="1:13" ht="12.5">
      <c r="A114" s="82"/>
      <c r="B114" s="82" t="s">
        <v>662</v>
      </c>
      <c r="C114" s="70"/>
      <c r="D114" s="70"/>
      <c r="E114" s="70"/>
      <c r="F114" s="70"/>
      <c r="G114" s="70"/>
      <c r="H114" s="70"/>
      <c r="I114" s="36">
        <f t="shared" si="0"/>
        <v>0</v>
      </c>
      <c r="J114" s="36"/>
      <c r="K114" s="36"/>
      <c r="L114" s="70"/>
      <c r="M114" s="63"/>
    </row>
    <row r="115" spans="1:13" ht="12.5">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2.5">
      <c r="A116" s="46"/>
      <c r="B116" s="46"/>
      <c r="C116" s="70"/>
      <c r="D116" s="70"/>
      <c r="E116" s="70"/>
      <c r="F116" s="70"/>
      <c r="G116" s="70"/>
      <c r="H116" s="70"/>
      <c r="I116" s="36">
        <f t="shared" si="0"/>
        <v>0</v>
      </c>
      <c r="J116" s="36"/>
      <c r="K116" s="36"/>
      <c r="L116" s="70"/>
      <c r="M116" s="63"/>
    </row>
    <row r="117" spans="1:13" ht="12.5">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2.5">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2.5">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2.5">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2.5">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2.5">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2.5">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2.5">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2.5">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2.5">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2.5">
      <c r="A127" s="46"/>
      <c r="B127" s="46"/>
      <c r="C127" s="70"/>
      <c r="D127" s="70"/>
      <c r="E127" s="70"/>
      <c r="F127" s="70"/>
      <c r="G127" s="70"/>
      <c r="H127" s="70"/>
      <c r="I127" s="36">
        <f t="shared" si="0"/>
        <v>0</v>
      </c>
      <c r="J127" s="36"/>
      <c r="K127" s="36"/>
      <c r="L127" s="70"/>
      <c r="M127" s="46"/>
    </row>
    <row r="128" spans="1:13" ht="12.5">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2.5">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2.5">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2.5">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2.5">
      <c r="A132" s="46"/>
      <c r="B132" s="46"/>
      <c r="C132" s="70"/>
      <c r="D132" s="70"/>
      <c r="E132" s="70"/>
      <c r="F132" s="70"/>
      <c r="G132" s="70"/>
      <c r="H132" s="70"/>
      <c r="I132" s="36">
        <f t="shared" si="0"/>
        <v>0</v>
      </c>
      <c r="J132" s="36"/>
      <c r="K132" s="36"/>
      <c r="L132" s="70"/>
      <c r="M132" s="46"/>
    </row>
    <row r="133" spans="1:13" ht="13">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2.5">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2.5">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2.5">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2.5">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2.5">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2.5">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2.5">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2.5">
      <c r="A141" s="82"/>
      <c r="B141" s="119" t="str">
        <f>HYPERLINK("http://codeforces.com/contest/445/problem/C","CF445-D2-C")</f>
        <v>CF445-D2-C</v>
      </c>
      <c r="C141" s="70"/>
      <c r="D141" s="70"/>
      <c r="E141" s="70"/>
      <c r="F141" s="70"/>
      <c r="G141" s="70"/>
      <c r="H141" s="70"/>
      <c r="I141" s="36">
        <f t="shared" si="0"/>
        <v>0</v>
      </c>
      <c r="J141" s="36"/>
      <c r="K141" s="36"/>
      <c r="L141" s="70"/>
      <c r="M141" s="28"/>
    </row>
    <row r="142" spans="1:13" ht="12.5">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2.5">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2.5">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2.5">
      <c r="C145" s="70"/>
      <c r="D145" s="70"/>
      <c r="E145" s="70"/>
      <c r="F145" s="70"/>
      <c r="G145" s="70"/>
      <c r="H145" s="70"/>
      <c r="I145" s="36">
        <f t="shared" si="0"/>
        <v>0</v>
      </c>
      <c r="J145" s="36"/>
      <c r="K145" s="36"/>
      <c r="L145" s="70"/>
      <c r="M145" s="28"/>
    </row>
    <row r="146" spans="1:13" ht="12.5">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2.5">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2.5">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2.5">
      <c r="A149" s="144"/>
      <c r="B149" s="144"/>
      <c r="C149" s="146"/>
      <c r="D149" s="146"/>
      <c r="E149" s="146"/>
      <c r="F149" s="146"/>
      <c r="G149" s="146"/>
      <c r="H149" s="146"/>
      <c r="I149" s="146">
        <f t="shared" ref="I149:I151" si="1">SUM(E149:G149)</f>
        <v>0</v>
      </c>
      <c r="J149" s="146"/>
      <c r="K149" s="146"/>
      <c r="L149" s="146"/>
      <c r="M149" s="144"/>
    </row>
    <row r="150" spans="1:13" ht="12.5">
      <c r="A150" s="59"/>
      <c r="B150" s="59"/>
      <c r="C150" s="70"/>
      <c r="D150" s="370" t="s">
        <v>274</v>
      </c>
      <c r="E150" s="344"/>
      <c r="F150" s="344"/>
      <c r="G150" s="344"/>
      <c r="H150" s="70"/>
      <c r="I150" s="70">
        <f t="shared" si="1"/>
        <v>0</v>
      </c>
      <c r="J150" s="369" t="s">
        <v>275</v>
      </c>
      <c r="K150" s="344"/>
      <c r="L150" s="344"/>
      <c r="M150" s="344"/>
    </row>
    <row r="151" spans="1:13" ht="12.5">
      <c r="A151" s="144"/>
      <c r="B151" s="144"/>
      <c r="C151" s="146"/>
      <c r="D151" s="146"/>
      <c r="E151" s="146"/>
      <c r="F151" s="146"/>
      <c r="G151" s="146"/>
      <c r="H151" s="146"/>
      <c r="I151" s="146">
        <f t="shared" si="1"/>
        <v>0</v>
      </c>
      <c r="J151" s="146"/>
      <c r="K151" s="146"/>
      <c r="L151" s="146"/>
      <c r="M151" s="144"/>
    </row>
    <row r="152" spans="1:13" ht="12.5">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2.5">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2.5">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2.5">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2.5">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2.5">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2.5">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2.5">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2.5">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2.5">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2.5">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2.5">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2.5">
      <c r="A164" s="46"/>
      <c r="B164" s="46"/>
      <c r="C164" s="70"/>
      <c r="D164" s="70"/>
      <c r="E164" s="70"/>
      <c r="F164" s="70"/>
      <c r="G164" s="70"/>
      <c r="H164" s="70"/>
      <c r="I164" s="36">
        <f t="shared" si="2"/>
        <v>0</v>
      </c>
      <c r="J164" s="36"/>
      <c r="K164" s="36"/>
      <c r="L164" s="70"/>
      <c r="M164" s="59"/>
    </row>
    <row r="165" spans="1:13" ht="12.5">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2.5">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2.5">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2.5">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2.5">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2.5">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2.5">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2.5">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2.5">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2.5">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2.5">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2.5">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2.5">
      <c r="A177" s="46"/>
      <c r="B177" s="46"/>
      <c r="C177" s="70"/>
      <c r="D177" s="70"/>
      <c r="E177" s="70"/>
      <c r="F177" s="70"/>
      <c r="G177" s="70"/>
      <c r="H177" s="70"/>
      <c r="I177" s="36">
        <f t="shared" si="2"/>
        <v>0</v>
      </c>
      <c r="J177" s="36"/>
      <c r="K177" s="36"/>
      <c r="L177" s="70"/>
      <c r="M177" s="59"/>
    </row>
    <row r="178" spans="1:13" ht="12.5">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2.5">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2.5">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2.5">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2.5">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2.5">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2.5">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2.5">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2.5">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2.5">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2.5">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2.5">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2.5">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2.5">
      <c r="A191" s="46"/>
      <c r="B191" s="46"/>
      <c r="C191" s="70"/>
      <c r="D191" s="70"/>
      <c r="E191" s="70"/>
      <c r="F191" s="70"/>
      <c r="G191" s="70"/>
      <c r="H191" s="70"/>
      <c r="I191" s="36">
        <f t="shared" si="2"/>
        <v>0</v>
      </c>
      <c r="J191" s="36"/>
      <c r="K191" s="36"/>
      <c r="L191" s="70"/>
      <c r="M191" s="59"/>
    </row>
    <row r="192" spans="1:13" ht="12.5">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2.5">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2.5">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2.5">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2.5">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2.5">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2.5">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2.5">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2.5">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08984375" defaultRowHeight="15.75" customHeight="1"/>
  <cols>
    <col min="1" max="1" width="15.08984375" customWidth="1"/>
    <col min="3" max="3" width="6" customWidth="1"/>
    <col min="4" max="4" width="6.36328125" customWidth="1"/>
    <col min="5" max="5" width="7.36328125" customWidth="1"/>
    <col min="6" max="6" width="7.6328125" customWidth="1"/>
    <col min="7" max="7" width="8.7265625" customWidth="1"/>
    <col min="8" max="9" width="7.453125" customWidth="1"/>
    <col min="10" max="12" width="8.726562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2.5">
      <c r="A23" s="46"/>
      <c r="B23" s="102" t="str">
        <f>HYPERLINK("https://codeforces.com/contest/1220/problem/C","CF1220-D12-C")</f>
        <v>CF1220-D12-C</v>
      </c>
      <c r="C23" s="70"/>
      <c r="D23" s="70"/>
      <c r="E23" s="70"/>
      <c r="F23" s="70"/>
      <c r="G23" s="70"/>
      <c r="H23" s="70"/>
      <c r="I23" s="36">
        <f t="shared" si="0"/>
        <v>0</v>
      </c>
      <c r="J23" s="36"/>
      <c r="K23" s="36"/>
      <c r="L23" s="10"/>
      <c r="M23" s="10"/>
    </row>
    <row r="24" spans="1:13" ht="12.5">
      <c r="A24" s="46"/>
      <c r="B24" s="52" t="str">
        <f>HYPERLINK("http://codeforces.com/contest/1065/problem/C","CF1065-D2-C")</f>
        <v>CF1065-D2-C</v>
      </c>
      <c r="C24" s="70"/>
      <c r="D24" s="70"/>
      <c r="E24" s="70"/>
      <c r="F24" s="70"/>
      <c r="G24" s="70"/>
      <c r="H24" s="70"/>
      <c r="I24" s="36">
        <f t="shared" si="0"/>
        <v>0</v>
      </c>
      <c r="J24" s="36"/>
      <c r="K24" s="36"/>
      <c r="L24" s="10"/>
      <c r="M24" s="10"/>
    </row>
    <row r="25" spans="1:13" ht="12.5">
      <c r="A25" s="46"/>
      <c r="B25" s="52" t="str">
        <f>HYPERLINK("http://codeforces.com/contest/1036/problem/C","CF1036-D2-C")</f>
        <v>CF1036-D2-C</v>
      </c>
      <c r="C25" s="70"/>
      <c r="D25" s="70"/>
      <c r="E25" s="70"/>
      <c r="F25" s="70"/>
      <c r="G25" s="70"/>
      <c r="H25" s="70"/>
      <c r="I25" s="36">
        <f t="shared" si="0"/>
        <v>0</v>
      </c>
      <c r="J25" s="36"/>
      <c r="K25" s="36"/>
      <c r="L25" s="10"/>
      <c r="M25" s="10"/>
    </row>
    <row r="26" spans="1:13" ht="12.5">
      <c r="A26" s="46"/>
      <c r="B26" s="52" t="str">
        <f>HYPERLINK("https://codeforces.com/contest/1068/problem/C","CF1068-D2-C")</f>
        <v>CF1068-D2-C</v>
      </c>
      <c r="C26" s="70"/>
      <c r="D26" s="70"/>
      <c r="E26" s="70"/>
      <c r="F26" s="70"/>
      <c r="G26" s="70"/>
      <c r="H26" s="70"/>
      <c r="I26" s="36">
        <f t="shared" si="0"/>
        <v>0</v>
      </c>
      <c r="J26" s="36"/>
      <c r="K26" s="36"/>
      <c r="L26" s="10"/>
      <c r="M26" s="10"/>
    </row>
    <row r="27" spans="1:13" ht="12.5">
      <c r="A27" s="46"/>
      <c r="B27" s="90" t="str">
        <f>HYPERLINK("http://codeforces.com/contest/313/problem/C","CF313-D2-C")</f>
        <v>CF313-D2-C</v>
      </c>
      <c r="C27" s="70"/>
      <c r="D27" s="70"/>
      <c r="E27" s="70"/>
      <c r="F27" s="70"/>
      <c r="G27" s="70"/>
      <c r="H27" s="70"/>
      <c r="I27" s="36">
        <f t="shared" si="0"/>
        <v>0</v>
      </c>
      <c r="J27" s="36"/>
      <c r="K27" s="36"/>
      <c r="L27" s="10"/>
      <c r="M27" s="10"/>
    </row>
    <row r="28" spans="1:13" ht="12.5">
      <c r="A28" s="152" t="s">
        <v>751</v>
      </c>
      <c r="B28" s="177" t="str">
        <f>HYPERLINK("http://codeforces.com/contest/430/problem/B","CF430-D2-B")</f>
        <v>CF430-D2-B</v>
      </c>
      <c r="C28" s="70"/>
      <c r="D28" s="70"/>
      <c r="E28" s="70"/>
      <c r="F28" s="70"/>
      <c r="G28" s="70"/>
      <c r="H28" s="70"/>
      <c r="I28" s="36">
        <f t="shared" si="0"/>
        <v>0</v>
      </c>
      <c r="J28" s="36"/>
      <c r="K28" s="36"/>
      <c r="L28" s="10"/>
      <c r="M28" s="10"/>
    </row>
    <row r="29" spans="1:13" ht="12.5">
      <c r="A29" s="152" t="s">
        <v>752</v>
      </c>
      <c r="B29" s="177" t="str">
        <f>HYPERLINK("http://codeforces.com/contest/84/problem/B","CF84-D2-B")</f>
        <v>CF84-D2-B</v>
      </c>
      <c r="C29" s="70"/>
      <c r="D29" s="70"/>
      <c r="E29" s="70"/>
      <c r="F29" s="70"/>
      <c r="G29" s="70"/>
      <c r="H29" s="70"/>
      <c r="I29" s="36">
        <f t="shared" si="0"/>
        <v>0</v>
      </c>
      <c r="J29" s="36"/>
      <c r="K29" s="36"/>
      <c r="L29" s="10"/>
      <c r="M29" s="10"/>
    </row>
    <row r="30" spans="1:13" ht="13">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2.5">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2.5">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2.5">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2.5">
      <c r="A35" s="77" t="s">
        <v>756</v>
      </c>
      <c r="B35" s="160" t="str">
        <f>HYPERLINK("http://www.spoj.com/problems/SHOP/","SPOJ SHOP")</f>
        <v>SPOJ SHOP</v>
      </c>
      <c r="C35" s="70"/>
      <c r="D35" s="70"/>
      <c r="E35" s="70"/>
      <c r="F35" s="70"/>
      <c r="G35" s="70"/>
      <c r="H35" s="70"/>
      <c r="I35" s="36">
        <f t="shared" si="0"/>
        <v>0</v>
      </c>
      <c r="J35" s="36"/>
      <c r="K35" s="36"/>
      <c r="L35" s="70"/>
      <c r="M35" s="59"/>
    </row>
    <row r="36" spans="1:13" ht="12.5">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2.5">
      <c r="A37" s="82"/>
      <c r="B37" s="166" t="str">
        <f>HYPERLINK("https://codeforces.com/contest/1064/problem/C","CF1064-D2-C")</f>
        <v>CF1064-D2-C</v>
      </c>
      <c r="C37" s="70"/>
      <c r="D37" s="70"/>
      <c r="E37" s="70"/>
      <c r="F37" s="70"/>
      <c r="G37" s="70"/>
      <c r="H37" s="70"/>
      <c r="I37" s="36">
        <f t="shared" si="0"/>
        <v>0</v>
      </c>
      <c r="J37" s="10"/>
      <c r="K37" s="10"/>
      <c r="L37" s="10"/>
      <c r="M37" s="10"/>
    </row>
    <row r="38" spans="1:13" ht="12.5">
      <c r="A38" s="82"/>
      <c r="B38" s="166" t="str">
        <f>HYPERLINK("https://codeforces.com/contest/1059/problem/C","CF1059-D2-C")</f>
        <v>CF1059-D2-C</v>
      </c>
      <c r="C38" s="70"/>
      <c r="D38" s="70"/>
      <c r="E38" s="70"/>
      <c r="F38" s="70"/>
      <c r="G38" s="70"/>
      <c r="H38" s="70"/>
      <c r="I38" s="36">
        <f t="shared" si="0"/>
        <v>0</v>
      </c>
      <c r="J38" s="10"/>
      <c r="K38" s="10"/>
      <c r="L38" s="10"/>
      <c r="M38" s="10"/>
    </row>
    <row r="39" spans="1:13" ht="12.5">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2.5">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2.5">
      <c r="A41" s="59"/>
      <c r="B41" s="59"/>
      <c r="C41" s="70"/>
      <c r="D41" s="70"/>
      <c r="E41" s="70"/>
      <c r="F41" s="70"/>
      <c r="G41" s="70"/>
      <c r="H41" s="70"/>
      <c r="I41" s="36">
        <f t="shared" si="0"/>
        <v>0</v>
      </c>
      <c r="J41" s="36"/>
      <c r="K41" s="36"/>
      <c r="L41" s="70"/>
      <c r="M41" s="59"/>
    </row>
    <row r="42" spans="1:13" ht="12.5">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2.5">
      <c r="A43" s="46" t="s">
        <v>760</v>
      </c>
      <c r="B43" s="149" t="str">
        <f>HYPERLINK("http://codeforces.com/contest/430/problem/C","CF430-D2-C")</f>
        <v>CF430-D2-C</v>
      </c>
      <c r="C43" s="70"/>
      <c r="D43" s="70"/>
      <c r="E43" s="70"/>
      <c r="F43" s="70"/>
      <c r="G43" s="70"/>
      <c r="H43" s="70"/>
      <c r="I43" s="36">
        <f t="shared" si="0"/>
        <v>0</v>
      </c>
      <c r="J43" s="36"/>
      <c r="K43" s="36"/>
      <c r="L43" s="70"/>
      <c r="M43" s="59"/>
    </row>
    <row r="44" spans="1:13" ht="12.5">
      <c r="A44" s="46" t="s">
        <v>761</v>
      </c>
      <c r="B44" s="149" t="str">
        <f>HYPERLINK("http://codeforces.com/contest/591/problem/C","CF591-D2-C")</f>
        <v>CF591-D2-C</v>
      </c>
      <c r="C44" s="70"/>
      <c r="D44" s="70"/>
      <c r="E44" s="70"/>
      <c r="F44" s="70"/>
      <c r="G44" s="70"/>
      <c r="H44" s="70"/>
      <c r="I44" s="36">
        <f t="shared" si="0"/>
        <v>0</v>
      </c>
      <c r="J44" s="36"/>
      <c r="K44" s="36"/>
      <c r="L44" s="70"/>
      <c r="M44" s="59"/>
    </row>
    <row r="45" spans="1:13" ht="12.5">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2.5">
      <c r="A46" s="59" t="s">
        <v>763</v>
      </c>
      <c r="B46" s="90" t="str">
        <f>HYPERLINK("http://codeforces.com/contest/202/problem/C","CF202-D2-C")</f>
        <v>CF202-D2-C</v>
      </c>
      <c r="C46" s="70"/>
      <c r="D46" s="70"/>
      <c r="E46" s="70"/>
      <c r="F46" s="70"/>
      <c r="G46" s="70"/>
      <c r="H46" s="70"/>
      <c r="I46" s="36">
        <f t="shared" si="0"/>
        <v>0</v>
      </c>
      <c r="J46" s="36"/>
      <c r="K46" s="36"/>
      <c r="L46" s="10"/>
      <c r="M46" s="10"/>
    </row>
    <row r="47" spans="1:13" ht="12.5">
      <c r="A47" s="59"/>
      <c r="B47" s="102" t="str">
        <f>HYPERLINK("https://codeforces.com/contest/1237/problem/C2","CF1237-D12-C2")</f>
        <v>CF1237-D12-C2</v>
      </c>
      <c r="C47" s="70"/>
      <c r="D47" s="70"/>
      <c r="E47" s="70"/>
      <c r="F47" s="70"/>
      <c r="G47" s="70"/>
      <c r="H47" s="70"/>
      <c r="I47" s="36">
        <f t="shared" si="0"/>
        <v>0</v>
      </c>
      <c r="J47" s="36"/>
      <c r="K47" s="36"/>
      <c r="L47" s="10"/>
      <c r="M47" s="10"/>
    </row>
    <row r="48" spans="1:13" ht="12.5">
      <c r="A48" s="152" t="s">
        <v>764</v>
      </c>
      <c r="B48" s="25" t="str">
        <f>HYPERLINK("http://codeforces.com/contest/426/problem/B","CF426-D2-B")</f>
        <v>CF426-D2-B</v>
      </c>
      <c r="C48" s="70"/>
      <c r="D48" s="70"/>
      <c r="E48" s="70"/>
      <c r="F48" s="70"/>
      <c r="G48" s="70"/>
      <c r="H48" s="70"/>
      <c r="I48" s="36">
        <f t="shared" si="0"/>
        <v>0</v>
      </c>
      <c r="J48" s="36"/>
      <c r="K48" s="36"/>
      <c r="L48" s="70"/>
      <c r="M48" s="59"/>
    </row>
    <row r="49" spans="1:13" ht="12.5">
      <c r="A49" s="152" t="s">
        <v>765</v>
      </c>
      <c r="B49" s="25" t="str">
        <f>HYPERLINK("http://codeforces.com/contest/675/problem/B","CF675-D2-B")</f>
        <v>CF675-D2-B</v>
      </c>
      <c r="C49" s="70"/>
      <c r="D49" s="70"/>
      <c r="E49" s="70"/>
      <c r="F49" s="70"/>
      <c r="G49" s="70"/>
      <c r="H49" s="70"/>
      <c r="I49" s="36">
        <f t="shared" si="0"/>
        <v>0</v>
      </c>
      <c r="J49" s="36"/>
      <c r="K49" s="36"/>
      <c r="L49" s="70"/>
      <c r="M49" s="59"/>
    </row>
    <row r="50" spans="1:13" ht="13">
      <c r="A50" s="59"/>
      <c r="B50" s="59"/>
      <c r="C50" s="70"/>
      <c r="D50" s="70"/>
      <c r="E50" s="70"/>
      <c r="F50" s="70"/>
      <c r="G50" s="70"/>
      <c r="H50" s="70"/>
      <c r="I50" s="36"/>
      <c r="J50" s="36"/>
      <c r="K50" s="36"/>
      <c r="L50" s="70"/>
      <c r="M50" s="115"/>
    </row>
    <row r="51" spans="1:13" ht="13">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2.5">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2.5">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2.5">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2.5">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2.5">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2.5">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2.5">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2.5">
      <c r="A60" s="82"/>
      <c r="B60" s="82" t="s">
        <v>773</v>
      </c>
      <c r="C60" s="70"/>
      <c r="D60" s="70"/>
      <c r="E60" s="70"/>
      <c r="F60" s="70"/>
      <c r="G60" s="70"/>
      <c r="H60" s="70"/>
      <c r="I60" s="36">
        <f t="shared" si="1"/>
        <v>0</v>
      </c>
      <c r="J60" s="36"/>
      <c r="K60" s="36"/>
      <c r="L60" s="70"/>
      <c r="M60" s="59"/>
    </row>
    <row r="61" spans="1:13" ht="12.5">
      <c r="A61" s="82"/>
      <c r="B61" s="119" t="str">
        <f>HYPERLINK("http://codeforces.com/contest/975/problem/C","CF975-D2-C")</f>
        <v>CF975-D2-C</v>
      </c>
      <c r="C61" s="70"/>
      <c r="D61" s="70"/>
      <c r="E61" s="70"/>
      <c r="F61" s="70"/>
      <c r="G61" s="70"/>
      <c r="H61" s="70"/>
      <c r="I61" s="36">
        <f t="shared" si="1"/>
        <v>0</v>
      </c>
      <c r="J61" s="36"/>
      <c r="K61" s="36"/>
      <c r="L61" s="70"/>
      <c r="M61" s="59"/>
    </row>
    <row r="62" spans="1:13" ht="12.5">
      <c r="A62" s="82"/>
      <c r="B62" s="119" t="str">
        <f>HYPERLINK("http://codeforces.com/contest/1047/problem/C","CF1047-D2-C")</f>
        <v>CF1047-D2-C</v>
      </c>
      <c r="C62" s="70"/>
      <c r="D62" s="70"/>
      <c r="E62" s="70"/>
      <c r="F62" s="70"/>
      <c r="G62" s="70"/>
      <c r="H62" s="70"/>
      <c r="I62" s="36">
        <f t="shared" si="1"/>
        <v>0</v>
      </c>
      <c r="J62" s="36"/>
      <c r="K62" s="36"/>
      <c r="L62" s="70"/>
      <c r="M62" s="59"/>
    </row>
    <row r="63" spans="1:13" ht="12.5">
      <c r="A63" s="82"/>
      <c r="B63" s="119" t="str">
        <f>HYPERLINK("http://codeforces.com/contest/1075/problem/C","CF1075-D2-C")</f>
        <v>CF1075-D2-C</v>
      </c>
      <c r="C63" s="70"/>
      <c r="D63" s="70"/>
      <c r="E63" s="70"/>
      <c r="F63" s="70"/>
      <c r="G63" s="70"/>
      <c r="H63" s="70"/>
      <c r="I63" s="36">
        <f t="shared" si="1"/>
        <v>0</v>
      </c>
      <c r="J63" s="36"/>
      <c r="K63" s="36"/>
      <c r="L63" s="70"/>
      <c r="M63" s="59"/>
    </row>
    <row r="64" spans="1:13" ht="12.5">
      <c r="A64" s="82"/>
      <c r="B64" s="119" t="str">
        <f>HYPERLINK("http://codeforces.com/contest/758/problem/C","CF758-D2-C")</f>
        <v>CF758-D2-C</v>
      </c>
      <c r="C64" s="70"/>
      <c r="D64" s="70"/>
      <c r="E64" s="70"/>
      <c r="F64" s="70"/>
      <c r="G64" s="70"/>
      <c r="H64" s="70"/>
      <c r="I64" s="36">
        <f t="shared" si="1"/>
        <v>0</v>
      </c>
      <c r="J64" s="36"/>
      <c r="K64" s="36"/>
      <c r="L64" s="70"/>
      <c r="M64" s="59"/>
    </row>
    <row r="65" spans="1:13" ht="12.5">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2.5">
      <c r="A66" s="59"/>
      <c r="B66" s="59"/>
      <c r="C66" s="70"/>
      <c r="D66" s="70"/>
      <c r="E66" s="70"/>
      <c r="F66" s="70"/>
      <c r="G66" s="70"/>
      <c r="H66" s="70"/>
      <c r="I66" s="36">
        <f t="shared" si="1"/>
        <v>0</v>
      </c>
      <c r="J66" s="36"/>
      <c r="K66" s="36"/>
      <c r="L66" s="70"/>
      <c r="M66" s="59"/>
    </row>
    <row r="67" spans="1:13" ht="12.5">
      <c r="A67" s="59" t="s">
        <v>775</v>
      </c>
      <c r="B67" s="90" t="str">
        <f>HYPERLINK("http://codeforces.com/contest/124/problem/C","CF124-D2-C")</f>
        <v>CF124-D2-C</v>
      </c>
      <c r="C67" s="70"/>
      <c r="D67" s="70"/>
      <c r="E67" s="70"/>
      <c r="F67" s="70"/>
      <c r="G67" s="70"/>
      <c r="H67" s="70"/>
      <c r="I67" s="36">
        <f t="shared" si="1"/>
        <v>0</v>
      </c>
      <c r="J67" s="10"/>
      <c r="K67" s="10"/>
      <c r="L67" s="10"/>
      <c r="M67" s="10"/>
    </row>
    <row r="68" spans="1:13" ht="12.5">
      <c r="A68" s="59" t="s">
        <v>776</v>
      </c>
      <c r="B68" s="90" t="str">
        <f>HYPERLINK("http://codeforces.com/contest/155/problem/C","CF155-D2-C")</f>
        <v>CF155-D2-C</v>
      </c>
      <c r="C68" s="70"/>
      <c r="D68" s="70"/>
      <c r="E68" s="70"/>
      <c r="F68" s="70"/>
      <c r="G68" s="70"/>
      <c r="H68" s="70"/>
      <c r="I68" s="36">
        <f t="shared" si="1"/>
        <v>0</v>
      </c>
      <c r="J68" s="10"/>
      <c r="K68" s="10"/>
      <c r="L68" s="10"/>
      <c r="M68" s="10"/>
    </row>
    <row r="69" spans="1:13" ht="12.5">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2.5">
      <c r="A70" s="46" t="s">
        <v>778</v>
      </c>
      <c r="B70" s="149" t="str">
        <f>HYPERLINK("http://codeforces.com/contest/490/problem/C","CF490-D2-C")</f>
        <v>CF490-D2-C</v>
      </c>
      <c r="C70" s="70"/>
      <c r="D70" s="70"/>
      <c r="E70" s="70"/>
      <c r="F70" s="70"/>
      <c r="G70" s="70"/>
      <c r="H70" s="70"/>
      <c r="I70" s="36">
        <f t="shared" si="1"/>
        <v>0</v>
      </c>
      <c r="J70" s="36"/>
      <c r="K70" s="36"/>
      <c r="L70" s="70"/>
      <c r="M70" s="59"/>
    </row>
    <row r="71" spans="1:13" ht="12.5">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2.5">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2.5">
      <c r="A73" s="59" t="s">
        <v>781</v>
      </c>
      <c r="B73" s="90" t="str">
        <f>HYPERLINK("http://codeforces.com/contest/569/problem/C","CF569-D2-C")</f>
        <v>CF569-D2-C</v>
      </c>
      <c r="C73" s="70"/>
      <c r="D73" s="70"/>
      <c r="E73" s="70"/>
      <c r="F73" s="70"/>
      <c r="G73" s="70"/>
      <c r="H73" s="70"/>
      <c r="I73" s="36">
        <f t="shared" si="1"/>
        <v>0</v>
      </c>
      <c r="J73" s="36"/>
      <c r="K73" s="36"/>
      <c r="L73" s="10"/>
      <c r="M73" s="10"/>
    </row>
    <row r="74" spans="1:13" ht="12.5">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2.5">
      <c r="A75" s="152" t="s">
        <v>783</v>
      </c>
      <c r="B75" s="25" t="str">
        <f>HYPERLINK("http://codeforces.com/contest/454/problem/B","CF454-D2-B")</f>
        <v>CF454-D2-B</v>
      </c>
      <c r="C75" s="70"/>
      <c r="D75" s="70"/>
      <c r="E75" s="70"/>
      <c r="F75" s="70"/>
      <c r="G75" s="70"/>
      <c r="H75" s="70"/>
      <c r="I75" s="36">
        <f t="shared" si="1"/>
        <v>0</v>
      </c>
      <c r="J75" s="36"/>
      <c r="K75" s="36"/>
      <c r="L75" s="70"/>
      <c r="M75" s="59"/>
    </row>
    <row r="76" spans="1:13" ht="13">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2.5">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2.5">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2.5">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2.5">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2.5">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2.5">
      <c r="A83" s="82" t="s">
        <v>789</v>
      </c>
      <c r="B83" s="83" t="str">
        <f>HYPERLINK("http://codeforces.com/contest/199/problem/B","CF199-D2-B")</f>
        <v>CF199-D2-B</v>
      </c>
      <c r="C83" s="70"/>
      <c r="D83" s="70"/>
      <c r="E83" s="70"/>
      <c r="F83" s="70"/>
      <c r="G83" s="70"/>
      <c r="H83" s="70"/>
      <c r="I83" s="36">
        <f t="shared" si="1"/>
        <v>0</v>
      </c>
      <c r="J83" s="36"/>
      <c r="K83" s="36"/>
      <c r="L83" s="70"/>
      <c r="M83" s="59"/>
    </row>
    <row r="84" spans="1:13" ht="12.5">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2.5">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2.5">
      <c r="A87" s="181" t="s">
        <v>792</v>
      </c>
      <c r="B87" s="182" t="str">
        <f>HYPERLINK("http://codeforces.com/contest/118/problem/D","CF118-D2-D")</f>
        <v>CF118-D2-D</v>
      </c>
      <c r="C87" s="70"/>
      <c r="D87" s="70"/>
      <c r="E87" s="70"/>
      <c r="F87" s="70"/>
      <c r="G87" s="70"/>
      <c r="H87" s="70"/>
      <c r="I87" s="36">
        <f t="shared" si="1"/>
        <v>0</v>
      </c>
      <c r="J87" s="36"/>
      <c r="K87" s="36"/>
      <c r="L87" s="70"/>
      <c r="M87" s="183"/>
    </row>
    <row r="88" spans="1:13" ht="12.5">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2.5">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2.5">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2.5">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2.5">
      <c r="A92" s="59"/>
      <c r="B92" s="59"/>
      <c r="C92" s="70"/>
      <c r="D92" s="70"/>
      <c r="E92" s="70"/>
      <c r="F92" s="70"/>
      <c r="G92" s="70"/>
      <c r="H92" s="70"/>
      <c r="I92" s="36">
        <f t="shared" si="1"/>
        <v>0</v>
      </c>
      <c r="J92" s="36"/>
      <c r="K92" s="36"/>
      <c r="L92" s="70"/>
      <c r="M92" s="183"/>
    </row>
    <row r="93" spans="1:13" ht="12.5">
      <c r="A93" s="59" t="s">
        <v>797</v>
      </c>
      <c r="B93" s="90" t="str">
        <f>HYPERLINK("http://codeforces.com/contest/465/problem/C","CF465-D2-C")</f>
        <v>CF465-D2-C</v>
      </c>
      <c r="C93" s="70"/>
      <c r="D93" s="70"/>
      <c r="E93" s="70"/>
      <c r="F93" s="70"/>
      <c r="G93" s="70"/>
      <c r="H93" s="70"/>
      <c r="I93" s="36">
        <f t="shared" si="1"/>
        <v>0</v>
      </c>
      <c r="J93" s="10"/>
      <c r="K93" s="10"/>
      <c r="L93" s="10"/>
      <c r="M93" s="10"/>
    </row>
    <row r="94" spans="1:13" ht="12.5">
      <c r="A94" s="59" t="s">
        <v>798</v>
      </c>
      <c r="B94" s="90" t="str">
        <f>HYPERLINK("http://codeforces.com/contest/408/problem/C","CF408-D2-C")</f>
        <v>CF408-D2-C</v>
      </c>
      <c r="C94" s="70"/>
      <c r="D94" s="70"/>
      <c r="E94" s="70"/>
      <c r="F94" s="70"/>
      <c r="G94" s="70"/>
      <c r="H94" s="70"/>
      <c r="I94" s="36">
        <f t="shared" si="1"/>
        <v>0</v>
      </c>
      <c r="J94" s="10"/>
      <c r="K94" s="10"/>
      <c r="L94" s="10"/>
      <c r="M94" s="10"/>
    </row>
    <row r="95" spans="1:13" ht="12.5">
      <c r="A95" s="59" t="s">
        <v>799</v>
      </c>
      <c r="B95" s="90" t="str">
        <f>HYPERLINK("http://codeforces.com/contest/231/problem/C","CF231-D2-C")</f>
        <v>CF231-D2-C</v>
      </c>
      <c r="C95" s="70"/>
      <c r="D95" s="70"/>
      <c r="E95" s="70"/>
      <c r="F95" s="70"/>
      <c r="G95" s="70"/>
      <c r="H95" s="70"/>
      <c r="I95" s="36">
        <f t="shared" si="1"/>
        <v>0</v>
      </c>
      <c r="J95" s="10"/>
      <c r="K95" s="10"/>
      <c r="L95" s="10"/>
      <c r="M95" s="10"/>
    </row>
    <row r="96" spans="1:13" ht="12.5">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2.5">
      <c r="A97" s="46" t="s">
        <v>654</v>
      </c>
      <c r="B97" s="149" t="str">
        <f>HYPERLINK("http://codeforces.com/contest/141/problem/C","CF141-D2-C")</f>
        <v>CF141-D2-C</v>
      </c>
      <c r="C97" s="70"/>
      <c r="D97" s="70"/>
      <c r="E97" s="70"/>
      <c r="F97" s="70"/>
      <c r="G97" s="70"/>
      <c r="H97" s="70"/>
      <c r="I97" s="36">
        <f t="shared" si="1"/>
        <v>0</v>
      </c>
      <c r="J97" s="36"/>
      <c r="K97" s="36"/>
      <c r="L97" s="70"/>
      <c r="M97" s="59"/>
    </row>
    <row r="98" spans="1:13" ht="12.5">
      <c r="A98" s="46" t="s">
        <v>801</v>
      </c>
      <c r="B98" s="149" t="str">
        <f>HYPERLINK("http://codeforces.com/contest/270/problem/C","CF270-D2-C")</f>
        <v>CF270-D2-C</v>
      </c>
      <c r="C98" s="70"/>
      <c r="D98" s="70"/>
      <c r="E98" s="70"/>
      <c r="F98" s="70"/>
      <c r="G98" s="70"/>
      <c r="H98" s="70"/>
      <c r="I98" s="36">
        <f t="shared" si="1"/>
        <v>0</v>
      </c>
      <c r="J98" s="36"/>
      <c r="K98" s="36"/>
      <c r="L98" s="70"/>
      <c r="M98" s="59"/>
    </row>
    <row r="99" spans="1:13" ht="12.5">
      <c r="A99" s="46" t="s">
        <v>802</v>
      </c>
      <c r="B99" s="149" t="str">
        <f>HYPERLINK("http://codeforces.com/contest/160/problem/C","CF160-D2-C")</f>
        <v>CF160-D2-C</v>
      </c>
      <c r="C99" s="70"/>
      <c r="D99" s="70"/>
      <c r="E99" s="70"/>
      <c r="F99" s="70"/>
      <c r="G99" s="70"/>
      <c r="H99" s="70"/>
      <c r="I99" s="36">
        <f t="shared" si="1"/>
        <v>0</v>
      </c>
      <c r="J99" s="36"/>
      <c r="K99" s="36"/>
      <c r="L99" s="70"/>
      <c r="M99" s="59"/>
    </row>
    <row r="100" spans="1:13" ht="12.5">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2.5">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2.5">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2.5">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2.5">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2.5">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2.5">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2.5">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2.5">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5">
      <c r="A112" s="59"/>
      <c r="B112" s="59"/>
      <c r="C112" s="70"/>
      <c r="D112" s="70"/>
      <c r="E112" s="70"/>
      <c r="F112" s="70"/>
      <c r="G112" s="70"/>
      <c r="H112" s="70"/>
      <c r="I112" s="36">
        <f t="shared" si="1"/>
        <v>0</v>
      </c>
      <c r="J112" s="36"/>
      <c r="K112" s="36"/>
      <c r="L112" s="70"/>
      <c r="M112" s="59"/>
    </row>
    <row r="113" spans="1:13" ht="12.5">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2.5">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2.5">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2.5">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2.5">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2.5">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2.5">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2.5">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2.5">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2.5">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2.5">
      <c r="A123" s="46"/>
      <c r="B123" s="46"/>
      <c r="C123" s="70"/>
      <c r="D123" s="70"/>
      <c r="E123" s="70"/>
      <c r="F123" s="70"/>
      <c r="G123" s="70"/>
      <c r="H123" s="70"/>
      <c r="I123" s="36">
        <f t="shared" si="1"/>
        <v>0</v>
      </c>
      <c r="J123" s="36"/>
      <c r="K123" s="36"/>
      <c r="L123" s="70"/>
      <c r="M123" s="59"/>
    </row>
    <row r="124" spans="1:13" ht="13">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2.5">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2.5">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2.5">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2.5">
      <c r="A129" s="46"/>
      <c r="B129" s="46"/>
      <c r="C129" s="70"/>
      <c r="D129" s="70"/>
      <c r="E129" s="70"/>
      <c r="F129" s="70"/>
      <c r="G129" s="70"/>
      <c r="H129" s="70"/>
      <c r="I129" s="36">
        <f t="shared" si="1"/>
        <v>0</v>
      </c>
      <c r="J129" s="36"/>
      <c r="K129" s="36"/>
      <c r="L129" s="70"/>
      <c r="M129" s="59"/>
    </row>
    <row r="130" spans="1:13" ht="12.5">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2.5">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2.5">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2.5">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2.5">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2.5">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2.5">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2.5">
      <c r="A137" s="59"/>
      <c r="B137" s="59"/>
      <c r="C137" s="70"/>
      <c r="D137" s="70"/>
      <c r="E137" s="70"/>
      <c r="F137" s="70"/>
      <c r="G137" s="70"/>
      <c r="H137" s="70"/>
      <c r="I137" s="36">
        <f t="shared" si="1"/>
        <v>0</v>
      </c>
      <c r="J137" s="36"/>
      <c r="K137" s="36"/>
      <c r="L137" s="70"/>
      <c r="M137" s="59"/>
    </row>
    <row r="138" spans="1:13" ht="12.5">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2.5">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2.5">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2.5">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2.5">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2.5">
      <c r="A143" s="82"/>
      <c r="B143" s="83" t="str">
        <f>HYPERLINK("http://codeforces.com/contest/23/problem/C","CF23-D12-C")</f>
        <v>CF23-D12-C</v>
      </c>
      <c r="C143" s="70"/>
      <c r="D143" s="70"/>
      <c r="E143" s="70"/>
      <c r="F143" s="70"/>
      <c r="G143" s="70"/>
      <c r="H143" s="70"/>
      <c r="I143" s="36">
        <f t="shared" si="1"/>
        <v>0</v>
      </c>
      <c r="J143" s="10"/>
      <c r="K143" s="10"/>
      <c r="L143" s="10"/>
      <c r="M143" s="118"/>
    </row>
    <row r="144" spans="1:13" ht="12.5">
      <c r="A144" s="82"/>
      <c r="B144" s="83" t="str">
        <f>HYPERLINK("http://codeforces.com/problemset/problem/869/C","CF869-D2-C")</f>
        <v>CF869-D2-C</v>
      </c>
      <c r="C144" s="70"/>
      <c r="D144" s="70"/>
      <c r="E144" s="70"/>
      <c r="F144" s="70"/>
      <c r="G144" s="70"/>
      <c r="H144" s="70"/>
      <c r="I144" s="36">
        <f t="shared" si="1"/>
        <v>0</v>
      </c>
      <c r="J144" s="10"/>
      <c r="K144" s="10"/>
      <c r="L144" s="10"/>
      <c r="M144" s="118"/>
    </row>
    <row r="145" spans="1:13" ht="12.5">
      <c r="A145" s="82"/>
      <c r="B145" s="82" t="s">
        <v>837</v>
      </c>
      <c r="C145" s="70"/>
      <c r="D145" s="70"/>
      <c r="E145" s="70"/>
      <c r="F145" s="70"/>
      <c r="G145" s="70"/>
      <c r="H145" s="70"/>
      <c r="I145" s="36">
        <f t="shared" si="1"/>
        <v>0</v>
      </c>
      <c r="J145" s="10"/>
      <c r="K145" s="10"/>
      <c r="L145" s="10"/>
      <c r="M145" s="46" t="s">
        <v>838</v>
      </c>
    </row>
    <row r="146" spans="1:13" ht="12.5">
      <c r="A146" s="59"/>
      <c r="B146" s="59"/>
      <c r="C146" s="70"/>
      <c r="D146" s="70"/>
      <c r="E146" s="70"/>
      <c r="F146" s="70"/>
      <c r="G146" s="70"/>
      <c r="H146" s="70"/>
      <c r="I146" s="36">
        <f t="shared" si="1"/>
        <v>0</v>
      </c>
      <c r="J146" s="36"/>
      <c r="K146" s="36"/>
      <c r="L146" s="70"/>
    </row>
    <row r="147" spans="1:13" ht="13">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2.5">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2.5">
      <c r="A149" s="77"/>
      <c r="B149" s="170" t="str">
        <f>HYPERLINK("http://codeforces.com/contest/839/problem/C","CF839-D2-C")</f>
        <v>CF839-D2-C</v>
      </c>
      <c r="C149" s="70"/>
      <c r="D149" s="70"/>
      <c r="E149" s="70"/>
      <c r="F149" s="70"/>
      <c r="G149" s="70"/>
      <c r="H149" s="70"/>
      <c r="I149" s="36">
        <f t="shared" si="1"/>
        <v>0</v>
      </c>
      <c r="J149" s="36"/>
      <c r="K149" s="36"/>
      <c r="L149" s="70"/>
      <c r="M149" s="59"/>
    </row>
    <row r="150" spans="1:13" ht="12.5">
      <c r="A150" s="77"/>
      <c r="B150" s="170" t="str">
        <f>HYPERLINK("http://codeforces.com/contest/454/problem/C","CF454-D2-C")</f>
        <v>CF454-D2-C</v>
      </c>
      <c r="C150" s="70"/>
      <c r="D150" s="70"/>
      <c r="E150" s="70"/>
      <c r="F150" s="70"/>
      <c r="G150" s="70"/>
      <c r="H150" s="70"/>
      <c r="I150" s="36">
        <f t="shared" si="1"/>
        <v>0</v>
      </c>
      <c r="J150" s="36"/>
      <c r="K150" s="36"/>
      <c r="L150" s="70"/>
      <c r="M150" s="59"/>
    </row>
    <row r="151" spans="1:13" ht="12.5">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2.5">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2.5">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2.5">
      <c r="A154" s="82"/>
      <c r="B154" s="83" t="str">
        <f>HYPERLINK("http://codeforces.com/contest/340/problem/B","CF340-D2-B")</f>
        <v>CF340-D2-B</v>
      </c>
      <c r="C154" s="70"/>
      <c r="D154" s="70"/>
      <c r="E154" s="70"/>
      <c r="F154" s="70"/>
      <c r="G154" s="70"/>
      <c r="H154" s="70"/>
      <c r="I154" s="36">
        <f t="shared" si="1"/>
        <v>0</v>
      </c>
      <c r="J154" s="36"/>
      <c r="K154" s="36"/>
      <c r="L154" s="70"/>
      <c r="M154" s="59"/>
    </row>
    <row r="155" spans="1:13" ht="12.5">
      <c r="A155" s="144"/>
      <c r="B155" s="144"/>
      <c r="C155" s="146"/>
      <c r="D155" s="146"/>
      <c r="E155" s="146"/>
      <c r="F155" s="146"/>
      <c r="G155" s="146"/>
      <c r="H155" s="146"/>
      <c r="I155" s="146">
        <f t="shared" ref="I155:I157" si="2">SUM(E155:G155)</f>
        <v>0</v>
      </c>
      <c r="J155" s="146"/>
      <c r="K155" s="146"/>
      <c r="L155" s="146"/>
      <c r="M155" s="144"/>
    </row>
    <row r="156" spans="1:13" ht="12.5">
      <c r="A156" s="59"/>
      <c r="B156" s="59"/>
      <c r="C156" s="70"/>
      <c r="D156" s="370" t="s">
        <v>274</v>
      </c>
      <c r="E156" s="344"/>
      <c r="F156" s="344"/>
      <c r="G156" s="344"/>
      <c r="H156" s="70"/>
      <c r="I156" s="70">
        <f t="shared" si="2"/>
        <v>0</v>
      </c>
      <c r="J156" s="369" t="s">
        <v>275</v>
      </c>
      <c r="K156" s="344"/>
      <c r="L156" s="344"/>
      <c r="M156" s="344"/>
    </row>
    <row r="157" spans="1:13" ht="12.5">
      <c r="A157" s="144"/>
      <c r="B157" s="144"/>
      <c r="C157" s="146"/>
      <c r="D157" s="146"/>
      <c r="E157" s="146"/>
      <c r="F157" s="146"/>
      <c r="G157" s="146"/>
      <c r="H157" s="146"/>
      <c r="I157" s="146">
        <f t="shared" si="2"/>
        <v>0</v>
      </c>
      <c r="J157" s="146"/>
      <c r="K157" s="146"/>
      <c r="L157" s="146"/>
      <c r="M157" s="144"/>
    </row>
    <row r="158" spans="1:13" ht="12.5">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2.5">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2.5">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2.5">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2.5">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2.5">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2.5">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2.5">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2.5">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2.5">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2.5">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2.5">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2.5">
      <c r="A170" s="46"/>
      <c r="B170" s="46"/>
      <c r="C170" s="70"/>
      <c r="D170" s="70"/>
      <c r="E170" s="70"/>
      <c r="F170" s="70"/>
      <c r="G170" s="70"/>
      <c r="H170" s="70"/>
      <c r="I170" s="36">
        <f t="shared" si="3"/>
        <v>0</v>
      </c>
      <c r="J170" s="36"/>
      <c r="K170" s="36"/>
      <c r="L170" s="70"/>
      <c r="M170" s="59"/>
    </row>
    <row r="171" spans="1:13" ht="12.5">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2.5">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2.5">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2.5">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2.5">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2.5">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2.5">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2.5">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2.5">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2.5">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2.5">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2.5">
      <c r="A182" s="46"/>
      <c r="B182" s="46"/>
      <c r="C182" s="70"/>
      <c r="D182" s="70"/>
      <c r="E182" s="70"/>
      <c r="F182" s="70"/>
      <c r="G182" s="70"/>
      <c r="H182" s="70"/>
      <c r="I182" s="36">
        <f t="shared" si="3"/>
        <v>0</v>
      </c>
      <c r="J182" s="36"/>
      <c r="K182" s="36"/>
      <c r="L182" s="70"/>
      <c r="M182" s="59"/>
    </row>
    <row r="183" spans="1:13" ht="12.5">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2.5">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2.5">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2.5">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2.5">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2.5">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2.5">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2.5">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2.5">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2.5">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2.5">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2.5">
      <c r="A194" s="46"/>
      <c r="B194" s="46"/>
      <c r="C194" s="70"/>
      <c r="D194" s="70"/>
      <c r="E194" s="70"/>
      <c r="F194" s="70"/>
      <c r="G194" s="70"/>
      <c r="H194" s="70"/>
      <c r="I194" s="36">
        <f t="shared" si="3"/>
        <v>0</v>
      </c>
      <c r="J194" s="36"/>
      <c r="K194" s="36"/>
      <c r="L194" s="70"/>
      <c r="M194" s="59"/>
    </row>
    <row r="195" spans="1:13" ht="12.5">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2.5">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2.5">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2.5">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2.5">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2.5">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2.5">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08984375" defaultRowHeight="15.75" customHeight="1"/>
  <cols>
    <col min="1" max="1" width="14.7265625" customWidth="1"/>
    <col min="2" max="2" width="17.36328125" customWidth="1"/>
    <col min="3" max="3" width="6" customWidth="1"/>
    <col min="4" max="4" width="6.6328125" customWidth="1"/>
    <col min="5" max="5" width="7.36328125" customWidth="1"/>
    <col min="6" max="6" width="7.6328125" customWidth="1"/>
    <col min="7" max="7" width="8.7265625" customWidth="1"/>
    <col min="8" max="9" width="7.453125" customWidth="1"/>
    <col min="10" max="12" width="8.7265625" customWidth="1"/>
    <col min="13" max="13" width="61.6328125" customWidth="1"/>
  </cols>
  <sheetData>
    <row r="1" spans="1:13" ht="37.5">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5">
      <c r="A3" s="59" t="s">
        <v>882</v>
      </c>
      <c r="B3" s="133" t="str">
        <f>HYPERLINK("http://codeforces.com/contest/63/problem/D","CF63-D2-D")</f>
        <v>CF63-D2-D</v>
      </c>
      <c r="C3" s="10"/>
      <c r="D3" s="193"/>
      <c r="E3" s="193"/>
      <c r="F3" s="10"/>
      <c r="G3" s="10"/>
      <c r="H3" s="10"/>
      <c r="I3" s="70">
        <f t="shared" ref="I3:I160" si="0">SUM(E3:H3)</f>
        <v>0</v>
      </c>
      <c r="J3" s="10"/>
      <c r="K3" s="10"/>
      <c r="L3" s="10"/>
      <c r="M3" s="10"/>
    </row>
    <row r="4" spans="1:13" ht="12.5">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2.5">
      <c r="A5" s="59" t="s">
        <v>884</v>
      </c>
      <c r="B5" s="133" t="str">
        <f>HYPERLINK("http://codeforces.com/contest/400/problem/D","CF400-D2-D")</f>
        <v>CF400-D2-D</v>
      </c>
      <c r="C5" s="10"/>
      <c r="D5" s="193"/>
      <c r="E5" s="193"/>
      <c r="F5" s="10"/>
      <c r="G5" s="10"/>
      <c r="H5" s="10"/>
      <c r="I5" s="70">
        <f t="shared" si="0"/>
        <v>0</v>
      </c>
      <c r="J5" s="10"/>
      <c r="K5" s="10"/>
      <c r="L5" s="10"/>
      <c r="M5" s="59"/>
    </row>
    <row r="6" spans="1:13" ht="12.5">
      <c r="A6" s="59"/>
      <c r="B6" s="133" t="str">
        <f>HYPERLINK("http://codeforces.com/contest/1043/problem/C","CF1043-D12-C")</f>
        <v>CF1043-D12-C</v>
      </c>
      <c r="C6" s="10"/>
      <c r="D6" s="193"/>
      <c r="E6" s="193"/>
      <c r="F6" s="10"/>
      <c r="G6" s="10"/>
      <c r="H6" s="10"/>
      <c r="I6" s="70">
        <f t="shared" si="0"/>
        <v>0</v>
      </c>
      <c r="J6" s="10"/>
      <c r="K6" s="10"/>
      <c r="L6" s="10"/>
      <c r="M6" s="59"/>
    </row>
    <row r="7" spans="1:13" ht="12.5">
      <c r="A7" s="59"/>
      <c r="B7" s="133" t="str">
        <f>HYPERLINK("https://codeforces.com/contest/1033/problem/C","CF1033-D12-C")</f>
        <v>CF1033-D12-C</v>
      </c>
      <c r="C7" s="10"/>
      <c r="D7" s="193"/>
      <c r="E7" s="193"/>
      <c r="F7" s="10"/>
      <c r="G7" s="10"/>
      <c r="H7" s="10"/>
      <c r="I7" s="70">
        <f t="shared" si="0"/>
        <v>0</v>
      </c>
      <c r="J7" s="10"/>
      <c r="K7" s="10"/>
      <c r="L7" s="10"/>
      <c r="M7" s="59"/>
    </row>
    <row r="8" spans="1:13" ht="12.5">
      <c r="A8" s="59"/>
      <c r="B8" s="133" t="str">
        <f>HYPERLINK("https://codeforces.com/contest/1066/problem/E","CF1066-D3-E")</f>
        <v>CF1066-D3-E</v>
      </c>
      <c r="C8" s="10"/>
      <c r="D8" s="193"/>
      <c r="E8" s="193"/>
      <c r="F8" s="10"/>
      <c r="G8" s="10"/>
      <c r="H8" s="10"/>
      <c r="I8" s="70">
        <f t="shared" si="0"/>
        <v>0</v>
      </c>
      <c r="J8" s="10"/>
      <c r="K8" s="10"/>
      <c r="L8" s="10"/>
      <c r="M8" s="59"/>
    </row>
    <row r="9" spans="1:13" ht="12.5">
      <c r="A9" s="59"/>
      <c r="B9" s="133" t="str">
        <f>HYPERLINK("http://codeforces.com/contest/534/problem/D","CF534-D2-D")</f>
        <v>CF534-D2-D</v>
      </c>
      <c r="C9" s="10"/>
      <c r="D9" s="193"/>
      <c r="E9" s="193"/>
      <c r="F9" s="10"/>
      <c r="G9" s="10"/>
      <c r="H9" s="10"/>
      <c r="I9" s="70">
        <f t="shared" si="0"/>
        <v>0</v>
      </c>
      <c r="J9" s="10"/>
      <c r="K9" s="10"/>
      <c r="L9" s="10"/>
      <c r="M9" s="59"/>
    </row>
    <row r="10" spans="1:13" ht="12.5">
      <c r="A10" s="59"/>
      <c r="B10" s="133" t="str">
        <f>HYPERLINK("http://codeforces.com/problemset/problem/899/E","CF899-D2-E")</f>
        <v>CF899-D2-E</v>
      </c>
      <c r="C10" s="10"/>
      <c r="D10" s="193"/>
      <c r="E10" s="193"/>
      <c r="F10" s="10"/>
      <c r="G10" s="10"/>
      <c r="H10" s="10"/>
      <c r="I10" s="70">
        <f t="shared" si="0"/>
        <v>0</v>
      </c>
      <c r="J10" s="10"/>
      <c r="K10" s="10"/>
      <c r="L10" s="10"/>
      <c r="M10" s="59"/>
    </row>
    <row r="11" spans="1:13" ht="12.5">
      <c r="A11" s="59"/>
      <c r="B11" s="133" t="str">
        <f>HYPERLINK("http://codeforces.com/contest/729/problem/D","CF729-D12-D")</f>
        <v>CF729-D12-D</v>
      </c>
      <c r="C11" s="10"/>
      <c r="D11" s="193"/>
      <c r="E11" s="193"/>
      <c r="F11" s="10"/>
      <c r="G11" s="10"/>
      <c r="H11" s="10"/>
      <c r="I11" s="70">
        <f t="shared" si="0"/>
        <v>0</v>
      </c>
      <c r="J11" s="10"/>
      <c r="K11" s="10"/>
      <c r="L11" s="10"/>
      <c r="M11" s="59"/>
    </row>
    <row r="12" spans="1:13" ht="12.5">
      <c r="A12" s="152" t="s">
        <v>885</v>
      </c>
      <c r="B12" s="194" t="str">
        <f>HYPERLINK("http://codeforces.com/contest/340/problem/C","CF340-D2-C")</f>
        <v>CF340-D2-C</v>
      </c>
      <c r="C12" s="10"/>
      <c r="D12" s="193"/>
      <c r="E12" s="193"/>
      <c r="F12" s="10"/>
      <c r="G12" s="10"/>
      <c r="H12" s="10"/>
      <c r="I12" s="70">
        <f t="shared" si="0"/>
        <v>0</v>
      </c>
      <c r="J12" s="10"/>
      <c r="K12" s="10"/>
      <c r="L12" s="10"/>
      <c r="M12" s="59"/>
    </row>
    <row r="13" spans="1:13" ht="12.5">
      <c r="A13" s="152" t="s">
        <v>886</v>
      </c>
      <c r="B13" s="194" t="str">
        <f>HYPERLINK("http://codeforces.com/contest/697/problem/C","CF697-D2-C")</f>
        <v>CF697-D2-C</v>
      </c>
      <c r="C13" s="10"/>
      <c r="D13" s="193"/>
      <c r="E13" s="193"/>
      <c r="F13" s="10"/>
      <c r="G13" s="10"/>
      <c r="H13" s="10"/>
      <c r="I13" s="70">
        <f t="shared" si="0"/>
        <v>0</v>
      </c>
      <c r="J13" s="10"/>
      <c r="K13" s="10"/>
      <c r="L13" s="10"/>
      <c r="M13" s="59"/>
    </row>
    <row r="14" spans="1:13" ht="12.5">
      <c r="A14" s="152" t="s">
        <v>887</v>
      </c>
      <c r="B14" s="194" t="str">
        <f>HYPERLINK("http://codeforces.com/contest/404/problem/C","CF404-D2-C")</f>
        <v>CF404-D2-C</v>
      </c>
      <c r="C14" s="10"/>
      <c r="D14" s="193"/>
      <c r="E14" s="193"/>
      <c r="F14" s="10"/>
      <c r="G14" s="10"/>
      <c r="H14" s="10"/>
      <c r="I14" s="70">
        <f t="shared" si="0"/>
        <v>0</v>
      </c>
      <c r="J14" s="10"/>
      <c r="K14" s="10"/>
      <c r="L14" s="10"/>
      <c r="M14" s="59"/>
    </row>
    <row r="15" spans="1:13" ht="13">
      <c r="A15" s="191"/>
      <c r="B15" s="195" t="str">
        <f>HYPERLINK("http://codeforces.com/contest/309/problem/C","CF309-D1-C")</f>
        <v>CF309-D1-C</v>
      </c>
      <c r="C15" s="10"/>
      <c r="D15" s="193"/>
      <c r="E15" s="193"/>
      <c r="F15" s="10"/>
      <c r="G15" s="10"/>
      <c r="H15" s="10"/>
      <c r="I15" s="70">
        <f t="shared" si="0"/>
        <v>0</v>
      </c>
      <c r="J15" s="36"/>
      <c r="K15" s="36"/>
      <c r="L15" s="10"/>
      <c r="M15" s="196"/>
    </row>
    <row r="16" spans="1:13" ht="12.5">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2.5">
      <c r="A17" s="82"/>
      <c r="B17" s="82" t="s">
        <v>888</v>
      </c>
      <c r="C17" s="10"/>
      <c r="D17" s="193"/>
      <c r="E17" s="193"/>
      <c r="F17" s="10"/>
      <c r="G17" s="10"/>
      <c r="H17" s="10"/>
      <c r="I17" s="70">
        <f t="shared" si="0"/>
        <v>0</v>
      </c>
      <c r="J17" s="36"/>
      <c r="K17" s="36"/>
      <c r="L17" s="10"/>
      <c r="M17" s="46"/>
    </row>
    <row r="18" spans="1:13" ht="12.5">
      <c r="A18" s="82"/>
      <c r="B18" s="197" t="str">
        <f>HYPERLINK("http://codeforces.com/problemset/problem/961/D","CF961-D12-D")</f>
        <v>CF961-D12-D</v>
      </c>
      <c r="C18" s="10"/>
      <c r="D18" s="193"/>
      <c r="E18" s="193"/>
      <c r="F18" s="10"/>
      <c r="G18" s="10"/>
      <c r="H18" s="10"/>
      <c r="I18" s="70">
        <f t="shared" si="0"/>
        <v>0</v>
      </c>
      <c r="J18" s="36"/>
      <c r="K18" s="36"/>
      <c r="L18" s="10"/>
      <c r="M18" s="46"/>
    </row>
    <row r="19" spans="1:13" ht="12.5">
      <c r="A19" s="82"/>
      <c r="B19" s="197" t="str">
        <f>HYPERLINK("http://codeforces.com/problemset/problem/955/C","CF955-D2-C")</f>
        <v>CF955-D2-C</v>
      </c>
      <c r="C19" s="10"/>
      <c r="D19" s="193"/>
      <c r="E19" s="193"/>
      <c r="F19" s="10"/>
      <c r="G19" s="10"/>
      <c r="H19" s="10"/>
      <c r="I19" s="70">
        <f t="shared" si="0"/>
        <v>0</v>
      </c>
      <c r="J19" s="36"/>
      <c r="K19" s="36"/>
      <c r="L19" s="10"/>
      <c r="M19" s="46"/>
    </row>
    <row r="20" spans="1:13" ht="12.5">
      <c r="A20" s="82"/>
      <c r="B20" s="82" t="s">
        <v>889</v>
      </c>
      <c r="C20" s="10"/>
      <c r="D20" s="193"/>
      <c r="E20" s="193"/>
      <c r="F20" s="10"/>
      <c r="G20" s="10"/>
      <c r="H20" s="10"/>
      <c r="I20" s="70">
        <f t="shared" si="0"/>
        <v>0</v>
      </c>
      <c r="J20" s="36"/>
      <c r="K20" s="36"/>
      <c r="L20" s="10"/>
      <c r="M20" s="149" t="str">
        <f>HYPERLINK("https://pastebin.com/WHzEMUew","Sol")</f>
        <v>Sol</v>
      </c>
    </row>
    <row r="21" spans="1:13" ht="12.5">
      <c r="A21" s="82"/>
      <c r="B21" s="197" t="str">
        <f>HYPERLINK("http://codeforces.com/contest/372/problem/B","CF372-D1-B")</f>
        <v>CF372-D1-B</v>
      </c>
      <c r="C21" s="10"/>
      <c r="D21" s="193"/>
      <c r="E21" s="193"/>
      <c r="F21" s="10"/>
      <c r="G21" s="10"/>
      <c r="H21" s="10"/>
      <c r="I21" s="70">
        <f t="shared" si="0"/>
        <v>0</v>
      </c>
      <c r="J21" s="36"/>
      <c r="K21" s="36"/>
      <c r="L21" s="10"/>
      <c r="M21" s="46"/>
    </row>
    <row r="22" spans="1:13" ht="13">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2.5">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2.5">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2.5">
      <c r="A25" s="202" t="s">
        <v>892</v>
      </c>
      <c r="B25" s="201" t="str">
        <f>HYPERLINK("http://www.spoj.com/problems/CDC12_H","SPOJ CDC12_H")</f>
        <v>SPOJ CDC12_H</v>
      </c>
      <c r="C25" s="10"/>
      <c r="D25" s="193"/>
      <c r="E25" s="193"/>
      <c r="F25" s="10"/>
      <c r="G25" s="10"/>
      <c r="H25" s="10"/>
      <c r="I25" s="70">
        <f t="shared" si="0"/>
        <v>0</v>
      </c>
      <c r="J25" s="10"/>
      <c r="K25" s="10"/>
      <c r="L25" s="10"/>
      <c r="M25" s="10"/>
    </row>
    <row r="26" spans="1:13" ht="12.5">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2.5">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2.5">
      <c r="A28" s="200" t="s">
        <v>895</v>
      </c>
      <c r="B28" s="201" t="str">
        <f>HYPERLINK("http://www.spoj.com/problems/LITE/","SPOJ LITE")</f>
        <v>SPOJ LITE</v>
      </c>
      <c r="C28" s="10"/>
      <c r="D28" s="193"/>
      <c r="E28" s="193"/>
      <c r="F28" s="10"/>
      <c r="G28" s="10"/>
      <c r="H28" s="10"/>
      <c r="I28" s="70">
        <f t="shared" si="0"/>
        <v>0</v>
      </c>
      <c r="J28" s="36"/>
      <c r="K28" s="36"/>
      <c r="L28" s="10"/>
      <c r="M28" s="59"/>
    </row>
    <row r="29" spans="1:13" ht="12.5">
      <c r="A29" s="200" t="s">
        <v>896</v>
      </c>
      <c r="B29" s="203" t="str">
        <f>HYPERLINK("http://codeforces.com/contest/52/problem/C","CF52-D12-C")</f>
        <v>CF52-D12-C</v>
      </c>
      <c r="C29" s="10"/>
      <c r="D29" s="193"/>
      <c r="E29" s="193"/>
      <c r="F29" s="10"/>
      <c r="G29" s="10"/>
      <c r="H29" s="10"/>
      <c r="I29" s="70">
        <f t="shared" si="0"/>
        <v>0</v>
      </c>
      <c r="J29" s="10"/>
      <c r="K29" s="10"/>
      <c r="L29" s="10"/>
      <c r="M29" s="46"/>
    </row>
    <row r="30" spans="1:13" ht="12.5">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2.5">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2.5">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2.5">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2.5">
      <c r="A35" s="198" t="s">
        <v>903</v>
      </c>
      <c r="B35" s="204" t="str">
        <f>HYPERLINK("http://codeforces.com/contest/460/problem/C","CF460-D2-C")</f>
        <v>CF460-D2-C</v>
      </c>
      <c r="C35" s="10"/>
      <c r="D35" s="193"/>
      <c r="E35" s="193"/>
      <c r="F35" s="10"/>
      <c r="G35" s="10"/>
      <c r="H35" s="10"/>
      <c r="I35" s="70">
        <f t="shared" si="0"/>
        <v>0</v>
      </c>
      <c r="J35" s="10"/>
      <c r="K35" s="10"/>
      <c r="L35" s="10"/>
      <c r="M35" s="46"/>
    </row>
    <row r="36" spans="1:13" ht="12.5">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2.5">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2.5">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2.5">
      <c r="A39" s="82" t="s">
        <v>905</v>
      </c>
      <c r="B39" s="210" t="str">
        <f>HYPERLINK("http://www.spoj.com/problems/KGSS/","SPOJ KGSS")</f>
        <v>SPOJ KGSS</v>
      </c>
      <c r="C39" s="10"/>
      <c r="D39" s="193"/>
      <c r="E39" s="193"/>
      <c r="F39" s="10"/>
      <c r="G39" s="10"/>
      <c r="H39" s="10"/>
      <c r="I39" s="70">
        <f t="shared" si="0"/>
        <v>0</v>
      </c>
      <c r="J39" s="36"/>
      <c r="K39" s="36"/>
      <c r="L39" s="10"/>
      <c r="M39" s="59"/>
    </row>
    <row r="40" spans="1:13" ht="12.5">
      <c r="A40" s="82"/>
      <c r="B40" s="82" t="s">
        <v>906</v>
      </c>
      <c r="C40" s="10"/>
      <c r="D40" s="193"/>
      <c r="E40" s="193"/>
      <c r="F40" s="10"/>
      <c r="G40" s="10"/>
      <c r="H40" s="10"/>
      <c r="I40" s="70">
        <f t="shared" si="0"/>
        <v>0</v>
      </c>
      <c r="J40" s="36"/>
      <c r="K40" s="36"/>
      <c r="L40" s="10"/>
      <c r="M40" s="59"/>
    </row>
    <row r="41" spans="1:13" ht="12.5">
      <c r="A41" s="82"/>
      <c r="B41" s="82" t="s">
        <v>907</v>
      </c>
      <c r="C41" s="10"/>
      <c r="D41" s="193"/>
      <c r="E41" s="193"/>
      <c r="F41" s="10"/>
      <c r="G41" s="10"/>
      <c r="H41" s="10"/>
      <c r="I41" s="70">
        <f t="shared" si="0"/>
        <v>0</v>
      </c>
      <c r="J41" s="36"/>
      <c r="K41" s="36"/>
      <c r="L41" s="10"/>
      <c r="M41" s="59"/>
    </row>
    <row r="42" spans="1:13" ht="12.5">
      <c r="A42" s="82"/>
      <c r="B42" s="210" t="str">
        <f>HYPERLINK("http://codeforces.com/contest/201/problem/B","CF201-D1-B")</f>
        <v>CF201-D1-B</v>
      </c>
      <c r="C42" s="10"/>
      <c r="D42" s="193"/>
      <c r="E42" s="193"/>
      <c r="F42" s="10"/>
      <c r="G42" s="10"/>
      <c r="H42" s="10"/>
      <c r="I42" s="70">
        <f t="shared" si="0"/>
        <v>0</v>
      </c>
      <c r="J42" s="36"/>
      <c r="K42" s="36"/>
      <c r="L42" s="10"/>
      <c r="M42" s="59"/>
    </row>
    <row r="43" spans="1:13" ht="12.5">
      <c r="A43" s="82"/>
      <c r="B43" s="210" t="str">
        <f>HYPERLINK("http://codeforces.com/contest/380/problem/C","CF380-D1-C")</f>
        <v>CF380-D1-C</v>
      </c>
      <c r="C43" s="10"/>
      <c r="D43" s="193"/>
      <c r="E43" s="193"/>
      <c r="F43" s="10"/>
      <c r="G43" s="10"/>
      <c r="H43" s="10"/>
      <c r="I43" s="70">
        <f t="shared" si="0"/>
        <v>0</v>
      </c>
      <c r="J43" s="36"/>
      <c r="K43" s="36"/>
      <c r="L43" s="10"/>
      <c r="M43" s="59"/>
    </row>
    <row r="44" spans="1:13" ht="13">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
      <c r="A45" s="82"/>
      <c r="B45" s="210" t="str">
        <f>HYPERLINK("https://codeforces.com/problemset/problem/61/E","CF61-D2-E")</f>
        <v>CF61-D2-E</v>
      </c>
      <c r="C45" s="10"/>
      <c r="D45" s="10"/>
      <c r="E45" s="10"/>
      <c r="F45" s="10"/>
      <c r="G45" s="10"/>
      <c r="H45" s="10"/>
      <c r="I45" s="70">
        <f t="shared" si="0"/>
        <v>0</v>
      </c>
      <c r="J45" s="36"/>
      <c r="K45" s="36"/>
      <c r="L45" s="10"/>
      <c r="M45" s="212"/>
    </row>
    <row r="46" spans="1:13" ht="12.5">
      <c r="A46" s="82"/>
      <c r="B46" s="82" t="s">
        <v>908</v>
      </c>
      <c r="C46" s="10"/>
      <c r="D46" s="10"/>
      <c r="E46" s="10"/>
      <c r="F46" s="10"/>
      <c r="G46" s="10"/>
      <c r="H46" s="10"/>
      <c r="I46" s="70">
        <f t="shared" si="0"/>
        <v>0</v>
      </c>
      <c r="J46" s="36"/>
      <c r="K46" s="36"/>
      <c r="L46" s="10"/>
      <c r="M46" s="59"/>
    </row>
    <row r="47" spans="1:13" ht="12.5">
      <c r="A47" s="46"/>
      <c r="B47" s="64"/>
      <c r="C47" s="10"/>
      <c r="D47" s="193"/>
      <c r="E47" s="193"/>
      <c r="F47" s="10"/>
      <c r="G47" s="10"/>
      <c r="H47" s="10"/>
      <c r="I47" s="70">
        <f t="shared" si="0"/>
        <v>0</v>
      </c>
      <c r="J47" s="36"/>
      <c r="K47" s="36"/>
      <c r="L47" s="10"/>
      <c r="M47" s="59"/>
    </row>
    <row r="48" spans="1:13" ht="12.5">
      <c r="A48" s="46" t="s">
        <v>909</v>
      </c>
      <c r="B48" s="64" t="str">
        <f>HYPERLINK("http://codeforces.com/contest/151/problem/D","CF151-D2-D")</f>
        <v>CF151-D2-D</v>
      </c>
      <c r="C48" s="10"/>
      <c r="D48" s="193"/>
      <c r="E48" s="193"/>
      <c r="F48" s="10"/>
      <c r="G48" s="10"/>
      <c r="H48" s="10"/>
      <c r="I48" s="70">
        <f t="shared" si="0"/>
        <v>0</v>
      </c>
      <c r="J48" s="36"/>
      <c r="K48" s="36"/>
      <c r="L48" s="10"/>
      <c r="M48" s="59"/>
    </row>
    <row r="49" spans="1:13" ht="12.5">
      <c r="A49" s="46" t="s">
        <v>910</v>
      </c>
      <c r="B49" s="64" t="str">
        <f>HYPERLINK("http://codeforces.com/contest/61/problem/D","CF61-D2-D")</f>
        <v>CF61-D2-D</v>
      </c>
      <c r="C49" s="10"/>
      <c r="D49" s="193"/>
      <c r="E49" s="193"/>
      <c r="F49" s="10"/>
      <c r="G49" s="10"/>
      <c r="H49" s="10"/>
      <c r="I49" s="70">
        <f t="shared" si="0"/>
        <v>0</v>
      </c>
      <c r="J49" s="36"/>
      <c r="K49" s="36"/>
      <c r="L49" s="10"/>
      <c r="M49" s="59"/>
    </row>
    <row r="50" spans="1:13" ht="12.5">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2.5">
      <c r="A51" s="46"/>
      <c r="B51" s="171" t="str">
        <f>HYPERLINK("http://codeforces.com/contest/45/problem/D","CF45-D12-D")</f>
        <v>CF45-D12-D</v>
      </c>
      <c r="C51" s="10"/>
      <c r="D51" s="193"/>
      <c r="E51" s="193"/>
      <c r="F51" s="10"/>
      <c r="G51" s="10"/>
      <c r="H51" s="10"/>
      <c r="I51" s="70">
        <f t="shared" si="0"/>
        <v>0</v>
      </c>
      <c r="J51" s="36"/>
      <c r="K51" s="36"/>
      <c r="L51" s="10"/>
      <c r="M51" s="59"/>
    </row>
    <row r="52" spans="1:13" ht="12.5">
      <c r="A52" s="46"/>
      <c r="B52" s="46" t="s">
        <v>912</v>
      </c>
      <c r="C52" s="10"/>
      <c r="D52" s="193"/>
      <c r="E52" s="193"/>
      <c r="F52" s="10"/>
      <c r="G52" s="10"/>
      <c r="H52" s="10"/>
      <c r="I52" s="70">
        <f t="shared" si="0"/>
        <v>0</v>
      </c>
      <c r="J52" s="36"/>
      <c r="K52" s="36"/>
      <c r="L52" s="10"/>
      <c r="M52" s="59"/>
    </row>
    <row r="53" spans="1:13" ht="12.5">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2.5">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2.5">
      <c r="A55" s="46"/>
      <c r="B55" s="46" t="s">
        <v>913</v>
      </c>
      <c r="C55" s="10"/>
      <c r="D55" s="193"/>
      <c r="E55" s="193"/>
      <c r="F55" s="10"/>
      <c r="G55" s="10"/>
      <c r="H55" s="10"/>
      <c r="I55" s="70">
        <f t="shared" si="0"/>
        <v>0</v>
      </c>
      <c r="J55" s="36"/>
      <c r="K55" s="36"/>
      <c r="L55" s="10"/>
      <c r="M55" s="59"/>
    </row>
    <row r="56" spans="1:13" ht="12.5">
      <c r="A56" s="46"/>
      <c r="B56" s="46" t="s">
        <v>914</v>
      </c>
      <c r="C56" s="10"/>
      <c r="D56" s="193"/>
      <c r="E56" s="193"/>
      <c r="F56" s="10"/>
      <c r="G56" s="10"/>
      <c r="H56" s="10"/>
      <c r="I56" s="70">
        <f t="shared" si="0"/>
        <v>0</v>
      </c>
      <c r="J56" s="36"/>
      <c r="K56" s="36"/>
      <c r="L56" s="10"/>
      <c r="M56" s="59"/>
    </row>
    <row r="57" spans="1:13" ht="12.5">
      <c r="A57" s="46"/>
      <c r="B57" s="46" t="s">
        <v>915</v>
      </c>
      <c r="C57" s="10"/>
      <c r="D57" s="193"/>
      <c r="E57" s="193"/>
      <c r="F57" s="10"/>
      <c r="G57" s="10"/>
      <c r="H57" s="10"/>
      <c r="I57" s="70">
        <f t="shared" si="0"/>
        <v>0</v>
      </c>
      <c r="J57" s="36"/>
      <c r="K57" s="36"/>
      <c r="L57" s="10"/>
      <c r="M57" s="59"/>
    </row>
    <row r="58" spans="1:13" ht="12.5">
      <c r="A58" s="152" t="s">
        <v>916</v>
      </c>
      <c r="B58" s="213" t="str">
        <f>HYPERLINK("http://codeforces.com/contest/216/problem/C","CF216-D2-C")</f>
        <v>CF216-D2-C</v>
      </c>
      <c r="C58" s="10"/>
      <c r="D58" s="193"/>
      <c r="E58" s="193"/>
      <c r="F58" s="10"/>
      <c r="G58" s="10"/>
      <c r="H58" s="10"/>
      <c r="I58" s="70">
        <f t="shared" si="0"/>
        <v>0</v>
      </c>
      <c r="J58" s="36"/>
      <c r="K58" s="36"/>
      <c r="L58" s="10"/>
      <c r="M58" s="59"/>
    </row>
    <row r="59" spans="1:13" ht="12.5">
      <c r="A59" s="152" t="s">
        <v>917</v>
      </c>
      <c r="B59" s="213" t="str">
        <f>HYPERLINK("http://codeforces.com/contest/535/problem/C","CF535-D2-C")</f>
        <v>CF535-D2-C</v>
      </c>
      <c r="C59" s="10"/>
      <c r="D59" s="193"/>
      <c r="E59" s="193"/>
      <c r="F59" s="10"/>
      <c r="G59" s="10"/>
      <c r="H59" s="10"/>
      <c r="I59" s="70">
        <f t="shared" si="0"/>
        <v>0</v>
      </c>
      <c r="J59" s="36"/>
      <c r="K59" s="36"/>
      <c r="L59" s="10"/>
      <c r="M59" s="59"/>
    </row>
    <row r="60" spans="1:13" ht="12.5">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2.5">
      <c r="A62" s="77" t="s">
        <v>919</v>
      </c>
      <c r="B62" s="215" t="str">
        <f>HYPERLINK("http://codeforces.com/contest/216/problem/D","CF216-D2-D")</f>
        <v>CF216-D2-D</v>
      </c>
      <c r="C62" s="10"/>
      <c r="D62" s="193"/>
      <c r="E62" s="193"/>
      <c r="F62" s="10"/>
      <c r="G62" s="10"/>
      <c r="H62" s="10"/>
      <c r="I62" s="70">
        <f t="shared" si="0"/>
        <v>0</v>
      </c>
      <c r="J62" s="10"/>
      <c r="K62" s="10"/>
      <c r="L62" s="10"/>
      <c r="M62" s="10"/>
    </row>
    <row r="63" spans="1:13" ht="12.5">
      <c r="A63" s="77" t="s">
        <v>920</v>
      </c>
      <c r="B63" s="216" t="str">
        <f>HYPERLINK("http://codeforces.com/contest/334/problem/D","CF334-D2-D")</f>
        <v>CF334-D2-D</v>
      </c>
      <c r="C63" s="10"/>
      <c r="D63" s="193"/>
      <c r="E63" s="193"/>
      <c r="F63" s="10"/>
      <c r="G63" s="10"/>
      <c r="H63" s="10"/>
      <c r="I63" s="70">
        <f t="shared" si="0"/>
        <v>0</v>
      </c>
      <c r="J63" s="10"/>
      <c r="K63" s="10"/>
      <c r="L63" s="10"/>
      <c r="M63" s="10"/>
    </row>
    <row r="64" spans="1:13" ht="12.5">
      <c r="A64" s="77" t="s">
        <v>921</v>
      </c>
      <c r="B64" s="216" t="str">
        <f>HYPERLINK("http://codeforces.com/contest/676/problem/C","CF676-D2-C")</f>
        <v>CF676-D2-C</v>
      </c>
      <c r="C64" s="10"/>
      <c r="D64" s="193"/>
      <c r="E64" s="193"/>
      <c r="F64" s="10"/>
      <c r="G64" s="10"/>
      <c r="H64" s="10"/>
      <c r="I64" s="70">
        <f t="shared" si="0"/>
        <v>0</v>
      </c>
      <c r="J64" s="10"/>
      <c r="K64" s="10"/>
      <c r="L64" s="10"/>
      <c r="M64" s="10"/>
    </row>
    <row r="65" spans="1:13" ht="12.5">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2.5">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2.5">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2.5">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2.5">
      <c r="A69" s="82" t="s">
        <v>925</v>
      </c>
      <c r="B69" s="150" t="str">
        <f>HYPERLINK("http://www.spoj.com/problems/GSS3/","SPOJ GSS3")</f>
        <v>SPOJ GSS3</v>
      </c>
      <c r="C69" s="10"/>
      <c r="D69" s="193"/>
      <c r="E69" s="193"/>
      <c r="F69" s="10"/>
      <c r="G69" s="10"/>
      <c r="H69" s="10"/>
      <c r="I69" s="70">
        <f t="shared" si="0"/>
        <v>0</v>
      </c>
      <c r="J69" s="10"/>
      <c r="K69" s="10"/>
      <c r="L69" s="10"/>
    </row>
    <row r="70" spans="1:13" ht="12.5">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2.5">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2.5">
      <c r="A72" s="82"/>
      <c r="B72" s="217" t="str">
        <f>HYPERLINK("http://codeforces.com/contest/472/problem/D","CF472-D12-D")</f>
        <v>CF472-D12-D</v>
      </c>
      <c r="C72" s="10"/>
      <c r="D72" s="193"/>
      <c r="E72" s="193"/>
      <c r="F72" s="10"/>
      <c r="G72" s="10"/>
      <c r="H72" s="10"/>
      <c r="I72" s="70">
        <f t="shared" si="0"/>
        <v>0</v>
      </c>
      <c r="J72" s="10"/>
      <c r="K72" s="10"/>
      <c r="L72" s="10"/>
    </row>
    <row r="73" spans="1:13" ht="12.5">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2.5">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2.5">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2.5">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2.5">
      <c r="A77" s="82"/>
      <c r="B77" s="217" t="str">
        <f>HYPERLINK("http://codeforces.com/contest/80/problem/D","CF80-D2-D")</f>
        <v>CF80-D2-D</v>
      </c>
      <c r="C77" s="10"/>
      <c r="D77" s="193"/>
      <c r="E77" s="193"/>
      <c r="F77" s="10"/>
      <c r="G77" s="10"/>
      <c r="H77" s="10"/>
      <c r="I77" s="70">
        <f t="shared" si="0"/>
        <v>0</v>
      </c>
      <c r="J77" s="10"/>
      <c r="K77" s="10"/>
      <c r="L77" s="10"/>
    </row>
    <row r="78" spans="1:13" ht="12.5">
      <c r="A78" s="63"/>
      <c r="B78" s="64"/>
      <c r="C78" s="10"/>
      <c r="D78" s="193"/>
      <c r="E78" s="193"/>
      <c r="F78" s="10"/>
      <c r="G78" s="10"/>
      <c r="H78" s="10"/>
      <c r="I78" s="70">
        <f t="shared" si="0"/>
        <v>0</v>
      </c>
      <c r="J78" s="36"/>
      <c r="K78" s="36"/>
      <c r="L78" s="10"/>
      <c r="M78" s="59"/>
    </row>
    <row r="79" spans="1:13" ht="12.5">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2.5">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2.5">
      <c r="A81" s="59" t="s">
        <v>933</v>
      </c>
      <c r="B81" s="220" t="str">
        <f>HYPERLINK("http://codeforces.com/contest/617/problem/D","CF617-D2-D")</f>
        <v>CF617-D2-D</v>
      </c>
      <c r="C81" s="10"/>
      <c r="D81" s="193"/>
      <c r="E81" s="193"/>
      <c r="F81" s="10"/>
      <c r="G81" s="10"/>
      <c r="H81" s="10"/>
      <c r="I81" s="70">
        <f t="shared" si="0"/>
        <v>0</v>
      </c>
      <c r="J81" s="10"/>
      <c r="K81" s="10"/>
      <c r="L81" s="10"/>
      <c r="M81" s="10"/>
    </row>
    <row r="82" spans="1:13" ht="12.5">
      <c r="A82" s="59" t="s">
        <v>654</v>
      </c>
      <c r="B82" s="220" t="str">
        <f>HYPERLINK("http://codeforces.com/contest/92/problem/D","CF92-D2-D")</f>
        <v>CF92-D2-D</v>
      </c>
      <c r="C82" s="10"/>
      <c r="D82" s="193"/>
      <c r="E82" s="193"/>
      <c r="F82" s="10"/>
      <c r="G82" s="10"/>
      <c r="H82" s="10"/>
      <c r="I82" s="70">
        <f t="shared" si="0"/>
        <v>0</v>
      </c>
      <c r="J82" s="10"/>
      <c r="K82" s="10"/>
      <c r="L82" s="10"/>
      <c r="M82" s="10"/>
    </row>
    <row r="83" spans="1:13" ht="12.5">
      <c r="A83" s="59"/>
      <c r="B83" s="220" t="str">
        <f>HYPERLINK("http://codeforces.com/contest/1038/problem/D","CF1038-D2-D")</f>
        <v>CF1038-D2-D</v>
      </c>
      <c r="C83" s="10"/>
      <c r="D83" s="193"/>
      <c r="E83" s="193"/>
      <c r="F83" s="10"/>
      <c r="G83" s="10"/>
      <c r="H83" s="10"/>
      <c r="I83" s="70">
        <f t="shared" si="0"/>
        <v>0</v>
      </c>
      <c r="J83" s="10"/>
      <c r="K83" s="10"/>
      <c r="L83" s="10"/>
      <c r="M83" s="10"/>
    </row>
    <row r="84" spans="1:13" ht="12.5">
      <c r="A84" s="59"/>
      <c r="B84" s="220" t="str">
        <f>HYPERLINK("http://codeforces.com/contest/552/problem/D","CF552-D2-D")</f>
        <v>CF552-D2-D</v>
      </c>
      <c r="C84" s="10"/>
      <c r="D84" s="193"/>
      <c r="E84" s="193"/>
      <c r="F84" s="10"/>
      <c r="G84" s="10"/>
      <c r="H84" s="10"/>
      <c r="I84" s="70">
        <f t="shared" si="0"/>
        <v>0</v>
      </c>
      <c r="J84" s="10"/>
      <c r="K84" s="10"/>
      <c r="L84" s="10"/>
      <c r="M84" s="10"/>
    </row>
    <row r="85" spans="1:13" ht="12.5">
      <c r="A85" s="59"/>
      <c r="B85" s="220" t="str">
        <f>HYPERLINK("https://codeforces.com/gym/101917/problem/E", "CF101917-D12-E")</f>
        <v>CF101917-D12-E</v>
      </c>
      <c r="C85" s="10"/>
      <c r="D85" s="193"/>
      <c r="E85" s="193"/>
      <c r="F85" s="10"/>
      <c r="G85" s="10"/>
      <c r="H85" s="10"/>
      <c r="I85" s="70">
        <f t="shared" si="0"/>
        <v>0</v>
      </c>
      <c r="J85" s="10"/>
      <c r="K85" s="10"/>
      <c r="L85" s="10"/>
      <c r="M85" s="10"/>
    </row>
    <row r="86" spans="1:13" ht="12.5">
      <c r="A86" s="59"/>
      <c r="B86" s="220" t="str">
        <f>HYPERLINK("http://codeforces.com/contest/1058/problem/D","CF1058-D2-D")</f>
        <v>CF1058-D2-D</v>
      </c>
      <c r="C86" s="10"/>
      <c r="D86" s="193"/>
      <c r="E86" s="193"/>
      <c r="F86" s="10"/>
      <c r="G86" s="10"/>
      <c r="H86" s="10"/>
      <c r="I86" s="70">
        <f t="shared" si="0"/>
        <v>0</v>
      </c>
      <c r="J86" s="10"/>
      <c r="K86" s="10"/>
      <c r="L86" s="10"/>
      <c r="M86" s="10"/>
    </row>
    <row r="87" spans="1:13" ht="12.5">
      <c r="A87" s="59"/>
      <c r="B87" s="220" t="str">
        <f>HYPERLINK("http://codeforces.com/contest/1043/problem/D", "CF1042-D12-D")</f>
        <v>CF1042-D12-D</v>
      </c>
      <c r="C87" s="10"/>
      <c r="D87" s="193"/>
      <c r="E87" s="193"/>
      <c r="F87" s="10"/>
      <c r="G87" s="10"/>
      <c r="H87" s="10"/>
      <c r="I87" s="70">
        <f t="shared" si="0"/>
        <v>0</v>
      </c>
      <c r="J87" s="10"/>
      <c r="K87" s="10"/>
      <c r="L87" s="10"/>
      <c r="M87" s="10"/>
    </row>
    <row r="88" spans="1:13" ht="12.5">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2.5">
      <c r="A89" s="152" t="s">
        <v>935</v>
      </c>
      <c r="B89" s="194" t="str">
        <f>HYPERLINK("http://codeforces.com/contest/186/problem/C","CF186-D2-C")</f>
        <v>CF186-D2-C</v>
      </c>
      <c r="C89" s="10"/>
      <c r="D89" s="193"/>
      <c r="E89" s="193"/>
      <c r="F89" s="10"/>
      <c r="G89" s="10"/>
      <c r="H89" s="10"/>
      <c r="I89" s="70">
        <f t="shared" si="0"/>
        <v>0</v>
      </c>
      <c r="J89" s="10"/>
      <c r="K89" s="10"/>
      <c r="L89" s="10"/>
      <c r="M89" s="10"/>
    </row>
    <row r="90" spans="1:13" ht="12.5">
      <c r="A90" s="152" t="s">
        <v>936</v>
      </c>
      <c r="B90" s="194" t="str">
        <f>HYPERLINK("http://codeforces.com/contest/667/problem/C","CF667-D2-C")</f>
        <v>CF667-D2-C</v>
      </c>
      <c r="C90" s="10"/>
      <c r="D90" s="193"/>
      <c r="E90" s="193"/>
      <c r="F90" s="10"/>
      <c r="G90" s="10"/>
      <c r="H90" s="10"/>
      <c r="I90" s="70">
        <f t="shared" si="0"/>
        <v>0</v>
      </c>
      <c r="J90" s="10"/>
      <c r="K90" s="10"/>
      <c r="L90" s="10"/>
      <c r="M90" s="10"/>
    </row>
    <row r="91" spans="1:13" ht="12.5">
      <c r="A91" s="152" t="s">
        <v>937</v>
      </c>
      <c r="B91" s="194" t="str">
        <f>HYPERLINK("http://codeforces.com/contest/287/problem/C","CF287-D2-C")</f>
        <v>CF287-D2-C</v>
      </c>
      <c r="C91" s="10"/>
      <c r="D91" s="193"/>
      <c r="E91" s="193"/>
      <c r="F91" s="10"/>
      <c r="G91" s="10"/>
      <c r="H91" s="10"/>
      <c r="I91" s="70">
        <f t="shared" si="0"/>
        <v>0</v>
      </c>
      <c r="J91" s="10"/>
      <c r="K91" s="10"/>
      <c r="L91" s="10"/>
      <c r="M91" s="10"/>
    </row>
    <row r="92" spans="1:13" ht="13">
      <c r="A92" s="10"/>
      <c r="B92" s="10"/>
      <c r="C92" s="10"/>
      <c r="D92" s="193"/>
      <c r="E92" s="193"/>
      <c r="F92" s="10"/>
      <c r="G92" s="10"/>
      <c r="H92" s="10"/>
      <c r="I92" s="70">
        <f t="shared" si="0"/>
        <v>0</v>
      </c>
      <c r="J92" s="10"/>
      <c r="K92" s="10"/>
      <c r="L92" s="10"/>
      <c r="M92" s="221" t="str">
        <f>HYPERLINK("https://www.youtube.com/watch?v=nv6Z6n02Oi0","DP - Probability")</f>
        <v>DP - Probability</v>
      </c>
    </row>
    <row r="93" spans="1:13" ht="12.5">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2.5">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2.5">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2.5">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2.5">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2.5">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2.5">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2.5">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2.5">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2.5">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2.5">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2.5">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2.5">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2.5">
      <c r="A106" s="207"/>
      <c r="B106" s="207" t="s">
        <v>949</v>
      </c>
      <c r="C106" s="10"/>
      <c r="D106" s="193"/>
      <c r="E106" s="193"/>
      <c r="F106" s="10"/>
      <c r="G106" s="10"/>
      <c r="H106" s="10"/>
      <c r="I106" s="70">
        <f t="shared" si="0"/>
        <v>0</v>
      </c>
      <c r="J106" s="36"/>
      <c r="K106" s="36"/>
      <c r="L106" s="10"/>
    </row>
    <row r="107" spans="1:13" ht="12.5">
      <c r="A107" s="226"/>
      <c r="B107" s="227"/>
      <c r="C107" s="10"/>
      <c r="D107" s="193"/>
      <c r="E107" s="193"/>
      <c r="F107" s="10"/>
      <c r="G107" s="10"/>
      <c r="H107" s="10"/>
      <c r="I107" s="70">
        <f t="shared" si="0"/>
        <v>0</v>
      </c>
      <c r="J107" s="36"/>
      <c r="K107" s="36"/>
      <c r="L107" s="10"/>
    </row>
    <row r="108" spans="1:13" ht="12.5">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2.5">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2.5">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2.5">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2.5">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2.5">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2.5">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2.5">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2.5">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2.5">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2.5">
      <c r="A119" s="82"/>
      <c r="B119" s="150" t="str">
        <f>HYPERLINK("http://codeforces.com/contest/16/problem/E","CF16-D2-E")</f>
        <v>CF16-D2-E</v>
      </c>
      <c r="C119" s="10"/>
      <c r="D119" s="193"/>
      <c r="E119" s="193"/>
      <c r="F119" s="10"/>
      <c r="G119" s="10"/>
      <c r="H119" s="10"/>
      <c r="I119" s="70">
        <f t="shared" si="0"/>
        <v>0</v>
      </c>
      <c r="J119" s="10"/>
      <c r="K119" s="10"/>
      <c r="L119" s="10"/>
      <c r="M119" s="10"/>
    </row>
    <row r="120" spans="1:13" ht="12.5">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2.5">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5">
      <c r="A122" s="82" t="s">
        <v>961</v>
      </c>
      <c r="B122" s="150" t="str">
        <f>HYPERLINK("http://codeforces.com/contest/645/problem/D","CF645-D12-D")</f>
        <v>CF645-D12-D</v>
      </c>
      <c r="C122" s="10"/>
      <c r="D122" s="193"/>
      <c r="E122" s="193"/>
      <c r="F122" s="10"/>
      <c r="G122" s="10"/>
      <c r="H122" s="10"/>
      <c r="I122" s="70">
        <f t="shared" si="0"/>
        <v>0</v>
      </c>
      <c r="J122" s="10"/>
      <c r="K122" s="10"/>
      <c r="L122" s="10"/>
    </row>
    <row r="123" spans="1:13" ht="12.5">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2.5">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2.5">
      <c r="A125" s="46"/>
      <c r="B125" s="229"/>
      <c r="C125" s="10"/>
      <c r="D125" s="193"/>
      <c r="E125" s="193"/>
      <c r="F125" s="10"/>
      <c r="G125" s="10"/>
      <c r="H125" s="10"/>
      <c r="I125" s="70">
        <f t="shared" si="0"/>
        <v>0</v>
      </c>
      <c r="J125" s="36"/>
      <c r="K125" s="36"/>
      <c r="L125" s="10"/>
      <c r="M125" s="59"/>
    </row>
    <row r="126" spans="1:13" ht="12.5">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2.5">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2.5">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2.5">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2.5">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2.5">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2.5">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2.5">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2.5">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2.5">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2.5">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2.5">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2.5">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2.5">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2.5">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5">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2.5">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2.5">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2.5">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2.5">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2.5">
      <c r="A148" s="59"/>
      <c r="B148" s="66"/>
      <c r="C148" s="10"/>
      <c r="D148" s="193"/>
      <c r="E148" s="193"/>
      <c r="F148" s="10"/>
      <c r="G148" s="10"/>
      <c r="H148" s="10"/>
      <c r="I148" s="70">
        <f t="shared" si="0"/>
        <v>0</v>
      </c>
      <c r="J148" s="10"/>
      <c r="K148" s="10"/>
      <c r="L148" s="10"/>
      <c r="M148" s="10"/>
    </row>
    <row r="149" spans="1:13" ht="12.5">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2.5">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2.5">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2.5">
      <c r="A152" s="59"/>
      <c r="B152" s="66" t="str">
        <f>HYPERLINK("http://codeforces.com/contest/486/problem/D","CF486-D2-D")</f>
        <v>CF486-D2-D</v>
      </c>
      <c r="C152" s="10"/>
      <c r="D152" s="193"/>
      <c r="E152" s="193"/>
      <c r="F152" s="10"/>
      <c r="G152" s="10"/>
      <c r="H152" s="10"/>
      <c r="I152" s="70">
        <f t="shared" si="0"/>
        <v>0</v>
      </c>
      <c r="J152" s="10"/>
      <c r="K152" s="10"/>
      <c r="L152" s="10"/>
      <c r="M152" s="73"/>
    </row>
    <row r="153" spans="1:13" ht="12.5">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2.5">
      <c r="A154" s="59"/>
      <c r="B154" s="66" t="str">
        <f>HYPERLINK("http://codeforces.com/contest/264/problem/C","CF264-D1-C")</f>
        <v>CF264-D1-C</v>
      </c>
      <c r="C154" s="10"/>
      <c r="D154" s="193"/>
      <c r="E154" s="193"/>
      <c r="F154" s="10"/>
      <c r="G154" s="10"/>
      <c r="H154" s="10"/>
      <c r="I154" s="70">
        <f t="shared" si="0"/>
        <v>0</v>
      </c>
      <c r="J154" s="10"/>
      <c r="K154" s="10"/>
      <c r="L154" s="10"/>
      <c r="M154" s="73"/>
    </row>
    <row r="155" spans="1:13" ht="12.5">
      <c r="A155" s="59"/>
      <c r="B155" s="66" t="str">
        <f>HYPERLINK("http://codeforces.com/contest/506/problem/A", "CF506-D1-A")</f>
        <v>CF506-D1-A</v>
      </c>
      <c r="C155" s="10"/>
      <c r="D155" s="193"/>
      <c r="E155" s="193"/>
      <c r="F155" s="10"/>
      <c r="G155" s="10"/>
      <c r="H155" s="10"/>
      <c r="I155" s="70">
        <f t="shared" si="0"/>
        <v>0</v>
      </c>
      <c r="J155" s="10"/>
      <c r="K155" s="10"/>
      <c r="L155" s="10"/>
      <c r="M155" s="73"/>
    </row>
    <row r="156" spans="1:13" ht="12.5">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2.5">
      <c r="A157" s="59"/>
      <c r="B157" s="66" t="str">
        <f>HYPERLINK("http://codeforces.com/contest/623/problem/B","CF623-D1-B")</f>
        <v>CF623-D1-B</v>
      </c>
      <c r="C157" s="10"/>
      <c r="D157" s="193"/>
      <c r="E157" s="193"/>
      <c r="F157" s="10"/>
      <c r="G157" s="10"/>
      <c r="H157" s="10"/>
      <c r="I157" s="70">
        <f t="shared" si="0"/>
        <v>0</v>
      </c>
      <c r="J157" s="10"/>
      <c r="K157" s="10"/>
      <c r="L157" s="10"/>
      <c r="M157" s="73"/>
    </row>
    <row r="158" spans="1:13" ht="25">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2.5">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2.5">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08984375" defaultRowHeight="15.75" customHeight="1"/>
  <cols>
    <col min="1" max="1" width="13.7265625" customWidth="1"/>
    <col min="2" max="2" width="17.36328125" customWidth="1"/>
    <col min="3" max="3" width="6" customWidth="1"/>
    <col min="4" max="4" width="6.7265625" customWidth="1"/>
    <col min="5" max="5" width="7.36328125" customWidth="1"/>
    <col min="6" max="6" width="7.6328125" customWidth="1"/>
    <col min="7" max="7" width="8.7265625" customWidth="1"/>
    <col min="8" max="9" width="7.453125" customWidth="1"/>
    <col min="10" max="12" width="8.726562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2.5">
      <c r="A23" s="46" t="s">
        <v>1001</v>
      </c>
      <c r="B23" s="122" t="str">
        <f>HYPERLINK("http://codeforces.com/contest/94/problem/D","CF94-D2-D")</f>
        <v>CF94-D2-D</v>
      </c>
      <c r="C23" s="70"/>
      <c r="D23" s="70"/>
      <c r="E23" s="70"/>
      <c r="F23" s="70"/>
      <c r="G23" s="70"/>
      <c r="H23" s="70"/>
      <c r="I23" s="36">
        <f t="shared" si="0"/>
        <v>0</v>
      </c>
      <c r="J23" s="36"/>
      <c r="K23" s="36"/>
      <c r="L23" s="10"/>
      <c r="M23" s="46"/>
    </row>
    <row r="24" spans="1:13" ht="12.5">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2.5">
      <c r="A25" s="46" t="s">
        <v>1003</v>
      </c>
      <c r="B25" s="122" t="str">
        <f>HYPERLINK("http://codeforces.com/contest/451/problem/D","CF451-D2-D")</f>
        <v>CF451-D2-D</v>
      </c>
      <c r="C25" s="70"/>
      <c r="D25" s="70"/>
      <c r="E25" s="70"/>
      <c r="F25" s="70"/>
      <c r="G25" s="70"/>
      <c r="H25" s="70"/>
      <c r="I25" s="36">
        <f t="shared" si="0"/>
        <v>0</v>
      </c>
      <c r="J25" s="36"/>
      <c r="K25" s="36"/>
      <c r="L25" s="10"/>
      <c r="M25" s="59"/>
    </row>
    <row r="26" spans="1:13" ht="12.5">
      <c r="A26" s="46" t="s">
        <v>1004</v>
      </c>
      <c r="B26" s="122" t="str">
        <f>HYPERLINK("http://codeforces.com/contest/186/problem/D","CF186-D2-D")</f>
        <v>CF186-D2-D</v>
      </c>
      <c r="C26" s="70"/>
      <c r="D26" s="70"/>
      <c r="E26" s="70"/>
      <c r="F26" s="70"/>
      <c r="G26" s="70"/>
      <c r="H26" s="70"/>
      <c r="I26" s="36">
        <f t="shared" si="0"/>
        <v>0</v>
      </c>
      <c r="J26" s="36"/>
      <c r="K26" s="36"/>
      <c r="L26" s="10"/>
      <c r="M26" s="59"/>
    </row>
    <row r="27" spans="1:13" ht="12.5">
      <c r="A27" s="46" t="s">
        <v>1005</v>
      </c>
      <c r="B27" s="122" t="str">
        <f>HYPERLINK("http://codeforces.com/contest/195/problem/D","CF195-D2-D")</f>
        <v>CF195-D2-D</v>
      </c>
      <c r="C27" s="70"/>
      <c r="D27" s="70"/>
      <c r="E27" s="70"/>
      <c r="F27" s="70"/>
      <c r="G27" s="70"/>
      <c r="H27" s="70"/>
      <c r="I27" s="36">
        <f t="shared" si="0"/>
        <v>0</v>
      </c>
      <c r="J27" s="36"/>
      <c r="K27" s="36"/>
      <c r="L27" s="10"/>
      <c r="M27" s="59"/>
    </row>
    <row r="28" spans="1:13" ht="12.5">
      <c r="A28" s="46"/>
      <c r="B28" s="122" t="str">
        <f>HYPERLINK("http://codeforces.com/contest/1023/problem/E","CF1023-D12-E")</f>
        <v>CF1023-D12-E</v>
      </c>
      <c r="C28" s="70"/>
      <c r="D28" s="70"/>
      <c r="E28" s="70"/>
      <c r="F28" s="70"/>
      <c r="G28" s="70"/>
      <c r="H28" s="70"/>
      <c r="I28" s="36">
        <f t="shared" si="0"/>
        <v>0</v>
      </c>
      <c r="J28" s="36"/>
      <c r="K28" s="36"/>
      <c r="L28" s="10"/>
      <c r="M28" s="59"/>
    </row>
    <row r="29" spans="1:13" ht="12.5">
      <c r="A29" s="46"/>
      <c r="B29" s="122" t="str">
        <f>HYPERLINK("https://codeforces.com/contest/1060/problem/C","CF1060-D12-C")</f>
        <v>CF1060-D12-C</v>
      </c>
      <c r="C29" s="70"/>
      <c r="D29" s="70"/>
      <c r="E29" s="70"/>
      <c r="F29" s="70"/>
      <c r="G29" s="70"/>
      <c r="H29" s="70"/>
      <c r="I29" s="36">
        <f t="shared" si="0"/>
        <v>0</v>
      </c>
      <c r="J29" s="36"/>
      <c r="K29" s="36"/>
      <c r="L29" s="10"/>
      <c r="M29" s="59"/>
    </row>
    <row r="30" spans="1:13" ht="12.5">
      <c r="A30" s="152" t="s">
        <v>1006</v>
      </c>
      <c r="B30" s="194" t="str">
        <f>HYPERLINK("http://codeforces.com/contest/680/problem/C","CF680-D2-C")</f>
        <v>CF680-D2-C</v>
      </c>
      <c r="C30" s="70"/>
      <c r="D30" s="70"/>
      <c r="E30" s="70"/>
      <c r="F30" s="70"/>
      <c r="G30" s="70"/>
      <c r="H30" s="70"/>
      <c r="I30" s="36">
        <f t="shared" si="0"/>
        <v>0</v>
      </c>
      <c r="J30" s="10"/>
      <c r="K30" s="10"/>
      <c r="L30" s="10"/>
      <c r="M30" s="10"/>
    </row>
    <row r="31" spans="1:13" ht="12.5">
      <c r="A31" s="152" t="s">
        <v>189</v>
      </c>
      <c r="B31" s="194" t="str">
        <f>HYPERLINK("http://codeforces.com/contest/401/problem/C","CF401-D2-C")</f>
        <v>CF401-D2-C</v>
      </c>
      <c r="C31" s="70"/>
      <c r="D31" s="70"/>
      <c r="E31" s="70"/>
      <c r="F31" s="70"/>
      <c r="G31" s="70"/>
      <c r="H31" s="70"/>
      <c r="I31" s="36">
        <f t="shared" si="0"/>
        <v>0</v>
      </c>
      <c r="J31" s="10"/>
      <c r="K31" s="10"/>
      <c r="L31" s="10"/>
      <c r="M31" s="10"/>
    </row>
    <row r="32" spans="1:13" ht="13">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2.5">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2.5">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2.5">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2.5">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2.5">
      <c r="A37" s="231" t="s">
        <v>1011</v>
      </c>
      <c r="B37" s="242" t="str">
        <f>HYPERLINK("http://codeforces.com/contest/148/problem/D","CF148-D2-D")</f>
        <v>CF148-D2-D</v>
      </c>
      <c r="C37" s="70"/>
      <c r="D37" s="70"/>
      <c r="E37" s="70"/>
      <c r="F37" s="70"/>
      <c r="G37" s="70"/>
      <c r="H37" s="70"/>
      <c r="I37" s="36">
        <f t="shared" si="0"/>
        <v>0</v>
      </c>
      <c r="J37" s="10"/>
      <c r="K37" s="10"/>
      <c r="L37" s="10"/>
      <c r="M37" s="10"/>
    </row>
    <row r="38" spans="1:13" ht="12.5">
      <c r="A38" s="236"/>
      <c r="B38" s="237" t="str">
        <f>HYPERLINK("https://codeforces.com/contest/1147/problem/B", "CF1147-D1-B")</f>
        <v>CF1147-D1-B</v>
      </c>
      <c r="C38" s="70"/>
      <c r="D38" s="70"/>
      <c r="E38" s="70"/>
      <c r="F38" s="70"/>
      <c r="G38" s="70"/>
      <c r="H38" s="70"/>
      <c r="I38" s="36">
        <f t="shared" si="0"/>
        <v>0</v>
      </c>
      <c r="J38" s="36"/>
      <c r="K38" s="36"/>
      <c r="L38" s="10"/>
      <c r="M38" s="46"/>
    </row>
    <row r="39" spans="1:13" ht="12.5">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2.5">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2.5">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2.5">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2.5">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2.5">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2.5">
      <c r="A45" s="82"/>
      <c r="B45" s="191" t="s">
        <v>1018</v>
      </c>
      <c r="C45" s="70"/>
      <c r="D45" s="70"/>
      <c r="E45" s="70"/>
      <c r="F45" s="70"/>
      <c r="G45" s="70"/>
      <c r="H45" s="70"/>
      <c r="I45" s="36">
        <f t="shared" si="0"/>
        <v>0</v>
      </c>
      <c r="J45" s="10"/>
      <c r="K45" s="10"/>
      <c r="L45" s="10"/>
      <c r="M45" s="46"/>
    </row>
    <row r="46" spans="1:13" ht="12.5">
      <c r="A46" s="46"/>
      <c r="B46" s="59"/>
      <c r="C46" s="70"/>
      <c r="D46" s="70"/>
      <c r="E46" s="70"/>
      <c r="F46" s="70"/>
      <c r="G46" s="70"/>
      <c r="H46" s="70"/>
      <c r="I46" s="36">
        <f t="shared" si="0"/>
        <v>0</v>
      </c>
      <c r="J46" s="36"/>
      <c r="K46" s="36"/>
      <c r="L46" s="10"/>
      <c r="M46" s="59"/>
    </row>
    <row r="47" spans="1:13" ht="12.5">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2.5">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2.5">
      <c r="A49" s="46" t="s">
        <v>1021</v>
      </c>
      <c r="B49" s="245" t="str">
        <f>HYPERLINK("http://codeforces.com/contest/75/problem/D","CF75-D2-D")</f>
        <v>CF75-D2-D</v>
      </c>
      <c r="C49" s="70"/>
      <c r="D49" s="70"/>
      <c r="E49" s="70"/>
      <c r="F49" s="70"/>
      <c r="G49" s="70"/>
      <c r="H49" s="70"/>
      <c r="I49" s="36">
        <f t="shared" si="0"/>
        <v>0</v>
      </c>
      <c r="J49" s="36"/>
      <c r="K49" s="36"/>
      <c r="L49" s="10"/>
    </row>
    <row r="50" spans="1:13" ht="12.5">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2.5">
      <c r="A51" s="46"/>
      <c r="B51" s="245" t="str">
        <f>HYPERLINK("https://codeforces.com/contest/1057/problem/C","CF1057-D12-C")</f>
        <v>CF1057-D12-C</v>
      </c>
      <c r="C51" s="70"/>
      <c r="D51" s="70"/>
      <c r="E51" s="70"/>
      <c r="F51" s="70"/>
      <c r="G51" s="70"/>
      <c r="H51" s="70"/>
      <c r="I51" s="36">
        <f t="shared" si="0"/>
        <v>0</v>
      </c>
      <c r="J51" s="36"/>
      <c r="K51" s="36"/>
      <c r="L51" s="10"/>
    </row>
    <row r="52" spans="1:13" ht="12.5">
      <c r="A52" s="46"/>
      <c r="B52" s="245" t="str">
        <f>HYPERLINK("https://codeforces.com/contest/1066/problem/F","CF1066-D3-F")</f>
        <v>CF1066-D3-F</v>
      </c>
      <c r="C52" s="70"/>
      <c r="D52" s="70"/>
      <c r="E52" s="70"/>
      <c r="F52" s="70"/>
      <c r="G52" s="70"/>
      <c r="H52" s="70"/>
      <c r="I52" s="36">
        <f t="shared" si="0"/>
        <v>0</v>
      </c>
      <c r="J52" s="36"/>
      <c r="K52" s="36"/>
      <c r="L52" s="10"/>
    </row>
    <row r="53" spans="1:13" ht="12.5">
      <c r="A53" s="46"/>
      <c r="B53" s="245" t="str">
        <f>HYPERLINK("https://codeforces.com/contest/1064/problem/E","CF1064-D2-E")</f>
        <v>CF1064-D2-E</v>
      </c>
      <c r="C53" s="70"/>
      <c r="D53" s="70"/>
      <c r="E53" s="70"/>
      <c r="F53" s="70"/>
      <c r="G53" s="70"/>
      <c r="H53" s="70"/>
      <c r="I53" s="36">
        <f t="shared" si="0"/>
        <v>0</v>
      </c>
      <c r="J53" s="36"/>
      <c r="K53" s="36"/>
      <c r="L53" s="10"/>
    </row>
    <row r="54" spans="1:13" ht="12.5">
      <c r="A54" s="46"/>
      <c r="B54" s="245" t="str">
        <f>HYPERLINK("http://codeforces.com/contest/459/problem/E","CF459-D2-E")</f>
        <v>CF459-D2-E</v>
      </c>
      <c r="C54" s="70"/>
      <c r="D54" s="70"/>
      <c r="E54" s="70"/>
      <c r="F54" s="70"/>
      <c r="G54" s="70"/>
      <c r="H54" s="70"/>
      <c r="I54" s="36">
        <f t="shared" si="0"/>
        <v>0</v>
      </c>
      <c r="J54" s="36"/>
      <c r="K54" s="36"/>
      <c r="L54" s="10"/>
    </row>
    <row r="55" spans="1:13" ht="12.5">
      <c r="A55" s="46"/>
      <c r="B55" s="59" t="s">
        <v>1023</v>
      </c>
      <c r="C55" s="70"/>
      <c r="D55" s="70"/>
      <c r="E55" s="70"/>
      <c r="F55" s="70"/>
      <c r="G55" s="70"/>
      <c r="H55" s="70"/>
      <c r="I55" s="36">
        <f t="shared" si="0"/>
        <v>0</v>
      </c>
      <c r="J55" s="36"/>
      <c r="K55" s="36"/>
      <c r="L55" s="10"/>
    </row>
    <row r="56" spans="1:13" ht="12.5">
      <c r="A56" s="46"/>
      <c r="B56" s="245" t="str">
        <f>HYPERLINK("http://codeforces.com/contest/1043/problem/D","CF1043-D12-D")</f>
        <v>CF1043-D12-D</v>
      </c>
      <c r="C56" s="70"/>
      <c r="D56" s="70"/>
      <c r="E56" s="70"/>
      <c r="F56" s="70"/>
      <c r="G56" s="70"/>
      <c r="H56" s="70"/>
      <c r="I56" s="36">
        <f t="shared" si="0"/>
        <v>0</v>
      </c>
      <c r="J56" s="36"/>
      <c r="K56" s="36"/>
      <c r="L56" s="10"/>
    </row>
    <row r="57" spans="1:13" ht="12.5">
      <c r="A57" s="152" t="s">
        <v>1024</v>
      </c>
      <c r="B57" s="194" t="str">
        <f>HYPERLINK("http://codeforces.com/contest/200/problem/C","CF200-D2-C")</f>
        <v>CF200-D2-C</v>
      </c>
      <c r="C57" s="70"/>
      <c r="D57" s="70"/>
      <c r="E57" s="70"/>
      <c r="F57" s="70"/>
      <c r="G57" s="70"/>
      <c r="H57" s="70"/>
      <c r="I57" s="36">
        <f t="shared" si="0"/>
        <v>0</v>
      </c>
      <c r="J57" s="36"/>
      <c r="K57" s="36"/>
      <c r="L57" s="10"/>
      <c r="M57" s="59"/>
    </row>
    <row r="58" spans="1:13" ht="12.5">
      <c r="A58" s="152" t="s">
        <v>1025</v>
      </c>
      <c r="B58" s="194" t="str">
        <f>HYPERLINK("http://codeforces.com/contest/489/problem/C","CF489-D2-C")</f>
        <v>CF489-D2-C</v>
      </c>
      <c r="C58" s="70"/>
      <c r="D58" s="70"/>
      <c r="E58" s="70"/>
      <c r="F58" s="70"/>
      <c r="G58" s="70"/>
      <c r="H58" s="70"/>
      <c r="I58" s="36">
        <f t="shared" si="0"/>
        <v>0</v>
      </c>
      <c r="J58" s="36"/>
      <c r="K58" s="36"/>
      <c r="L58" s="10"/>
      <c r="M58" s="59"/>
    </row>
    <row r="59" spans="1:13" ht="12.5">
      <c r="A59" s="46"/>
      <c r="B59" s="59"/>
      <c r="C59" s="70"/>
      <c r="D59" s="70"/>
      <c r="E59" s="70"/>
      <c r="F59" s="70"/>
      <c r="G59" s="70"/>
      <c r="H59" s="70"/>
      <c r="I59" s="36">
        <f t="shared" si="0"/>
        <v>0</v>
      </c>
      <c r="J59" s="36"/>
      <c r="K59" s="36"/>
      <c r="L59" s="10"/>
      <c r="M59" s="59"/>
    </row>
    <row r="60" spans="1:13" ht="12.5">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2.5">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2.5">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2.5">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2.5">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2.5">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2.5">
      <c r="A66" s="82" t="s">
        <v>1032</v>
      </c>
      <c r="B66" s="243" t="str">
        <f>HYPERLINK("http://codeforces.com/contest/689/problem/D","CF689-D2-D")</f>
        <v>CF689-D2-D</v>
      </c>
      <c r="C66" s="70"/>
      <c r="D66" s="70"/>
      <c r="E66" s="70"/>
      <c r="F66" s="70"/>
      <c r="G66" s="70"/>
      <c r="H66" s="70"/>
      <c r="I66" s="36">
        <f t="shared" si="0"/>
        <v>0</v>
      </c>
      <c r="J66" s="10"/>
      <c r="K66" s="10"/>
      <c r="M66" s="46"/>
    </row>
    <row r="67" spans="1:13" ht="12.5">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2.5">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2.5">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2.5">
      <c r="A70" s="191"/>
      <c r="B70" s="208" t="s">
        <v>1037</v>
      </c>
      <c r="C70" s="70"/>
      <c r="D70" s="70"/>
      <c r="E70" s="70"/>
      <c r="F70" s="70"/>
      <c r="G70" s="70"/>
      <c r="H70" s="70"/>
      <c r="I70" s="36">
        <f t="shared" si="0"/>
        <v>0</v>
      </c>
      <c r="J70" s="10"/>
      <c r="K70" s="10"/>
      <c r="M70" s="46"/>
    </row>
    <row r="71" spans="1:13" ht="12.5">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2.5">
      <c r="A72" s="82"/>
      <c r="B72" s="82" t="s">
        <v>1038</v>
      </c>
      <c r="C72" s="70"/>
      <c r="D72" s="70"/>
      <c r="E72" s="70"/>
      <c r="F72" s="70"/>
      <c r="G72" s="70"/>
      <c r="H72" s="70"/>
      <c r="I72" s="36">
        <f t="shared" si="0"/>
        <v>0</v>
      </c>
      <c r="J72" s="10"/>
      <c r="K72" s="10"/>
      <c r="M72" s="46"/>
    </row>
    <row r="73" spans="1:13" ht="12.5">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2.5">
      <c r="A74" s="82"/>
      <c r="B74" s="210" t="str">
        <f>HYPERLINK("https://codeforces.com/contest/1138/problem/D","CF1138-D2-D")</f>
        <v>CF1138-D2-D</v>
      </c>
      <c r="C74" s="70"/>
      <c r="D74" s="70"/>
      <c r="E74" s="70"/>
      <c r="F74" s="70"/>
      <c r="G74" s="70"/>
      <c r="H74" s="70"/>
      <c r="I74" s="36">
        <f t="shared" si="0"/>
        <v>0</v>
      </c>
      <c r="J74" s="10"/>
      <c r="K74" s="10"/>
      <c r="M74" s="46"/>
    </row>
    <row r="75" spans="1:13" ht="12.5">
      <c r="A75" s="46"/>
      <c r="B75" s="59"/>
      <c r="C75" s="70"/>
      <c r="D75" s="70"/>
      <c r="E75" s="70"/>
      <c r="F75" s="70"/>
      <c r="G75" s="70"/>
      <c r="H75" s="70"/>
      <c r="I75" s="36">
        <f t="shared" si="0"/>
        <v>0</v>
      </c>
      <c r="J75" s="36"/>
      <c r="K75" s="36"/>
      <c r="L75" s="10"/>
      <c r="M75" s="59"/>
    </row>
    <row r="76" spans="1:13" ht="12.5">
      <c r="A76" s="59" t="s">
        <v>1040</v>
      </c>
      <c r="B76" s="133" t="str">
        <f>HYPERLINK("http://codeforces.com/contest/284/problem/D","CF284-D2-D")</f>
        <v>CF284-D2-D</v>
      </c>
      <c r="C76" s="70"/>
      <c r="D76" s="70"/>
      <c r="E76" s="70"/>
      <c r="F76" s="70"/>
      <c r="G76" s="70"/>
      <c r="H76" s="70"/>
      <c r="I76" s="36">
        <f t="shared" si="0"/>
        <v>0</v>
      </c>
      <c r="J76" s="10"/>
      <c r="K76" s="10"/>
      <c r="L76" s="10"/>
      <c r="M76" s="10"/>
    </row>
    <row r="77" spans="1:13" ht="12.5">
      <c r="A77" s="10" t="s">
        <v>1041</v>
      </c>
      <c r="B77" s="133" t="str">
        <f>HYPERLINK("http://codeforces.com/contest/431/problem/D","CF431-D2-D")</f>
        <v>CF431-D2-D</v>
      </c>
      <c r="C77" s="70"/>
      <c r="D77" s="70"/>
      <c r="E77" s="70"/>
      <c r="F77" s="70"/>
      <c r="G77" s="70"/>
      <c r="H77" s="70"/>
      <c r="I77" s="36">
        <f t="shared" si="0"/>
        <v>0</v>
      </c>
      <c r="J77" s="10"/>
      <c r="K77" s="10"/>
      <c r="L77" s="10"/>
      <c r="M77" s="10"/>
    </row>
    <row r="78" spans="1:13" ht="12.5">
      <c r="A78" s="46" t="s">
        <v>1042</v>
      </c>
      <c r="B78" s="247" t="str">
        <f>HYPERLINK("http://codeforces.com/contest/296/problem/D","CF296-D2-D")</f>
        <v>CF296-D2-D</v>
      </c>
      <c r="C78" s="70"/>
      <c r="D78" s="70"/>
      <c r="E78" s="70"/>
      <c r="F78" s="70"/>
      <c r="G78" s="70"/>
      <c r="H78" s="70"/>
      <c r="I78" s="36">
        <f t="shared" si="0"/>
        <v>0</v>
      </c>
      <c r="J78" s="36"/>
      <c r="K78" s="36"/>
      <c r="L78" s="10"/>
      <c r="M78" s="59"/>
    </row>
    <row r="79" spans="1:13" ht="12.5">
      <c r="A79" s="46" t="s">
        <v>1043</v>
      </c>
      <c r="B79" s="247" t="str">
        <f>HYPERLINK("http://codeforces.com/contest/104/problem/D","CF104-D2-D")</f>
        <v>CF104-D2-D</v>
      </c>
      <c r="C79" s="70"/>
      <c r="D79" s="70"/>
      <c r="E79" s="70"/>
      <c r="F79" s="70"/>
      <c r="G79" s="70"/>
      <c r="H79" s="70"/>
      <c r="I79" s="36">
        <f t="shared" si="0"/>
        <v>0</v>
      </c>
      <c r="J79" s="36"/>
      <c r="K79" s="36"/>
      <c r="L79" s="10"/>
      <c r="M79" s="59"/>
    </row>
    <row r="80" spans="1:13" ht="12.5">
      <c r="A80" s="59" t="s">
        <v>1044</v>
      </c>
      <c r="B80" s="133" t="str">
        <f>HYPERLINK("http://codeforces.com/contest/659/problem/D","CF659-D2-D")</f>
        <v>CF659-D2-D</v>
      </c>
      <c r="C80" s="70"/>
      <c r="D80" s="70"/>
      <c r="E80" s="70"/>
      <c r="F80" s="70"/>
      <c r="G80" s="70"/>
      <c r="H80" s="70"/>
      <c r="I80" s="36">
        <f t="shared" si="0"/>
        <v>0</v>
      </c>
      <c r="J80" s="10"/>
      <c r="K80" s="10"/>
      <c r="L80" s="10"/>
      <c r="M80" s="10"/>
    </row>
    <row r="81" spans="1:13" ht="12.5">
      <c r="A81" s="59" t="s">
        <v>1045</v>
      </c>
      <c r="B81" s="133" t="str">
        <f>HYPERLINK("http://codeforces.com/contest/270/problem/D","CF270-D2-D")</f>
        <v>CF270-D2-D</v>
      </c>
      <c r="C81" s="70"/>
      <c r="D81" s="70"/>
      <c r="E81" s="70"/>
      <c r="F81" s="70"/>
      <c r="G81" s="70"/>
      <c r="H81" s="70"/>
      <c r="I81" s="36">
        <f t="shared" si="0"/>
        <v>0</v>
      </c>
      <c r="J81" s="10"/>
      <c r="K81" s="10"/>
      <c r="L81" s="10"/>
      <c r="M81" s="10"/>
    </row>
    <row r="82" spans="1:13" ht="12.5">
      <c r="A82" s="59"/>
      <c r="B82" s="133" t="str">
        <f>HYPERLINK("http://codeforces.com/contest/645/problem/D","CF645-D12-D")</f>
        <v>CF645-D12-D</v>
      </c>
      <c r="C82" s="70"/>
      <c r="D82" s="70"/>
      <c r="E82" s="70"/>
      <c r="F82" s="70"/>
      <c r="G82" s="70"/>
      <c r="H82" s="70"/>
      <c r="I82" s="36">
        <f t="shared" si="0"/>
        <v>0</v>
      </c>
      <c r="J82" s="10"/>
      <c r="K82" s="10"/>
      <c r="L82" s="10"/>
      <c r="M82" s="10"/>
    </row>
    <row r="83" spans="1:13" ht="12.5">
      <c r="A83" s="59"/>
      <c r="B83" s="133" t="str">
        <f>HYPERLINK("http://codeforces.com/contest/459/problem/C","CF459-D2-C")</f>
        <v>CF459-D2-C</v>
      </c>
      <c r="C83" s="70"/>
      <c r="D83" s="70"/>
      <c r="E83" s="70"/>
      <c r="F83" s="70"/>
      <c r="G83" s="70"/>
      <c r="H83" s="70"/>
      <c r="I83" s="36">
        <f t="shared" si="0"/>
        <v>0</v>
      </c>
      <c r="J83" s="10"/>
      <c r="K83" s="10"/>
      <c r="L83" s="10"/>
      <c r="M83" s="10"/>
    </row>
    <row r="84" spans="1:13" ht="25">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2.5">
      <c r="A85" s="59"/>
      <c r="B85" s="133" t="str">
        <f>HYPERLINK("http://codeforces.com/contest/1005/problem/F","CF1005-D3-F")</f>
        <v>CF1005-D3-F</v>
      </c>
      <c r="C85" s="70"/>
      <c r="D85" s="70"/>
      <c r="E85" s="70"/>
      <c r="F85" s="70"/>
      <c r="G85" s="70"/>
      <c r="H85" s="70"/>
      <c r="I85" s="36">
        <f t="shared" si="0"/>
        <v>0</v>
      </c>
      <c r="J85" s="10"/>
      <c r="K85" s="10"/>
      <c r="L85" s="10"/>
      <c r="M85" s="10"/>
    </row>
    <row r="86" spans="1:13" ht="12.5">
      <c r="A86" s="152" t="s">
        <v>1046</v>
      </c>
      <c r="B86" s="194" t="str">
        <f>HYPERLINK("http://codeforces.com/contest/152/problem/C","CF152-D2-C")</f>
        <v>CF152-D2-C</v>
      </c>
      <c r="C86" s="70"/>
      <c r="D86" s="70"/>
      <c r="E86" s="70"/>
      <c r="F86" s="70"/>
      <c r="G86" s="70"/>
      <c r="H86" s="70"/>
      <c r="I86" s="36">
        <f t="shared" si="0"/>
        <v>0</v>
      </c>
      <c r="J86" s="10"/>
      <c r="K86" s="10"/>
      <c r="L86" s="10"/>
      <c r="M86" s="10"/>
    </row>
    <row r="87" spans="1:13" ht="12.5">
      <c r="A87" s="152" t="s">
        <v>1047</v>
      </c>
      <c r="B87" s="194" t="str">
        <f>HYPERLINK("http://codeforces.com/contest/361/problem/C","CF361-D2-C")</f>
        <v>CF361-D2-C</v>
      </c>
      <c r="C87" s="70"/>
      <c r="D87" s="70"/>
      <c r="E87" s="70"/>
      <c r="F87" s="70"/>
      <c r="G87" s="70"/>
      <c r="H87" s="70"/>
      <c r="I87" s="36">
        <f t="shared" si="0"/>
        <v>0</v>
      </c>
      <c r="J87" s="10"/>
      <c r="K87" s="10"/>
      <c r="L87" s="10"/>
      <c r="M87" s="10"/>
    </row>
    <row r="88" spans="1:13" ht="12.5">
      <c r="A88" s="152" t="s">
        <v>1048</v>
      </c>
      <c r="B88" s="194" t="str">
        <f>HYPERLINK("http://codeforces.com/contest/540/problem/C","CF540-D2-C")</f>
        <v>CF540-D2-C</v>
      </c>
      <c r="C88" s="70"/>
      <c r="D88" s="70"/>
      <c r="E88" s="70"/>
      <c r="F88" s="70"/>
      <c r="G88" s="70"/>
      <c r="H88" s="70"/>
      <c r="I88" s="36">
        <f t="shared" si="0"/>
        <v>0</v>
      </c>
      <c r="J88" s="10"/>
      <c r="K88" s="10"/>
      <c r="L88" s="10"/>
      <c r="M88" s="10"/>
    </row>
    <row r="89" spans="1:13" ht="12.5">
      <c r="A89" s="46"/>
      <c r="B89" s="59"/>
      <c r="C89" s="70"/>
      <c r="D89" s="70"/>
      <c r="E89" s="70"/>
      <c r="F89" s="70"/>
      <c r="G89" s="70"/>
      <c r="H89" s="70"/>
      <c r="I89" s="36">
        <f t="shared" si="0"/>
        <v>0</v>
      </c>
      <c r="J89" s="36"/>
      <c r="K89" s="36"/>
      <c r="L89" s="10"/>
      <c r="M89" s="59"/>
    </row>
    <row r="90" spans="1:13" ht="12.5">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2.5">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2.5">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2.5">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2.5">
      <c r="A94" s="82" t="s">
        <v>1052</v>
      </c>
      <c r="B94" s="217" t="str">
        <f>HYPERLINK("http://codeforces.com/contest/540/problem/D","CF540-D2-D")</f>
        <v>CF540-D2-D</v>
      </c>
      <c r="C94" s="70"/>
      <c r="D94" s="70"/>
      <c r="E94" s="70"/>
      <c r="F94" s="70"/>
      <c r="G94" s="70"/>
      <c r="H94" s="70"/>
      <c r="I94" s="36">
        <f t="shared" si="0"/>
        <v>0</v>
      </c>
      <c r="J94" s="10"/>
      <c r="K94" s="10"/>
      <c r="L94" s="10"/>
      <c r="M94" s="10"/>
    </row>
    <row r="95" spans="1:13" ht="12.5">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2.5">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2.5">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2.5">
      <c r="A98" s="82"/>
      <c r="B98" s="157" t="str">
        <f>HYPERLINK("https://www.hackerrank.com/challenges/ajourney","HACKR ajourney")</f>
        <v>HACKR ajourney</v>
      </c>
      <c r="C98" s="70"/>
      <c r="D98" s="70"/>
      <c r="E98" s="70"/>
      <c r="F98" s="70"/>
      <c r="G98" s="70"/>
      <c r="H98" s="70"/>
      <c r="I98" s="36">
        <f t="shared" si="0"/>
        <v>0</v>
      </c>
      <c r="J98" s="10"/>
      <c r="K98" s="10"/>
      <c r="M98" s="46"/>
    </row>
    <row r="99" spans="1:13" ht="12.5">
      <c r="A99" s="82"/>
      <c r="B99" s="157" t="str">
        <f>HYPERLINK("https://codeforces.com/contest/665/problem/E","CF665-D12-E")</f>
        <v>CF665-D12-E</v>
      </c>
      <c r="C99" s="70"/>
      <c r="D99" s="70"/>
      <c r="E99" s="70"/>
      <c r="F99" s="70"/>
      <c r="G99" s="70"/>
      <c r="H99" s="70"/>
      <c r="I99" s="36">
        <f t="shared" si="0"/>
        <v>0</v>
      </c>
      <c r="J99" s="10"/>
      <c r="K99" s="10"/>
      <c r="M99" s="46"/>
    </row>
    <row r="100" spans="1:13" ht="12.5">
      <c r="A100" s="46"/>
      <c r="B100" s="59"/>
      <c r="C100" s="70"/>
      <c r="D100" s="70"/>
      <c r="E100" s="70"/>
      <c r="F100" s="70"/>
      <c r="G100" s="70"/>
      <c r="H100" s="70"/>
      <c r="I100" s="36">
        <f t="shared" si="0"/>
        <v>0</v>
      </c>
      <c r="J100" s="36"/>
      <c r="K100" s="36"/>
      <c r="M100" s="46"/>
    </row>
    <row r="101" spans="1:13" ht="12.5">
      <c r="A101" s="46" t="s">
        <v>1057</v>
      </c>
      <c r="B101" s="122" t="str">
        <f>HYPERLINK("http://codeforces.com/contest/203/problem/D","CF203-D2-D")</f>
        <v>CF203-D2-D</v>
      </c>
      <c r="C101" s="70"/>
      <c r="D101" s="70"/>
      <c r="E101" s="70"/>
      <c r="F101" s="70"/>
      <c r="G101" s="70"/>
      <c r="H101" s="70"/>
      <c r="I101" s="36">
        <f t="shared" si="0"/>
        <v>0</v>
      </c>
      <c r="J101" s="36"/>
      <c r="K101" s="36"/>
      <c r="M101" s="46"/>
    </row>
    <row r="102" spans="1:13" ht="12.5">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2.5">
      <c r="A103" s="59" t="s">
        <v>1059</v>
      </c>
      <c r="B103" s="133" t="str">
        <f>HYPERLINK("http://codeforces.com/contest/219/problem/D","CF219-D2-D")</f>
        <v>CF219-D2-D</v>
      </c>
      <c r="C103" s="70"/>
      <c r="D103" s="70"/>
      <c r="E103" s="70"/>
      <c r="F103" s="70"/>
      <c r="G103" s="70"/>
      <c r="H103" s="70"/>
      <c r="I103" s="36">
        <f t="shared" si="0"/>
        <v>0</v>
      </c>
      <c r="J103" s="10"/>
      <c r="K103" s="10"/>
      <c r="M103" s="46"/>
    </row>
    <row r="104" spans="1:13" ht="12.5">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2.5">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2.5">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2.5">
      <c r="A107" s="59"/>
      <c r="B107" s="59" t="s">
        <v>1062</v>
      </c>
      <c r="C107" s="70"/>
      <c r="D107" s="70"/>
      <c r="E107" s="70"/>
      <c r="F107" s="70"/>
      <c r="G107" s="70"/>
      <c r="H107" s="70"/>
      <c r="I107" s="36">
        <f t="shared" si="0"/>
        <v>0</v>
      </c>
      <c r="J107" s="10"/>
      <c r="K107" s="10"/>
      <c r="L107" s="10"/>
      <c r="M107" s="59"/>
    </row>
    <row r="108" spans="1:13" ht="12.5">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12.5">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2.5">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2.5">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2.5">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5">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2.5">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2.5">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2.5">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2.5">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2.5">
      <c r="A120" s="82"/>
      <c r="B120" s="208" t="s">
        <v>1071</v>
      </c>
      <c r="C120" s="70"/>
      <c r="D120" s="70"/>
      <c r="E120" s="70"/>
      <c r="F120" s="70"/>
      <c r="G120" s="70"/>
      <c r="H120" s="70"/>
      <c r="I120" s="36">
        <f t="shared" si="0"/>
        <v>0</v>
      </c>
      <c r="J120" s="10"/>
      <c r="K120" s="10"/>
      <c r="L120" s="10"/>
      <c r="M120" s="46"/>
    </row>
    <row r="121" spans="1:13" ht="12.5">
      <c r="A121" s="82"/>
      <c r="B121" s="82" t="s">
        <v>1072</v>
      </c>
      <c r="C121" s="70"/>
      <c r="D121" s="70"/>
      <c r="E121" s="70"/>
      <c r="F121" s="70"/>
      <c r="G121" s="70"/>
      <c r="H121" s="70"/>
      <c r="I121" s="36">
        <f t="shared" si="0"/>
        <v>0</v>
      </c>
      <c r="J121" s="10"/>
      <c r="K121" s="10"/>
      <c r="L121" s="10"/>
      <c r="M121" s="46"/>
    </row>
    <row r="122" spans="1:13" ht="12.5">
      <c r="A122" s="82"/>
      <c r="B122" s="82" t="s">
        <v>1073</v>
      </c>
      <c r="C122" s="70"/>
      <c r="D122" s="70"/>
      <c r="E122" s="70"/>
      <c r="F122" s="70"/>
      <c r="G122" s="70"/>
      <c r="H122" s="70"/>
      <c r="I122" s="36">
        <f t="shared" si="0"/>
        <v>0</v>
      </c>
      <c r="J122" s="10"/>
      <c r="K122" s="10"/>
      <c r="L122" s="10"/>
      <c r="M122" s="46"/>
    </row>
    <row r="123" spans="1:13" ht="12.5">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2.5">
      <c r="A124" s="82"/>
      <c r="B124" s="82" t="s">
        <v>1075</v>
      </c>
      <c r="C124" s="70"/>
      <c r="D124" s="70"/>
      <c r="E124" s="70"/>
      <c r="F124" s="70"/>
      <c r="G124" s="70"/>
      <c r="H124" s="70"/>
      <c r="I124" s="36">
        <f t="shared" si="0"/>
        <v>0</v>
      </c>
      <c r="J124" s="10"/>
      <c r="K124" s="10"/>
      <c r="L124" s="10"/>
      <c r="M124" s="46"/>
    </row>
    <row r="125" spans="1:13" ht="12.5">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2.5">
      <c r="A126" s="82"/>
      <c r="B126" s="82" t="s">
        <v>1077</v>
      </c>
      <c r="C126" s="70"/>
      <c r="D126" s="70"/>
      <c r="E126" s="70"/>
      <c r="F126" s="70"/>
      <c r="G126" s="70"/>
      <c r="H126" s="70"/>
      <c r="I126" s="36">
        <f t="shared" si="0"/>
        <v>0</v>
      </c>
      <c r="J126" s="36"/>
      <c r="K126" s="36"/>
      <c r="M126" s="46"/>
    </row>
    <row r="127" spans="1:13" ht="12.5">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2.5">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2.5">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2.5">
      <c r="A130" s="82"/>
      <c r="B130" s="217" t="str">
        <f>HYPERLINK("http://codeforces.com/contest/28/problem/C","CF28-D12-C")</f>
        <v>CF28-D12-C</v>
      </c>
      <c r="C130" s="70"/>
      <c r="D130" s="70"/>
      <c r="E130" s="70"/>
      <c r="F130" s="70"/>
      <c r="G130" s="70"/>
      <c r="H130" s="70"/>
      <c r="I130" s="36">
        <f t="shared" si="0"/>
        <v>0</v>
      </c>
      <c r="J130" s="36"/>
      <c r="K130" s="36"/>
      <c r="M130" s="46"/>
    </row>
    <row r="131" spans="1:13" ht="13">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2.5">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2.5">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2.5">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2.5">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2.5">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2.5">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2.5">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2.5">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2.5">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2.5">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2.5">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2.5">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2.5">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2.5">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2.5">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2.5">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2.5">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2.5">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2.5">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2.5">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2.5">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2.5">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2.5">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2.5">
      <c r="A156" s="82"/>
      <c r="B156" s="82" t="s">
        <v>1100</v>
      </c>
      <c r="C156" s="70"/>
      <c r="D156" s="70"/>
      <c r="E156" s="70"/>
      <c r="F156" s="70"/>
      <c r="G156" s="70"/>
      <c r="H156" s="70"/>
      <c r="I156" s="36">
        <f t="shared" si="0"/>
        <v>0</v>
      </c>
      <c r="J156" s="10"/>
      <c r="K156" s="10"/>
      <c r="L156" s="10"/>
      <c r="M156" s="46"/>
    </row>
    <row r="157" spans="1:13" ht="12.5">
      <c r="A157" s="82"/>
      <c r="B157" s="82" t="s">
        <v>1101</v>
      </c>
      <c r="C157" s="70"/>
      <c r="D157" s="70"/>
      <c r="E157" s="70"/>
      <c r="F157" s="70"/>
      <c r="G157" s="70"/>
      <c r="H157" s="70"/>
      <c r="I157" s="36">
        <f t="shared" si="0"/>
        <v>0</v>
      </c>
      <c r="J157" s="10"/>
      <c r="K157" s="10"/>
      <c r="L157" s="10"/>
      <c r="M157" s="46"/>
    </row>
    <row r="158" spans="1:13" ht="12.5">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08984375" defaultRowHeight="15.75" customHeight="1"/>
  <cols>
    <col min="1" max="1" width="13.7265625" customWidth="1"/>
    <col min="2" max="2" width="17.36328125" customWidth="1"/>
    <col min="3" max="3" width="6" customWidth="1"/>
    <col min="4" max="4" width="6.6328125" customWidth="1"/>
    <col min="5" max="5" width="7.36328125" customWidth="1"/>
    <col min="6" max="6" width="7.6328125" customWidth="1"/>
    <col min="7" max="7" width="8.7265625" customWidth="1"/>
    <col min="8" max="9" width="7.453125" customWidth="1"/>
    <col min="10" max="12" width="8.726562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2.5">
      <c r="A23" s="46"/>
      <c r="C23" s="70"/>
      <c r="D23" s="70"/>
      <c r="E23" s="70"/>
      <c r="F23" s="70"/>
      <c r="G23" s="70"/>
      <c r="H23" s="70"/>
      <c r="I23" s="36">
        <f t="shared" si="0"/>
        <v>0</v>
      </c>
      <c r="J23" s="36"/>
      <c r="K23" s="36"/>
      <c r="L23" s="10"/>
    </row>
    <row r="24" spans="1:13" ht="12.5">
      <c r="A24" s="46" t="s">
        <v>1111</v>
      </c>
      <c r="B24" s="263" t="str">
        <f>HYPERLINK("http://codeforces.com/contest/681/problem/D","CF681-D2-D")</f>
        <v>CF681-D2-D</v>
      </c>
      <c r="C24" s="70"/>
      <c r="D24" s="70"/>
      <c r="E24" s="70"/>
      <c r="F24" s="70"/>
      <c r="G24" s="70"/>
      <c r="H24" s="70"/>
      <c r="I24" s="36">
        <f t="shared" si="0"/>
        <v>0</v>
      </c>
      <c r="J24" s="36"/>
      <c r="K24" s="36"/>
      <c r="L24" s="10"/>
    </row>
    <row r="25" spans="1:13" ht="12.5">
      <c r="A25" s="46" t="s">
        <v>1112</v>
      </c>
      <c r="B25" s="263" t="str">
        <f>HYPERLINK("http://codeforces.com/contest/447/problem/D","CF447-D2-D")</f>
        <v>CF447-D2-D</v>
      </c>
      <c r="C25" s="70"/>
      <c r="D25" s="70"/>
      <c r="E25" s="70"/>
      <c r="F25" s="70"/>
      <c r="G25" s="70"/>
      <c r="H25" s="70"/>
      <c r="I25" s="36">
        <f t="shared" si="0"/>
        <v>0</v>
      </c>
      <c r="J25" s="36"/>
      <c r="K25" s="36"/>
      <c r="M25" s="12" t="s">
        <v>1113</v>
      </c>
    </row>
    <row r="26" spans="1:13" ht="12.5">
      <c r="A26" s="46" t="s">
        <v>1114</v>
      </c>
      <c r="B26" s="263" t="str">
        <f>HYPERLINK("http://codeforces.com/contest/548/problem/D","CF548-D2-D")</f>
        <v>CF548-D2-D</v>
      </c>
      <c r="C26" s="70"/>
      <c r="D26" s="70"/>
      <c r="E26" s="70"/>
      <c r="F26" s="70"/>
      <c r="G26" s="70"/>
      <c r="H26" s="70"/>
      <c r="I26" s="36">
        <f t="shared" si="0"/>
        <v>0</v>
      </c>
      <c r="J26" s="36"/>
      <c r="K26" s="36"/>
    </row>
    <row r="27" spans="1:13" ht="12.5">
      <c r="A27" s="46" t="s">
        <v>1115</v>
      </c>
      <c r="B27" s="263" t="str">
        <f>HYPERLINK("http://codeforces.com/contest/435/problem/D","CF435-D2-D")</f>
        <v>CF435-D2-D</v>
      </c>
      <c r="C27" s="70"/>
      <c r="D27" s="70"/>
      <c r="E27" s="70"/>
      <c r="F27" s="70"/>
      <c r="G27" s="70"/>
      <c r="H27" s="70"/>
      <c r="I27" s="36">
        <f t="shared" si="0"/>
        <v>0</v>
      </c>
      <c r="J27" s="36"/>
      <c r="K27" s="36"/>
    </row>
    <row r="28" spans="1:13" ht="12.5">
      <c r="A28" s="46" t="s">
        <v>1116</v>
      </c>
      <c r="B28" s="263" t="str">
        <f>HYPERLINK("http://codeforces.com/contest/401/problem/D","CF401-D2-D")</f>
        <v>CF401-D2-D</v>
      </c>
      <c r="C28" s="70"/>
      <c r="D28" s="70"/>
      <c r="E28" s="70"/>
      <c r="F28" s="70"/>
      <c r="G28" s="70"/>
      <c r="H28" s="70"/>
      <c r="I28" s="36">
        <f t="shared" si="0"/>
        <v>0</v>
      </c>
      <c r="J28" s="36"/>
      <c r="K28" s="36"/>
    </row>
    <row r="29" spans="1:13" ht="12.5">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2.5">
      <c r="A30" s="59" t="s">
        <v>1118</v>
      </c>
      <c r="B30" s="66" t="str">
        <f>HYPERLINK("http://codeforces.com/contest/550/problem/D","CF550-D2-D")</f>
        <v>CF550-D2-D</v>
      </c>
      <c r="C30" s="70"/>
      <c r="D30" s="70"/>
      <c r="E30" s="70"/>
      <c r="F30" s="70"/>
      <c r="G30" s="70"/>
      <c r="H30" s="70"/>
      <c r="I30" s="36">
        <f t="shared" si="0"/>
        <v>0</v>
      </c>
      <c r="J30" s="10"/>
      <c r="K30" s="10"/>
      <c r="M30" s="10"/>
    </row>
    <row r="31" spans="1:13" ht="12.5">
      <c r="A31" s="59"/>
      <c r="B31" s="66" t="str">
        <f>HYPERLINK("https://codeforces.com/contest/1059/problem/D","CF1059-D2-D")</f>
        <v>CF1059-D2-D</v>
      </c>
      <c r="C31" s="70"/>
      <c r="D31" s="70"/>
      <c r="E31" s="70"/>
      <c r="F31" s="70"/>
      <c r="G31" s="70"/>
      <c r="H31" s="70"/>
      <c r="I31" s="36">
        <f t="shared" si="0"/>
        <v>0</v>
      </c>
      <c r="J31" s="10"/>
      <c r="K31" s="10"/>
      <c r="M31" s="10"/>
    </row>
    <row r="32" spans="1:13" ht="12.5">
      <c r="A32" s="152" t="s">
        <v>1119</v>
      </c>
      <c r="B32" s="213" t="str">
        <f>HYPERLINK("http://codeforces.com/contest/255/problem/C","CF255-D2-C")</f>
        <v>CF255-D2-C</v>
      </c>
      <c r="C32" s="70"/>
      <c r="D32" s="70"/>
      <c r="E32" s="70"/>
      <c r="F32" s="70"/>
      <c r="G32" s="70"/>
      <c r="H32" s="70"/>
      <c r="I32" s="36">
        <f t="shared" si="0"/>
        <v>0</v>
      </c>
      <c r="J32" s="10"/>
      <c r="K32" s="10"/>
      <c r="M32" s="10"/>
    </row>
    <row r="33" spans="1:13" ht="12.5">
      <c r="A33" s="152" t="s">
        <v>1120</v>
      </c>
      <c r="B33" s="213" t="str">
        <f>HYPERLINK("http://codeforces.com/contest/59/problem/C","CF59-D2-C")</f>
        <v>CF59-D2-C</v>
      </c>
      <c r="C33" s="70"/>
      <c r="D33" s="70"/>
      <c r="E33" s="70"/>
      <c r="F33" s="70"/>
      <c r="G33" s="70"/>
      <c r="H33" s="70"/>
      <c r="I33" s="36">
        <f t="shared" si="0"/>
        <v>0</v>
      </c>
      <c r="J33" s="10"/>
      <c r="K33" s="10"/>
      <c r="M33" s="10"/>
    </row>
    <row r="34" spans="1:13" ht="12.5">
      <c r="A34" s="152" t="s">
        <v>1121</v>
      </c>
      <c r="B34" s="213" t="str">
        <f>HYPERLINK("http://codeforces.com/contest/495/problem/C","CF495-D2-C")</f>
        <v>CF495-D2-C</v>
      </c>
      <c r="C34" s="70"/>
      <c r="D34" s="70"/>
      <c r="E34" s="70"/>
      <c r="F34" s="70"/>
      <c r="G34" s="70"/>
      <c r="H34" s="70"/>
      <c r="I34" s="36">
        <f t="shared" si="0"/>
        <v>0</v>
      </c>
      <c r="J34" s="10"/>
      <c r="K34" s="10"/>
      <c r="M34" s="10"/>
    </row>
    <row r="35" spans="1:13" ht="12.5">
      <c r="A35" s="46"/>
      <c r="C35" s="70"/>
      <c r="D35" s="70"/>
      <c r="E35" s="70"/>
      <c r="F35" s="70"/>
      <c r="G35" s="70"/>
      <c r="H35" s="70"/>
      <c r="I35" s="36">
        <f t="shared" si="0"/>
        <v>0</v>
      </c>
      <c r="J35" s="36"/>
      <c r="K35" s="36"/>
      <c r="M35" s="10"/>
    </row>
    <row r="36" spans="1:13" ht="12.5">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2.5">
      <c r="A37" s="236" t="s">
        <v>1123</v>
      </c>
      <c r="B37" s="265" t="str">
        <f>HYPERLINK("http://www.spoj.com/problems/DCEPC12E","SPOJ DCEPC12E")</f>
        <v>SPOJ DCEPC12E</v>
      </c>
      <c r="C37" s="70"/>
      <c r="D37" s="70"/>
      <c r="E37" s="70"/>
      <c r="F37" s="70"/>
      <c r="G37" s="70"/>
      <c r="H37" s="70"/>
      <c r="I37" s="36">
        <f t="shared" si="0"/>
        <v>0</v>
      </c>
      <c r="J37" s="36"/>
      <c r="K37" s="36"/>
      <c r="M37" s="10"/>
    </row>
    <row r="38" spans="1:13" ht="12.5">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2.5">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2.5">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2.5">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2.5">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2.5">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2.5">
      <c r="A44" s="236"/>
      <c r="B44" s="236" t="s">
        <v>1130</v>
      </c>
      <c r="C44" s="70"/>
      <c r="D44" s="70"/>
      <c r="E44" s="70"/>
      <c r="F44" s="70"/>
      <c r="G44" s="70"/>
      <c r="H44" s="70"/>
      <c r="I44" s="36">
        <f t="shared" si="0"/>
        <v>0</v>
      </c>
      <c r="J44" s="10"/>
      <c r="K44" s="10"/>
    </row>
    <row r="45" spans="1:13" ht="12.5">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2.5">
      <c r="A46" s="236"/>
      <c r="B46" s="236" t="s">
        <v>1132</v>
      </c>
      <c r="C46" s="70"/>
      <c r="D46" s="70"/>
      <c r="E46" s="70"/>
      <c r="F46" s="70"/>
      <c r="G46" s="70"/>
      <c r="H46" s="70"/>
      <c r="I46" s="36">
        <f t="shared" si="0"/>
        <v>0</v>
      </c>
      <c r="J46" s="10"/>
      <c r="K46" s="10"/>
    </row>
    <row r="47" spans="1:13" ht="12.5">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2.5">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2.5">
      <c r="A49" s="236"/>
      <c r="B49" s="236" t="s">
        <v>1135</v>
      </c>
      <c r="C49" s="70"/>
      <c r="D49" s="70"/>
      <c r="E49" s="70"/>
      <c r="F49" s="70"/>
      <c r="G49" s="70"/>
      <c r="H49" s="70"/>
      <c r="I49" s="36">
        <f t="shared" si="0"/>
        <v>0</v>
      </c>
      <c r="J49" s="10"/>
      <c r="K49" s="10"/>
    </row>
    <row r="50" spans="1:13" ht="12.5">
      <c r="A50" s="236"/>
      <c r="B50" s="236" t="s">
        <v>1136</v>
      </c>
      <c r="C50" s="70"/>
      <c r="D50" s="70"/>
      <c r="E50" s="70"/>
      <c r="F50" s="70"/>
      <c r="G50" s="70"/>
      <c r="H50" s="70"/>
      <c r="I50" s="36">
        <f t="shared" si="0"/>
        <v>0</v>
      </c>
      <c r="J50" s="10"/>
      <c r="K50" s="10"/>
    </row>
    <row r="51" spans="1:13" ht="12.5">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2.5">
      <c r="A52" s="236"/>
      <c r="B52" s="237" t="str">
        <f>HYPERLINK("http://codeforces.com/contest/811/problem/D","CF811-D2-D")</f>
        <v>CF811-D2-D</v>
      </c>
      <c r="C52" s="70"/>
      <c r="D52" s="70"/>
      <c r="E52" s="70"/>
      <c r="F52" s="70"/>
      <c r="G52" s="70"/>
      <c r="H52" s="70"/>
      <c r="I52" s="36">
        <f t="shared" si="0"/>
        <v>0</v>
      </c>
      <c r="J52" s="10"/>
      <c r="K52" s="10"/>
    </row>
    <row r="53" spans="1:13" ht="12.5">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2.5">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2.5">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2.5">
      <c r="A56" s="46"/>
      <c r="B56" s="122"/>
      <c r="C56" s="70"/>
      <c r="D56" s="70"/>
      <c r="E56" s="70"/>
      <c r="F56" s="70"/>
      <c r="G56" s="70"/>
      <c r="H56" s="70"/>
      <c r="I56" s="36">
        <f t="shared" si="0"/>
        <v>0</v>
      </c>
      <c r="J56" s="36"/>
      <c r="K56" s="36"/>
      <c r="M56" s="10"/>
    </row>
    <row r="57" spans="1:13" ht="12.5">
      <c r="A57" s="46" t="s">
        <v>1140</v>
      </c>
      <c r="B57" s="263" t="str">
        <f>HYPERLINK("http://codeforces.com/contest/478/problem/D","CF478-D2-D")</f>
        <v>CF478-D2-D</v>
      </c>
      <c r="C57" s="70"/>
      <c r="D57" s="70"/>
      <c r="E57" s="70"/>
      <c r="F57" s="70"/>
      <c r="G57" s="70"/>
      <c r="H57" s="70"/>
      <c r="I57" s="36">
        <f t="shared" si="0"/>
        <v>0</v>
      </c>
      <c r="J57" s="36"/>
      <c r="K57" s="36"/>
      <c r="M57" s="10"/>
    </row>
    <row r="58" spans="1:13" ht="12.5">
      <c r="A58" s="46" t="s">
        <v>1141</v>
      </c>
      <c r="B58" s="263" t="str">
        <f>HYPERLINK("http://codeforces.com/contest/363/problem/D","CF363-D2-D")</f>
        <v>CF363-D2-D</v>
      </c>
      <c r="C58" s="70"/>
      <c r="D58" s="70"/>
      <c r="E58" s="70"/>
      <c r="F58" s="70"/>
      <c r="G58" s="70"/>
      <c r="H58" s="70"/>
      <c r="I58" s="36">
        <f t="shared" si="0"/>
        <v>0</v>
      </c>
      <c r="J58" s="36"/>
      <c r="K58" s="36"/>
      <c r="M58" s="10"/>
    </row>
    <row r="59" spans="1:13" ht="12.5">
      <c r="A59" s="59" t="s">
        <v>1142</v>
      </c>
      <c r="B59" s="66" t="str">
        <f>HYPERLINK("http://codeforces.com/contest/146/problem/D","CF146-D2-D")</f>
        <v>CF146-D2-D</v>
      </c>
      <c r="C59" s="70"/>
      <c r="D59" s="70"/>
      <c r="E59" s="70"/>
      <c r="F59" s="70"/>
      <c r="G59" s="70"/>
      <c r="H59" s="70"/>
      <c r="I59" s="36">
        <f t="shared" si="0"/>
        <v>0</v>
      </c>
      <c r="J59" s="10"/>
      <c r="K59" s="10"/>
      <c r="M59" s="10"/>
    </row>
    <row r="60" spans="1:13" ht="12.5">
      <c r="A60" s="59" t="s">
        <v>1143</v>
      </c>
      <c r="B60" s="66" t="str">
        <f>HYPERLINK("http://codeforces.com/contest/496/problem/D","CF496-D2-D")</f>
        <v>CF496-D2-D</v>
      </c>
      <c r="C60" s="70"/>
      <c r="D60" s="70"/>
      <c r="E60" s="70"/>
      <c r="F60" s="70"/>
      <c r="G60" s="70"/>
      <c r="H60" s="70"/>
      <c r="I60" s="36">
        <f t="shared" si="0"/>
        <v>0</v>
      </c>
      <c r="J60" s="10"/>
      <c r="K60" s="10"/>
      <c r="M60" s="10"/>
    </row>
    <row r="61" spans="1:13" ht="12.5">
      <c r="A61" s="59" t="s">
        <v>1144</v>
      </c>
      <c r="B61" s="66" t="str">
        <f>HYPERLINK("http://codeforces.com/contest/340/problem/D","CF340-D2-D")</f>
        <v>CF340-D2-D</v>
      </c>
      <c r="C61" s="70"/>
      <c r="D61" s="70"/>
      <c r="E61" s="70"/>
      <c r="F61" s="70"/>
      <c r="G61" s="70"/>
      <c r="H61" s="70"/>
      <c r="I61" s="36">
        <f t="shared" si="0"/>
        <v>0</v>
      </c>
      <c r="J61" s="10"/>
      <c r="K61" s="10"/>
      <c r="M61" s="10"/>
    </row>
    <row r="62" spans="1:13" ht="12.5">
      <c r="A62" s="46" t="s">
        <v>1145</v>
      </c>
      <c r="B62" s="263" t="str">
        <f>HYPERLINK("http://codeforces.com/contest/402/problem/D","CF402-D2-D")</f>
        <v>CF402-D2-D</v>
      </c>
      <c r="C62" s="70"/>
      <c r="D62" s="70"/>
      <c r="E62" s="70"/>
      <c r="F62" s="70"/>
      <c r="G62" s="70"/>
      <c r="H62" s="70"/>
      <c r="I62" s="36">
        <f t="shared" si="0"/>
        <v>0</v>
      </c>
      <c r="J62" s="36"/>
      <c r="K62" s="36"/>
      <c r="M62" s="10"/>
    </row>
    <row r="63" spans="1:13" ht="12.5">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2.5">
      <c r="A64" s="46"/>
      <c r="B64" s="263" t="str">
        <f>HYPERLINK("http://codeforces.com/problemset/problem/1017/D","CF1017-D12-D")</f>
        <v>CF1017-D12-D</v>
      </c>
      <c r="C64" s="70"/>
      <c r="D64" s="70"/>
      <c r="E64" s="70"/>
      <c r="F64" s="70"/>
      <c r="G64" s="70"/>
      <c r="H64" s="70"/>
      <c r="I64" s="36">
        <f t="shared" si="0"/>
        <v>0</v>
      </c>
      <c r="J64" s="36"/>
      <c r="K64" s="36"/>
      <c r="M64" s="10"/>
    </row>
    <row r="65" spans="1:13" ht="12.5">
      <c r="A65" s="152" t="s">
        <v>1147</v>
      </c>
      <c r="B65" s="213" t="str">
        <f>HYPERLINK("http://codeforces.com/contest/69/problem/C","CF69-D2-C")</f>
        <v>CF69-D2-C</v>
      </c>
      <c r="C65" s="70"/>
      <c r="D65" s="70"/>
      <c r="E65" s="70"/>
      <c r="F65" s="70"/>
      <c r="G65" s="70"/>
      <c r="H65" s="70"/>
      <c r="I65" s="36">
        <f t="shared" si="0"/>
        <v>0</v>
      </c>
      <c r="J65" s="36"/>
      <c r="K65" s="36"/>
      <c r="M65" s="10"/>
    </row>
    <row r="66" spans="1:13" ht="12.5">
      <c r="A66" s="152" t="s">
        <v>1148</v>
      </c>
      <c r="B66" s="213" t="str">
        <f>HYPERLINK("http://codeforces.com/contest/322/problem/C","CF322-D2-C")</f>
        <v>CF322-D2-C</v>
      </c>
      <c r="C66" s="70"/>
      <c r="D66" s="70"/>
      <c r="E66" s="70"/>
      <c r="F66" s="70"/>
      <c r="G66" s="70"/>
      <c r="H66" s="70"/>
      <c r="I66" s="36">
        <f t="shared" si="0"/>
        <v>0</v>
      </c>
      <c r="J66" s="36"/>
      <c r="K66" s="36"/>
      <c r="M66" s="10"/>
    </row>
    <row r="67" spans="1:13" ht="12.5">
      <c r="A67" s="152" t="s">
        <v>1149</v>
      </c>
      <c r="B67" s="213" t="str">
        <f>HYPERLINK("http://codeforces.com/contest/716/problem/C","CF716-D2-C")</f>
        <v>CF716-D2-C</v>
      </c>
      <c r="C67" s="70"/>
      <c r="D67" s="70"/>
      <c r="E67" s="70"/>
      <c r="F67" s="70"/>
      <c r="G67" s="70"/>
      <c r="H67" s="70"/>
      <c r="I67" s="36">
        <f t="shared" si="0"/>
        <v>0</v>
      </c>
      <c r="J67" s="36"/>
      <c r="K67" s="36"/>
      <c r="M67" s="10"/>
    </row>
    <row r="68" spans="1:13" ht="12.5">
      <c r="A68" s="46"/>
      <c r="B68" s="122"/>
      <c r="C68" s="70"/>
      <c r="D68" s="70"/>
      <c r="E68" s="70"/>
      <c r="F68" s="70"/>
      <c r="G68" s="70"/>
      <c r="H68" s="70"/>
      <c r="I68" s="36">
        <f t="shared" si="0"/>
        <v>0</v>
      </c>
      <c r="J68" s="36"/>
      <c r="K68" s="36"/>
      <c r="M68" s="10"/>
    </row>
    <row r="69" spans="1:13" ht="12.5">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2.5">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2.5">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2.5">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2.5">
      <c r="A73" s="207"/>
      <c r="B73" s="268" t="s">
        <v>1154</v>
      </c>
      <c r="C73" s="70"/>
      <c r="D73" s="70"/>
      <c r="E73" s="70"/>
      <c r="F73" s="70"/>
      <c r="G73" s="70"/>
      <c r="H73" s="70"/>
      <c r="I73" s="36">
        <f t="shared" si="0"/>
        <v>0</v>
      </c>
      <c r="J73" s="36"/>
      <c r="K73" s="36"/>
    </row>
    <row r="74" spans="1:13" ht="12.5">
      <c r="A74" s="207"/>
      <c r="B74" s="268" t="s">
        <v>1155</v>
      </c>
      <c r="C74" s="70"/>
      <c r="D74" s="70"/>
      <c r="E74" s="70"/>
      <c r="F74" s="70"/>
      <c r="G74" s="70"/>
      <c r="H74" s="70"/>
      <c r="I74" s="36">
        <f t="shared" si="0"/>
        <v>0</v>
      </c>
      <c r="J74" s="36"/>
      <c r="K74" s="36"/>
    </row>
    <row r="75" spans="1:13" ht="12.5">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2.5">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2.5">
      <c r="A77" s="82" t="s">
        <v>1158</v>
      </c>
      <c r="B77" s="270" t="str">
        <f>HYPERLINK("http://codeforces.com/contest/292/problem/D","CF292-D12-D")</f>
        <v>CF292-D12-D</v>
      </c>
      <c r="C77" s="70"/>
      <c r="D77" s="70"/>
      <c r="E77" s="70"/>
      <c r="F77" s="70"/>
      <c r="G77" s="70"/>
      <c r="H77" s="70"/>
      <c r="I77" s="36">
        <f t="shared" si="0"/>
        <v>0</v>
      </c>
      <c r="J77" s="36"/>
      <c r="K77" s="36"/>
    </row>
    <row r="78" spans="1:13" ht="12.5">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2.5">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2.5">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2.5">
      <c r="A81" s="82"/>
      <c r="B81" s="210" t="str">
        <f>HYPERLINK("http://codeforces.com/contest/403/problem/C","CF403-D1-C")</f>
        <v>CF403-D1-C</v>
      </c>
      <c r="C81" s="70"/>
      <c r="D81" s="70"/>
      <c r="E81" s="70"/>
      <c r="F81" s="70"/>
      <c r="G81" s="70"/>
      <c r="H81" s="70"/>
      <c r="I81" s="36">
        <f t="shared" si="0"/>
        <v>0</v>
      </c>
      <c r="J81" s="36"/>
      <c r="K81" s="36"/>
    </row>
    <row r="82" spans="1:13" ht="12.5">
      <c r="A82" s="82"/>
      <c r="B82" s="210" t="str">
        <f>HYPERLINK("http://codeforces.com/contest/787/problem/C","CF787-D2-C")</f>
        <v>CF787-D2-C</v>
      </c>
      <c r="C82" s="70"/>
      <c r="D82" s="70"/>
      <c r="E82" s="70"/>
      <c r="F82" s="70"/>
      <c r="G82" s="70"/>
      <c r="H82" s="70"/>
      <c r="I82" s="36">
        <f t="shared" si="0"/>
        <v>0</v>
      </c>
      <c r="J82" s="36"/>
      <c r="K82" s="36"/>
    </row>
    <row r="83" spans="1:13" ht="12.5">
      <c r="A83" s="82"/>
      <c r="B83" s="210" t="str">
        <f>HYPERLINK("http://codeforces.com/contest/309/problem/B","CF309-D12-B")</f>
        <v>CF309-D12-B</v>
      </c>
      <c r="C83" s="70"/>
      <c r="D83" s="70"/>
      <c r="E83" s="70"/>
      <c r="F83" s="70"/>
      <c r="G83" s="70"/>
      <c r="H83" s="70"/>
      <c r="I83" s="36">
        <f t="shared" si="0"/>
        <v>0</v>
      </c>
      <c r="J83" s="36"/>
      <c r="K83" s="36"/>
    </row>
    <row r="84" spans="1:13" ht="12.5">
      <c r="A84" s="82"/>
      <c r="B84" s="82" t="s">
        <v>1162</v>
      </c>
      <c r="C84" s="70"/>
      <c r="D84" s="70"/>
      <c r="E84" s="70"/>
      <c r="F84" s="70"/>
      <c r="G84" s="70"/>
      <c r="H84" s="70"/>
      <c r="I84" s="36">
        <f t="shared" si="0"/>
        <v>0</v>
      </c>
      <c r="J84" s="36"/>
      <c r="K84" s="36"/>
    </row>
    <row r="85" spans="1:13" ht="12.5">
      <c r="A85" s="82"/>
      <c r="B85" s="82" t="s">
        <v>1163</v>
      </c>
      <c r="C85" s="70"/>
      <c r="D85" s="70"/>
      <c r="E85" s="70"/>
      <c r="F85" s="70"/>
      <c r="G85" s="70"/>
      <c r="H85" s="70"/>
      <c r="I85" s="36">
        <f t="shared" si="0"/>
        <v>0</v>
      </c>
      <c r="J85" s="36"/>
      <c r="K85" s="36"/>
    </row>
    <row r="86" spans="1:13" ht="12.5">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2.5">
      <c r="A87" s="82"/>
      <c r="B87" s="210" t="str">
        <f>HYPERLINK("http://codeforces.com/contest/1012/problem/C","CF1012-D1-C")</f>
        <v>CF1012-D1-C</v>
      </c>
      <c r="C87" s="70"/>
      <c r="D87" s="70"/>
      <c r="E87" s="70"/>
      <c r="F87" s="70"/>
      <c r="G87" s="70"/>
      <c r="H87" s="70"/>
      <c r="I87" s="36">
        <f t="shared" si="0"/>
        <v>0</v>
      </c>
      <c r="J87" s="36"/>
      <c r="K87" s="36"/>
    </row>
    <row r="88" spans="1:13" ht="12.5">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2.5">
      <c r="A89" s="82"/>
      <c r="B89" s="210" t="str">
        <f>HYPERLINK("https://www.facebook.com/hackercup/problem/1153996538071503/", "FbHkrCup 18-RQ-C")</f>
        <v>FbHkrCup 18-RQ-C</v>
      </c>
      <c r="C89" s="70"/>
      <c r="D89" s="70"/>
      <c r="E89" s="70"/>
      <c r="F89" s="70"/>
      <c r="G89" s="70"/>
      <c r="H89" s="70"/>
      <c r="I89" s="36">
        <f t="shared" si="0"/>
        <v>0</v>
      </c>
      <c r="J89" s="36"/>
      <c r="K89" s="36"/>
    </row>
    <row r="90" spans="1:13" ht="12.5">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2.5">
      <c r="A91" s="46"/>
      <c r="B91" s="122"/>
      <c r="C91" s="70"/>
      <c r="D91" s="70"/>
      <c r="E91" s="70"/>
      <c r="F91" s="70"/>
      <c r="G91" s="70"/>
      <c r="H91" s="70"/>
      <c r="I91" s="36">
        <f t="shared" si="0"/>
        <v>0</v>
      </c>
      <c r="J91" s="36"/>
      <c r="K91" s="36"/>
      <c r="M91" s="10"/>
    </row>
    <row r="92" spans="1:13" ht="12.5">
      <c r="A92" s="59" t="s">
        <v>1167</v>
      </c>
      <c r="B92" s="66" t="str">
        <f>HYPERLINK("http://codeforces.com/contest/651/problem/D","CF651-D2-D")</f>
        <v>CF651-D2-D</v>
      </c>
      <c r="C92" s="70"/>
      <c r="D92" s="70"/>
      <c r="E92" s="70"/>
      <c r="F92" s="70"/>
      <c r="G92" s="70"/>
      <c r="H92" s="70"/>
      <c r="I92" s="36">
        <f t="shared" si="0"/>
        <v>0</v>
      </c>
      <c r="J92" s="10"/>
      <c r="K92" s="10"/>
      <c r="M92" s="10"/>
    </row>
    <row r="93" spans="1:13" ht="12.5">
      <c r="A93" s="59" t="s">
        <v>1168</v>
      </c>
      <c r="B93" s="66" t="str">
        <f>HYPERLINK("http://codeforces.com/contest/281/problem/D","CF281-D2-D")</f>
        <v>CF281-D2-D</v>
      </c>
      <c r="C93" s="70"/>
      <c r="D93" s="70"/>
      <c r="E93" s="70"/>
      <c r="F93" s="70"/>
      <c r="G93" s="70"/>
      <c r="H93" s="70"/>
      <c r="I93" s="36">
        <f t="shared" si="0"/>
        <v>0</v>
      </c>
      <c r="J93" s="10"/>
      <c r="K93" s="10"/>
      <c r="M93" s="10"/>
    </row>
    <row r="94" spans="1:13" ht="12.5">
      <c r="A94" s="59" t="s">
        <v>1169</v>
      </c>
      <c r="B94" s="66" t="str">
        <f>HYPERLINK("http://codeforces.com/contest/313/problem/D","CF313-D2-D")</f>
        <v>CF313-D2-D</v>
      </c>
      <c r="C94" s="70"/>
      <c r="D94" s="70"/>
      <c r="E94" s="70"/>
      <c r="F94" s="70"/>
      <c r="G94" s="70"/>
      <c r="H94" s="70"/>
      <c r="I94" s="36">
        <f t="shared" si="0"/>
        <v>0</v>
      </c>
      <c r="J94" s="10"/>
      <c r="K94" s="10"/>
      <c r="M94" s="10"/>
    </row>
    <row r="95" spans="1:13" ht="12.5">
      <c r="A95" s="59" t="s">
        <v>1170</v>
      </c>
      <c r="B95" s="66" t="str">
        <f>HYPERLINK("http://codeforces.com/contest/255/problem/D","CF255-D2-D")</f>
        <v>CF255-D2-D</v>
      </c>
      <c r="C95" s="70"/>
      <c r="D95" s="70"/>
      <c r="E95" s="70"/>
      <c r="F95" s="70"/>
      <c r="G95" s="70"/>
      <c r="H95" s="70"/>
      <c r="I95" s="36">
        <f t="shared" si="0"/>
        <v>0</v>
      </c>
      <c r="J95" s="10"/>
      <c r="K95" s="10"/>
      <c r="M95" s="10"/>
    </row>
    <row r="96" spans="1:13" ht="12.5">
      <c r="A96" s="46" t="s">
        <v>1171</v>
      </c>
      <c r="B96" s="263" t="str">
        <f>HYPERLINK("http://codeforces.com/contest/298/problem/D","CF298-D2-D")</f>
        <v>CF298-D2-D</v>
      </c>
      <c r="C96" s="70"/>
      <c r="D96" s="70"/>
      <c r="E96" s="70"/>
      <c r="F96" s="70"/>
      <c r="G96" s="70"/>
      <c r="H96" s="70"/>
      <c r="I96" s="36">
        <f t="shared" si="0"/>
        <v>0</v>
      </c>
      <c r="J96" s="36"/>
      <c r="K96" s="36"/>
      <c r="M96" s="10"/>
    </row>
    <row r="97" spans="1:13" ht="12.5">
      <c r="A97" s="46" t="s">
        <v>1172</v>
      </c>
      <c r="B97" s="263" t="str">
        <f>HYPERLINK("http://codeforces.com/contest/237/problem/D","CF237-D2-D")</f>
        <v>CF237-D2-D</v>
      </c>
      <c r="C97" s="70"/>
      <c r="D97" s="70"/>
      <c r="E97" s="70"/>
      <c r="F97" s="70"/>
      <c r="G97" s="70"/>
      <c r="H97" s="70"/>
      <c r="I97" s="36">
        <f t="shared" si="0"/>
        <v>0</v>
      </c>
      <c r="J97" s="36"/>
      <c r="K97" s="36"/>
      <c r="M97" s="10"/>
    </row>
    <row r="98" spans="1:13" ht="12.5">
      <c r="A98" s="46" t="s">
        <v>1173</v>
      </c>
      <c r="B98" s="263" t="str">
        <f>HYPERLINK("http://codeforces.com/contest/168/problem/D","CF168-D2-D")</f>
        <v>CF168-D2-D</v>
      </c>
      <c r="C98" s="70"/>
      <c r="D98" s="70"/>
      <c r="E98" s="70"/>
      <c r="F98" s="70"/>
      <c r="G98" s="70"/>
      <c r="H98" s="70"/>
      <c r="I98" s="36">
        <f t="shared" si="0"/>
        <v>0</v>
      </c>
      <c r="J98" s="36"/>
      <c r="K98" s="36"/>
      <c r="M98" s="10"/>
    </row>
    <row r="99" spans="1:13" ht="25">
      <c r="A99" s="46"/>
      <c r="B99" s="263" t="str">
        <f>HYPERLINK("https://www.codechef.com/LTIME64B/problems/BJUDGE","CODECHEF BJUDGE")</f>
        <v>CODECHEF BJUDGE</v>
      </c>
      <c r="C99" s="70"/>
      <c r="D99" s="70"/>
      <c r="E99" s="70"/>
      <c r="F99" s="70"/>
      <c r="G99" s="70"/>
      <c r="H99" s="70"/>
      <c r="I99" s="36">
        <f t="shared" si="0"/>
        <v>0</v>
      </c>
      <c r="J99" s="36"/>
      <c r="K99" s="36"/>
      <c r="M99" s="10"/>
    </row>
    <row r="100" spans="1:13" ht="12.5">
      <c r="A100" s="152" t="s">
        <v>1174</v>
      </c>
      <c r="B100" s="213" t="str">
        <f>HYPERLINK("http://codeforces.com/contest/366/problem/C","CF366-D2-C")</f>
        <v>CF366-D2-C</v>
      </c>
      <c r="C100" s="70"/>
      <c r="D100" s="70"/>
      <c r="E100" s="70"/>
      <c r="F100" s="70"/>
      <c r="G100" s="70"/>
      <c r="H100" s="70"/>
      <c r="I100" s="36">
        <f t="shared" si="0"/>
        <v>0</v>
      </c>
      <c r="J100" s="36"/>
      <c r="K100" s="36"/>
      <c r="M100" s="10"/>
    </row>
    <row r="101" spans="1:13" ht="12.5">
      <c r="A101" s="46"/>
      <c r="C101" s="70"/>
      <c r="D101" s="70"/>
      <c r="E101" s="70"/>
      <c r="F101" s="70"/>
      <c r="G101" s="70"/>
      <c r="H101" s="70"/>
      <c r="I101" s="36">
        <f t="shared" si="0"/>
        <v>0</v>
      </c>
      <c r="J101" s="36"/>
      <c r="K101" s="36"/>
      <c r="M101" s="10"/>
    </row>
    <row r="102" spans="1:13" ht="12.5">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2.5">
      <c r="A103" s="82" t="s">
        <v>1041</v>
      </c>
      <c r="B103" s="217" t="str">
        <f>HYPERLINK("http://codeforces.com/contest/431/problem/D","CF431-D2-D")</f>
        <v>CF431-D2-D</v>
      </c>
      <c r="C103" s="70"/>
      <c r="D103" s="70"/>
      <c r="E103" s="70"/>
      <c r="F103" s="70"/>
      <c r="G103" s="70"/>
      <c r="H103" s="70"/>
      <c r="I103" s="36">
        <f t="shared" si="0"/>
        <v>0</v>
      </c>
      <c r="J103" s="10"/>
      <c r="K103" s="10"/>
    </row>
    <row r="104" spans="1:13" ht="12.5">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2.5">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2.5">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2.5">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2.5">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2.5">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2.5">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2.5">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2.5">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2.5">
      <c r="A113" s="276" t="s">
        <v>1185</v>
      </c>
      <c r="B113" s="260" t="str">
        <f>HYPERLINK("http://www.spoj.com/problems/PSYCHON/","SPOJ PSYCHON")</f>
        <v>SPOJ PSYCHON</v>
      </c>
      <c r="C113" s="70"/>
      <c r="D113" s="70"/>
      <c r="E113" s="70"/>
      <c r="F113" s="70"/>
      <c r="G113" s="70"/>
      <c r="H113" s="70"/>
      <c r="I113" s="36">
        <f t="shared" si="0"/>
        <v>0</v>
      </c>
      <c r="J113" s="36"/>
      <c r="K113" s="36"/>
    </row>
    <row r="114" spans="1:13" ht="12.5">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2.5">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2.5">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2.5">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2.5">
      <c r="A118" s="82" t="s">
        <v>1190</v>
      </c>
      <c r="B118" s="82" t="s">
        <v>1191</v>
      </c>
      <c r="C118" s="70"/>
      <c r="D118" s="70"/>
      <c r="E118" s="70"/>
      <c r="F118" s="70"/>
      <c r="G118" s="70"/>
      <c r="H118" s="70"/>
      <c r="I118" s="36">
        <f t="shared" si="0"/>
        <v>0</v>
      </c>
      <c r="J118" s="10"/>
      <c r="K118" s="10"/>
    </row>
    <row r="119" spans="1:13" ht="12.5">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2.5">
      <c r="A120" s="82"/>
      <c r="B120" s="82" t="s">
        <v>1193</v>
      </c>
      <c r="C120" s="70"/>
      <c r="D120" s="70"/>
      <c r="E120" s="70"/>
      <c r="F120" s="70"/>
      <c r="G120" s="70"/>
      <c r="H120" s="70"/>
      <c r="I120" s="36">
        <f t="shared" si="0"/>
        <v>0</v>
      </c>
      <c r="J120" s="10"/>
      <c r="K120" s="10"/>
      <c r="L120" s="10"/>
      <c r="M120" s="28"/>
    </row>
    <row r="121" spans="1:13" ht="12.5">
      <c r="A121" s="82"/>
      <c r="B121" s="82" t="s">
        <v>1165</v>
      </c>
      <c r="C121" s="70"/>
      <c r="D121" s="70"/>
      <c r="E121" s="70"/>
      <c r="F121" s="70"/>
      <c r="G121" s="70"/>
      <c r="H121" s="70"/>
      <c r="I121" s="36">
        <f t="shared" si="0"/>
        <v>0</v>
      </c>
      <c r="J121" s="10"/>
      <c r="K121" s="10"/>
      <c r="L121" s="10"/>
      <c r="M121" s="132" t="str">
        <f>HYPERLINK("https://ideone.com/Hkl19P","Sol")</f>
        <v>Sol</v>
      </c>
    </row>
    <row r="122" spans="1:13" ht="12.5">
      <c r="A122" s="82"/>
      <c r="B122" s="210" t="str">
        <f>HYPERLINK("http://codeforces.com/contest/592/problem/D","CF592-D2-D")</f>
        <v>CF592-D2-D</v>
      </c>
      <c r="C122" s="70"/>
      <c r="D122" s="70"/>
      <c r="E122" s="70"/>
      <c r="F122" s="70"/>
      <c r="G122" s="70"/>
      <c r="H122" s="70"/>
      <c r="I122" s="36">
        <f t="shared" si="0"/>
        <v>0</v>
      </c>
      <c r="J122" s="10"/>
      <c r="K122" s="10"/>
      <c r="L122" s="10"/>
    </row>
    <row r="123" spans="1:13" ht="12.5">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2.5">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2.5">
      <c r="A125" s="82"/>
      <c r="B125" s="210" t="str">
        <f>HYPERLINK("https://codeforces.com/contest/867/problem/E","CF867-D12-E")</f>
        <v>CF867-D12-E</v>
      </c>
      <c r="C125" s="70"/>
      <c r="D125" s="70"/>
      <c r="E125" s="70"/>
      <c r="F125" s="70"/>
      <c r="G125" s="70"/>
      <c r="H125" s="70"/>
      <c r="I125" s="36">
        <f t="shared" si="0"/>
        <v>0</v>
      </c>
      <c r="J125" s="10"/>
      <c r="K125" s="10"/>
      <c r="L125" s="10"/>
    </row>
    <row r="126" spans="1:13" ht="12.5">
      <c r="A126" s="46"/>
      <c r="C126" s="70"/>
      <c r="D126" s="70"/>
      <c r="E126" s="70"/>
      <c r="F126" s="70"/>
      <c r="G126" s="70"/>
      <c r="H126" s="70"/>
      <c r="I126" s="36">
        <f t="shared" si="0"/>
        <v>0</v>
      </c>
      <c r="J126" s="36"/>
      <c r="K126" s="36"/>
      <c r="L126" s="10"/>
    </row>
    <row r="127" spans="1:13" ht="12.5">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2.5">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2.5">
      <c r="A129" s="46" t="s">
        <v>1198</v>
      </c>
      <c r="B129" s="263" t="str">
        <f>HYPERLINK("http://codeforces.com/contest/122/problem/D","CF122-D2-D")</f>
        <v>CF122-D2-D</v>
      </c>
      <c r="C129" s="70"/>
      <c r="D129" s="70"/>
      <c r="E129" s="70"/>
      <c r="F129" s="70"/>
      <c r="G129" s="70"/>
      <c r="H129" s="70"/>
      <c r="I129" s="36">
        <f t="shared" si="0"/>
        <v>0</v>
      </c>
      <c r="J129" s="36"/>
      <c r="K129" s="36"/>
    </row>
    <row r="130" spans="1:13" ht="12.5">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2.5">
      <c r="A131" s="59" t="s">
        <v>1200</v>
      </c>
      <c r="B131" s="66" t="str">
        <f>HYPERLINK("http://codeforces.com/contest/599/problem/D","CF599-D2-D")</f>
        <v>CF599-D2-D</v>
      </c>
      <c r="C131" s="70"/>
      <c r="D131" s="70"/>
      <c r="E131" s="70"/>
      <c r="F131" s="70"/>
      <c r="G131" s="70"/>
      <c r="H131" s="70"/>
      <c r="I131" s="36">
        <f t="shared" si="0"/>
        <v>0</v>
      </c>
      <c r="J131" s="10"/>
      <c r="K131" s="10"/>
    </row>
    <row r="132" spans="1:13" ht="12.5">
      <c r="A132" s="59" t="s">
        <v>1201</v>
      </c>
      <c r="B132" s="114" t="str">
        <f>HYPERLINK("http://codeforces.com/contest/9/problem/D","CF9-D2-D")</f>
        <v>CF9-D2-D</v>
      </c>
      <c r="C132" s="70"/>
      <c r="D132" s="70"/>
      <c r="E132" s="70"/>
      <c r="F132" s="70"/>
      <c r="G132" s="70"/>
      <c r="H132" s="70"/>
      <c r="I132" s="36">
        <f t="shared" si="0"/>
        <v>0</v>
      </c>
      <c r="J132" s="10"/>
      <c r="K132" s="10"/>
    </row>
    <row r="133" spans="1:13" ht="12.5">
      <c r="A133" s="59"/>
      <c r="B133" s="114" t="str">
        <f>HYPERLINK("http://codeforces.com/contest/1043/problem/E","CF1043-D12-E")</f>
        <v>CF1043-D12-E</v>
      </c>
      <c r="C133" s="70"/>
      <c r="D133" s="70"/>
      <c r="E133" s="70"/>
      <c r="F133" s="70"/>
      <c r="G133" s="70"/>
      <c r="H133" s="70"/>
      <c r="I133" s="36">
        <f t="shared" si="0"/>
        <v>0</v>
      </c>
      <c r="J133" s="10"/>
      <c r="K133" s="10"/>
    </row>
    <row r="134" spans="1:13" ht="12.5">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2.5">
      <c r="A135" s="59"/>
      <c r="B135" s="114" t="str">
        <f>HYPERLINK("https://codeforces.com/contest/1060/problem/D","CF1060-D12-D")</f>
        <v>CF1060-D12-D</v>
      </c>
      <c r="C135" s="70"/>
      <c r="D135" s="70"/>
      <c r="E135" s="70"/>
      <c r="F135" s="70"/>
      <c r="G135" s="70"/>
      <c r="H135" s="70"/>
      <c r="I135" s="36">
        <f t="shared" si="0"/>
        <v>0</v>
      </c>
      <c r="J135" s="10"/>
      <c r="K135" s="10"/>
    </row>
    <row r="136" spans="1:13" ht="12.5">
      <c r="A136" s="152" t="s">
        <v>1203</v>
      </c>
      <c r="B136" s="213" t="str">
        <f>HYPERLINK("http://codeforces.com/contest/104/problem/C","CF104-D2-C")</f>
        <v>CF104-D2-C</v>
      </c>
      <c r="C136" s="70"/>
      <c r="D136" s="70"/>
      <c r="E136" s="70"/>
      <c r="F136" s="70"/>
      <c r="G136" s="70"/>
      <c r="H136" s="70"/>
      <c r="I136" s="36">
        <f t="shared" si="0"/>
        <v>0</v>
      </c>
      <c r="J136" s="10"/>
      <c r="K136" s="10"/>
    </row>
    <row r="137" spans="1:13" ht="12.5">
      <c r="A137" s="152" t="s">
        <v>1204</v>
      </c>
      <c r="B137" s="213" t="str">
        <f>HYPERLINK("http://codeforces.com/contest/508/problem/C","CF508-D2-C")</f>
        <v>CF508-D2-C</v>
      </c>
      <c r="C137" s="70"/>
      <c r="D137" s="70"/>
      <c r="E137" s="70"/>
      <c r="F137" s="70"/>
      <c r="G137" s="70"/>
      <c r="H137" s="70"/>
      <c r="I137" s="36">
        <f t="shared" si="0"/>
        <v>0</v>
      </c>
      <c r="J137" s="10"/>
      <c r="K137" s="10"/>
    </row>
    <row r="138" spans="1:13" ht="12.5">
      <c r="A138" s="152" t="s">
        <v>1205</v>
      </c>
      <c r="B138" s="168" t="str">
        <f>HYPERLINK("http://codeforces.com/contest/895/problem/C","CF448-D2-C")</f>
        <v>CF448-D2-C</v>
      </c>
      <c r="C138" s="70"/>
      <c r="D138" s="70"/>
      <c r="E138" s="70"/>
      <c r="F138" s="70"/>
      <c r="G138" s="70"/>
      <c r="H138" s="70"/>
      <c r="I138" s="36">
        <f t="shared" si="0"/>
        <v>0</v>
      </c>
      <c r="J138" s="10"/>
      <c r="K138" s="10"/>
    </row>
    <row r="139" spans="1:13" ht="12.5">
      <c r="A139" s="46"/>
      <c r="C139" s="70"/>
      <c r="D139" s="70"/>
      <c r="E139" s="70"/>
      <c r="F139" s="70"/>
      <c r="G139" s="70"/>
      <c r="H139" s="70"/>
      <c r="I139" s="36">
        <f t="shared" si="0"/>
        <v>0</v>
      </c>
      <c r="J139" s="36"/>
      <c r="K139" s="36"/>
    </row>
    <row r="140" spans="1:13" ht="12.5">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2.5">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2.5">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2.5">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2.5">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2.5">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2.5">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2.5">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2.5">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2.5">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2.5">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2.5">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2.5">
      <c r="A152" s="82"/>
      <c r="B152" s="82" t="s">
        <v>1218</v>
      </c>
      <c r="C152" s="70"/>
      <c r="D152" s="70"/>
      <c r="E152" s="70"/>
      <c r="F152" s="70"/>
      <c r="G152" s="70"/>
      <c r="H152" s="70"/>
      <c r="I152" s="36">
        <f t="shared" si="0"/>
        <v>0</v>
      </c>
      <c r="J152" s="10"/>
      <c r="K152" s="10"/>
      <c r="L152" s="10"/>
      <c r="M152" s="10"/>
    </row>
    <row r="153" spans="1:13" ht="12.5">
      <c r="A153" s="82"/>
      <c r="B153" s="82" t="s">
        <v>1219</v>
      </c>
      <c r="C153" s="70"/>
      <c r="D153" s="70"/>
      <c r="E153" s="70"/>
      <c r="F153" s="70"/>
      <c r="G153" s="70"/>
      <c r="H153" s="70"/>
      <c r="I153" s="36">
        <f t="shared" si="0"/>
        <v>0</v>
      </c>
      <c r="J153" s="10"/>
      <c r="K153" s="10"/>
      <c r="L153" s="10"/>
      <c r="M153" s="10"/>
    </row>
    <row r="154" spans="1:13" ht="12.5">
      <c r="A154" s="82"/>
      <c r="B154" s="217" t="str">
        <f>HYPERLINK("http://codeforces.com/contest/280/problem/C","CF280-D1-C")</f>
        <v>CF280-D1-C</v>
      </c>
      <c r="C154" s="70"/>
      <c r="D154" s="70"/>
      <c r="E154" s="70"/>
      <c r="F154" s="70"/>
      <c r="G154" s="70"/>
      <c r="H154" s="70"/>
      <c r="I154" s="36">
        <f t="shared" si="0"/>
        <v>0</v>
      </c>
      <c r="J154" s="10"/>
      <c r="K154" s="10"/>
      <c r="L154" s="10"/>
      <c r="M154" s="10"/>
    </row>
    <row r="155" spans="1:13" ht="12.5">
      <c r="A155" s="82"/>
      <c r="B155" s="217" t="str">
        <f>HYPERLINK("http://codeforces.com/contest/110/problem/D","CF110-D2-D")</f>
        <v>CF110-D2-D</v>
      </c>
      <c r="C155" s="70"/>
      <c r="D155" s="70"/>
      <c r="E155" s="70"/>
      <c r="F155" s="70"/>
      <c r="G155" s="70"/>
      <c r="H155" s="70"/>
      <c r="I155" s="36">
        <f t="shared" si="0"/>
        <v>0</v>
      </c>
      <c r="J155" s="10"/>
      <c r="K155" s="10"/>
      <c r="L155" s="10"/>
      <c r="M155" s="10"/>
    </row>
    <row r="156" spans="1:13" ht="12.5">
      <c r="A156" s="82"/>
      <c r="B156" s="217" t="str">
        <f>HYPERLINK("http://codeforces.com/contest/163/problem/C","CF163-D12-C")</f>
        <v>CF163-D12-C</v>
      </c>
      <c r="C156" s="70"/>
      <c r="D156" s="70"/>
      <c r="E156" s="70"/>
      <c r="F156" s="70"/>
      <c r="G156" s="70"/>
      <c r="H156" s="70"/>
      <c r="I156" s="36">
        <f t="shared" si="0"/>
        <v>0</v>
      </c>
      <c r="J156" s="10"/>
      <c r="K156" s="10"/>
      <c r="L156" s="10"/>
      <c r="M156" s="10"/>
    </row>
    <row r="157" spans="1:13" ht="12.5">
      <c r="A157" s="82"/>
      <c r="B157" s="217" t="str">
        <f>HYPERLINK("http://codeforces.com/contest/455/problem/B","CF455-D1-B")</f>
        <v>CF455-D1-B</v>
      </c>
      <c r="C157" s="70"/>
      <c r="D157" s="70"/>
      <c r="E157" s="70"/>
      <c r="F157" s="70"/>
      <c r="G157" s="70"/>
      <c r="H157" s="70"/>
      <c r="I157" s="36">
        <f t="shared" si="0"/>
        <v>0</v>
      </c>
      <c r="J157" s="10"/>
      <c r="K157" s="10"/>
      <c r="L157" s="10"/>
      <c r="M157" s="10"/>
    </row>
    <row r="158" spans="1:13" ht="12.5">
      <c r="A158" s="46"/>
      <c r="C158" s="70"/>
      <c r="D158" s="70"/>
      <c r="E158" s="70"/>
      <c r="F158" s="70"/>
      <c r="G158" s="70"/>
      <c r="H158" s="70"/>
      <c r="I158" s="36">
        <f t="shared" si="0"/>
        <v>0</v>
      </c>
      <c r="J158" s="36"/>
      <c r="K158" s="36"/>
      <c r="L158" s="10"/>
      <c r="M158" s="59"/>
    </row>
    <row r="159" spans="1:13" ht="12.5">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2.5">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2.5">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2.5">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2.5">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2.5">
      <c r="A164" s="10"/>
      <c r="B164" s="220" t="str">
        <f>HYPERLINK("http://codeforces.com/contest/1075/problem/D","CF1075-D2-D")</f>
        <v>CF1075-D2-D</v>
      </c>
      <c r="C164" s="70"/>
      <c r="D164" s="70"/>
      <c r="E164" s="70"/>
      <c r="F164" s="70"/>
      <c r="G164" s="70"/>
      <c r="H164" s="70"/>
      <c r="I164" s="36">
        <f t="shared" si="0"/>
        <v>0</v>
      </c>
      <c r="J164" s="10"/>
      <c r="K164" s="10"/>
      <c r="L164" s="10"/>
      <c r="M164" s="10"/>
    </row>
    <row r="165" spans="1:13" ht="12.5">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2.5">
      <c r="A166" s="10"/>
      <c r="B166" s="220" t="str">
        <f>HYPERLINK("http://codeforces.com/problemset/problem/442/B","CF442-D1-B")</f>
        <v>CF442-D1-B</v>
      </c>
      <c r="C166" s="70"/>
      <c r="D166" s="70"/>
      <c r="E166" s="70"/>
      <c r="F166" s="70"/>
      <c r="G166" s="70"/>
      <c r="H166" s="70"/>
      <c r="I166" s="36">
        <f t="shared" si="0"/>
        <v>0</v>
      </c>
      <c r="J166" s="10"/>
      <c r="K166" s="10"/>
      <c r="L166" s="10"/>
      <c r="M166" s="10"/>
    </row>
    <row r="167" spans="1:13" ht="12.5">
      <c r="A167" s="10"/>
      <c r="B167" s="220" t="str">
        <f>HYPERLINK("http://codeforces.com/contest/1025/problem/D","CF1025-D2-D")</f>
        <v>CF1025-D2-D</v>
      </c>
      <c r="C167" s="70"/>
      <c r="D167" s="70"/>
      <c r="E167" s="70"/>
      <c r="F167" s="70"/>
      <c r="G167" s="70"/>
      <c r="H167" s="70"/>
      <c r="I167" s="36">
        <f t="shared" si="0"/>
        <v>0</v>
      </c>
      <c r="J167" s="10"/>
      <c r="K167" s="10"/>
      <c r="L167" s="10"/>
      <c r="M167" s="10"/>
    </row>
    <row r="168" spans="1:13" ht="12.5">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2023-07-11T16:51:34Z</dcterms:modified>
</cp:coreProperties>
</file>