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COT\Desktop\Financial modelling\5 Equity Modeling\Titan Company\"/>
    </mc:Choice>
  </mc:AlternateContent>
  <bookViews>
    <workbookView xWindow="0" yWindow="0" windowWidth="20460" windowHeight="7680" tabRatio="903" activeTab="6"/>
  </bookViews>
  <sheets>
    <sheet name="IS" sheetId="4" r:id="rId1"/>
    <sheet name="BS" sheetId="1" r:id="rId2"/>
    <sheet name="CF" sheetId="3" r:id="rId3"/>
    <sheet name="Revenue Drivers" sheetId="17" r:id="rId4"/>
    <sheet name="Cost Drivers" sheetId="18" r:id="rId5"/>
    <sheet name="Asset Schedule" sheetId="19" r:id="rId6"/>
    <sheet name="Valuation" sheetId="20" r:id="rId7"/>
    <sheet name="Notes" sheetId="21" r:id="rId8"/>
  </sheets>
  <externalReferences>
    <externalReference r:id="rId9"/>
    <externalReference r:id="rId10"/>
    <externalReference r:id="rId11"/>
  </externalReferenc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20" l="1"/>
  <c r="B56" i="20"/>
  <c r="B55" i="20"/>
  <c r="B54" i="20"/>
  <c r="B53" i="20"/>
  <c r="E51" i="20"/>
  <c r="F51" i="20"/>
  <c r="G51" i="20"/>
  <c r="H51" i="20"/>
  <c r="I51" i="20"/>
  <c r="J51" i="20"/>
  <c r="K51" i="20"/>
  <c r="L51" i="20"/>
  <c r="M51" i="20"/>
  <c r="N51" i="20"/>
  <c r="D51" i="20"/>
  <c r="N50" i="20"/>
  <c r="N49" i="20"/>
  <c r="E49" i="20"/>
  <c r="F49" i="20"/>
  <c r="G49" i="20"/>
  <c r="H49" i="20"/>
  <c r="I49" i="20"/>
  <c r="J49" i="20"/>
  <c r="K49" i="20"/>
  <c r="L49" i="20"/>
  <c r="M49" i="20"/>
  <c r="D49" i="20"/>
  <c r="I40" i="20"/>
  <c r="J40" i="20"/>
  <c r="K40" i="20"/>
  <c r="L40" i="20"/>
  <c r="M40" i="20"/>
  <c r="K38" i="20"/>
  <c r="L38" i="20"/>
  <c r="M38" i="20"/>
  <c r="K39" i="20"/>
  <c r="L39" i="20"/>
  <c r="M39" i="20"/>
  <c r="M37" i="20"/>
  <c r="L37" i="20"/>
  <c r="K37" i="20"/>
  <c r="J38" i="20"/>
  <c r="J39" i="20"/>
  <c r="J37" i="20"/>
  <c r="I38" i="20"/>
  <c r="I39" i="20"/>
  <c r="F46" i="20"/>
  <c r="H46" i="20"/>
  <c r="E39" i="20"/>
  <c r="E47" i="20" s="1"/>
  <c r="F39" i="20"/>
  <c r="F47" i="20" s="1"/>
  <c r="G39" i="20"/>
  <c r="G47" i="20" s="1"/>
  <c r="H39" i="20"/>
  <c r="H47" i="20" s="1"/>
  <c r="D39" i="20"/>
  <c r="D47" i="20" s="1"/>
  <c r="E38" i="20"/>
  <c r="E46" i="20" s="1"/>
  <c r="F38" i="20"/>
  <c r="G38" i="20"/>
  <c r="G46" i="20" s="1"/>
  <c r="I46" i="20" s="1"/>
  <c r="J46" i="20" s="1"/>
  <c r="K46" i="20" s="1"/>
  <c r="L46" i="20" s="1"/>
  <c r="M46" i="20" s="1"/>
  <c r="H38" i="20"/>
  <c r="D38" i="20"/>
  <c r="D46" i="20" s="1"/>
  <c r="E37" i="20"/>
  <c r="E45" i="20" s="1"/>
  <c r="F37" i="20"/>
  <c r="F45" i="20" s="1"/>
  <c r="G37" i="20"/>
  <c r="G45" i="20" s="1"/>
  <c r="H37" i="20"/>
  <c r="H45" i="20" s="1"/>
  <c r="D37" i="20"/>
  <c r="D45" i="20" s="1"/>
  <c r="E36" i="20"/>
  <c r="E42" i="20" s="1"/>
  <c r="F36" i="20"/>
  <c r="F40" i="20" s="1"/>
  <c r="G36" i="20"/>
  <c r="G42" i="20" s="1"/>
  <c r="H36" i="20"/>
  <c r="H40" i="20" s="1"/>
  <c r="D36" i="20"/>
  <c r="D40" i="20" s="1"/>
  <c r="Q45" i="3"/>
  <c r="R45" i="3"/>
  <c r="S45" i="3"/>
  <c r="T45" i="3"/>
  <c r="T61" i="3" s="1"/>
  <c r="P45" i="3"/>
  <c r="L28" i="4"/>
  <c r="M43" i="4"/>
  <c r="M44" i="4"/>
  <c r="D36" i="18"/>
  <c r="E36" i="18"/>
  <c r="F36" i="18"/>
  <c r="G36" i="18"/>
  <c r="H36" i="18"/>
  <c r="I36" i="18"/>
  <c r="J36" i="18"/>
  <c r="K36" i="18"/>
  <c r="L36" i="18"/>
  <c r="M36" i="18"/>
  <c r="C36" i="18"/>
  <c r="R61" i="3"/>
  <c r="Q35" i="3"/>
  <c r="R35" i="3"/>
  <c r="S35" i="3"/>
  <c r="T35" i="3"/>
  <c r="Q36" i="3"/>
  <c r="R36" i="3"/>
  <c r="S36" i="3"/>
  <c r="T36" i="3"/>
  <c r="Q29" i="3"/>
  <c r="R29" i="3"/>
  <c r="S29" i="3"/>
  <c r="T29" i="3"/>
  <c r="Q30" i="3"/>
  <c r="R30" i="3"/>
  <c r="S30" i="3"/>
  <c r="T30" i="3"/>
  <c r="M14" i="19"/>
  <c r="O11" i="1"/>
  <c r="P11" i="1"/>
  <c r="Q11" i="1" s="1"/>
  <c r="R11" i="1" s="1"/>
  <c r="N11" i="1"/>
  <c r="P70" i="3"/>
  <c r="P61" i="3"/>
  <c r="Q61" i="3"/>
  <c r="S61" i="3"/>
  <c r="P40" i="3"/>
  <c r="Q40" i="3"/>
  <c r="R40" i="3"/>
  <c r="S40" i="3"/>
  <c r="T40" i="3"/>
  <c r="P36" i="3"/>
  <c r="P35" i="3"/>
  <c r="P30" i="3"/>
  <c r="P29" i="3"/>
  <c r="N36" i="18"/>
  <c r="O36" i="18" s="1"/>
  <c r="P36" i="18" s="1"/>
  <c r="Q36" i="18" s="1"/>
  <c r="R36" i="18" s="1"/>
  <c r="D35" i="18"/>
  <c r="E35" i="18"/>
  <c r="F35" i="18"/>
  <c r="G35" i="18"/>
  <c r="H35" i="18"/>
  <c r="I35" i="18"/>
  <c r="J35" i="18"/>
  <c r="K35" i="18"/>
  <c r="L35" i="18"/>
  <c r="M35" i="18"/>
  <c r="C35" i="18"/>
  <c r="I45" i="20" l="1"/>
  <c r="J45" i="20" s="1"/>
  <c r="K45" i="20" s="1"/>
  <c r="L45" i="20" s="1"/>
  <c r="M45" i="20" s="1"/>
  <c r="I47" i="20"/>
  <c r="J47" i="20" s="1"/>
  <c r="K47" i="20" s="1"/>
  <c r="L47" i="20" s="1"/>
  <c r="M47" i="20" s="1"/>
  <c r="G40" i="20"/>
  <c r="E40" i="20"/>
  <c r="H42" i="20"/>
  <c r="I42" i="20" s="1"/>
  <c r="F42" i="20"/>
  <c r="O29" i="1"/>
  <c r="P29" i="1"/>
  <c r="Q29" i="1"/>
  <c r="R29" i="1"/>
  <c r="O26" i="1"/>
  <c r="P26" i="1"/>
  <c r="Q26" i="1"/>
  <c r="R26" i="1"/>
  <c r="O61" i="1"/>
  <c r="P61" i="1"/>
  <c r="Q61" i="1"/>
  <c r="R61" i="1"/>
  <c r="N61" i="1"/>
  <c r="N29" i="1"/>
  <c r="N26" i="1"/>
  <c r="O55" i="19"/>
  <c r="O54" i="19" s="1"/>
  <c r="P55" i="19"/>
  <c r="Q55" i="19"/>
  <c r="R55" i="19"/>
  <c r="N55" i="19"/>
  <c r="N54" i="19"/>
  <c r="D55" i="19"/>
  <c r="E55" i="19"/>
  <c r="F55" i="19"/>
  <c r="G55" i="19"/>
  <c r="H55" i="19"/>
  <c r="I55" i="19"/>
  <c r="J55" i="19"/>
  <c r="K55" i="19"/>
  <c r="L55" i="19"/>
  <c r="M55" i="19"/>
  <c r="C55" i="19"/>
  <c r="O50" i="19"/>
  <c r="P50" i="19"/>
  <c r="Q50" i="19" s="1"/>
  <c r="R50" i="19" s="1"/>
  <c r="N50" i="19"/>
  <c r="P51" i="19"/>
  <c r="Q51" i="19"/>
  <c r="R51" i="19" s="1"/>
  <c r="O51" i="19"/>
  <c r="N51" i="19"/>
  <c r="D51" i="19"/>
  <c r="E51" i="19"/>
  <c r="F51" i="19"/>
  <c r="G51" i="19"/>
  <c r="H51" i="19"/>
  <c r="I51" i="19"/>
  <c r="J51" i="19"/>
  <c r="K51" i="19"/>
  <c r="L51" i="19"/>
  <c r="M51" i="19"/>
  <c r="C51" i="19"/>
  <c r="O47" i="19"/>
  <c r="P47" i="19"/>
  <c r="Q47" i="19" s="1"/>
  <c r="R47" i="19" s="1"/>
  <c r="N47" i="19"/>
  <c r="P48" i="19"/>
  <c r="Q48" i="19"/>
  <c r="R48" i="19" s="1"/>
  <c r="O48" i="19"/>
  <c r="N48" i="19"/>
  <c r="D48" i="19"/>
  <c r="E48" i="19"/>
  <c r="F48" i="19"/>
  <c r="G48" i="19"/>
  <c r="H48" i="19"/>
  <c r="I48" i="19"/>
  <c r="J48" i="19"/>
  <c r="K48" i="19"/>
  <c r="L48" i="19"/>
  <c r="M48" i="19"/>
  <c r="C48" i="19"/>
  <c r="D50" i="19"/>
  <c r="E50" i="19"/>
  <c r="F50" i="19"/>
  <c r="G50" i="19"/>
  <c r="H50" i="19"/>
  <c r="I50" i="19"/>
  <c r="J50" i="19"/>
  <c r="K50" i="19"/>
  <c r="L50" i="19"/>
  <c r="M50" i="19"/>
  <c r="D47" i="19"/>
  <c r="E47" i="19"/>
  <c r="F47" i="19"/>
  <c r="G47" i="19"/>
  <c r="H47" i="19"/>
  <c r="I47" i="19"/>
  <c r="J47" i="19"/>
  <c r="K47" i="19"/>
  <c r="L47" i="19"/>
  <c r="M47" i="19"/>
  <c r="D54" i="19"/>
  <c r="E54" i="19"/>
  <c r="F54" i="19"/>
  <c r="G54" i="19"/>
  <c r="H54" i="19"/>
  <c r="I54" i="19"/>
  <c r="J54" i="19"/>
  <c r="K54" i="19"/>
  <c r="L54" i="19"/>
  <c r="M54" i="19"/>
  <c r="C54" i="19"/>
  <c r="C50" i="19"/>
  <c r="C47" i="19"/>
  <c r="I36" i="20" l="1"/>
  <c r="J42" i="20"/>
  <c r="K42" i="20" s="1"/>
  <c r="L42" i="20" s="1"/>
  <c r="M42" i="20" s="1"/>
  <c r="P54" i="19"/>
  <c r="Q54" i="19" s="1"/>
  <c r="R54" i="19" s="1"/>
  <c r="I37" i="20" l="1"/>
  <c r="J36" i="20"/>
  <c r="K36" i="20" s="1"/>
  <c r="L36" i="20" s="1"/>
  <c r="M36" i="20" s="1"/>
  <c r="O50" i="1"/>
  <c r="P50" i="1"/>
  <c r="P55" i="1" s="1"/>
  <c r="Q50" i="1"/>
  <c r="R50" i="1"/>
  <c r="R55" i="1" s="1"/>
  <c r="N50" i="1"/>
  <c r="N55" i="1"/>
  <c r="O55" i="1"/>
  <c r="Q55" i="1"/>
  <c r="P45" i="19"/>
  <c r="Q45" i="19"/>
  <c r="R45" i="19" s="1"/>
  <c r="O45" i="19"/>
  <c r="N45" i="19"/>
  <c r="E45" i="19"/>
  <c r="F45" i="19"/>
  <c r="G45" i="19"/>
  <c r="H45" i="19"/>
  <c r="I45" i="19"/>
  <c r="J45" i="19"/>
  <c r="K45" i="19"/>
  <c r="L45" i="19"/>
  <c r="M45" i="19"/>
  <c r="D45" i="19"/>
  <c r="D44" i="19"/>
  <c r="E44" i="19"/>
  <c r="F44" i="19"/>
  <c r="G44" i="19"/>
  <c r="H44" i="19"/>
  <c r="I44" i="19"/>
  <c r="J44" i="19"/>
  <c r="K44" i="19"/>
  <c r="L44" i="19"/>
  <c r="M44" i="19"/>
  <c r="C44" i="19"/>
  <c r="P42" i="19"/>
  <c r="Q42" i="19"/>
  <c r="R42" i="19" s="1"/>
  <c r="O42" i="19"/>
  <c r="O35" i="19" l="1"/>
  <c r="P35" i="19"/>
  <c r="Q35" i="19" s="1"/>
  <c r="R35" i="19" s="1"/>
  <c r="N35" i="19"/>
  <c r="N39" i="19"/>
  <c r="N60" i="1" s="1"/>
  <c r="P30" i="19"/>
  <c r="Q30" i="19"/>
  <c r="R30" i="19" s="1"/>
  <c r="R38" i="19" s="1"/>
  <c r="R59" i="1" s="1"/>
  <c r="O30" i="19"/>
  <c r="O38" i="19"/>
  <c r="O59" i="1" s="1"/>
  <c r="P38" i="19"/>
  <c r="P59" i="1" s="1"/>
  <c r="N38" i="19"/>
  <c r="N59" i="1" s="1"/>
  <c r="N30" i="19"/>
  <c r="D30" i="19"/>
  <c r="E30" i="19"/>
  <c r="F30" i="19"/>
  <c r="G30" i="19"/>
  <c r="H30" i="19"/>
  <c r="I30" i="19"/>
  <c r="J30" i="19"/>
  <c r="K30" i="19"/>
  <c r="L30" i="19"/>
  <c r="M30" i="19"/>
  <c r="C30" i="19"/>
  <c r="O44" i="1"/>
  <c r="P44" i="1"/>
  <c r="Q44" i="1" s="1"/>
  <c r="R44" i="1" s="1"/>
  <c r="N44" i="1"/>
  <c r="O41" i="1"/>
  <c r="P41" i="1"/>
  <c r="Q41" i="1" s="1"/>
  <c r="R41" i="1" s="1"/>
  <c r="N41" i="1"/>
  <c r="N42" i="19"/>
  <c r="G50" i="4"/>
  <c r="O39" i="19" l="1"/>
  <c r="Q38" i="19"/>
  <c r="Q59" i="1" s="1"/>
  <c r="M28" i="4"/>
  <c r="O25" i="18"/>
  <c r="P25" i="18"/>
  <c r="Q25" i="18" s="1"/>
  <c r="O26" i="18"/>
  <c r="P26" i="18"/>
  <c r="Q26" i="18" s="1"/>
  <c r="R26" i="18" s="1"/>
  <c r="O27" i="18"/>
  <c r="P27" i="18"/>
  <c r="Q27" i="18" s="1"/>
  <c r="R27" i="18" s="1"/>
  <c r="O28" i="18"/>
  <c r="P28" i="18"/>
  <c r="Q28" i="18" s="1"/>
  <c r="R28" i="18" s="1"/>
  <c r="O29" i="18"/>
  <c r="P29" i="18"/>
  <c r="Q29" i="18" s="1"/>
  <c r="R29" i="18" s="1"/>
  <c r="O30" i="18"/>
  <c r="P30" i="18"/>
  <c r="Q30" i="18" s="1"/>
  <c r="R30" i="18" s="1"/>
  <c r="O31" i="18"/>
  <c r="P31" i="18"/>
  <c r="Q31" i="18" s="1"/>
  <c r="R31" i="18" s="1"/>
  <c r="O32" i="18"/>
  <c r="P32" i="18"/>
  <c r="Q32" i="18" s="1"/>
  <c r="R32" i="18" s="1"/>
  <c r="N26" i="18"/>
  <c r="N27" i="18"/>
  <c r="N28" i="18"/>
  <c r="N29" i="18"/>
  <c r="N30" i="18"/>
  <c r="N31" i="18"/>
  <c r="N32" i="18"/>
  <c r="N25" i="18"/>
  <c r="O8" i="18"/>
  <c r="O11" i="18" s="1"/>
  <c r="O17" i="4" s="1"/>
  <c r="P8" i="18"/>
  <c r="P12" i="18" s="1"/>
  <c r="P18" i="4" s="1"/>
  <c r="Q8" i="18"/>
  <c r="Q11" i="18" s="1"/>
  <c r="Q17" i="4" s="1"/>
  <c r="R8" i="18"/>
  <c r="R12" i="18" s="1"/>
  <c r="R18" i="4" s="1"/>
  <c r="N8" i="18"/>
  <c r="N11" i="18" s="1"/>
  <c r="N17" i="4" s="1"/>
  <c r="N10" i="18"/>
  <c r="N14" i="4" s="1"/>
  <c r="N15" i="4" s="1"/>
  <c r="O10" i="18"/>
  <c r="O14" i="4" s="1"/>
  <c r="O15" i="4" s="1"/>
  <c r="P10" i="18"/>
  <c r="P14" i="4" s="1"/>
  <c r="P15" i="4" s="1"/>
  <c r="N9" i="4"/>
  <c r="O9" i="4"/>
  <c r="P9" i="4"/>
  <c r="Q9" i="4"/>
  <c r="R9" i="4"/>
  <c r="O8" i="4"/>
  <c r="P8" i="4"/>
  <c r="Q8" i="4"/>
  <c r="R8" i="4"/>
  <c r="N8" i="4"/>
  <c r="P56" i="17"/>
  <c r="Q56" i="17"/>
  <c r="R56" i="17" s="1"/>
  <c r="O56" i="17"/>
  <c r="N56" i="17"/>
  <c r="N12" i="17" s="1"/>
  <c r="N8" i="17" s="1"/>
  <c r="O14" i="17"/>
  <c r="P14" i="17"/>
  <c r="Q14" i="17" s="1"/>
  <c r="R14" i="17" s="1"/>
  <c r="N14" i="17"/>
  <c r="O13" i="17"/>
  <c r="P13" i="17"/>
  <c r="Q13" i="17" s="1"/>
  <c r="R13" i="17" s="1"/>
  <c r="N13" i="17"/>
  <c r="O11" i="17"/>
  <c r="P11" i="17"/>
  <c r="Q11" i="17" s="1"/>
  <c r="R11" i="17" s="1"/>
  <c r="N11" i="17"/>
  <c r="O27" i="17"/>
  <c r="P27" i="17"/>
  <c r="Q27" i="17" s="1"/>
  <c r="R27" i="17" s="1"/>
  <c r="O28" i="17"/>
  <c r="P28" i="17"/>
  <c r="Q28" i="17" s="1"/>
  <c r="R28" i="17" s="1"/>
  <c r="O25" i="17"/>
  <c r="P25" i="17"/>
  <c r="Q25" i="17" s="1"/>
  <c r="R25" i="17" s="1"/>
  <c r="N27" i="17"/>
  <c r="N28" i="17"/>
  <c r="N25" i="17"/>
  <c r="N36" i="17"/>
  <c r="O36" i="17"/>
  <c r="P36" i="17"/>
  <c r="Q36" i="17"/>
  <c r="R36" i="17"/>
  <c r="O39" i="17"/>
  <c r="P39" i="17"/>
  <c r="Q39" i="17" s="1"/>
  <c r="R39" i="17" s="1"/>
  <c r="O40" i="17"/>
  <c r="P40" i="17"/>
  <c r="Q40" i="17" s="1"/>
  <c r="R40" i="17" s="1"/>
  <c r="O41" i="17"/>
  <c r="P41" i="17"/>
  <c r="Q41" i="17" s="1"/>
  <c r="R41" i="17" s="1"/>
  <c r="N41" i="17"/>
  <c r="N40" i="17"/>
  <c r="N39" i="17"/>
  <c r="O55" i="17"/>
  <c r="P55" i="17"/>
  <c r="Q55" i="17" s="1"/>
  <c r="R55" i="17" s="1"/>
  <c r="O12" i="17"/>
  <c r="O8" i="17" s="1"/>
  <c r="O9" i="17" s="1"/>
  <c r="O57" i="17"/>
  <c r="P57" i="17"/>
  <c r="Q57" i="17" s="1"/>
  <c r="R57" i="17" s="1"/>
  <c r="N57" i="17"/>
  <c r="N55" i="17"/>
  <c r="O60" i="1" l="1"/>
  <c r="P39" i="19"/>
  <c r="O16" i="4"/>
  <c r="P16" i="4"/>
  <c r="N16" i="4"/>
  <c r="R11" i="18"/>
  <c r="R17" i="4" s="1"/>
  <c r="P11" i="18"/>
  <c r="P17" i="4" s="1"/>
  <c r="P24" i="4" s="1"/>
  <c r="P25" i="4" s="1"/>
  <c r="N12" i="18"/>
  <c r="N18" i="4" s="1"/>
  <c r="N24" i="4" s="1"/>
  <c r="Q12" i="18"/>
  <c r="Q18" i="4" s="1"/>
  <c r="O12" i="18"/>
  <c r="O18" i="4" s="1"/>
  <c r="O24" i="4" s="1"/>
  <c r="Q10" i="18"/>
  <c r="Q14" i="4" s="1"/>
  <c r="Q15" i="4" s="1"/>
  <c r="R25" i="18"/>
  <c r="B62" i="21"/>
  <c r="J69" i="21" s="1"/>
  <c r="K69" i="21" s="1"/>
  <c r="K71" i="21" s="1"/>
  <c r="K70" i="21"/>
  <c r="B62" i="20"/>
  <c r="B38" i="20"/>
  <c r="B37" i="20"/>
  <c r="B22" i="20"/>
  <c r="B19" i="20"/>
  <c r="B18" i="20"/>
  <c r="B36" i="20" s="1"/>
  <c r="B16" i="20"/>
  <c r="B15" i="20"/>
  <c r="B23" i="20" s="1"/>
  <c r="B10" i="20"/>
  <c r="B29" i="20" s="1"/>
  <c r="M62" i="17"/>
  <c r="L62" i="17"/>
  <c r="K62" i="17"/>
  <c r="J62" i="17"/>
  <c r="I62" i="17"/>
  <c r="H62" i="17"/>
  <c r="G62" i="17"/>
  <c r="F62" i="17"/>
  <c r="M61" i="17"/>
  <c r="L61" i="17"/>
  <c r="K61" i="17"/>
  <c r="J61" i="17"/>
  <c r="I61" i="17"/>
  <c r="H61" i="17"/>
  <c r="G61" i="17"/>
  <c r="F61" i="17"/>
  <c r="E61" i="17"/>
  <c r="D61" i="17"/>
  <c r="M60" i="17"/>
  <c r="L60" i="17"/>
  <c r="K60" i="17"/>
  <c r="J60" i="17"/>
  <c r="I60" i="17"/>
  <c r="H60" i="17"/>
  <c r="G60" i="17"/>
  <c r="F60" i="17"/>
  <c r="E60" i="17"/>
  <c r="D60" i="17"/>
  <c r="M57" i="17"/>
  <c r="M52" i="17"/>
  <c r="M49" i="17"/>
  <c r="M36" i="17"/>
  <c r="M32" i="17"/>
  <c r="B30" i="20" l="1"/>
  <c r="Q39" i="19"/>
  <c r="P60" i="1"/>
  <c r="O25" i="4"/>
  <c r="N25" i="4"/>
  <c r="Q16" i="4"/>
  <c r="Q24" i="4"/>
  <c r="R10" i="18"/>
  <c r="R14" i="4" s="1"/>
  <c r="R15" i="4" s="1"/>
  <c r="P12" i="17"/>
  <c r="P8" i="17" s="1"/>
  <c r="P9" i="17" s="1"/>
  <c r="B24" i="20"/>
  <c r="B27" i="20" s="1"/>
  <c r="M55" i="17"/>
  <c r="B28" i="20" l="1"/>
  <c r="Q60" i="1"/>
  <c r="R39" i="19"/>
  <c r="R60" i="1" s="1"/>
  <c r="R24" i="4"/>
  <c r="R25" i="4" s="1"/>
  <c r="R16" i="4"/>
  <c r="Q25" i="4"/>
  <c r="R12" i="17"/>
  <c r="Q12" i="17"/>
  <c r="R8" i="17"/>
  <c r="Q8" i="17"/>
  <c r="Q9" i="17" s="1"/>
  <c r="B31" i="20"/>
  <c r="R9" i="17" l="1"/>
  <c r="M12" i="17"/>
  <c r="D27" i="19"/>
  <c r="E27" i="19"/>
  <c r="F27" i="19"/>
  <c r="M27" i="19"/>
  <c r="C27" i="19"/>
  <c r="D23" i="19"/>
  <c r="E23" i="19"/>
  <c r="F23" i="19"/>
  <c r="G23" i="19"/>
  <c r="H23" i="19"/>
  <c r="I23" i="19"/>
  <c r="J23" i="19"/>
  <c r="K23" i="19"/>
  <c r="K25" i="19" s="1"/>
  <c r="L23" i="19"/>
  <c r="M23" i="19"/>
  <c r="C23" i="19"/>
  <c r="M19" i="19"/>
  <c r="M16" i="19"/>
  <c r="M12" i="19"/>
  <c r="M10" i="19"/>
  <c r="M9" i="19"/>
  <c r="M41" i="19"/>
  <c r="L41" i="19"/>
  <c r="K41" i="19"/>
  <c r="J41" i="19"/>
  <c r="I41" i="19"/>
  <c r="H41" i="19"/>
  <c r="G41" i="19"/>
  <c r="F41" i="19"/>
  <c r="E41" i="19"/>
  <c r="D41" i="19"/>
  <c r="C41" i="19"/>
  <c r="D19" i="19"/>
  <c r="D20" i="19" s="1"/>
  <c r="E19" i="19"/>
  <c r="E20" i="19" s="1"/>
  <c r="F19" i="19"/>
  <c r="F20" i="19" s="1"/>
  <c r="G19" i="19"/>
  <c r="G20" i="19" s="1"/>
  <c r="H19" i="19"/>
  <c r="H20" i="19" s="1"/>
  <c r="I19" i="19"/>
  <c r="I20" i="19" s="1"/>
  <c r="J19" i="19"/>
  <c r="J20" i="19" s="1"/>
  <c r="K19" i="19"/>
  <c r="K20" i="19" s="1"/>
  <c r="L19" i="19"/>
  <c r="L20" i="19" s="1"/>
  <c r="C19" i="19"/>
  <c r="C20" i="19" s="1"/>
  <c r="D16" i="19"/>
  <c r="E16" i="19"/>
  <c r="F16" i="19"/>
  <c r="G16" i="19"/>
  <c r="H16" i="19"/>
  <c r="I16" i="19"/>
  <c r="J16" i="19"/>
  <c r="K16" i="19"/>
  <c r="L16" i="19"/>
  <c r="C16" i="19"/>
  <c r="D12" i="19"/>
  <c r="E12" i="19"/>
  <c r="F12" i="19"/>
  <c r="G12" i="19"/>
  <c r="H12" i="19"/>
  <c r="I12" i="19"/>
  <c r="J12" i="19"/>
  <c r="K12" i="19"/>
  <c r="L12" i="19"/>
  <c r="C12" i="19"/>
  <c r="K10" i="19"/>
  <c r="L10" i="19"/>
  <c r="J10" i="19"/>
  <c r="D9" i="19"/>
  <c r="E9" i="19"/>
  <c r="F9" i="19"/>
  <c r="G9" i="19"/>
  <c r="H9" i="19"/>
  <c r="I9" i="19"/>
  <c r="J9" i="19"/>
  <c r="K9" i="19"/>
  <c r="L9" i="19"/>
  <c r="C9" i="19"/>
  <c r="A39" i="19"/>
  <c r="A38" i="19"/>
  <c r="A37" i="19"/>
  <c r="A36" i="19"/>
  <c r="A35" i="19"/>
  <c r="A34" i="19"/>
  <c r="A33" i="19"/>
  <c r="L25" i="19"/>
  <c r="J24" i="19"/>
  <c r="J25" i="19" s="1"/>
  <c r="I24" i="19"/>
  <c r="I25" i="19" s="1"/>
  <c r="H24" i="19"/>
  <c r="H25" i="19" s="1"/>
  <c r="G24" i="19"/>
  <c r="F24" i="19"/>
  <c r="E24" i="19"/>
  <c r="D24" i="19"/>
  <c r="C24" i="19"/>
  <c r="D5" i="19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M8" i="17"/>
  <c r="L52" i="17"/>
  <c r="K52" i="17"/>
  <c r="J52" i="17"/>
  <c r="I52" i="17"/>
  <c r="H52" i="17"/>
  <c r="G52" i="17"/>
  <c r="F52" i="17"/>
  <c r="E52" i="17"/>
  <c r="D52" i="17"/>
  <c r="L49" i="17"/>
  <c r="K49" i="17"/>
  <c r="J49" i="17"/>
  <c r="I49" i="17"/>
  <c r="H49" i="17"/>
  <c r="G49" i="17"/>
  <c r="F49" i="17"/>
  <c r="E49" i="17"/>
  <c r="D49" i="17"/>
  <c r="L36" i="17"/>
  <c r="M48" i="17" s="1"/>
  <c r="K36" i="17"/>
  <c r="J36" i="17"/>
  <c r="I36" i="17"/>
  <c r="H36" i="17"/>
  <c r="G36" i="17"/>
  <c r="F36" i="17"/>
  <c r="E36" i="17"/>
  <c r="D36" i="17"/>
  <c r="C36" i="17"/>
  <c r="L32" i="17"/>
  <c r="M47" i="17" s="1"/>
  <c r="K32" i="17"/>
  <c r="J32" i="17"/>
  <c r="I32" i="17"/>
  <c r="H32" i="17"/>
  <c r="G32" i="17"/>
  <c r="F32" i="17"/>
  <c r="E32" i="17"/>
  <c r="D32" i="17"/>
  <c r="C32" i="17"/>
  <c r="D20" i="17"/>
  <c r="C20" i="17"/>
  <c r="L15" i="17"/>
  <c r="M29" i="17" s="1"/>
  <c r="K15" i="17"/>
  <c r="J15" i="17"/>
  <c r="I15" i="17"/>
  <c r="H15" i="17"/>
  <c r="H22" i="17" s="1"/>
  <c r="G15" i="17"/>
  <c r="G22" i="17" s="1"/>
  <c r="F15" i="17"/>
  <c r="E15" i="17"/>
  <c r="D15" i="17"/>
  <c r="D22" i="17" s="1"/>
  <c r="C15" i="17"/>
  <c r="L14" i="17"/>
  <c r="L21" i="17" s="1"/>
  <c r="K14" i="17"/>
  <c r="J14" i="17"/>
  <c r="I14" i="17"/>
  <c r="I21" i="17" s="1"/>
  <c r="H14" i="17"/>
  <c r="H21" i="17" s="1"/>
  <c r="G14" i="17"/>
  <c r="F14" i="17"/>
  <c r="E14" i="17"/>
  <c r="E21" i="17" s="1"/>
  <c r="D14" i="17"/>
  <c r="D21" i="17" s="1"/>
  <c r="C14" i="17"/>
  <c r="C21" i="17" s="1"/>
  <c r="L13" i="17"/>
  <c r="K13" i="17"/>
  <c r="J13" i="17"/>
  <c r="I13" i="17"/>
  <c r="H13" i="17"/>
  <c r="G13" i="17"/>
  <c r="F13" i="17"/>
  <c r="E13" i="17"/>
  <c r="L12" i="17"/>
  <c r="K12" i="17"/>
  <c r="J12" i="17"/>
  <c r="I12" i="17"/>
  <c r="H12" i="17"/>
  <c r="G12" i="17"/>
  <c r="F12" i="17"/>
  <c r="E12" i="17"/>
  <c r="D12" i="17"/>
  <c r="C12" i="17"/>
  <c r="L11" i="17"/>
  <c r="M25" i="17" s="1"/>
  <c r="K11" i="17"/>
  <c r="J11" i="17"/>
  <c r="I11" i="17"/>
  <c r="H11" i="17"/>
  <c r="G11" i="17"/>
  <c r="F11" i="17"/>
  <c r="E11" i="17"/>
  <c r="D11" i="17"/>
  <c r="C11" i="17"/>
  <c r="L9" i="17"/>
  <c r="K9" i="17"/>
  <c r="J9" i="17"/>
  <c r="I9" i="17"/>
  <c r="H9" i="17"/>
  <c r="G9" i="17"/>
  <c r="F9" i="17"/>
  <c r="E9" i="17"/>
  <c r="D9" i="17"/>
  <c r="D5" i="17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Q5" i="17" s="1"/>
  <c r="M20" i="17" l="1"/>
  <c r="N9" i="17"/>
  <c r="F57" i="17"/>
  <c r="J57" i="17"/>
  <c r="L57" i="17"/>
  <c r="M56" i="17"/>
  <c r="M19" i="17"/>
  <c r="M26" i="17"/>
  <c r="M27" i="17"/>
  <c r="M28" i="17"/>
  <c r="M18" i="17"/>
  <c r="M22" i="17"/>
  <c r="M21" i="17"/>
  <c r="G47" i="17"/>
  <c r="K47" i="17"/>
  <c r="G25" i="19"/>
  <c r="M20" i="19"/>
  <c r="N20" i="19" s="1"/>
  <c r="M11" i="19"/>
  <c r="M13" i="19"/>
  <c r="L11" i="19"/>
  <c r="L14" i="19" s="1"/>
  <c r="M17" i="19" s="1"/>
  <c r="N17" i="19" s="1"/>
  <c r="O17" i="19" s="1"/>
  <c r="I14" i="19"/>
  <c r="J17" i="19" s="1"/>
  <c r="G14" i="19"/>
  <c r="H17" i="19" s="1"/>
  <c r="D55" i="17"/>
  <c r="L55" i="17"/>
  <c r="D13" i="19"/>
  <c r="H13" i="19"/>
  <c r="L13" i="19"/>
  <c r="E14" i="19"/>
  <c r="F17" i="19" s="1"/>
  <c r="F13" i="19"/>
  <c r="J13" i="19"/>
  <c r="C14" i="19"/>
  <c r="D17" i="19" s="1"/>
  <c r="F14" i="19"/>
  <c r="G17" i="19" s="1"/>
  <c r="J14" i="19"/>
  <c r="K17" i="19" s="1"/>
  <c r="C56" i="17"/>
  <c r="G56" i="17"/>
  <c r="K56" i="17"/>
  <c r="G13" i="19"/>
  <c r="K13" i="19"/>
  <c r="D14" i="19"/>
  <c r="E17" i="19" s="1"/>
  <c r="H14" i="19"/>
  <c r="I17" i="19" s="1"/>
  <c r="E13" i="19"/>
  <c r="I13" i="19"/>
  <c r="K11" i="19"/>
  <c r="K14" i="19" s="1"/>
  <c r="L17" i="19" s="1"/>
  <c r="E56" i="17"/>
  <c r="I56" i="17"/>
  <c r="F55" i="17"/>
  <c r="J55" i="17"/>
  <c r="C55" i="17"/>
  <c r="E47" i="17"/>
  <c r="I47" i="17"/>
  <c r="F48" i="17"/>
  <c r="J48" i="17"/>
  <c r="D56" i="17"/>
  <c r="H56" i="17"/>
  <c r="L56" i="17"/>
  <c r="G25" i="17"/>
  <c r="K25" i="17"/>
  <c r="G28" i="17"/>
  <c r="K28" i="17"/>
  <c r="E29" i="17"/>
  <c r="I29" i="17"/>
  <c r="G27" i="17"/>
  <c r="K27" i="17"/>
  <c r="D29" i="17"/>
  <c r="K29" i="17"/>
  <c r="L22" i="17"/>
  <c r="H27" i="17"/>
  <c r="F28" i="17"/>
  <c r="J28" i="17"/>
  <c r="F29" i="17"/>
  <c r="J29" i="17"/>
  <c r="D18" i="17"/>
  <c r="L18" i="17"/>
  <c r="I19" i="17"/>
  <c r="F20" i="17"/>
  <c r="K21" i="17"/>
  <c r="D26" i="17"/>
  <c r="L26" i="17"/>
  <c r="H28" i="17"/>
  <c r="D47" i="17"/>
  <c r="H47" i="17"/>
  <c r="L47" i="17"/>
  <c r="E48" i="17"/>
  <c r="I48" i="17"/>
  <c r="C18" i="17"/>
  <c r="K18" i="17"/>
  <c r="H19" i="17"/>
  <c r="G21" i="17"/>
  <c r="I26" i="17"/>
  <c r="E28" i="17"/>
  <c r="H25" i="17"/>
  <c r="H18" i="17"/>
  <c r="E19" i="17"/>
  <c r="H26" i="17"/>
  <c r="D28" i="17"/>
  <c r="L28" i="17"/>
  <c r="F47" i="17"/>
  <c r="J47" i="17"/>
  <c r="G48" i="17"/>
  <c r="K48" i="17"/>
  <c r="G18" i="17"/>
  <c r="D19" i="17"/>
  <c r="L19" i="17"/>
  <c r="J20" i="17"/>
  <c r="E26" i="17"/>
  <c r="J27" i="17"/>
  <c r="I28" i="17"/>
  <c r="H29" i="17"/>
  <c r="D48" i="17"/>
  <c r="L48" i="17"/>
  <c r="E55" i="17"/>
  <c r="I55" i="17"/>
  <c r="J56" i="17"/>
  <c r="I20" i="17"/>
  <c r="J21" i="17"/>
  <c r="C22" i="17"/>
  <c r="K22" i="17"/>
  <c r="E25" i="17"/>
  <c r="I25" i="17"/>
  <c r="I27" i="17"/>
  <c r="G29" i="17"/>
  <c r="H55" i="17"/>
  <c r="H57" i="17"/>
  <c r="F18" i="17"/>
  <c r="J18" i="17"/>
  <c r="C19" i="17"/>
  <c r="G19" i="17"/>
  <c r="K19" i="17"/>
  <c r="H20" i="17"/>
  <c r="L20" i="17"/>
  <c r="F22" i="17"/>
  <c r="J22" i="17"/>
  <c r="D25" i="17"/>
  <c r="L25" i="17"/>
  <c r="G26" i="17"/>
  <c r="K26" i="17"/>
  <c r="L27" i="17"/>
  <c r="G55" i="17"/>
  <c r="K55" i="17"/>
  <c r="G57" i="17"/>
  <c r="K57" i="17"/>
  <c r="F25" i="17"/>
  <c r="J25" i="17"/>
  <c r="F27" i="17"/>
  <c r="L29" i="17"/>
  <c r="H48" i="17"/>
  <c r="F56" i="17"/>
  <c r="E57" i="17"/>
  <c r="I57" i="17"/>
  <c r="E20" i="17"/>
  <c r="F21" i="17"/>
  <c r="E18" i="17"/>
  <c r="I18" i="17"/>
  <c r="F19" i="17"/>
  <c r="J19" i="17"/>
  <c r="G20" i="17"/>
  <c r="K20" i="17"/>
  <c r="E22" i="17"/>
  <c r="I22" i="17"/>
  <c r="F26" i="17"/>
  <c r="J26" i="17"/>
  <c r="O20" i="19" l="1"/>
  <c r="N19" i="19"/>
  <c r="P17" i="19"/>
  <c r="Q17" i="19" s="1"/>
  <c r="R17" i="19" s="1"/>
  <c r="B13" i="19"/>
  <c r="C17" i="19"/>
  <c r="O19" i="19" l="1"/>
  <c r="P20" i="19"/>
  <c r="M9" i="17"/>
  <c r="Q20" i="19" l="1"/>
  <c r="P19" i="19"/>
  <c r="Q19" i="19" l="1"/>
  <c r="R20" i="19"/>
  <c r="R19" i="19" s="1"/>
  <c r="N14" i="19"/>
  <c r="N10" i="1" s="1"/>
  <c r="N24" i="1" s="1"/>
  <c r="N16" i="19"/>
  <c r="N26" i="4" s="1"/>
  <c r="C26" i="18"/>
  <c r="D26" i="18"/>
  <c r="E26" i="18"/>
  <c r="F26" i="18"/>
  <c r="G26" i="18"/>
  <c r="H26" i="18"/>
  <c r="I26" i="18"/>
  <c r="J26" i="18"/>
  <c r="K26" i="18"/>
  <c r="L26" i="18"/>
  <c r="M26" i="18"/>
  <c r="C27" i="18"/>
  <c r="D27" i="18"/>
  <c r="E27" i="18"/>
  <c r="F27" i="18"/>
  <c r="G27" i="18"/>
  <c r="H27" i="18"/>
  <c r="I27" i="18"/>
  <c r="J27" i="18"/>
  <c r="K27" i="18"/>
  <c r="L27" i="18"/>
  <c r="M27" i="18"/>
  <c r="J28" i="18"/>
  <c r="K28" i="18"/>
  <c r="L28" i="18"/>
  <c r="M28" i="18"/>
  <c r="J29" i="18"/>
  <c r="K29" i="18"/>
  <c r="L29" i="18"/>
  <c r="M29" i="18"/>
  <c r="F30" i="18"/>
  <c r="H30" i="18"/>
  <c r="I30" i="18"/>
  <c r="J30" i="18"/>
  <c r="K30" i="18"/>
  <c r="L30" i="18"/>
  <c r="M30" i="18"/>
  <c r="G31" i="18"/>
  <c r="H31" i="18"/>
  <c r="I31" i="18"/>
  <c r="J31" i="18"/>
  <c r="K31" i="18"/>
  <c r="L31" i="18"/>
  <c r="M31" i="18"/>
  <c r="F32" i="18"/>
  <c r="J32" i="18"/>
  <c r="K32" i="18"/>
  <c r="L32" i="18"/>
  <c r="M32" i="18"/>
  <c r="D25" i="18"/>
  <c r="E25" i="18"/>
  <c r="F25" i="18"/>
  <c r="G25" i="18"/>
  <c r="H25" i="18"/>
  <c r="I25" i="18"/>
  <c r="J25" i="18"/>
  <c r="K25" i="18"/>
  <c r="L25" i="18"/>
  <c r="M25" i="18"/>
  <c r="C25" i="18"/>
  <c r="I17" i="18"/>
  <c r="I32" i="18" s="1"/>
  <c r="H17" i="18"/>
  <c r="H32" i="18" s="1"/>
  <c r="G17" i="18"/>
  <c r="G32" i="18" s="1"/>
  <c r="E17" i="18"/>
  <c r="E32" i="18" s="1"/>
  <c r="D17" i="18"/>
  <c r="D32" i="18" s="1"/>
  <c r="C17" i="18"/>
  <c r="C32" i="18" s="1"/>
  <c r="F16" i="18"/>
  <c r="F31" i="18" s="1"/>
  <c r="E16" i="18"/>
  <c r="E31" i="18" s="1"/>
  <c r="D16" i="18"/>
  <c r="D31" i="18" s="1"/>
  <c r="C16" i="18"/>
  <c r="C31" i="18" s="1"/>
  <c r="G15" i="18"/>
  <c r="G30" i="18" s="1"/>
  <c r="E15" i="18"/>
  <c r="E30" i="18" s="1"/>
  <c r="D15" i="18"/>
  <c r="D30" i="18" s="1"/>
  <c r="C15" i="18"/>
  <c r="C30" i="18" s="1"/>
  <c r="I14" i="18"/>
  <c r="I29" i="18" s="1"/>
  <c r="H14" i="18"/>
  <c r="H29" i="18" s="1"/>
  <c r="G14" i="18"/>
  <c r="G29" i="18" s="1"/>
  <c r="F14" i="18"/>
  <c r="F29" i="18" s="1"/>
  <c r="E14" i="18"/>
  <c r="E29" i="18" s="1"/>
  <c r="D14" i="18"/>
  <c r="D29" i="18" s="1"/>
  <c r="C14" i="18"/>
  <c r="C29" i="18" s="1"/>
  <c r="I13" i="18"/>
  <c r="I28" i="18" s="1"/>
  <c r="H13" i="18"/>
  <c r="H28" i="18" s="1"/>
  <c r="G13" i="18"/>
  <c r="G28" i="18" s="1"/>
  <c r="F13" i="18"/>
  <c r="F28" i="18" s="1"/>
  <c r="E13" i="18"/>
  <c r="E28" i="18" s="1"/>
  <c r="D13" i="18"/>
  <c r="D28" i="18" s="1"/>
  <c r="C13" i="18"/>
  <c r="C28" i="18" s="1"/>
  <c r="D5" i="18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R5" i="17"/>
  <c r="O68" i="3"/>
  <c r="O61" i="3"/>
  <c r="O40" i="3"/>
  <c r="O27" i="3"/>
  <c r="K43" i="1"/>
  <c r="J43" i="1"/>
  <c r="I43" i="1"/>
  <c r="H43" i="1"/>
  <c r="G43" i="1"/>
  <c r="L43" i="1"/>
  <c r="M43" i="1"/>
  <c r="M45" i="1" s="1"/>
  <c r="M42" i="19" s="1"/>
  <c r="M68" i="1"/>
  <c r="M55" i="1"/>
  <c r="M36" i="1"/>
  <c r="M24" i="1"/>
  <c r="M14" i="4"/>
  <c r="M15" i="4" s="1"/>
  <c r="M24" i="4" s="1"/>
  <c r="M9" i="4"/>
  <c r="N27" i="4" l="1"/>
  <c r="N28" i="4" s="1"/>
  <c r="P11" i="3"/>
  <c r="O16" i="19"/>
  <c r="O26" i="4" s="1"/>
  <c r="O41" i="3"/>
  <c r="O43" i="3" s="1"/>
  <c r="O69" i="3" s="1"/>
  <c r="O73" i="3" s="1"/>
  <c r="M69" i="1"/>
  <c r="M37" i="1"/>
  <c r="M27" i="4"/>
  <c r="O27" i="4" l="1"/>
  <c r="Q11" i="3"/>
  <c r="O28" i="4"/>
  <c r="O14" i="19"/>
  <c r="O10" i="1" s="1"/>
  <c r="O24" i="1" s="1"/>
  <c r="M70" i="1"/>
  <c r="M31" i="4"/>
  <c r="P16" i="19" l="1"/>
  <c r="P26" i="4" s="1"/>
  <c r="M35" i="4"/>
  <c r="M37" i="4" s="1"/>
  <c r="P27" i="4" l="1"/>
  <c r="R11" i="3"/>
  <c r="P28" i="4"/>
  <c r="P14" i="19"/>
  <c r="P10" i="1" s="1"/>
  <c r="P24" i="1" s="1"/>
  <c r="F40" i="3"/>
  <c r="G40" i="3"/>
  <c r="H40" i="3"/>
  <c r="I40" i="3"/>
  <c r="J40" i="3"/>
  <c r="K40" i="3"/>
  <c r="L40" i="3"/>
  <c r="M40" i="3"/>
  <c r="N40" i="3"/>
  <c r="E40" i="3"/>
  <c r="Q16" i="19" l="1"/>
  <c r="Q26" i="4" s="1"/>
  <c r="L45" i="1"/>
  <c r="L42" i="19" s="1"/>
  <c r="Q27" i="4" l="1"/>
  <c r="Q28" i="4" s="1"/>
  <c r="S11" i="3"/>
  <c r="Q14" i="19"/>
  <c r="Q10" i="1" s="1"/>
  <c r="Q24" i="1" s="1"/>
  <c r="L43" i="4"/>
  <c r="K43" i="4"/>
  <c r="D43" i="4"/>
  <c r="E43" i="4"/>
  <c r="F43" i="4"/>
  <c r="G43" i="4"/>
  <c r="H43" i="4"/>
  <c r="I43" i="4"/>
  <c r="J43" i="4"/>
  <c r="C43" i="4"/>
  <c r="H61" i="1"/>
  <c r="H27" i="19" s="1"/>
  <c r="I61" i="1"/>
  <c r="I27" i="19" s="1"/>
  <c r="J61" i="1"/>
  <c r="J27" i="19" s="1"/>
  <c r="K61" i="1"/>
  <c r="K27" i="19" s="1"/>
  <c r="L61" i="1"/>
  <c r="G61" i="1"/>
  <c r="G27" i="19" s="1"/>
  <c r="F68" i="1"/>
  <c r="E68" i="1"/>
  <c r="D68" i="1"/>
  <c r="C68" i="1"/>
  <c r="R16" i="19" l="1"/>
  <c r="R26" i="4" s="1"/>
  <c r="L68" i="1"/>
  <c r="L27" i="19"/>
  <c r="K68" i="1"/>
  <c r="G68" i="1"/>
  <c r="J68" i="1"/>
  <c r="I68" i="1"/>
  <c r="H68" i="1"/>
  <c r="R27" i="4" l="1"/>
  <c r="T11" i="3"/>
  <c r="R28" i="4"/>
  <c r="R14" i="19"/>
  <c r="R10" i="1" s="1"/>
  <c r="R24" i="1" s="1"/>
  <c r="L152" i="1"/>
  <c r="K152" i="1"/>
  <c r="J152" i="1"/>
  <c r="I152" i="1"/>
  <c r="H152" i="1"/>
  <c r="G152" i="1"/>
  <c r="F152" i="1"/>
  <c r="E152" i="1"/>
  <c r="D152" i="1"/>
  <c r="C152" i="1"/>
  <c r="N68" i="3"/>
  <c r="L9" i="4"/>
  <c r="I71" i="3"/>
  <c r="E9" i="4"/>
  <c r="F9" i="4"/>
  <c r="G9" i="4"/>
  <c r="H9" i="4"/>
  <c r="I9" i="4"/>
  <c r="J9" i="4"/>
  <c r="K9" i="4"/>
  <c r="D9" i="4"/>
  <c r="C14" i="4"/>
  <c r="F22" i="4"/>
  <c r="E22" i="4"/>
  <c r="D22" i="4"/>
  <c r="C22" i="4"/>
  <c r="C21" i="4"/>
  <c r="C23" i="4"/>
  <c r="C20" i="4"/>
  <c r="C19" i="4"/>
  <c r="D23" i="4"/>
  <c r="D21" i="4"/>
  <c r="D20" i="4"/>
  <c r="D19" i="4"/>
  <c r="E23" i="4"/>
  <c r="E21" i="4"/>
  <c r="E20" i="4"/>
  <c r="E19" i="4"/>
  <c r="F20" i="4"/>
  <c r="F19" i="4"/>
  <c r="G23" i="4"/>
  <c r="G21" i="4"/>
  <c r="G20" i="4"/>
  <c r="G19" i="4"/>
  <c r="H23" i="4"/>
  <c r="H20" i="4"/>
  <c r="H19" i="4"/>
  <c r="I23" i="4"/>
  <c r="I20" i="4"/>
  <c r="I19" i="4"/>
  <c r="E68" i="3"/>
  <c r="F68" i="3"/>
  <c r="G68" i="3"/>
  <c r="H68" i="3"/>
  <c r="I68" i="3"/>
  <c r="J68" i="3"/>
  <c r="K68" i="3"/>
  <c r="L68" i="3"/>
  <c r="M68" i="3"/>
  <c r="N61" i="3"/>
  <c r="M61" i="3"/>
  <c r="L61" i="3"/>
  <c r="K61" i="3"/>
  <c r="J61" i="3"/>
  <c r="I61" i="3"/>
  <c r="H61" i="3"/>
  <c r="G61" i="3"/>
  <c r="F61" i="3"/>
  <c r="E61" i="3"/>
  <c r="F27" i="3"/>
  <c r="F41" i="3" s="1"/>
  <c r="F43" i="3" s="1"/>
  <c r="G27" i="3"/>
  <c r="H27" i="3"/>
  <c r="I27" i="3"/>
  <c r="J27" i="3"/>
  <c r="K27" i="3"/>
  <c r="L27" i="3"/>
  <c r="L41" i="3" s="1"/>
  <c r="L43" i="3" s="1"/>
  <c r="M27" i="3"/>
  <c r="N27" i="3"/>
  <c r="E27" i="3"/>
  <c r="E41" i="3" s="1"/>
  <c r="E43" i="3" s="1"/>
  <c r="L55" i="1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K14" i="4"/>
  <c r="G14" i="4"/>
  <c r="L14" i="4"/>
  <c r="H14" i="4"/>
  <c r="D14" i="4"/>
  <c r="I14" i="4"/>
  <c r="E14" i="4"/>
  <c r="J14" i="4"/>
  <c r="F14" i="4"/>
  <c r="H45" i="1"/>
  <c r="H42" i="19" s="1"/>
  <c r="I45" i="1"/>
  <c r="I42" i="19" s="1"/>
  <c r="J45" i="1"/>
  <c r="J42" i="19" s="1"/>
  <c r="K45" i="1"/>
  <c r="K42" i="19" s="1"/>
  <c r="G45" i="1"/>
  <c r="G42" i="19" s="1"/>
  <c r="F45" i="1"/>
  <c r="F42" i="19" s="1"/>
  <c r="E45" i="1"/>
  <c r="E42" i="19" s="1"/>
  <c r="D45" i="1"/>
  <c r="D42" i="19" s="1"/>
  <c r="C45" i="1"/>
  <c r="C42" i="19" s="1"/>
  <c r="D36" i="1"/>
  <c r="E36" i="1"/>
  <c r="F36" i="1"/>
  <c r="G36" i="1"/>
  <c r="H36" i="1"/>
  <c r="I36" i="1"/>
  <c r="J36" i="1"/>
  <c r="K36" i="1"/>
  <c r="L36" i="1"/>
  <c r="C36" i="1"/>
  <c r="D24" i="1"/>
  <c r="E24" i="1"/>
  <c r="F24" i="1"/>
  <c r="G24" i="1"/>
  <c r="H24" i="1"/>
  <c r="I24" i="1"/>
  <c r="J24" i="1"/>
  <c r="K24" i="1"/>
  <c r="L24" i="1"/>
  <c r="C24" i="1"/>
  <c r="F5" i="3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F37" i="1" l="1"/>
  <c r="K37" i="1"/>
  <c r="I37" i="1"/>
  <c r="L69" i="3"/>
  <c r="L73" i="3" s="1"/>
  <c r="L37" i="1"/>
  <c r="H37" i="1"/>
  <c r="J41" i="3"/>
  <c r="J43" i="3" s="1"/>
  <c r="J69" i="3" s="1"/>
  <c r="J73" i="3" s="1"/>
  <c r="C37" i="1"/>
  <c r="C69" i="1"/>
  <c r="H69" i="1"/>
  <c r="H41" i="3"/>
  <c r="H43" i="3" s="1"/>
  <c r="H69" i="3" s="1"/>
  <c r="H73" i="3" s="1"/>
  <c r="D69" i="1"/>
  <c r="K69" i="1"/>
  <c r="N41" i="3"/>
  <c r="N43" i="3" s="1"/>
  <c r="N69" i="3" s="1"/>
  <c r="N73" i="3" s="1"/>
  <c r="K41" i="3"/>
  <c r="K43" i="3" s="1"/>
  <c r="K69" i="3" s="1"/>
  <c r="K73" i="3" s="1"/>
  <c r="G41" i="3"/>
  <c r="G43" i="3" s="1"/>
  <c r="G69" i="3" s="1"/>
  <c r="G73" i="3" s="1"/>
  <c r="M41" i="3"/>
  <c r="M43" i="3" s="1"/>
  <c r="M69" i="3" s="1"/>
  <c r="M73" i="3" s="1"/>
  <c r="F69" i="1"/>
  <c r="I69" i="1"/>
  <c r="I41" i="3"/>
  <c r="I43" i="3" s="1"/>
  <c r="I69" i="3" s="1"/>
  <c r="I73" i="3" s="1"/>
  <c r="L15" i="4"/>
  <c r="E37" i="1"/>
  <c r="D37" i="1"/>
  <c r="F69" i="3"/>
  <c r="F73" i="3" s="1"/>
  <c r="E69" i="3"/>
  <c r="E73" i="3" s="1"/>
  <c r="E69" i="1"/>
  <c r="L69" i="1"/>
  <c r="G37" i="1"/>
  <c r="G69" i="1"/>
  <c r="J69" i="1"/>
  <c r="K15" i="4"/>
  <c r="K24" i="4" s="1"/>
  <c r="F15" i="4"/>
  <c r="D15" i="4"/>
  <c r="E15" i="4"/>
  <c r="G15" i="4"/>
  <c r="J15" i="4"/>
  <c r="I15" i="4"/>
  <c r="H15" i="4"/>
  <c r="C15" i="4"/>
  <c r="J37" i="1"/>
  <c r="F70" i="1" l="1"/>
  <c r="L70" i="1"/>
  <c r="K70" i="1"/>
  <c r="C70" i="1"/>
  <c r="H70" i="1"/>
  <c r="I70" i="1"/>
  <c r="L24" i="4"/>
  <c r="M25" i="4" s="1"/>
  <c r="M16" i="4"/>
  <c r="G70" i="1"/>
  <c r="D70" i="1"/>
  <c r="F16" i="4"/>
  <c r="E16" i="4"/>
  <c r="J16" i="4"/>
  <c r="I16" i="4"/>
  <c r="G16" i="4"/>
  <c r="K16" i="4"/>
  <c r="H16" i="4"/>
  <c r="D16" i="4"/>
  <c r="L16" i="4"/>
  <c r="E70" i="1"/>
  <c r="H24" i="4"/>
  <c r="D24" i="4"/>
  <c r="I24" i="4"/>
  <c r="F24" i="4"/>
  <c r="G24" i="4"/>
  <c r="E24" i="4"/>
  <c r="J24" i="4"/>
  <c r="K27" i="4"/>
  <c r="C24" i="4"/>
  <c r="J70" i="1"/>
  <c r="E25" i="4" l="1"/>
  <c r="L27" i="4"/>
  <c r="J25" i="4"/>
  <c r="L25" i="4"/>
  <c r="F25" i="4"/>
  <c r="I25" i="4"/>
  <c r="G25" i="4"/>
  <c r="H25" i="4"/>
  <c r="D25" i="4"/>
  <c r="K25" i="4"/>
  <c r="D27" i="4"/>
  <c r="H27" i="4"/>
  <c r="G27" i="4"/>
  <c r="I27" i="4"/>
  <c r="I31" i="4" s="1"/>
  <c r="F27" i="4"/>
  <c r="E27" i="4"/>
  <c r="J27" i="4"/>
  <c r="K31" i="4"/>
  <c r="C27" i="4"/>
  <c r="L31" i="4" l="1"/>
  <c r="L35" i="4" s="1"/>
  <c r="L37" i="4" s="1"/>
  <c r="M38" i="4" s="1"/>
  <c r="E28" i="4"/>
  <c r="I28" i="4"/>
  <c r="J28" i="4"/>
  <c r="G31" i="4"/>
  <c r="G35" i="4" s="1"/>
  <c r="G37" i="4" s="1"/>
  <c r="D31" i="4"/>
  <c r="D35" i="4" s="1"/>
  <c r="D37" i="4" s="1"/>
  <c r="H28" i="4"/>
  <c r="F28" i="4"/>
  <c r="D28" i="4"/>
  <c r="G28" i="4"/>
  <c r="K28" i="4"/>
  <c r="H31" i="4"/>
  <c r="K35" i="4"/>
  <c r="K37" i="4" s="1"/>
  <c r="I35" i="4"/>
  <c r="I37" i="4" s="1"/>
  <c r="J31" i="4"/>
  <c r="F31" i="4"/>
  <c r="E31" i="4"/>
  <c r="C31" i="4"/>
  <c r="M32" i="4" l="1"/>
  <c r="L32" i="4"/>
  <c r="L44" i="4"/>
  <c r="D32" i="4"/>
  <c r="E32" i="4"/>
  <c r="F32" i="4"/>
  <c r="I44" i="4"/>
  <c r="H35" i="4"/>
  <c r="H37" i="4" s="1"/>
  <c r="H32" i="4"/>
  <c r="D44" i="4"/>
  <c r="K44" i="4"/>
  <c r="G32" i="4"/>
  <c r="L38" i="4"/>
  <c r="J32" i="4"/>
  <c r="G44" i="4"/>
  <c r="K32" i="4"/>
  <c r="I32" i="4"/>
  <c r="C35" i="4"/>
  <c r="C37" i="4" s="1"/>
  <c r="C44" i="4" s="1"/>
  <c r="F35" i="4"/>
  <c r="F37" i="4" s="1"/>
  <c r="E35" i="4"/>
  <c r="E37" i="4" s="1"/>
  <c r="J35" i="4"/>
  <c r="J37" i="4" s="1"/>
  <c r="K38" i="4" s="1"/>
  <c r="F38" i="4" l="1"/>
  <c r="F44" i="4"/>
  <c r="H38" i="4"/>
  <c r="H44" i="4"/>
  <c r="J38" i="4"/>
  <c r="J44" i="4"/>
  <c r="G38" i="4"/>
  <c r="E38" i="4"/>
  <c r="E44" i="4"/>
  <c r="D38" i="4"/>
  <c r="I38" i="4"/>
  <c r="M25" i="19"/>
  <c r="N37" i="19"/>
  <c r="O37" i="19"/>
  <c r="P37" i="19"/>
  <c r="Q37" i="19"/>
  <c r="R37" i="19"/>
  <c r="N41" i="19"/>
  <c r="O41" i="19"/>
  <c r="P41" i="19"/>
  <c r="Q41" i="19"/>
  <c r="R41" i="19"/>
  <c r="N44" i="19"/>
  <c r="O44" i="19"/>
  <c r="P44" i="19"/>
  <c r="Q44" i="19"/>
  <c r="R44" i="19"/>
  <c r="N30" i="1"/>
  <c r="O30" i="1"/>
  <c r="P30" i="1"/>
  <c r="Q30" i="1"/>
  <c r="R30" i="1"/>
  <c r="N36" i="1"/>
  <c r="O36" i="1"/>
  <c r="P36" i="1"/>
  <c r="Q36" i="1"/>
  <c r="R36" i="1"/>
  <c r="N37" i="1"/>
  <c r="O37" i="1"/>
  <c r="P37" i="1"/>
  <c r="Q37" i="1"/>
  <c r="R37" i="1"/>
  <c r="N42" i="1"/>
  <c r="O42" i="1"/>
  <c r="P42" i="1"/>
  <c r="Q42" i="1"/>
  <c r="R42" i="1"/>
  <c r="N43" i="1"/>
  <c r="O43" i="1"/>
  <c r="P43" i="1"/>
  <c r="Q43" i="1"/>
  <c r="R43" i="1"/>
  <c r="N45" i="1"/>
  <c r="O45" i="1"/>
  <c r="P45" i="1"/>
  <c r="Q45" i="1"/>
  <c r="R45" i="1"/>
  <c r="N58" i="1"/>
  <c r="O58" i="1"/>
  <c r="P58" i="1"/>
  <c r="Q58" i="1"/>
  <c r="R58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P9" i="3"/>
  <c r="Q9" i="3"/>
  <c r="R9" i="3"/>
  <c r="S9" i="3"/>
  <c r="T9" i="3"/>
  <c r="P27" i="3"/>
  <c r="Q27" i="3"/>
  <c r="R27" i="3"/>
  <c r="S27" i="3"/>
  <c r="T27" i="3"/>
  <c r="P41" i="3"/>
  <c r="Q41" i="3"/>
  <c r="R41" i="3"/>
  <c r="S41" i="3"/>
  <c r="T41" i="3"/>
  <c r="P42" i="3"/>
  <c r="Q42" i="3"/>
  <c r="R42" i="3"/>
  <c r="S42" i="3"/>
  <c r="T42" i="3"/>
  <c r="P43" i="3"/>
  <c r="Q43" i="3"/>
  <c r="R43" i="3"/>
  <c r="S43" i="3"/>
  <c r="T43" i="3"/>
  <c r="P64" i="3"/>
  <c r="Q64" i="3"/>
  <c r="R64" i="3"/>
  <c r="S64" i="3"/>
  <c r="T64" i="3"/>
  <c r="P68" i="3"/>
  <c r="Q68" i="3"/>
  <c r="R68" i="3"/>
  <c r="S68" i="3"/>
  <c r="T68" i="3"/>
  <c r="P69" i="3"/>
  <c r="Q69" i="3"/>
  <c r="R69" i="3"/>
  <c r="S69" i="3"/>
  <c r="T69" i="3"/>
  <c r="Q70" i="3"/>
  <c r="R70" i="3"/>
  <c r="S70" i="3"/>
  <c r="T70" i="3"/>
  <c r="P73" i="3"/>
  <c r="Q73" i="3"/>
  <c r="R73" i="3"/>
  <c r="S73" i="3"/>
  <c r="T73" i="3"/>
  <c r="N35" i="18"/>
  <c r="O35" i="18"/>
  <c r="P35" i="18"/>
  <c r="Q35" i="18"/>
  <c r="R35" i="18"/>
  <c r="N30" i="4"/>
  <c r="O30" i="4"/>
  <c r="P30" i="4"/>
  <c r="Q30" i="4"/>
  <c r="R30" i="4"/>
  <c r="N31" i="4"/>
  <c r="O31" i="4"/>
  <c r="P31" i="4"/>
  <c r="Q31" i="4"/>
  <c r="R31" i="4"/>
  <c r="N32" i="4"/>
  <c r="O32" i="4"/>
  <c r="P32" i="4"/>
  <c r="Q32" i="4"/>
  <c r="R32" i="4"/>
  <c r="N35" i="4"/>
  <c r="O35" i="4"/>
  <c r="P35" i="4"/>
  <c r="Q35" i="4"/>
  <c r="R35" i="4"/>
  <c r="N36" i="4"/>
  <c r="O36" i="4"/>
  <c r="P36" i="4"/>
  <c r="Q36" i="4"/>
  <c r="R36" i="4"/>
  <c r="N37" i="4"/>
  <c r="O37" i="4"/>
  <c r="P37" i="4"/>
  <c r="Q37" i="4"/>
  <c r="R37" i="4"/>
  <c r="N38" i="4"/>
  <c r="O38" i="4"/>
  <c r="P38" i="4"/>
  <c r="Q38" i="4"/>
  <c r="R38" i="4"/>
</calcChain>
</file>

<file path=xl/sharedStrings.xml><?xml version="1.0" encoding="utf-8"?>
<sst xmlns="http://schemas.openxmlformats.org/spreadsheetml/2006/main" count="597" uniqueCount="374">
  <si>
    <t>ASSETS</t>
  </si>
  <si>
    <t>(1) Non-current assets</t>
  </si>
  <si>
    <t>(a) Property, plant and equipment</t>
  </si>
  <si>
    <t>(b) Capital work-in-progress</t>
  </si>
  <si>
    <t>(c) Right-of-use assets</t>
  </si>
  <si>
    <t>(d) Investment property</t>
  </si>
  <si>
    <t>(e) Goodwill</t>
  </si>
  <si>
    <t>(f) Other intangible assets</t>
  </si>
  <si>
    <t>(g) Intangible assets under development</t>
  </si>
  <si>
    <t>(h) Financial assets</t>
  </si>
  <si>
    <t>(i) Investments</t>
  </si>
  <si>
    <t>(ii) Loans receivable</t>
  </si>
  <si>
    <t>(iii) Other financial assets</t>
  </si>
  <si>
    <t>(i) Deferred tax assets (net)</t>
  </si>
  <si>
    <t>(j) Income tax assets (net)</t>
  </si>
  <si>
    <t>(k) Other non-current assets</t>
  </si>
  <si>
    <t>(2) Current assets</t>
  </si>
  <si>
    <t>(a) Inventories</t>
  </si>
  <si>
    <t>(b) Financial assets</t>
  </si>
  <si>
    <t>(ii) Trade receivables</t>
  </si>
  <si>
    <t>(iii) Cash and cash equivalents</t>
  </si>
  <si>
    <t>(iv) Bank balances other than (iii) above</t>
  </si>
  <si>
    <t>(v) Loans receivable</t>
  </si>
  <si>
    <t>(vi) Other financial assets</t>
  </si>
  <si>
    <t>(c) Other current assets</t>
  </si>
  <si>
    <r>
      <t>(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for assumptions, </t>
    </r>
    <r>
      <rPr>
        <b/>
        <sz val="11"/>
        <color rgb="FF0070C0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for Acutal data and Black for Calculations)</t>
    </r>
  </si>
  <si>
    <t>Date</t>
  </si>
  <si>
    <t>Year</t>
  </si>
  <si>
    <t>2013-A</t>
  </si>
  <si>
    <t>2014-A</t>
  </si>
  <si>
    <t>2015-A</t>
  </si>
  <si>
    <t>2016-A</t>
  </si>
  <si>
    <t>2017-A</t>
  </si>
  <si>
    <t>2018-A</t>
  </si>
  <si>
    <t>2019-A</t>
  </si>
  <si>
    <t>2020-A</t>
  </si>
  <si>
    <t>2021-A</t>
  </si>
  <si>
    <t>2022-A</t>
  </si>
  <si>
    <t>TITAN COMPANY</t>
  </si>
  <si>
    <t>BALANCE SHEET</t>
  </si>
  <si>
    <t>INCOME STATEMENT</t>
  </si>
  <si>
    <t xml:space="preserve">CASH FLOW STATEMENT </t>
  </si>
  <si>
    <t>2024-E</t>
  </si>
  <si>
    <t>2025-E</t>
  </si>
  <si>
    <t>2026-E</t>
  </si>
  <si>
    <t>2027-E</t>
  </si>
  <si>
    <t>2023-E</t>
  </si>
  <si>
    <t>TOTAL ASSETS</t>
  </si>
  <si>
    <t>EQUITY AND LIABILITIES</t>
  </si>
  <si>
    <t>Equity</t>
  </si>
  <si>
    <t>(a) Equity share capital</t>
  </si>
  <si>
    <t>(b) Other equity</t>
  </si>
  <si>
    <t>Equity attributable to the equity holders of the Company</t>
  </si>
  <si>
    <t>Non-controlling interest</t>
  </si>
  <si>
    <t>TOTAL EQUITY</t>
  </si>
  <si>
    <t>(1) Non-current liabilities</t>
  </si>
  <si>
    <t>(a) Financial liabilities</t>
  </si>
  <si>
    <t>(i) Borrowings</t>
  </si>
  <si>
    <t>(ii) Lease liabilities</t>
  </si>
  <si>
    <t>(iii) Other financial liabilities</t>
  </si>
  <si>
    <t>(b) Provisions</t>
  </si>
  <si>
    <t>(c) Deferred tax liability (net)</t>
  </si>
  <si>
    <t>(d) Other non-current liabilities</t>
  </si>
  <si>
    <t>(2) Current liabilities</t>
  </si>
  <si>
    <t>(ii) Gold on loan</t>
  </si>
  <si>
    <t>(iii) Lease liabilities</t>
  </si>
  <si>
    <t>(iv) Trade payables</t>
  </si>
  <si>
    <t>(v) Other financial liabilities</t>
  </si>
  <si>
    <t>(b) Other current liabilities</t>
  </si>
  <si>
    <t>(c) Provisions</t>
  </si>
  <si>
    <t>(d) Current tax liabilities (net)</t>
  </si>
  <si>
    <t>TOTAL EQUITY AND LIABILITIES</t>
  </si>
  <si>
    <t>- Total outstanding dues of micro and small enterprises</t>
  </si>
  <si>
    <t>LIABILITIES</t>
  </si>
  <si>
    <t>-</t>
  </si>
  <si>
    <t>- Total outstanding dues of creditors other than micro and small enterprises</t>
  </si>
  <si>
    <t>Cost of materials and components consumed</t>
  </si>
  <si>
    <t>Purchase of stock-in-trade</t>
  </si>
  <si>
    <t>Finance costs</t>
  </si>
  <si>
    <t>Depreciation and amortisation expense</t>
  </si>
  <si>
    <t>Other expenses</t>
  </si>
  <si>
    <t>Basic</t>
  </si>
  <si>
    <t>Diluted</t>
  </si>
  <si>
    <t>Changes in inventories of finished goods, stock-in-trade and work-in-progress</t>
  </si>
  <si>
    <t>Excise duty</t>
  </si>
  <si>
    <t>(All numbers in INR Crores, Except per share data)</t>
  </si>
  <si>
    <t>A. Cash flow from operating activities</t>
  </si>
  <si>
    <t>Net profit before tax</t>
  </si>
  <si>
    <t>Adjustments for :</t>
  </si>
  <si>
    <t>Operating profit before working capital changes</t>
  </si>
  <si>
    <t>Cash generated from operating activities before taxes</t>
  </si>
  <si>
    <t>- Depreciation and amortisation expense</t>
  </si>
  <si>
    <t>- Net unrealised exchange (gain)/loss</t>
  </si>
  <si>
    <t>- Share of profit/(loss) of the associate and joint venture</t>
  </si>
  <si>
    <t>- Employee stock compensation expense</t>
  </si>
  <si>
    <t>- loss on sale/disposal/scrapping of property, plant and equipment (Net)</t>
  </si>
  <si>
    <t>- Provision for asset write off of a subsidiary</t>
  </si>
  <si>
    <t>- Interest income</t>
  </si>
  <si>
    <t>- gain on investments carried at fair value through profit and loss</t>
  </si>
  <si>
    <t>- gain on investment in joint venture</t>
  </si>
  <si>
    <t>- gain on pre-closure of lease contracts</t>
  </si>
  <si>
    <t>- Rent waiver</t>
  </si>
  <si>
    <t>- Finance costs</t>
  </si>
  <si>
    <t>- (increase)/decrease in trade receivables</t>
  </si>
  <si>
    <t>- (increase)/decrease in inventories</t>
  </si>
  <si>
    <t>- (increase)/decrease in financial assets-loans receivable</t>
  </si>
  <si>
    <t>- (increase)/decrease in other financial assets</t>
  </si>
  <si>
    <t>- (increase)/decrease in other assets</t>
  </si>
  <si>
    <t>- (increase)/decrease in other bank balances</t>
  </si>
  <si>
    <t>- increase/(decrease) in gold on loan</t>
  </si>
  <si>
    <t>- increase/(decrease) in trade payables</t>
  </si>
  <si>
    <t>- increase/(decrease) in other financial liabilities</t>
  </si>
  <si>
    <t>- increase/(decrease) in other liabilities</t>
  </si>
  <si>
    <t>- increase/(decrease) in provisions</t>
  </si>
  <si>
    <t>- Direct taxes paid, Net</t>
  </si>
  <si>
    <t>Net cash (used in)/generated from operating activities                                      A</t>
  </si>
  <si>
    <t>B. Cash flow from investing activities</t>
  </si>
  <si>
    <t>Proceeds from sale of property, plant and equipment</t>
  </si>
  <si>
    <t>Investment in non convertible debentures</t>
  </si>
  <si>
    <t>Inter-corporate deposits placed</t>
  </si>
  <si>
    <t>Proceeds from inter-corporate deposits</t>
  </si>
  <si>
    <t>Bank deposits (placed)/matured, net</t>
  </si>
  <si>
    <t>Proceeds from sale of investment in joint venture</t>
  </si>
  <si>
    <t>Purchase of investments in other equity instruments</t>
  </si>
  <si>
    <t>Sale/(purchase) of mutual funds, net</t>
  </si>
  <si>
    <t>Loan given to Group's franchisees and vendors</t>
  </si>
  <si>
    <t>Proceeds from loan given to Group's franchisees and vendors</t>
  </si>
  <si>
    <t>Interest received</t>
  </si>
  <si>
    <t>Repayment from long term borrowings, net</t>
  </si>
  <si>
    <t>Proceeds/(repayments) from borrowings, net</t>
  </si>
  <si>
    <t>Dividends paid including dividend distribution tax</t>
  </si>
  <si>
    <t>Payment of lease liabilities excluding interest paid</t>
  </si>
  <si>
    <t>Finance costs paid</t>
  </si>
  <si>
    <t>Add: Unrealised exchange gain</t>
  </si>
  <si>
    <t>Net cash generated from/(used in) investing activities                                        B</t>
  </si>
  <si>
    <t>C. Cash flow from financing activities</t>
  </si>
  <si>
    <t>Net cash used in financing activities                                                                        C</t>
  </si>
  <si>
    <t>Net increase in cash and cash equivalents during the year (A+B+C)</t>
  </si>
  <si>
    <t>- Provision for doubtful trade receivables (Net) and bad trade receivables written off</t>
  </si>
  <si>
    <t>Purchase of property, plant and equipment, intangible assets and investment property</t>
  </si>
  <si>
    <t>Lease payments received from sub-lease (excluding interest received)</t>
  </si>
  <si>
    <t>Net cash outflow on acquisition of subsidiary</t>
  </si>
  <si>
    <t>-Securities premium pertaining to caratlane</t>
  </si>
  <si>
    <t>-Exchange differences in translating the financial statements of foreign operations</t>
  </si>
  <si>
    <t>-Share of loss of jointly controlled entity</t>
  </si>
  <si>
    <t>-Purchase of investments in associate and jointly controlled entity</t>
  </si>
  <si>
    <t>Checksum</t>
  </si>
  <si>
    <t>Revenue from operations</t>
  </si>
  <si>
    <t>Other income</t>
  </si>
  <si>
    <t>COGS</t>
  </si>
  <si>
    <t>-advertisement</t>
  </si>
  <si>
    <t xml:space="preserve">-Selling and distribution expenses </t>
  </si>
  <si>
    <t>-Gold price hedge</t>
  </si>
  <si>
    <t>-Miscellaneous expense</t>
  </si>
  <si>
    <t>EBITDA</t>
  </si>
  <si>
    <t>Employee benefit expense</t>
  </si>
  <si>
    <t>EBIT</t>
  </si>
  <si>
    <t>EBT</t>
  </si>
  <si>
    <t>Tax expense</t>
  </si>
  <si>
    <t>PAT</t>
  </si>
  <si>
    <t>Share of profit/(loss) of associate &amp; Joint venture</t>
  </si>
  <si>
    <t>Gross Profit</t>
  </si>
  <si>
    <t>Exceptional item</t>
  </si>
  <si>
    <t xml:space="preserve">Earnings per equity share </t>
  </si>
  <si>
    <t>Add: Cash and cash equivalents acquired on amalgamation</t>
  </si>
  <si>
    <t>Watches &amp; Wearables</t>
  </si>
  <si>
    <t>Jewellery</t>
  </si>
  <si>
    <t>EyeCare</t>
  </si>
  <si>
    <t xml:space="preserve">Investments in commercial paper </t>
  </si>
  <si>
    <t>No: of stores</t>
  </si>
  <si>
    <t>COMMON SIZE BALANCE SHEET</t>
  </si>
  <si>
    <t>TITAN EYE +</t>
  </si>
  <si>
    <t>FASTRACK</t>
  </si>
  <si>
    <t>ZOYA</t>
  </si>
  <si>
    <t>TANISHQ</t>
  </si>
  <si>
    <t>MIA</t>
  </si>
  <si>
    <t>CARATLANE</t>
  </si>
  <si>
    <t>TITAN</t>
  </si>
  <si>
    <t>HELIOS</t>
  </si>
  <si>
    <t>Goldplus</t>
  </si>
  <si>
    <t>Debt</t>
  </si>
  <si>
    <t>Segmented revenue</t>
  </si>
  <si>
    <t>Watches</t>
  </si>
  <si>
    <t>jewellery</t>
  </si>
  <si>
    <t>eyecare</t>
  </si>
  <si>
    <t>others</t>
  </si>
  <si>
    <t>Corporate unallocated</t>
  </si>
  <si>
    <t>Propert,plant and equipment</t>
  </si>
  <si>
    <t>Other intangible assets</t>
  </si>
  <si>
    <t>Total fixed assets</t>
  </si>
  <si>
    <t>Depriciation and amortization</t>
  </si>
  <si>
    <t>Dep and amortization %</t>
  </si>
  <si>
    <t>Purchase of fixed assets</t>
  </si>
  <si>
    <t>Purchase of fixed assets as a % of RFO</t>
  </si>
  <si>
    <t>Revenue drivers</t>
  </si>
  <si>
    <t>Asset Shedule</t>
  </si>
  <si>
    <t>Right of use of assets</t>
  </si>
  <si>
    <t>Dividend paid</t>
  </si>
  <si>
    <t xml:space="preserve">Dividend payout ratio </t>
  </si>
  <si>
    <t>Interest on gold on loan</t>
  </si>
  <si>
    <t>Fixed Assets</t>
  </si>
  <si>
    <t xml:space="preserve">Gold on loan </t>
  </si>
  <si>
    <t>Trade payables</t>
  </si>
  <si>
    <t>(b)Other current liabilities</t>
  </si>
  <si>
    <t>PBT</t>
  </si>
  <si>
    <t>Working capital change</t>
  </si>
  <si>
    <t>Debt Schedule</t>
  </si>
  <si>
    <t>Debt to equity ratio</t>
  </si>
  <si>
    <t>Revenue from operations (without gold price volatility)</t>
  </si>
  <si>
    <t xml:space="preserve">Cash and cash equivalents (opening balance) </t>
  </si>
  <si>
    <t>Cash and cash equivalents (closing balance)</t>
  </si>
  <si>
    <t>2023-A</t>
  </si>
  <si>
    <t>-Rent/Others</t>
  </si>
  <si>
    <t>(d) Assets Held for Sale</t>
  </si>
  <si>
    <t>Costs as % of Revenue</t>
  </si>
  <si>
    <t xml:space="preserve">Vertical analysis of Segmented revenue </t>
  </si>
  <si>
    <t xml:space="preserve">Horizontal analysis of Segmented revenue </t>
  </si>
  <si>
    <t>Revenue per store</t>
  </si>
  <si>
    <t>Stores growth rate (%)</t>
  </si>
  <si>
    <t xml:space="preserve">Gold price </t>
  </si>
  <si>
    <t>interest rate</t>
  </si>
  <si>
    <t>Revenue per store Growt Rate</t>
  </si>
  <si>
    <t>Finance cost</t>
  </si>
  <si>
    <t>finance cost as % of debt</t>
  </si>
  <si>
    <t>inventory</t>
  </si>
  <si>
    <t>inventory days</t>
  </si>
  <si>
    <t>trade receivables</t>
  </si>
  <si>
    <t>rceivable days</t>
  </si>
  <si>
    <t>trade payables</t>
  </si>
  <si>
    <t>payable days</t>
  </si>
  <si>
    <t>Valuation</t>
  </si>
  <si>
    <r>
      <t>(</t>
    </r>
    <r>
      <rPr>
        <b/>
        <sz val="10"/>
        <color rgb="FFFF0000"/>
        <rFont val="Calibri"/>
        <family val="2"/>
        <scheme val="minor"/>
      </rPr>
      <t>Red</t>
    </r>
    <r>
      <rPr>
        <b/>
        <sz val="10"/>
        <color theme="1"/>
        <rFont val="Calibri"/>
        <family val="2"/>
        <scheme val="minor"/>
      </rPr>
      <t xml:space="preserve"> for assumptions, </t>
    </r>
    <r>
      <rPr>
        <b/>
        <sz val="10"/>
        <color rgb="FF0070C0"/>
        <rFont val="Calibri"/>
        <family val="2"/>
        <scheme val="minor"/>
      </rPr>
      <t>Blue</t>
    </r>
    <r>
      <rPr>
        <b/>
        <sz val="10"/>
        <color theme="1"/>
        <rFont val="Calibri"/>
        <family val="2"/>
        <scheme val="minor"/>
      </rPr>
      <t xml:space="preserve"> for Acutal data and Black for Calculations)</t>
    </r>
  </si>
  <si>
    <t>DCF VALUATION</t>
  </si>
  <si>
    <t>Valuation Assumptions</t>
  </si>
  <si>
    <r>
      <rPr>
        <sz val="11"/>
        <color theme="1"/>
        <rFont val="Calibri"/>
        <family val="2"/>
        <scheme val="minor"/>
      </rPr>
      <t>Indian Economic growth rate</t>
    </r>
    <r>
      <rPr>
        <b/>
        <sz val="11"/>
        <color theme="1"/>
        <rFont val="Calibri"/>
        <family val="2"/>
        <scheme val="minor"/>
      </rPr>
      <t xml:space="preserve"> (g)</t>
    </r>
  </si>
  <si>
    <r>
      <rPr>
        <sz val="11"/>
        <color theme="1"/>
        <rFont val="Calibri"/>
        <family val="2"/>
        <scheme val="minor"/>
      </rPr>
      <t>Risk free rate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</si>
  <si>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Expected market rate of return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</si>
  <si>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Equity risk premium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 xml:space="preserve"> - R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</si>
  <si>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 xml:space="preserve">Beta </t>
    </r>
    <r>
      <rPr>
        <b/>
        <sz val="11"/>
        <color theme="1"/>
        <rFont val="Calibri"/>
        <family val="2"/>
        <scheme val="minor"/>
      </rPr>
      <t>(β)</t>
    </r>
  </si>
  <si>
    <t>CMP</t>
  </si>
  <si>
    <t>Valuation data</t>
  </si>
  <si>
    <t>Total Debt (Long Term borrowings)</t>
  </si>
  <si>
    <t>Cash&amp;Cash Equivalents</t>
  </si>
  <si>
    <t>Number of Diluted Shares (in crores)</t>
  </si>
  <si>
    <t>Tax Rate</t>
  </si>
  <si>
    <t>Interest expense Rate</t>
  </si>
  <si>
    <t>MV of Equity</t>
  </si>
  <si>
    <t>Total Debt</t>
  </si>
  <si>
    <t>Total Capital</t>
  </si>
  <si>
    <t>WACC</t>
  </si>
  <si>
    <t>We</t>
  </si>
  <si>
    <t>Wd</t>
  </si>
  <si>
    <t>Ke</t>
  </si>
  <si>
    <t>Kd</t>
  </si>
  <si>
    <t>FCFE&amp;Target Price</t>
  </si>
  <si>
    <t xml:space="preserve">Explicit forecast period </t>
  </si>
  <si>
    <t>Linear decline phase</t>
  </si>
  <si>
    <t>Terminal value</t>
  </si>
  <si>
    <t>EBIT*(1-Tax Rate)</t>
  </si>
  <si>
    <t>add: Depreciation</t>
  </si>
  <si>
    <t>Purchase of assets</t>
  </si>
  <si>
    <t>Change in Working Capital</t>
  </si>
  <si>
    <t>FCFF</t>
  </si>
  <si>
    <t>%Growth in post tax EBIT</t>
  </si>
  <si>
    <t>As % of post tax EBIT</t>
  </si>
  <si>
    <t>Depreciation</t>
  </si>
  <si>
    <t>Purchase of Assets</t>
  </si>
  <si>
    <t>Terminal Value</t>
  </si>
  <si>
    <t>Total Cash Flow</t>
  </si>
  <si>
    <t>Enterpise Value</t>
  </si>
  <si>
    <t>Less: Debt</t>
  </si>
  <si>
    <t>Add:Cash</t>
  </si>
  <si>
    <t>Total Equity</t>
  </si>
  <si>
    <t>Target Price</t>
  </si>
  <si>
    <t>Return</t>
  </si>
  <si>
    <t>Rating</t>
  </si>
  <si>
    <t>other data from your findings or annual report</t>
  </si>
  <si>
    <t>titan share price engine</t>
  </si>
  <si>
    <t>cmp (current market price)</t>
  </si>
  <si>
    <t>average of 10 years from nifty</t>
  </si>
  <si>
    <t>expected market rate of return</t>
  </si>
  <si>
    <t>today</t>
  </si>
  <si>
    <t>risk free premium</t>
  </si>
  <si>
    <t>search from google</t>
  </si>
  <si>
    <t>value of debt</t>
  </si>
  <si>
    <t>PV of FCFF = enterprise value</t>
  </si>
  <si>
    <t>debt</t>
  </si>
  <si>
    <t>equity</t>
  </si>
  <si>
    <t>return</t>
  </si>
  <si>
    <t>weight</t>
  </si>
  <si>
    <t>enterprise valuation</t>
  </si>
  <si>
    <t>r=rf+b*(rm-rf)</t>
  </si>
  <si>
    <t>sensitivity of the underlying stock with the market</t>
  </si>
  <si>
    <t>premium</t>
  </si>
  <si>
    <t>RF</t>
  </si>
  <si>
    <t>A measurement of systematic risk</t>
  </si>
  <si>
    <t xml:space="preserve">Beta </t>
  </si>
  <si>
    <t>15%-6%</t>
  </si>
  <si>
    <t>RM-Rf</t>
  </si>
  <si>
    <t>SENSEX</t>
  </si>
  <si>
    <t>RM  = return from the market</t>
  </si>
  <si>
    <t>NIFTY</t>
  </si>
  <si>
    <t>market</t>
  </si>
  <si>
    <t>3) Calc the discouting rate</t>
  </si>
  <si>
    <t>2) more than 5 years</t>
  </si>
  <si>
    <t xml:space="preserve">risk premium = </t>
  </si>
  <si>
    <t>1) Disc cashflows</t>
  </si>
  <si>
    <t>r = rf + rp</t>
  </si>
  <si>
    <t>5 years</t>
  </si>
  <si>
    <t>PV of the cashflows</t>
  </si>
  <si>
    <t>capital asset pricing model</t>
  </si>
  <si>
    <t>CAPM</t>
  </si>
  <si>
    <t>valuation</t>
  </si>
  <si>
    <t>rev/no of stores</t>
  </si>
  <si>
    <t>read investors presentation and directors report for number of stores</t>
  </si>
  <si>
    <t>total revenue = price * quantity</t>
  </si>
  <si>
    <t>average billing amount</t>
  </si>
  <si>
    <t>month of sales - festive season</t>
  </si>
  <si>
    <t>quaterly report</t>
  </si>
  <si>
    <t>revenue per store</t>
  </si>
  <si>
    <t>tier 1,2,3 cities</t>
  </si>
  <si>
    <t>how many stores they've opened and where</t>
  </si>
  <si>
    <t>p*q</t>
  </si>
  <si>
    <r>
      <t xml:space="preserve">so, the </t>
    </r>
    <r>
      <rPr>
        <b/>
        <sz val="11"/>
        <color indexed="8"/>
        <rFont val="Calibri"/>
        <family val="2"/>
      </rPr>
      <t>revenue driver</t>
    </r>
    <r>
      <rPr>
        <sz val="11"/>
        <color theme="1"/>
        <rFont val="Calibri"/>
        <family val="2"/>
        <scheme val="minor"/>
      </rPr>
      <t xml:space="preserve"> here is REVENUE PER STORE  </t>
    </r>
  </si>
  <si>
    <t>MORE NUMBER OF STORES</t>
  </si>
  <si>
    <t>advertisement cannot increase revenue from one showroom alone</t>
  </si>
  <si>
    <t>market price (buyer can influence only in making charges)</t>
  </si>
  <si>
    <t xml:space="preserve"> Bargaining power of buyers</t>
  </si>
  <si>
    <t>Bargaining power of suppliers;</t>
  </si>
  <si>
    <t>no major substitute for gold (only designs)</t>
  </si>
  <si>
    <t>Threat of new substitutes</t>
  </si>
  <si>
    <t>advertising strategies of other companies</t>
  </si>
  <si>
    <t>Threat of entrants</t>
  </si>
  <si>
    <t>no listed comp is quite equal to titan. But there is heavy competition</t>
  </si>
  <si>
    <t xml:space="preserve"> Competitive rivalry.</t>
  </si>
  <si>
    <t>PORTER'S FIVE FORCES</t>
  </si>
  <si>
    <t>(revenue drivers)</t>
  </si>
  <si>
    <t>FORECASTING REVENUE</t>
  </si>
  <si>
    <t>manufactured somewhere and distributed</t>
  </si>
  <si>
    <t>selling and distribution</t>
  </si>
  <si>
    <t xml:space="preserve"> it is not a property or asset of a company</t>
  </si>
  <si>
    <t>showrooms are rental</t>
  </si>
  <si>
    <t>to group use data menu</t>
  </si>
  <si>
    <t>gold is major cost</t>
  </si>
  <si>
    <t>networth is equity</t>
  </si>
  <si>
    <t>is not majorily related to any gold or property</t>
  </si>
  <si>
    <t>7)depreciation</t>
  </si>
  <si>
    <t>tn govt holds 30%</t>
  </si>
  <si>
    <t>inventory(gold)</t>
  </si>
  <si>
    <t>6)highest value of asset</t>
  </si>
  <si>
    <t>tata groups</t>
  </si>
  <si>
    <t>3 plants</t>
  </si>
  <si>
    <t>5)manufacturing plants</t>
  </si>
  <si>
    <t>who are the owners of the company?</t>
  </si>
  <si>
    <t>for 2023 data</t>
  </si>
  <si>
    <t>gold and advertisement</t>
  </si>
  <si>
    <t>4)major cost</t>
  </si>
  <si>
    <t>pg 17</t>
  </si>
  <si>
    <t>88% in gold</t>
  </si>
  <si>
    <t>3)segment wise performance (management discussion)</t>
  </si>
  <si>
    <t>decrease in revenue is not a good sign</t>
  </si>
  <si>
    <t>financials</t>
  </si>
  <si>
    <t>quaterly</t>
  </si>
  <si>
    <t>2) titan share price over the years</t>
  </si>
  <si>
    <t>investors</t>
  </si>
  <si>
    <t>1) look at the revenue and profits</t>
  </si>
  <si>
    <t>annual report, investor calls</t>
  </si>
  <si>
    <t>find the informations from</t>
  </si>
  <si>
    <t xml:space="preserve">         no of forecasted stores * forecasted per store revenue </t>
  </si>
  <si>
    <t>=(M8/D8)^(1/9)-1</t>
  </si>
  <si>
    <t>CAGR = (end yr val / prv yr val) ^(1/n)-1</t>
  </si>
  <si>
    <t>Gold on loan as % of COGS</t>
  </si>
  <si>
    <t>tax as % of pbt</t>
  </si>
  <si>
    <t>ETR = tax expense / pbt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</si>
</sst>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[$-409]mmm/yy;@"/>
    <numFmt numFmtId="167" formatCode="_ * #,##0_ ;_ * \-#,##0_ ;_ * &quot;-&quot;??_ ;_ @_ "/>
    <numFmt numFmtId="168" formatCode="0.0000"/>
    <numFmt numFmtId="169" formatCode="0.0%"/>
    <numFmt numFmtId="170" formatCode="_ * #,##0.0_ ;_ * \-#,##0.0_ ;_ * &quot;-&quot;??_ ;_ @_ "/>
    <numFmt numFmtId="171" formatCode="0.0000%"/>
    <numFmt numFmtId="172" formatCode="0.000%"/>
    <numFmt numFmtId="173" formatCode="_(* #,##0_);_(* \(#,##0\);_(* &quot;-&quot;??_);_(@_)"/>
    <numFmt numFmtId="174" formatCode="&quot;₹&quot;\ #,##0"/>
    <numFmt numFmtId="175" formatCode="&quot;₹&quot;\ #,##0;[Red]&quot;₹&quot;\ \-#,##0"/>
    <numFmt numFmtId="176" formatCode="_ [$₹-4009]\ * #,##0.00_ ;_ [$₹-4009]\ * \-#,##0.00_ ;_ [$₹-4009]\ * &quot;-&quot;??_ ;_ @_ "/>
    <numFmt numFmtId="189" formatCode="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color theme="1" tint="0.34998626667073579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rgb="FF040C2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8B4A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5E9E6"/>
        <bgColor indexed="64"/>
      </patternFill>
    </fill>
    <fill>
      <patternFill patternType="solid">
        <fgColor rgb="FF06908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CE1DE"/>
        <bgColor indexed="64"/>
      </patternFill>
    </fill>
    <fill>
      <patternFill patternType="solid">
        <fgColor rgb="FF21BCB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3" fillId="0" borderId="0" xfId="0" applyFont="1"/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/>
    <xf numFmtId="0" fontId="4" fillId="2" borderId="0" xfId="0" applyFont="1" applyFill="1"/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/>
    <xf numFmtId="0" fontId="9" fillId="0" borderId="0" xfId="0" applyFont="1"/>
    <xf numFmtId="3" fontId="10" fillId="0" borderId="0" xfId="0" applyNumberFormat="1" applyFont="1"/>
    <xf numFmtId="1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167" fontId="10" fillId="0" borderId="0" xfId="1" applyNumberFormat="1" applyFont="1"/>
    <xf numFmtId="2" fontId="10" fillId="0" borderId="0" xfId="0" applyNumberFormat="1" applyFont="1"/>
    <xf numFmtId="3" fontId="12" fillId="0" borderId="1" xfId="0" applyNumberFormat="1" applyFont="1" applyBorder="1"/>
    <xf numFmtId="1" fontId="12" fillId="0" borderId="1" xfId="0" applyNumberFormat="1" applyFont="1" applyBorder="1"/>
    <xf numFmtId="0" fontId="0" fillId="0" borderId="1" xfId="0" applyBorder="1"/>
    <xf numFmtId="168" fontId="10" fillId="0" borderId="0" xfId="0" applyNumberFormat="1" applyFont="1"/>
    <xf numFmtId="1" fontId="0" fillId="0" borderId="0" xfId="0" applyNumberFormat="1"/>
    <xf numFmtId="0" fontId="14" fillId="0" borderId="0" xfId="0" applyFont="1"/>
    <xf numFmtId="0" fontId="9" fillId="0" borderId="0" xfId="0" quotePrefix="1" applyFont="1"/>
    <xf numFmtId="3" fontId="3" fillId="0" borderId="1" xfId="0" applyNumberFormat="1" applyFont="1" applyBorder="1"/>
    <xf numFmtId="3" fontId="3" fillId="0" borderId="0" xfId="0" applyNumberFormat="1" applyFont="1"/>
    <xf numFmtId="3" fontId="15" fillId="0" borderId="0" xfId="0" applyNumberFormat="1" applyFont="1"/>
    <xf numFmtId="1" fontId="15" fillId="0" borderId="0" xfId="0" applyNumberFormat="1" applyFont="1"/>
    <xf numFmtId="0" fontId="15" fillId="0" borderId="0" xfId="0" applyFont="1"/>
    <xf numFmtId="3" fontId="0" fillId="0" borderId="1" xfId="0" applyNumberFormat="1" applyBorder="1"/>
    <xf numFmtId="0" fontId="8" fillId="0" borderId="0" xfId="0" applyFont="1"/>
    <xf numFmtId="9" fontId="16" fillId="0" borderId="0" xfId="2" applyFont="1"/>
    <xf numFmtId="165" fontId="3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horizontal="right" vertical="top"/>
    </xf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3" fillId="0" borderId="2" xfId="0" applyFont="1" applyBorder="1"/>
    <xf numFmtId="0" fontId="0" fillId="0" borderId="2" xfId="0" applyBorder="1"/>
    <xf numFmtId="170" fontId="10" fillId="0" borderId="0" xfId="1" applyNumberFormat="1" applyFont="1"/>
    <xf numFmtId="167" fontId="10" fillId="0" borderId="0" xfId="1" applyNumberFormat="1" applyFont="1" applyAlignment="1">
      <alignment horizontal="right"/>
    </xf>
    <xf numFmtId="167" fontId="3" fillId="0" borderId="0" xfId="1" applyNumberFormat="1" applyFont="1"/>
    <xf numFmtId="167" fontId="11" fillId="0" borderId="0" xfId="1" applyNumberFormat="1" applyFont="1"/>
    <xf numFmtId="164" fontId="10" fillId="0" borderId="0" xfId="1" applyFont="1"/>
    <xf numFmtId="167" fontId="12" fillId="0" borderId="1" xfId="1" applyNumberFormat="1" applyFont="1" applyBorder="1"/>
    <xf numFmtId="167" fontId="12" fillId="0" borderId="0" xfId="1" applyNumberFormat="1" applyFont="1"/>
    <xf numFmtId="167" fontId="12" fillId="0" borderId="0" xfId="1" applyNumberFormat="1" applyFont="1" applyFill="1"/>
    <xf numFmtId="0" fontId="12" fillId="0" borderId="0" xfId="0" applyFont="1"/>
    <xf numFmtId="167" fontId="3" fillId="0" borderId="1" xfId="1" applyNumberFormat="1" applyFont="1" applyBorder="1"/>
    <xf numFmtId="167" fontId="17" fillId="0" borderId="0" xfId="1" applyNumberFormat="1" applyFont="1"/>
    <xf numFmtId="167" fontId="17" fillId="0" borderId="2" xfId="1" applyNumberFormat="1" applyFont="1" applyBorder="1"/>
    <xf numFmtId="164" fontId="17" fillId="0" borderId="0" xfId="1" applyFont="1"/>
    <xf numFmtId="9" fontId="0" fillId="0" borderId="0" xfId="2" applyFont="1"/>
    <xf numFmtId="9" fontId="15" fillId="0" borderId="0" xfId="2" applyFont="1"/>
    <xf numFmtId="3" fontId="20" fillId="0" borderId="0" xfId="0" applyNumberFormat="1" applyFont="1"/>
    <xf numFmtId="9" fontId="9" fillId="0" borderId="0" xfId="2" applyFont="1"/>
    <xf numFmtId="9" fontId="19" fillId="0" borderId="0" xfId="0" applyNumberFormat="1" applyFont="1"/>
    <xf numFmtId="167" fontId="19" fillId="0" borderId="0" xfId="1" applyNumberFormat="1" applyFont="1"/>
    <xf numFmtId="0" fontId="19" fillId="0" borderId="0" xfId="0" applyFont="1"/>
    <xf numFmtId="9" fontId="12" fillId="0" borderId="0" xfId="2" applyFont="1"/>
    <xf numFmtId="171" fontId="12" fillId="0" borderId="0" xfId="2" applyNumberFormat="1" applyFont="1"/>
    <xf numFmtId="9" fontId="10" fillId="0" borderId="0" xfId="2" applyFont="1"/>
    <xf numFmtId="9" fontId="12" fillId="0" borderId="1" xfId="2" applyFont="1" applyBorder="1"/>
    <xf numFmtId="9" fontId="10" fillId="4" borderId="0" xfId="2" applyFont="1" applyFill="1"/>
    <xf numFmtId="9" fontId="10" fillId="0" borderId="0" xfId="2" applyFont="1" applyAlignment="1">
      <alignment horizontal="right"/>
    </xf>
    <xf numFmtId="0" fontId="0" fillId="2" borderId="0" xfId="0" applyFill="1"/>
    <xf numFmtId="167" fontId="17" fillId="0" borderId="0" xfId="1" applyNumberFormat="1" applyFont="1" applyBorder="1"/>
    <xf numFmtId="0" fontId="2" fillId="0" borderId="0" xfId="0" applyFont="1" applyAlignment="1">
      <alignment horizontal="center"/>
    </xf>
    <xf numFmtId="0" fontId="9" fillId="3" borderId="0" xfId="0" applyFont="1" applyFill="1"/>
    <xf numFmtId="0" fontId="13" fillId="5" borderId="0" xfId="0" applyFont="1" applyFill="1" applyAlignment="1">
      <alignment horizontal="left"/>
    </xf>
    <xf numFmtId="164" fontId="0" fillId="0" borderId="0" xfId="0" applyNumberFormat="1"/>
    <xf numFmtId="0" fontId="3" fillId="2" borderId="0" xfId="0" applyFont="1" applyFill="1"/>
    <xf numFmtId="167" fontId="0" fillId="0" borderId="0" xfId="1" applyNumberFormat="1" applyFont="1"/>
    <xf numFmtId="169" fontId="0" fillId="0" borderId="0" xfId="2" applyNumberFormat="1" applyFont="1"/>
    <xf numFmtId="9" fontId="0" fillId="0" borderId="0" xfId="0" applyNumberFormat="1"/>
    <xf numFmtId="167" fontId="0" fillId="0" borderId="0" xfId="0" applyNumberFormat="1"/>
    <xf numFmtId="0" fontId="3" fillId="6" borderId="0" xfId="0" applyFont="1" applyFill="1"/>
    <xf numFmtId="0" fontId="0" fillId="6" borderId="0" xfId="0" applyFill="1"/>
    <xf numFmtId="0" fontId="2" fillId="7" borderId="0" xfId="0" applyFont="1" applyFill="1"/>
    <xf numFmtId="1" fontId="19" fillId="0" borderId="0" xfId="0" applyNumberFormat="1" applyFont="1"/>
    <xf numFmtId="167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9" fontId="22" fillId="0" borderId="0" xfId="2" applyFont="1" applyAlignment="1">
      <alignment horizontal="right"/>
    </xf>
    <xf numFmtId="167" fontId="5" fillId="0" borderId="1" xfId="0" applyNumberFormat="1" applyFont="1" applyBorder="1" applyAlignment="1">
      <alignment horizontal="right"/>
    </xf>
    <xf numFmtId="0" fontId="19" fillId="0" borderId="0" xfId="0" applyFont="1" applyAlignment="1">
      <alignment horizontal="right"/>
    </xf>
    <xf numFmtId="9" fontId="23" fillId="0" borderId="0" xfId="0" applyNumberFormat="1" applyFont="1" applyAlignment="1">
      <alignment horizontal="right"/>
    </xf>
    <xf numFmtId="167" fontId="10" fillId="0" borderId="0" xfId="0" applyNumberFormat="1" applyFont="1"/>
    <xf numFmtId="167" fontId="0" fillId="0" borderId="0" xfId="1" applyNumberFormat="1" applyFont="1" applyFill="1"/>
    <xf numFmtId="0" fontId="16" fillId="0" borderId="0" xfId="0" applyFont="1"/>
    <xf numFmtId="0" fontId="18" fillId="0" borderId="0" xfId="0" applyFont="1"/>
    <xf numFmtId="10" fontId="0" fillId="0" borderId="0" xfId="2" applyNumberFormat="1" applyFont="1"/>
    <xf numFmtId="172" fontId="0" fillId="0" borderId="0" xfId="2" applyNumberFormat="1" applyFont="1"/>
    <xf numFmtId="9" fontId="19" fillId="0" borderId="0" xfId="2" applyFont="1"/>
    <xf numFmtId="9" fontId="0" fillId="0" borderId="0" xfId="2" applyFont="1" applyFill="1"/>
    <xf numFmtId="167" fontId="12" fillId="0" borderId="0" xfId="1" applyNumberFormat="1" applyFont="1" applyBorder="1"/>
    <xf numFmtId="164" fontId="19" fillId="0" borderId="0" xfId="0" applyNumberFormat="1" applyFont="1"/>
    <xf numFmtId="167" fontId="0" fillId="0" borderId="2" xfId="1" applyNumberFormat="1" applyFont="1" applyBorder="1"/>
    <xf numFmtId="167" fontId="0" fillId="2" borderId="0" xfId="1" applyNumberFormat="1" applyFont="1" applyFill="1"/>
    <xf numFmtId="167" fontId="13" fillId="0" borderId="1" xfId="1" applyNumberFormat="1" applyFont="1" applyBorder="1"/>
    <xf numFmtId="167" fontId="13" fillId="0" borderId="0" xfId="1" applyNumberFormat="1" applyFont="1"/>
    <xf numFmtId="164" fontId="0" fillId="0" borderId="0" xfId="1" applyFont="1"/>
    <xf numFmtId="2" fontId="0" fillId="0" borderId="0" xfId="2" applyNumberFormat="1" applyFont="1"/>
    <xf numFmtId="0" fontId="2" fillId="2" borderId="0" xfId="0" applyFont="1" applyFill="1"/>
    <xf numFmtId="166" fontId="3" fillId="7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7" fontId="13" fillId="0" borderId="0" xfId="0" applyNumberFormat="1" applyFont="1"/>
    <xf numFmtId="0" fontId="13" fillId="0" borderId="0" xfId="0" applyFont="1"/>
    <xf numFmtId="1" fontId="13" fillId="0" borderId="0" xfId="0" applyNumberFormat="1" applyFont="1"/>
    <xf numFmtId="167" fontId="19" fillId="0" borderId="0" xfId="1" applyNumberFormat="1" applyFont="1" applyFill="1"/>
    <xf numFmtId="0" fontId="0" fillId="0" borderId="0" xfId="0" applyFill="1"/>
    <xf numFmtId="3" fontId="10" fillId="0" borderId="0" xfId="0" applyNumberFormat="1" applyFont="1" applyFill="1"/>
    <xf numFmtId="0" fontId="10" fillId="0" borderId="0" xfId="0" applyFont="1" applyFill="1"/>
    <xf numFmtId="0" fontId="3" fillId="0" borderId="0" xfId="0" applyFont="1" applyFill="1"/>
    <xf numFmtId="0" fontId="0" fillId="0" borderId="0" xfId="0" quotePrefix="1" applyFill="1"/>
    <xf numFmtId="0" fontId="24" fillId="0" borderId="0" xfId="0" applyFont="1"/>
    <xf numFmtId="9" fontId="24" fillId="0" borderId="0" xfId="2" applyFont="1"/>
    <xf numFmtId="0" fontId="8" fillId="0" borderId="0" xfId="0" applyFont="1" applyFill="1"/>
    <xf numFmtId="0" fontId="9" fillId="0" borderId="0" xfId="0" applyFont="1" applyFill="1"/>
    <xf numFmtId="0" fontId="3" fillId="0" borderId="0" xfId="0" quotePrefix="1" applyFont="1" applyFill="1"/>
    <xf numFmtId="0" fontId="0" fillId="0" borderId="0" xfId="0" applyAlignment="1">
      <alignment horizontal="left" indent="1"/>
    </xf>
    <xf numFmtId="0" fontId="0" fillId="0" borderId="0" xfId="0" applyBorder="1"/>
    <xf numFmtId="0" fontId="8" fillId="0" borderId="0" xfId="0" applyFont="1" applyBorder="1"/>
    <xf numFmtId="169" fontId="3" fillId="0" borderId="0" xfId="2" applyNumberFormat="1" applyFont="1"/>
    <xf numFmtId="169" fontId="0" fillId="0" borderId="0" xfId="0" applyNumberFormat="1"/>
    <xf numFmtId="169" fontId="19" fillId="0" borderId="0" xfId="0" applyNumberFormat="1" applyFont="1"/>
    <xf numFmtId="167" fontId="13" fillId="0" borderId="0" xfId="1" applyNumberFormat="1" applyFont="1" applyBorder="1"/>
    <xf numFmtId="3" fontId="0" fillId="0" borderId="0" xfId="0" applyNumberFormat="1" applyBorder="1"/>
    <xf numFmtId="0" fontId="16" fillId="0" borderId="2" xfId="0" applyFont="1" applyBorder="1"/>
    <xf numFmtId="0" fontId="24" fillId="0" borderId="2" xfId="0" applyFont="1" applyBorder="1"/>
    <xf numFmtId="9" fontId="24" fillId="0" borderId="2" xfId="2" applyFont="1" applyBorder="1"/>
    <xf numFmtId="9" fontId="25" fillId="0" borderId="2" xfId="2" applyFont="1" applyBorder="1"/>
    <xf numFmtId="9" fontId="13" fillId="0" borderId="0" xfId="2" applyFont="1"/>
    <xf numFmtId="170" fontId="19" fillId="0" borderId="0" xfId="0" applyNumberFormat="1" applyFont="1"/>
    <xf numFmtId="169" fontId="9" fillId="0" borderId="0" xfId="2" applyNumberFormat="1" applyFont="1"/>
    <xf numFmtId="1" fontId="26" fillId="0" borderId="0" xfId="0" applyNumberFormat="1" applyFont="1"/>
    <xf numFmtId="3" fontId="26" fillId="0" borderId="0" xfId="0" applyNumberFormat="1" applyFont="1"/>
    <xf numFmtId="10" fontId="0" fillId="0" borderId="0" xfId="0" applyNumberFormat="1"/>
    <xf numFmtId="0" fontId="2" fillId="2" borderId="0" xfId="0" applyFont="1" applyFill="1" applyAlignment="1">
      <alignment horizontal="right"/>
    </xf>
    <xf numFmtId="0" fontId="27" fillId="2" borderId="0" xfId="0" applyFont="1" applyFill="1"/>
    <xf numFmtId="0" fontId="3" fillId="0" borderId="0" xfId="0" applyFont="1" applyAlignment="1">
      <alignment horizontal="right"/>
    </xf>
    <xf numFmtId="0" fontId="3" fillId="5" borderId="0" xfId="0" applyFont="1" applyFill="1"/>
    <xf numFmtId="0" fontId="28" fillId="0" borderId="0" xfId="0" applyFont="1"/>
    <xf numFmtId="0" fontId="0" fillId="0" borderId="0" xfId="0" applyFont="1" applyAlignment="1">
      <alignment horizontal="right"/>
    </xf>
    <xf numFmtId="0" fontId="3" fillId="8" borderId="0" xfId="0" applyFont="1" applyFill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7" fontId="32" fillId="0" borderId="0" xfId="1" applyNumberFormat="1" applyFont="1" applyAlignment="1">
      <alignment horizontal="right"/>
    </xf>
    <xf numFmtId="173" fontId="0" fillId="0" borderId="0" xfId="1" applyNumberFormat="1" applyFont="1" applyFill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2" applyFont="1" applyFill="1" applyAlignment="1">
      <alignment horizontal="right"/>
    </xf>
    <xf numFmtId="10" fontId="0" fillId="0" borderId="0" xfId="2" applyNumberFormat="1" applyFont="1" applyFill="1" applyAlignment="1">
      <alignment horizontal="right"/>
    </xf>
    <xf numFmtId="172" fontId="0" fillId="0" borderId="0" xfId="0" applyNumberFormat="1" applyAlignment="1">
      <alignment horizontal="right"/>
    </xf>
    <xf numFmtId="173" fontId="0" fillId="0" borderId="0" xfId="1" applyNumberFormat="1" applyFont="1"/>
    <xf numFmtId="173" fontId="3" fillId="0" borderId="0" xfId="1" applyNumberFormat="1" applyFont="1" applyBorder="1"/>
    <xf numFmtId="9" fontId="3" fillId="0" borderId="0" xfId="2" applyFont="1"/>
    <xf numFmtId="9" fontId="3" fillId="0" borderId="0" xfId="0" applyNumberFormat="1" applyFont="1"/>
    <xf numFmtId="9" fontId="5" fillId="0" borderId="0" xfId="0" applyNumberFormat="1" applyFont="1"/>
    <xf numFmtId="10" fontId="19" fillId="0" borderId="0" xfId="0" applyNumberFormat="1" applyFont="1"/>
    <xf numFmtId="173" fontId="0" fillId="0" borderId="0" xfId="1" applyNumberFormat="1" applyFont="1" applyAlignment="1">
      <alignment horizontal="right"/>
    </xf>
    <xf numFmtId="173" fontId="0" fillId="0" borderId="0" xfId="0" applyNumberFormat="1"/>
    <xf numFmtId="173" fontId="3" fillId="0" borderId="0" xfId="1" applyNumberFormat="1" applyFont="1" applyAlignment="1">
      <alignment horizontal="right"/>
    </xf>
    <xf numFmtId="174" fontId="0" fillId="0" borderId="0" xfId="0" applyNumberFormat="1" applyAlignment="1">
      <alignment horizontal="right"/>
    </xf>
    <xf numFmtId="175" fontId="0" fillId="0" borderId="0" xfId="0" applyNumberFormat="1"/>
    <xf numFmtId="174" fontId="0" fillId="0" borderId="0" xfId="1" applyNumberFormat="1" applyFont="1" applyAlignment="1">
      <alignment horizontal="right"/>
    </xf>
    <xf numFmtId="175" fontId="0" fillId="0" borderId="0" xfId="0" applyNumberFormat="1" applyAlignment="1">
      <alignment horizontal="right"/>
    </xf>
    <xf numFmtId="176" fontId="0" fillId="0" borderId="0" xfId="0" applyNumberFormat="1"/>
    <xf numFmtId="9" fontId="0" fillId="0" borderId="0" xfId="2" applyFont="1" applyAlignment="1">
      <alignment horizontal="right"/>
    </xf>
    <xf numFmtId="0" fontId="33" fillId="0" borderId="0" xfId="0" applyFont="1"/>
    <xf numFmtId="0" fontId="33" fillId="0" borderId="3" xfId="0" applyFont="1" applyBorder="1" applyAlignment="1">
      <alignment horizontal="center" vertical="center"/>
    </xf>
    <xf numFmtId="0" fontId="34" fillId="0" borderId="0" xfId="0" applyFont="1"/>
    <xf numFmtId="171" fontId="0" fillId="0" borderId="0" xfId="0" applyNumberFormat="1"/>
    <xf numFmtId="0" fontId="0" fillId="0" borderId="0" xfId="0" applyFont="1"/>
    <xf numFmtId="0" fontId="35" fillId="0" borderId="0" xfId="0" applyFont="1"/>
    <xf numFmtId="0" fontId="37" fillId="0" borderId="0" xfId="0" applyFont="1"/>
    <xf numFmtId="0" fontId="5" fillId="0" borderId="0" xfId="0" applyFont="1"/>
    <xf numFmtId="164" fontId="0" fillId="10" borderId="0" xfId="0" applyNumberFormat="1" applyFill="1"/>
    <xf numFmtId="164" fontId="0" fillId="9" borderId="0" xfId="0" applyNumberFormat="1" applyFill="1"/>
    <xf numFmtId="167" fontId="13" fillId="5" borderId="0" xfId="1" applyNumberFormat="1" applyFont="1" applyFill="1"/>
    <xf numFmtId="9" fontId="24" fillId="5" borderId="0" xfId="2" applyFont="1" applyFill="1"/>
    <xf numFmtId="167" fontId="19" fillId="5" borderId="0" xfId="1" applyNumberFormat="1" applyFont="1" applyFill="1"/>
    <xf numFmtId="167" fontId="0" fillId="5" borderId="0" xfId="1" applyNumberFormat="1" applyFont="1" applyFill="1"/>
    <xf numFmtId="167" fontId="13" fillId="5" borderId="1" xfId="1" applyNumberFormat="1" applyFont="1" applyFill="1" applyBorder="1"/>
    <xf numFmtId="3" fontId="3" fillId="5" borderId="0" xfId="0" applyNumberFormat="1" applyFont="1" applyFill="1"/>
    <xf numFmtId="3" fontId="3" fillId="5" borderId="1" xfId="0" applyNumberFormat="1" applyFont="1" applyFill="1" applyBorder="1"/>
    <xf numFmtId="0" fontId="13" fillId="5" borderId="2" xfId="0" applyFont="1" applyFill="1" applyBorder="1"/>
    <xf numFmtId="2" fontId="13" fillId="5" borderId="0" xfId="2" applyNumberFormat="1" applyFont="1" applyFill="1"/>
    <xf numFmtId="0" fontId="13" fillId="5" borderId="0" xfId="0" applyFont="1" applyFill="1"/>
    <xf numFmtId="167" fontId="13" fillId="5" borderId="0" xfId="0" applyNumberFormat="1" applyFont="1" applyFill="1"/>
    <xf numFmtId="9" fontId="13" fillId="5" borderId="0" xfId="0" applyNumberFormat="1" applyFont="1" applyFill="1"/>
    <xf numFmtId="0" fontId="0" fillId="5" borderId="0" xfId="0" applyFill="1"/>
    <xf numFmtId="166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19" fillId="0" borderId="0" xfId="2" applyNumberFormat="1" applyFont="1"/>
    <xf numFmtId="0" fontId="28" fillId="0" borderId="0" xfId="0" applyFont="1" applyFill="1"/>
    <xf numFmtId="0" fontId="21" fillId="2" borderId="0" xfId="0" applyFont="1" applyFill="1" applyAlignment="1">
      <alignment horizontal="center" vertical="center"/>
    </xf>
    <xf numFmtId="43" fontId="0" fillId="0" borderId="0" xfId="0" applyNumberFormat="1"/>
    <xf numFmtId="189" fontId="0" fillId="0" borderId="0" xfId="0" applyNumberFormat="1"/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left" indent="1"/>
    </xf>
    <xf numFmtId="0" fontId="0" fillId="5" borderId="0" xfId="0" applyFill="1" applyAlignment="1">
      <alignment horizontal="left" indent="1"/>
    </xf>
    <xf numFmtId="167" fontId="0" fillId="12" borderId="0" xfId="1" applyNumberFormat="1" applyFont="1" applyFill="1"/>
    <xf numFmtId="167" fontId="19" fillId="12" borderId="0" xfId="1" applyNumberFormat="1" applyFont="1" applyFill="1"/>
    <xf numFmtId="0" fontId="10" fillId="8" borderId="0" xfId="0" applyFont="1" applyFill="1"/>
    <xf numFmtId="3" fontId="10" fillId="8" borderId="0" xfId="0" applyNumberFormat="1" applyFont="1" applyFill="1"/>
    <xf numFmtId="3" fontId="26" fillId="8" borderId="0" xfId="0" applyNumberFormat="1" applyFont="1" applyFill="1"/>
    <xf numFmtId="167" fontId="19" fillId="11" borderId="0" xfId="1" applyNumberFormat="1" applyFont="1" applyFill="1"/>
    <xf numFmtId="167" fontId="0" fillId="11" borderId="0" xfId="1" applyNumberFormat="1" applyFont="1" applyFill="1"/>
    <xf numFmtId="0" fontId="0" fillId="11" borderId="0" xfId="0" applyFill="1" applyAlignment="1">
      <alignment horizontal="left" indent="1"/>
    </xf>
    <xf numFmtId="167" fontId="13" fillId="11" borderId="0" xfId="1" applyNumberFormat="1" applyFont="1" applyFill="1"/>
    <xf numFmtId="1" fontId="10" fillId="11" borderId="0" xfId="0" applyNumberFormat="1" applyFont="1" applyFill="1"/>
    <xf numFmtId="0" fontId="3" fillId="2" borderId="4" xfId="0" applyFont="1" applyFill="1" applyBorder="1"/>
    <xf numFmtId="0" fontId="3" fillId="9" borderId="4" xfId="0" applyFont="1" applyFill="1" applyBorder="1"/>
    <xf numFmtId="0" fontId="0" fillId="0" borderId="0" xfId="0" applyFill="1" applyBorder="1"/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0" fontId="3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8B4AC"/>
      <color rgb="FFB5E9E6"/>
      <color rgb="FF52CBC5"/>
      <color rgb="FF21BCB4"/>
      <color rgb="FF06908A"/>
      <color rgb="FF9CE1DE"/>
      <color rgb="FF84DAD6"/>
      <color rgb="FF39C3BD"/>
      <color rgb="FF034845"/>
      <color rgb="FF0224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TAN%20roug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KTOP/Downloads/TITAN%20COMPANY%20Lt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ITAN%20COMPA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BS"/>
      <sheetName val="CF"/>
      <sheetName val="Revenue Drivers"/>
      <sheetName val="Cost Drivers"/>
      <sheetName val="Asset Schedule"/>
      <sheetName val="Valuation"/>
    </sheetNames>
    <sheetDataSet>
      <sheetData sheetId="0">
        <row r="8">
          <cell r="D8">
            <v>10969</v>
          </cell>
          <cell r="M8">
            <v>40575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BS"/>
      <sheetName val="IS"/>
      <sheetName val="CF"/>
      <sheetName val="Revenue drivers"/>
      <sheetName val="Cost driver's"/>
      <sheetName val="BS Shedule"/>
      <sheetName val="Qtr"/>
      <sheetName val="Ratio analysis"/>
      <sheetName val="LAYOUT"/>
      <sheetName val="Beta calc"/>
    </sheetNames>
    <sheetDataSet>
      <sheetData sheetId="0"/>
      <sheetData sheetId="1">
        <row r="46">
          <cell r="A46" t="str">
            <v>(1) Non-current liabilities</v>
          </cell>
        </row>
        <row r="48">
          <cell r="A48" t="str">
            <v>(i) Borrowings</v>
          </cell>
        </row>
        <row r="49">
          <cell r="A49" t="str">
            <v>(ii) Lease liabilities</v>
          </cell>
        </row>
        <row r="55">
          <cell r="A55" t="str">
            <v>(2) Current liabilities</v>
          </cell>
        </row>
        <row r="57">
          <cell r="A57" t="str">
            <v>(i) Borrowings</v>
          </cell>
        </row>
        <row r="58">
          <cell r="A58" t="str">
            <v>(ii) Gold on loan</v>
          </cell>
        </row>
        <row r="59">
          <cell r="A59" t="str">
            <v>(iii) Lease liabilities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BS"/>
      <sheetName val="CF"/>
      <sheetName val="Revenue Drivers"/>
      <sheetName val="Cost Drivers"/>
      <sheetName val="Asset Schedule"/>
      <sheetName val="Valuation"/>
    </sheetNames>
    <sheetDataSet>
      <sheetData sheetId="0">
        <row r="26">
          <cell r="M26">
            <v>441</v>
          </cell>
        </row>
        <row r="27">
          <cell r="M27">
            <v>4438</v>
          </cell>
        </row>
      </sheetData>
      <sheetData sheetId="1">
        <row r="10">
          <cell r="M10">
            <v>1343</v>
          </cell>
        </row>
        <row r="50">
          <cell r="M50">
            <v>1607</v>
          </cell>
        </row>
        <row r="58">
          <cell r="M58">
            <v>2195</v>
          </cell>
        </row>
        <row r="59">
          <cell r="M59">
            <v>5299</v>
          </cell>
        </row>
        <row r="60">
          <cell r="M60">
            <v>266</v>
          </cell>
        </row>
      </sheetData>
      <sheetData sheetId="2">
        <row r="73">
          <cell r="O73">
            <v>232</v>
          </cell>
        </row>
      </sheetData>
      <sheetData sheetId="3" refreshError="1"/>
      <sheetData sheetId="4">
        <row r="36">
          <cell r="M36">
            <v>0.26377333033505734</v>
          </cell>
        </row>
      </sheetData>
      <sheetData sheetId="5">
        <row r="45">
          <cell r="M45">
            <v>3.2027329988256643E-2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56"/>
  <sheetViews>
    <sheetView showGridLines="0" workbookViewId="0">
      <pane xSplit="2" ySplit="6" topLeftCell="I25" activePane="bottomRight" state="frozen"/>
      <selection pane="topRight" activeCell="C1" sqref="C1"/>
      <selection pane="bottomLeft" activeCell="A7" sqref="A7"/>
      <selection pane="bottomRight" activeCell="N41" sqref="N41"/>
    </sheetView>
  </sheetViews>
  <sheetFormatPr defaultRowHeight="15" outlineLevelRow="1" x14ac:dyDescent="0.25"/>
  <cols>
    <col min="1" max="1" width="66.28515625" bestFit="1" customWidth="1"/>
    <col min="2" max="2" width="2" customWidth="1"/>
    <col min="14" max="18" width="9.85546875" style="192" bestFit="1" customWidth="1"/>
  </cols>
  <sheetData>
    <row r="1" spans="1:22" ht="18.75" outlineLevel="1" x14ac:dyDescent="0.3">
      <c r="A1" s="6" t="s">
        <v>38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outlineLevel="1" x14ac:dyDescent="0.25">
      <c r="A2" s="1" t="s">
        <v>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41"/>
      <c r="O2" s="141"/>
      <c r="P2" s="141"/>
      <c r="Q2" s="141"/>
      <c r="R2" s="141"/>
    </row>
    <row r="3" spans="1:22" outlineLevel="1" x14ac:dyDescent="0.25">
      <c r="A3" s="1" t="s">
        <v>85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41"/>
      <c r="O3" s="141"/>
      <c r="P3" s="141"/>
      <c r="Q3" s="141"/>
      <c r="R3" s="141"/>
    </row>
    <row r="4" spans="1:22" outlineLevel="1" x14ac:dyDescent="0.25">
      <c r="A4" s="1" t="s">
        <v>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41"/>
      <c r="O4" s="141"/>
      <c r="P4" s="141"/>
      <c r="Q4" s="141"/>
      <c r="R4" s="141"/>
    </row>
    <row r="5" spans="1:22" outlineLevel="1" x14ac:dyDescent="0.25">
      <c r="A5" s="2" t="s">
        <v>26</v>
      </c>
      <c r="B5" s="2"/>
      <c r="C5" s="3">
        <v>41364</v>
      </c>
      <c r="D5" s="3">
        <f t="shared" ref="D5:R5" si="0">EOMONTH(C5,12)</f>
        <v>41729</v>
      </c>
      <c r="E5" s="3">
        <f t="shared" si="0"/>
        <v>42094</v>
      </c>
      <c r="F5" s="3">
        <f t="shared" si="0"/>
        <v>42460</v>
      </c>
      <c r="G5" s="3">
        <f t="shared" si="0"/>
        <v>42825</v>
      </c>
      <c r="H5" s="3">
        <f t="shared" si="0"/>
        <v>43190</v>
      </c>
      <c r="I5" s="3">
        <f t="shared" si="0"/>
        <v>43555</v>
      </c>
      <c r="J5" s="3">
        <f t="shared" si="0"/>
        <v>43921</v>
      </c>
      <c r="K5" s="3">
        <f>EOMONTH(J5,12)</f>
        <v>44286</v>
      </c>
      <c r="L5" s="3">
        <f>EOMONTH(K5,12)</f>
        <v>44651</v>
      </c>
      <c r="M5" s="3">
        <f>EOMONTH(L5,12)</f>
        <v>45016</v>
      </c>
      <c r="N5" s="193">
        <f t="shared" si="0"/>
        <v>45382</v>
      </c>
      <c r="O5" s="193">
        <f t="shared" si="0"/>
        <v>45747</v>
      </c>
      <c r="P5" s="193">
        <f t="shared" si="0"/>
        <v>46112</v>
      </c>
      <c r="Q5" s="193">
        <f t="shared" si="0"/>
        <v>46477</v>
      </c>
      <c r="R5" s="193">
        <f t="shared" si="0"/>
        <v>46843</v>
      </c>
    </row>
    <row r="6" spans="1:22" x14ac:dyDescent="0.25">
      <c r="A6" s="1" t="s">
        <v>27</v>
      </c>
      <c r="B6" s="1"/>
      <c r="C6" s="4" t="s">
        <v>28</v>
      </c>
      <c r="D6" s="4" t="s">
        <v>29</v>
      </c>
      <c r="E6" s="4" t="s">
        <v>30</v>
      </c>
      <c r="F6" s="4" t="s">
        <v>31</v>
      </c>
      <c r="G6" s="4" t="s">
        <v>32</v>
      </c>
      <c r="H6" s="4" t="s">
        <v>33</v>
      </c>
      <c r="I6" s="4" t="s">
        <v>34</v>
      </c>
      <c r="J6" s="4" t="s">
        <v>35</v>
      </c>
      <c r="K6" s="4" t="s">
        <v>36</v>
      </c>
      <c r="L6" s="4" t="s">
        <v>37</v>
      </c>
      <c r="M6" s="4" t="s">
        <v>211</v>
      </c>
      <c r="N6" s="194" t="s">
        <v>42</v>
      </c>
      <c r="O6" s="194" t="s">
        <v>43</v>
      </c>
      <c r="P6" s="194" t="s">
        <v>44</v>
      </c>
      <c r="Q6" s="194" t="s">
        <v>45</v>
      </c>
      <c r="R6" s="194" t="s">
        <v>45</v>
      </c>
    </row>
    <row r="8" spans="1:22" x14ac:dyDescent="0.25">
      <c r="A8" s="1" t="s">
        <v>147</v>
      </c>
      <c r="C8" s="27">
        <v>10217.989599999999</v>
      </c>
      <c r="D8" s="27">
        <v>10969</v>
      </c>
      <c r="E8" s="27">
        <v>11949.33</v>
      </c>
      <c r="F8" s="27">
        <v>11310.02</v>
      </c>
      <c r="G8" s="27">
        <v>13382.13</v>
      </c>
      <c r="H8" s="27">
        <v>16155.95</v>
      </c>
      <c r="I8" s="27">
        <v>19778.52</v>
      </c>
      <c r="J8" s="27">
        <v>21052</v>
      </c>
      <c r="K8" s="27">
        <v>21644</v>
      </c>
      <c r="L8" s="27">
        <v>28799</v>
      </c>
      <c r="M8" s="27">
        <v>40575</v>
      </c>
      <c r="N8" s="180">
        <f>'Revenue Drivers'!N8</f>
        <v>43382.889591320127</v>
      </c>
      <c r="O8" s="180">
        <f>'Revenue Drivers'!O8</f>
        <v>50122.195262932124</v>
      </c>
      <c r="P8" s="180">
        <f>'Revenue Drivers'!P8</f>
        <v>58085.786642109168</v>
      </c>
      <c r="Q8" s="180">
        <f>'Revenue Drivers'!Q8</f>
        <v>67851.773650724135</v>
      </c>
      <c r="R8" s="180">
        <f>'Revenue Drivers'!R8</f>
        <v>80247.991862670387</v>
      </c>
    </row>
    <row r="9" spans="1:22" s="89" customFormat="1" ht="12.75" x14ac:dyDescent="0.2">
      <c r="C9" s="115"/>
      <c r="D9" s="116">
        <f>D8/C8-1</f>
        <v>7.3498841689954464E-2</v>
      </c>
      <c r="E9" s="116">
        <f t="shared" ref="E9:K9" si="1">E8/D8-1</f>
        <v>8.9372777828425454E-2</v>
      </c>
      <c r="F9" s="116">
        <f t="shared" si="1"/>
        <v>-5.3501744449270361E-2</v>
      </c>
      <c r="G9" s="116">
        <f t="shared" si="1"/>
        <v>0.18321010926594283</v>
      </c>
      <c r="H9" s="116">
        <f t="shared" si="1"/>
        <v>0.20727791465185308</v>
      </c>
      <c r="I9" s="116">
        <f t="shared" si="1"/>
        <v>0.22422513067940919</v>
      </c>
      <c r="J9" s="116">
        <f t="shared" si="1"/>
        <v>6.4387021880302431E-2</v>
      </c>
      <c r="K9" s="116">
        <f t="shared" si="1"/>
        <v>2.8120843625308867E-2</v>
      </c>
      <c r="L9" s="116">
        <f t="shared" ref="L9:R9" si="2">L8/K8-1</f>
        <v>0.33057660321567184</v>
      </c>
      <c r="M9" s="116">
        <f t="shared" si="2"/>
        <v>0.40890308691274013</v>
      </c>
      <c r="N9" s="181">
        <f t="shared" si="2"/>
        <v>6.9202454499571742E-2</v>
      </c>
      <c r="O9" s="181">
        <f t="shared" si="2"/>
        <v>0.15534478535427865</v>
      </c>
      <c r="P9" s="181">
        <f t="shared" si="2"/>
        <v>0.15888353128591959</v>
      </c>
      <c r="Q9" s="181">
        <f t="shared" si="2"/>
        <v>0.16813040802541424</v>
      </c>
      <c r="R9" s="181">
        <f t="shared" si="2"/>
        <v>0.18269556630542039</v>
      </c>
    </row>
    <row r="10" spans="1:22" outlineLevel="1" x14ac:dyDescent="0.25">
      <c r="A10" t="s">
        <v>76</v>
      </c>
      <c r="C10" s="27">
        <v>6752.3844999999992</v>
      </c>
      <c r="D10" s="27">
        <v>6560.03</v>
      </c>
      <c r="E10" s="27">
        <v>7831.92</v>
      </c>
      <c r="F10" s="27">
        <v>7415.94</v>
      </c>
      <c r="G10" s="27">
        <v>8646.64</v>
      </c>
      <c r="H10" s="27">
        <v>10452.82</v>
      </c>
      <c r="I10" s="27">
        <v>12230.63</v>
      </c>
      <c r="J10" s="27">
        <v>13042</v>
      </c>
      <c r="K10" s="27">
        <v>13713</v>
      </c>
      <c r="L10" s="27">
        <v>22108</v>
      </c>
      <c r="M10" s="27">
        <v>26891</v>
      </c>
      <c r="N10" s="182"/>
      <c r="O10" s="182"/>
      <c r="P10" s="182"/>
      <c r="Q10" s="182"/>
      <c r="R10" s="182"/>
    </row>
    <row r="11" spans="1:22" outlineLevel="1" x14ac:dyDescent="0.25">
      <c r="A11" t="s">
        <v>84</v>
      </c>
      <c r="C11" s="27">
        <v>94.695700000000002</v>
      </c>
      <c r="D11" s="27">
        <v>41.61</v>
      </c>
      <c r="E11" s="27">
        <v>35.92</v>
      </c>
      <c r="F11" s="27">
        <v>956.23</v>
      </c>
      <c r="G11" s="27">
        <v>121.3</v>
      </c>
      <c r="H11" s="27">
        <v>36.18</v>
      </c>
      <c r="I11" s="27"/>
      <c r="J11" s="27"/>
      <c r="K11" s="27"/>
      <c r="L11" s="27"/>
      <c r="M11" s="27"/>
      <c r="N11" s="183"/>
      <c r="O11" s="183"/>
      <c r="P11" s="183"/>
      <c r="Q11" s="183"/>
      <c r="R11" s="183"/>
    </row>
    <row r="12" spans="1:22" outlineLevel="1" x14ac:dyDescent="0.25">
      <c r="A12" t="s">
        <v>77</v>
      </c>
      <c r="C12" s="27">
        <v>1554.9312</v>
      </c>
      <c r="D12" s="27">
        <v>1591.25</v>
      </c>
      <c r="E12" s="27">
        <v>1123.94</v>
      </c>
      <c r="F12" s="27">
        <v>-191.43</v>
      </c>
      <c r="G12" s="27">
        <v>1174.5</v>
      </c>
      <c r="H12" s="27">
        <v>2212.0100000000002</v>
      </c>
      <c r="I12" s="27">
        <v>2940.03</v>
      </c>
      <c r="J12" s="27">
        <v>2991</v>
      </c>
      <c r="K12" s="27">
        <v>2579</v>
      </c>
      <c r="L12" s="27">
        <v>4328</v>
      </c>
      <c r="M12" s="27">
        <v>5698</v>
      </c>
      <c r="N12" s="182"/>
      <c r="O12" s="182"/>
      <c r="P12" s="182"/>
      <c r="Q12" s="182"/>
      <c r="R12" s="182"/>
    </row>
    <row r="13" spans="1:22" outlineLevel="1" x14ac:dyDescent="0.25">
      <c r="A13" t="s">
        <v>83</v>
      </c>
      <c r="C13" s="27">
        <v>-813.15240000000006</v>
      </c>
      <c r="D13" s="27">
        <v>-99.41</v>
      </c>
      <c r="E13" s="27">
        <v>-204.37</v>
      </c>
      <c r="F13" s="27">
        <v>34.130000000000003</v>
      </c>
      <c r="G13" s="27">
        <v>-313.70999999999998</v>
      </c>
      <c r="H13" s="27">
        <v>-978.61</v>
      </c>
      <c r="I13" s="27">
        <v>-776.41</v>
      </c>
      <c r="J13" s="27">
        <v>-878</v>
      </c>
      <c r="K13" s="27">
        <v>122</v>
      </c>
      <c r="L13" s="27">
        <v>-4795</v>
      </c>
      <c r="M13" s="27">
        <v>-2234</v>
      </c>
      <c r="N13" s="182"/>
      <c r="O13" s="182"/>
      <c r="P13" s="182"/>
      <c r="Q13" s="182"/>
      <c r="R13" s="182"/>
    </row>
    <row r="14" spans="1:22" x14ac:dyDescent="0.25">
      <c r="A14" s="20" t="s">
        <v>149</v>
      </c>
      <c r="B14" s="20"/>
      <c r="C14" s="30">
        <f>SUM(C10:C13)</f>
        <v>7588.8589999999995</v>
      </c>
      <c r="D14" s="30">
        <f t="shared" ref="D14:M14" si="3">SUM(D10:D13)</f>
        <v>8093.48</v>
      </c>
      <c r="E14" s="30">
        <f t="shared" si="3"/>
        <v>8787.41</v>
      </c>
      <c r="F14" s="30">
        <f t="shared" si="3"/>
        <v>8214.869999999999</v>
      </c>
      <c r="G14" s="30">
        <f t="shared" si="3"/>
        <v>9628.73</v>
      </c>
      <c r="H14" s="30">
        <f t="shared" si="3"/>
        <v>11722.4</v>
      </c>
      <c r="I14" s="30">
        <f t="shared" si="3"/>
        <v>14394.25</v>
      </c>
      <c r="J14" s="30">
        <f t="shared" si="3"/>
        <v>15155</v>
      </c>
      <c r="K14" s="30">
        <f t="shared" si="3"/>
        <v>16414</v>
      </c>
      <c r="L14" s="30">
        <f t="shared" si="3"/>
        <v>21641</v>
      </c>
      <c r="M14" s="30">
        <f t="shared" si="3"/>
        <v>30355</v>
      </c>
      <c r="N14" s="184">
        <f>'Cost Drivers'!N10</f>
        <v>32455.640506334505</v>
      </c>
      <c r="O14" s="184">
        <f>'Cost Drivers'!O10</f>
        <v>37497.455014326668</v>
      </c>
      <c r="P14" s="184">
        <f>'Cost Drivers'!P10</f>
        <v>43455.183081237803</v>
      </c>
      <c r="Q14" s="184">
        <f>'Cost Drivers'!Q10</f>
        <v>50761.320743505392</v>
      </c>
      <c r="R14" s="184">
        <f>'Cost Drivers'!R10</f>
        <v>60035.188983151194</v>
      </c>
    </row>
    <row r="15" spans="1:22" x14ac:dyDescent="0.25">
      <c r="A15" s="1" t="s">
        <v>161</v>
      </c>
      <c r="C15" s="26">
        <f>C8-C14</f>
        <v>2629.1305999999995</v>
      </c>
      <c r="D15" s="26">
        <f t="shared" ref="D15:R15" si="4">D8-D14</f>
        <v>2875.5200000000004</v>
      </c>
      <c r="E15" s="26">
        <f t="shared" si="4"/>
        <v>3161.92</v>
      </c>
      <c r="F15" s="26">
        <f t="shared" si="4"/>
        <v>3095.1500000000015</v>
      </c>
      <c r="G15" s="26">
        <f t="shared" si="4"/>
        <v>3753.3999999999996</v>
      </c>
      <c r="H15" s="26">
        <f t="shared" si="4"/>
        <v>4433.5500000000011</v>
      </c>
      <c r="I15" s="26">
        <f t="shared" si="4"/>
        <v>5384.27</v>
      </c>
      <c r="J15" s="26">
        <f t="shared" si="4"/>
        <v>5897</v>
      </c>
      <c r="K15" s="26">
        <f t="shared" si="4"/>
        <v>5230</v>
      </c>
      <c r="L15" s="26">
        <f t="shared" si="4"/>
        <v>7158</v>
      </c>
      <c r="M15" s="26">
        <f t="shared" si="4"/>
        <v>10220</v>
      </c>
      <c r="N15" s="185">
        <f t="shared" si="4"/>
        <v>10927.249084985622</v>
      </c>
      <c r="O15" s="185">
        <f t="shared" si="4"/>
        <v>12624.740248605456</v>
      </c>
      <c r="P15" s="185">
        <f t="shared" si="4"/>
        <v>14630.603560871365</v>
      </c>
      <c r="Q15" s="185">
        <f t="shared" si="4"/>
        <v>17090.452907218743</v>
      </c>
      <c r="R15" s="185">
        <f t="shared" si="4"/>
        <v>20212.802879519193</v>
      </c>
    </row>
    <row r="16" spans="1:22" s="89" customFormat="1" ht="12.75" x14ac:dyDescent="0.2">
      <c r="C16" s="115"/>
      <c r="D16" s="116">
        <f t="shared" ref="D16:R16" si="5">D15/C15-1</f>
        <v>9.3715161962665938E-2</v>
      </c>
      <c r="E16" s="116">
        <f t="shared" si="5"/>
        <v>9.95993768083685E-2</v>
      </c>
      <c r="F16" s="116">
        <f t="shared" si="5"/>
        <v>-2.1116916304017352E-2</v>
      </c>
      <c r="G16" s="116">
        <f t="shared" si="5"/>
        <v>0.21267143757168405</v>
      </c>
      <c r="H16" s="116">
        <f t="shared" si="5"/>
        <v>0.18120903713966041</v>
      </c>
      <c r="I16" s="116">
        <f t="shared" si="5"/>
        <v>0.21443764026570111</v>
      </c>
      <c r="J16" s="116">
        <f t="shared" si="5"/>
        <v>9.5227393871406774E-2</v>
      </c>
      <c r="K16" s="116">
        <f t="shared" si="5"/>
        <v>-0.11310836018314396</v>
      </c>
      <c r="L16" s="116">
        <f t="shared" si="5"/>
        <v>0.36864244741873797</v>
      </c>
      <c r="M16" s="116">
        <f t="shared" si="5"/>
        <v>0.42777312098351494</v>
      </c>
      <c r="N16" s="181">
        <f t="shared" si="5"/>
        <v>6.9202454499571742E-2</v>
      </c>
      <c r="O16" s="181">
        <f t="shared" si="5"/>
        <v>0.15534478535427909</v>
      </c>
      <c r="P16" s="181">
        <f t="shared" si="5"/>
        <v>0.15888353128591914</v>
      </c>
      <c r="Q16" s="181">
        <f t="shared" si="5"/>
        <v>0.16813040802541401</v>
      </c>
      <c r="R16" s="181">
        <f t="shared" si="5"/>
        <v>0.18269556630542061</v>
      </c>
    </row>
    <row r="17" spans="1:18" x14ac:dyDescent="0.25">
      <c r="A17" t="s">
        <v>155</v>
      </c>
      <c r="C17" s="27">
        <v>489.8306</v>
      </c>
      <c r="D17" s="27">
        <v>540.42999999999995</v>
      </c>
      <c r="E17" s="27">
        <v>632.46</v>
      </c>
      <c r="F17" s="27">
        <v>696.28</v>
      </c>
      <c r="G17" s="27">
        <v>787.47</v>
      </c>
      <c r="H17" s="27">
        <v>885.08</v>
      </c>
      <c r="I17" s="27">
        <v>1019.27</v>
      </c>
      <c r="J17" s="27">
        <v>1199</v>
      </c>
      <c r="K17" s="27">
        <v>1065</v>
      </c>
      <c r="L17" s="27">
        <v>1349</v>
      </c>
      <c r="M17" s="27">
        <v>1647</v>
      </c>
      <c r="N17" s="180">
        <f>'Cost Drivers'!N11</f>
        <v>1760.9764425607948</v>
      </c>
      <c r="O17" s="180">
        <f>'Cost Drivers'!O11</f>
        <v>2034.5349500443428</v>
      </c>
      <c r="P17" s="180">
        <f>'Cost Drivers'!P11</f>
        <v>2357.7890474320097</v>
      </c>
      <c r="Q17" s="180">
        <f>'Cost Drivers'!Q11</f>
        <v>2754.2050820146064</v>
      </c>
      <c r="R17" s="180">
        <f>'Cost Drivers'!R11</f>
        <v>3257.386139194532</v>
      </c>
    </row>
    <row r="18" spans="1:18" x14ac:dyDescent="0.25">
      <c r="A18" t="s">
        <v>80</v>
      </c>
      <c r="C18" s="27">
        <v>1126.8075999999999</v>
      </c>
      <c r="D18" s="27">
        <v>1290.76</v>
      </c>
      <c r="E18" s="27">
        <v>1381.06</v>
      </c>
      <c r="F18" s="27">
        <v>1464.13</v>
      </c>
      <c r="G18" s="27">
        <v>1810.44</v>
      </c>
      <c r="H18" s="27">
        <v>1903.78</v>
      </c>
      <c r="I18" s="27">
        <v>2373.5100000000002</v>
      </c>
      <c r="J18" s="27">
        <v>2231</v>
      </c>
      <c r="K18" s="27">
        <v>2441</v>
      </c>
      <c r="L18" s="27">
        <v>2468</v>
      </c>
      <c r="M18" s="27">
        <v>3694</v>
      </c>
      <c r="N18" s="180">
        <f>'Cost Drivers'!N12</f>
        <v>3949.6338669214183</v>
      </c>
      <c r="O18" s="180">
        <f>'Cost Drivers'!O12</f>
        <v>4563.1888922063163</v>
      </c>
      <c r="P18" s="180">
        <f>'Cost Drivers'!P12</f>
        <v>5288.2044573247385</v>
      </c>
      <c r="Q18" s="180">
        <f>'Cost Drivers'!Q12</f>
        <v>6177.3124304565608</v>
      </c>
      <c r="R18" s="180">
        <f>'Cost Drivers'!R12</f>
        <v>7305.8800231843352</v>
      </c>
    </row>
    <row r="19" spans="1:18" hidden="1" outlineLevel="1" x14ac:dyDescent="0.25">
      <c r="A19" s="24" t="s">
        <v>150</v>
      </c>
      <c r="C19" s="36">
        <f>37709.41/100</f>
        <v>377.09410000000003</v>
      </c>
      <c r="D19" s="35">
        <f>40443/100</f>
        <v>404.43</v>
      </c>
      <c r="E19" s="35">
        <f>38213/100</f>
        <v>382.13</v>
      </c>
      <c r="F19" s="35">
        <f>42892/100</f>
        <v>428.92</v>
      </c>
      <c r="G19" s="35">
        <f>48116/100</f>
        <v>481.16</v>
      </c>
      <c r="H19" s="35">
        <f>49399/100</f>
        <v>493.99</v>
      </c>
      <c r="I19" s="35">
        <f>59920/100</f>
        <v>599.20000000000005</v>
      </c>
      <c r="J19">
        <v>560</v>
      </c>
      <c r="K19">
        <v>232</v>
      </c>
      <c r="L19">
        <v>474</v>
      </c>
      <c r="M19">
        <v>966</v>
      </c>
      <c r="N19" s="180"/>
      <c r="O19" s="180"/>
      <c r="P19" s="180"/>
      <c r="Q19" s="180"/>
      <c r="R19" s="180"/>
    </row>
    <row r="20" spans="1:18" hidden="1" outlineLevel="1" x14ac:dyDescent="0.25">
      <c r="A20" s="24" t="s">
        <v>151</v>
      </c>
      <c r="C20" s="36">
        <f>9114.09/100</f>
        <v>91.140900000000002</v>
      </c>
      <c r="D20" s="35">
        <f>11739/100</f>
        <v>117.39</v>
      </c>
      <c r="E20" s="35">
        <f>11526/100</f>
        <v>115.26</v>
      </c>
      <c r="F20" s="35">
        <f>13738/100</f>
        <v>137.38</v>
      </c>
      <c r="G20" s="35">
        <f>38983/100</f>
        <v>389.83</v>
      </c>
      <c r="H20" s="35">
        <f>47566/100</f>
        <v>475.66</v>
      </c>
      <c r="I20" s="35">
        <f>55489/100</f>
        <v>554.89</v>
      </c>
      <c r="J20">
        <v>675</v>
      </c>
      <c r="K20">
        <v>542</v>
      </c>
      <c r="L20">
        <v>811</v>
      </c>
      <c r="M20">
        <v>1353</v>
      </c>
      <c r="N20" s="180"/>
      <c r="O20" s="180"/>
      <c r="P20" s="180"/>
      <c r="Q20" s="180"/>
      <c r="R20" s="180"/>
    </row>
    <row r="21" spans="1:18" hidden="1" outlineLevel="1" x14ac:dyDescent="0.25">
      <c r="A21" s="24" t="s">
        <v>152</v>
      </c>
      <c r="C21" s="36">
        <f>110.81/100</f>
        <v>1.1081000000000001</v>
      </c>
      <c r="D21" s="35">
        <f>1977/100</f>
        <v>19.77</v>
      </c>
      <c r="E21" s="35">
        <f>3577/100</f>
        <v>35.770000000000003</v>
      </c>
      <c r="G21" s="35">
        <f>1129/100</f>
        <v>11.29</v>
      </c>
      <c r="J21">
        <v>60</v>
      </c>
      <c r="K21">
        <v>739</v>
      </c>
      <c r="N21" s="180"/>
      <c r="O21" s="180"/>
      <c r="P21" s="180"/>
      <c r="Q21" s="180"/>
      <c r="R21" s="180"/>
    </row>
    <row r="22" spans="1:18" hidden="1" outlineLevel="1" x14ac:dyDescent="0.25">
      <c r="A22" s="24" t="s">
        <v>212</v>
      </c>
      <c r="C22" s="36">
        <f>14273.96/100</f>
        <v>142.7396</v>
      </c>
      <c r="D22" s="35">
        <f>16065/100</f>
        <v>160.65</v>
      </c>
      <c r="E22" s="35">
        <f>17680/100</f>
        <v>176.8</v>
      </c>
      <c r="F22" s="35">
        <f>18443/100</f>
        <v>184.43</v>
      </c>
      <c r="G22" s="35"/>
      <c r="M22">
        <v>739</v>
      </c>
      <c r="N22" s="180"/>
      <c r="O22" s="180"/>
      <c r="P22" s="180"/>
      <c r="Q22" s="180"/>
      <c r="R22" s="180"/>
    </row>
    <row r="23" spans="1:18" hidden="1" outlineLevel="1" x14ac:dyDescent="0.25">
      <c r="A23" s="24" t="s">
        <v>153</v>
      </c>
      <c r="C23" s="36">
        <f>21294.7/100</f>
        <v>212.947</v>
      </c>
      <c r="D23" s="35">
        <f>25399/100</f>
        <v>253.99</v>
      </c>
      <c r="E23" s="35">
        <f>26341/100</f>
        <v>263.41000000000003</v>
      </c>
      <c r="G23" s="35">
        <f>35488/100</f>
        <v>354.88</v>
      </c>
      <c r="H23" s="35">
        <f>42148/100</f>
        <v>421.48</v>
      </c>
      <c r="I23" s="35">
        <f>48662/100</f>
        <v>486.62</v>
      </c>
      <c r="J23">
        <v>393</v>
      </c>
      <c r="K23">
        <v>340</v>
      </c>
      <c r="L23">
        <v>425</v>
      </c>
      <c r="M23">
        <v>636</v>
      </c>
      <c r="N23" s="180"/>
      <c r="O23" s="180"/>
      <c r="P23" s="180"/>
      <c r="Q23" s="180"/>
      <c r="R23" s="180"/>
    </row>
    <row r="24" spans="1:18" collapsed="1" x14ac:dyDescent="0.25">
      <c r="A24" s="2" t="s">
        <v>154</v>
      </c>
      <c r="B24" s="20"/>
      <c r="C24" s="25">
        <f t="shared" ref="C24:K24" si="6">C15-C17-C18</f>
        <v>1012.4923999999994</v>
      </c>
      <c r="D24" s="25">
        <f t="shared" si="6"/>
        <v>1044.3300000000006</v>
      </c>
      <c r="E24" s="25">
        <f t="shared" si="6"/>
        <v>1148.4000000000001</v>
      </c>
      <c r="F24" s="25">
        <f t="shared" si="6"/>
        <v>934.7400000000016</v>
      </c>
      <c r="G24" s="25">
        <f t="shared" si="6"/>
        <v>1155.4899999999993</v>
      </c>
      <c r="H24" s="25">
        <f t="shared" si="6"/>
        <v>1644.6900000000012</v>
      </c>
      <c r="I24" s="25">
        <f t="shared" si="6"/>
        <v>1991.4899999999998</v>
      </c>
      <c r="J24" s="25">
        <f t="shared" si="6"/>
        <v>2467</v>
      </c>
      <c r="K24" s="25">
        <f t="shared" si="6"/>
        <v>1724</v>
      </c>
      <c r="L24" s="25">
        <f t="shared" ref="L24:R24" si="7">L15-L17-L18</f>
        <v>3341</v>
      </c>
      <c r="M24" s="25">
        <f t="shared" si="7"/>
        <v>4879</v>
      </c>
      <c r="N24" s="186">
        <f t="shared" si="7"/>
        <v>5216.6387755034084</v>
      </c>
      <c r="O24" s="186">
        <f t="shared" si="7"/>
        <v>6027.0164063547973</v>
      </c>
      <c r="P24" s="186">
        <f t="shared" si="7"/>
        <v>6984.6100561146159</v>
      </c>
      <c r="Q24" s="186">
        <f t="shared" si="7"/>
        <v>8158.9353947475756</v>
      </c>
      <c r="R24" s="186">
        <f t="shared" si="7"/>
        <v>9649.5367171403268</v>
      </c>
    </row>
    <row r="25" spans="1:18" s="89" customFormat="1" ht="12.75" x14ac:dyDescent="0.2">
      <c r="C25" s="115"/>
      <c r="D25" s="116">
        <f t="shared" ref="D25:R25" si="8">D24/C24-1</f>
        <v>3.1444779239825582E-2</v>
      </c>
      <c r="E25" s="116">
        <f t="shared" si="8"/>
        <v>9.9652408721380592E-2</v>
      </c>
      <c r="F25" s="116">
        <f t="shared" si="8"/>
        <v>-0.18605015673981062</v>
      </c>
      <c r="G25" s="116">
        <f t="shared" si="8"/>
        <v>0.23616192738087305</v>
      </c>
      <c r="H25" s="116">
        <f t="shared" si="8"/>
        <v>0.42337017196168047</v>
      </c>
      <c r="I25" s="116">
        <f t="shared" si="8"/>
        <v>0.21086040530434214</v>
      </c>
      <c r="J25" s="116">
        <f t="shared" si="8"/>
        <v>0.23877097047938989</v>
      </c>
      <c r="K25" s="116">
        <f t="shared" si="8"/>
        <v>-0.30117551682205113</v>
      </c>
      <c r="L25" s="116">
        <f t="shared" si="8"/>
        <v>0.93793503480278417</v>
      </c>
      <c r="M25" s="116">
        <f t="shared" si="8"/>
        <v>0.46034121520502835</v>
      </c>
      <c r="N25" s="181">
        <f t="shared" si="8"/>
        <v>6.9202454499571298E-2</v>
      </c>
      <c r="O25" s="181">
        <f t="shared" si="8"/>
        <v>0.15534478535427954</v>
      </c>
      <c r="P25" s="181">
        <f t="shared" si="8"/>
        <v>0.15888353128591892</v>
      </c>
      <c r="Q25" s="181">
        <f t="shared" si="8"/>
        <v>0.16813040802541401</v>
      </c>
      <c r="R25" s="181">
        <f t="shared" si="8"/>
        <v>0.18269556630542083</v>
      </c>
    </row>
    <row r="26" spans="1:18" x14ac:dyDescent="0.25">
      <c r="A26" t="s">
        <v>79</v>
      </c>
      <c r="C26" s="28">
        <v>56.230699999999999</v>
      </c>
      <c r="D26" s="28">
        <v>67.55</v>
      </c>
      <c r="E26" s="28">
        <v>89.57</v>
      </c>
      <c r="F26" s="28">
        <v>98.19</v>
      </c>
      <c r="G26" s="28">
        <v>110.53</v>
      </c>
      <c r="H26" s="28">
        <v>131.43</v>
      </c>
      <c r="I26" s="28">
        <v>162.84</v>
      </c>
      <c r="J26" s="28">
        <v>348</v>
      </c>
      <c r="K26" s="28">
        <v>375</v>
      </c>
      <c r="L26" s="28">
        <v>399</v>
      </c>
      <c r="M26" s="28">
        <v>441</v>
      </c>
      <c r="N26" s="180">
        <f>'Asset Schedule'!N16</f>
        <v>519.49606757475794</v>
      </c>
      <c r="O26" s="180">
        <f>'Asset Schedule'!O16</f>
        <v>515.86173598604375</v>
      </c>
      <c r="P26" s="180">
        <f>'Asset Schedule'!P16</f>
        <v>525.92967920805268</v>
      </c>
      <c r="Q26" s="180">
        <f>'Asset Schedule'!Q16</f>
        <v>550.10310975153516</v>
      </c>
      <c r="R26" s="180">
        <f>'Asset Schedule'!R16</f>
        <v>589.96990719407825</v>
      </c>
    </row>
    <row r="27" spans="1:18" x14ac:dyDescent="0.25">
      <c r="A27" s="2" t="s">
        <v>156</v>
      </c>
      <c r="B27" s="20"/>
      <c r="C27" s="25">
        <f>C24-C26</f>
        <v>956.26169999999945</v>
      </c>
      <c r="D27" s="25">
        <f t="shared" ref="D27:R27" si="9">D24-D26</f>
        <v>976.78000000000065</v>
      </c>
      <c r="E27" s="25">
        <f t="shared" si="9"/>
        <v>1058.8300000000002</v>
      </c>
      <c r="F27" s="25">
        <f t="shared" si="9"/>
        <v>836.55000000000155</v>
      </c>
      <c r="G27" s="25">
        <f t="shared" si="9"/>
        <v>1044.9599999999994</v>
      </c>
      <c r="H27" s="25">
        <f t="shared" si="9"/>
        <v>1513.2600000000011</v>
      </c>
      <c r="I27" s="25">
        <f t="shared" si="9"/>
        <v>1828.6499999999999</v>
      </c>
      <c r="J27" s="25">
        <f t="shared" si="9"/>
        <v>2119</v>
      </c>
      <c r="K27" s="25">
        <f t="shared" si="9"/>
        <v>1349</v>
      </c>
      <c r="L27" s="25">
        <f t="shared" si="9"/>
        <v>2942</v>
      </c>
      <c r="M27" s="25">
        <f t="shared" si="9"/>
        <v>4438</v>
      </c>
      <c r="N27" s="186">
        <f t="shared" si="9"/>
        <v>4697.1427079286505</v>
      </c>
      <c r="O27" s="186">
        <f t="shared" si="9"/>
        <v>5511.1546703687536</v>
      </c>
      <c r="P27" s="186">
        <f t="shared" si="9"/>
        <v>6458.6803769065627</v>
      </c>
      <c r="Q27" s="186">
        <f t="shared" si="9"/>
        <v>7608.8322849960405</v>
      </c>
      <c r="R27" s="186">
        <f t="shared" si="9"/>
        <v>9059.5668099462491</v>
      </c>
    </row>
    <row r="28" spans="1:18" s="89" customFormat="1" ht="12.75" x14ac:dyDescent="0.2">
      <c r="A28" s="90"/>
      <c r="C28" s="115"/>
      <c r="D28" s="116">
        <f t="shared" ref="D28:R28" si="10">D27/C27-1</f>
        <v>2.1456783221581732E-2</v>
      </c>
      <c r="E28" s="116">
        <f t="shared" si="10"/>
        <v>8.4000491410552547E-2</v>
      </c>
      <c r="F28" s="116">
        <f t="shared" si="10"/>
        <v>-0.20992982820660411</v>
      </c>
      <c r="G28" s="116">
        <f t="shared" si="10"/>
        <v>0.24913035682266149</v>
      </c>
      <c r="H28" s="116">
        <f t="shared" si="10"/>
        <v>0.44815112540193125</v>
      </c>
      <c r="I28" s="116">
        <f t="shared" si="10"/>
        <v>0.20841758851750436</v>
      </c>
      <c r="J28" s="116">
        <f t="shared" si="10"/>
        <v>0.15877833374347206</v>
      </c>
      <c r="K28" s="116">
        <f t="shared" si="10"/>
        <v>-0.36337895233600759</v>
      </c>
      <c r="L28" s="116">
        <f>L27/K27-1</f>
        <v>1.1808747220163083</v>
      </c>
      <c r="M28" s="116">
        <f t="shared" si="10"/>
        <v>0.50849762066621351</v>
      </c>
      <c r="N28" s="181">
        <f t="shared" si="10"/>
        <v>5.8391777361120001E-2</v>
      </c>
      <c r="O28" s="181">
        <f t="shared" si="10"/>
        <v>0.17329938923636967</v>
      </c>
      <c r="P28" s="181">
        <f t="shared" si="10"/>
        <v>0.17192870881165279</v>
      </c>
      <c r="Q28" s="181">
        <f t="shared" si="10"/>
        <v>0.17807846819637052</v>
      </c>
      <c r="R28" s="181">
        <f t="shared" si="10"/>
        <v>0.19066454228606555</v>
      </c>
    </row>
    <row r="29" spans="1:18" x14ac:dyDescent="0.25">
      <c r="A29" t="s">
        <v>148</v>
      </c>
      <c r="C29" s="27">
        <v>100.8852</v>
      </c>
      <c r="D29" s="27">
        <v>120.22</v>
      </c>
      <c r="E29" s="27">
        <v>70.75</v>
      </c>
      <c r="F29" s="27">
        <v>73.92</v>
      </c>
      <c r="G29" s="27">
        <v>70.489999999999995</v>
      </c>
      <c r="H29" s="27">
        <v>88.86</v>
      </c>
      <c r="I29" s="27">
        <v>182.94</v>
      </c>
      <c r="J29" s="27">
        <v>153</v>
      </c>
      <c r="K29" s="27">
        <v>186</v>
      </c>
      <c r="L29" s="27">
        <v>234</v>
      </c>
      <c r="M29" s="27">
        <v>308</v>
      </c>
      <c r="N29" s="180"/>
      <c r="O29" s="180"/>
      <c r="P29" s="180"/>
      <c r="Q29" s="180"/>
      <c r="R29" s="180"/>
    </row>
    <row r="30" spans="1:18" x14ac:dyDescent="0.25">
      <c r="A30" t="s">
        <v>78</v>
      </c>
      <c r="C30" s="27">
        <v>50.645400000000002</v>
      </c>
      <c r="D30" s="27">
        <v>87.13</v>
      </c>
      <c r="E30" s="27">
        <v>80.69</v>
      </c>
      <c r="F30" s="27">
        <v>42.36</v>
      </c>
      <c r="G30" s="27">
        <v>37.74</v>
      </c>
      <c r="H30" s="27">
        <v>52.92</v>
      </c>
      <c r="I30" s="27">
        <v>52.54</v>
      </c>
      <c r="J30" s="27">
        <v>166</v>
      </c>
      <c r="K30" s="27">
        <v>203</v>
      </c>
      <c r="L30" s="27">
        <v>218</v>
      </c>
      <c r="M30" s="27">
        <v>300</v>
      </c>
      <c r="N30" s="180">
        <f ca="1">'Asset Schedule'!N44</f>
        <v>367.45013411969705</v>
      </c>
      <c r="O30" s="180">
        <f ca="1">'Asset Schedule'!O44</f>
        <v>459.01216075560291</v>
      </c>
      <c r="P30" s="180">
        <f ca="1">'Asset Schedule'!P44</f>
        <v>565.81102082667701</v>
      </c>
      <c r="Q30" s="180">
        <f ca="1">'Asset Schedule'!Q44</f>
        <v>691.1823939377357</v>
      </c>
      <c r="R30" s="180">
        <f ca="1">'Asset Schedule'!R44</f>
        <v>840.14628395091006</v>
      </c>
    </row>
    <row r="31" spans="1:18" x14ac:dyDescent="0.25">
      <c r="A31" s="2" t="s">
        <v>157</v>
      </c>
      <c r="B31" s="20"/>
      <c r="C31" s="25">
        <f>C27-C30+C29</f>
        <v>1006.5014999999994</v>
      </c>
      <c r="D31" s="25">
        <f t="shared" ref="D31:M31" si="11">D27-D30+D29</f>
        <v>1009.8700000000007</v>
      </c>
      <c r="E31" s="25">
        <f t="shared" si="11"/>
        <v>1048.8900000000001</v>
      </c>
      <c r="F31" s="25">
        <f t="shared" si="11"/>
        <v>868.11000000000149</v>
      </c>
      <c r="G31" s="25">
        <f t="shared" si="11"/>
        <v>1077.7099999999994</v>
      </c>
      <c r="H31" s="25">
        <f t="shared" si="11"/>
        <v>1549.200000000001</v>
      </c>
      <c r="I31" s="25">
        <f t="shared" si="11"/>
        <v>1959.05</v>
      </c>
      <c r="J31" s="25">
        <f t="shared" si="11"/>
        <v>2106</v>
      </c>
      <c r="K31" s="25">
        <f t="shared" si="11"/>
        <v>1332</v>
      </c>
      <c r="L31" s="25">
        <f t="shared" si="11"/>
        <v>2958</v>
      </c>
      <c r="M31" s="25">
        <f t="shared" si="11"/>
        <v>4446</v>
      </c>
      <c r="N31" s="186">
        <f ca="1">N27-N30+N29</f>
        <v>4329.6925738089531</v>
      </c>
      <c r="O31" s="186">
        <f ca="1">O27-O30+O29</f>
        <v>5052.1425096131507</v>
      </c>
      <c r="P31" s="186">
        <f ca="1">P27-P30+P29</f>
        <v>5892.8693560798856</v>
      </c>
      <c r="Q31" s="186">
        <f ca="1">Q27-Q30+Q29</f>
        <v>6917.649891058305</v>
      </c>
      <c r="R31" s="186">
        <f ca="1">R27-R30+R29</f>
        <v>8219.4205259953396</v>
      </c>
    </row>
    <row r="32" spans="1:18" s="89" customFormat="1" ht="12.75" x14ac:dyDescent="0.2">
      <c r="A32" s="90"/>
      <c r="C32" s="115"/>
      <c r="D32" s="116">
        <f t="shared" ref="D32:R32" si="12">D31/C31-1</f>
        <v>3.3467411623344656E-3</v>
      </c>
      <c r="E32" s="116">
        <f t="shared" si="12"/>
        <v>3.8638636656202596E-2</v>
      </c>
      <c r="F32" s="116">
        <f t="shared" si="12"/>
        <v>-0.17235363098132173</v>
      </c>
      <c r="G32" s="116">
        <f t="shared" si="12"/>
        <v>0.24144405662876545</v>
      </c>
      <c r="H32" s="116">
        <f t="shared" si="12"/>
        <v>0.4374924608660975</v>
      </c>
      <c r="I32" s="116">
        <f t="shared" si="12"/>
        <v>0.26455589981926075</v>
      </c>
      <c r="J32" s="116">
        <f t="shared" si="12"/>
        <v>7.5010847094254984E-2</v>
      </c>
      <c r="K32" s="116">
        <f t="shared" si="12"/>
        <v>-0.36752136752136755</v>
      </c>
      <c r="L32" s="116">
        <f t="shared" si="12"/>
        <v>1.2207207207207209</v>
      </c>
      <c r="M32" s="116">
        <f t="shared" si="12"/>
        <v>0.50304259634888449</v>
      </c>
      <c r="N32" s="181">
        <f t="shared" ca="1" si="12"/>
        <v>-2.6160014887774863E-2</v>
      </c>
      <c r="O32" s="181">
        <f t="shared" ca="1" si="12"/>
        <v>0.16685940710304004</v>
      </c>
      <c r="P32" s="181">
        <f t="shared" ca="1" si="12"/>
        <v>0.16640996267761854</v>
      </c>
      <c r="Q32" s="181">
        <f t="shared" ca="1" si="12"/>
        <v>0.17390179097066127</v>
      </c>
      <c r="R32" s="181">
        <f t="shared" ca="1" si="12"/>
        <v>0.18818105215467651</v>
      </c>
    </row>
    <row r="33" spans="1:18" x14ac:dyDescent="0.25">
      <c r="A33" t="s">
        <v>162</v>
      </c>
      <c r="C33" s="29">
        <v>0</v>
      </c>
      <c r="D33" s="29">
        <v>0</v>
      </c>
      <c r="E33" s="29">
        <v>0</v>
      </c>
      <c r="F33" s="29">
        <v>0</v>
      </c>
      <c r="G33" s="29">
        <v>102.69</v>
      </c>
      <c r="H33" s="29">
        <v>16.649999999999999</v>
      </c>
      <c r="I33" s="29">
        <v>0</v>
      </c>
      <c r="J33" s="29">
        <v>0</v>
      </c>
      <c r="K33" s="29">
        <v>0</v>
      </c>
      <c r="L33" s="29">
        <v>54</v>
      </c>
      <c r="M33" s="29"/>
      <c r="N33" s="180"/>
      <c r="O33" s="180"/>
      <c r="P33" s="180"/>
      <c r="Q33" s="180"/>
      <c r="R33" s="180"/>
    </row>
    <row r="34" spans="1:18" x14ac:dyDescent="0.25">
      <c r="A34" t="s">
        <v>160</v>
      </c>
      <c r="C34" s="29">
        <v>0.44009999999999999</v>
      </c>
      <c r="D34" s="29">
        <v>0.19</v>
      </c>
      <c r="E34" s="29"/>
      <c r="F34" s="29">
        <v>-2</v>
      </c>
      <c r="G34" s="29">
        <v>-1.7699999999999998</v>
      </c>
      <c r="H34" s="29">
        <v>-2.77</v>
      </c>
      <c r="I34" s="29">
        <v>-2.16</v>
      </c>
      <c r="J34" s="29">
        <v>-4</v>
      </c>
      <c r="K34" s="29">
        <v>-5</v>
      </c>
      <c r="L34" s="29">
        <v>0</v>
      </c>
      <c r="M34" s="29">
        <v>1</v>
      </c>
      <c r="N34" s="180"/>
      <c r="O34" s="180"/>
      <c r="P34" s="180"/>
      <c r="Q34" s="180"/>
      <c r="R34" s="180"/>
    </row>
    <row r="35" spans="1:18" x14ac:dyDescent="0.25">
      <c r="A35" s="2" t="s">
        <v>204</v>
      </c>
      <c r="B35" s="20"/>
      <c r="C35" s="25">
        <f t="shared" ref="C35:K35" si="13">C31-C33+C34</f>
        <v>1006.9415999999994</v>
      </c>
      <c r="D35" s="25">
        <f t="shared" si="13"/>
        <v>1010.0600000000007</v>
      </c>
      <c r="E35" s="25">
        <f t="shared" si="13"/>
        <v>1048.8900000000001</v>
      </c>
      <c r="F35" s="25">
        <f t="shared" si="13"/>
        <v>866.11000000000149</v>
      </c>
      <c r="G35" s="25">
        <f t="shared" si="13"/>
        <v>973.24999999999932</v>
      </c>
      <c r="H35" s="25">
        <f t="shared" si="13"/>
        <v>1529.7800000000009</v>
      </c>
      <c r="I35" s="25">
        <f t="shared" si="13"/>
        <v>1956.8899999999999</v>
      </c>
      <c r="J35" s="25">
        <f t="shared" si="13"/>
        <v>2102</v>
      </c>
      <c r="K35" s="25">
        <f t="shared" si="13"/>
        <v>1327</v>
      </c>
      <c r="L35" s="25">
        <f t="shared" ref="L35:R35" si="14">L31-L33+L34</f>
        <v>2904</v>
      </c>
      <c r="M35" s="25">
        <f t="shared" si="14"/>
        <v>4447</v>
      </c>
      <c r="N35" s="186">
        <f t="shared" ca="1" si="14"/>
        <v>4329.6925738089531</v>
      </c>
      <c r="O35" s="186">
        <f t="shared" ca="1" si="14"/>
        <v>5052.1425096131507</v>
      </c>
      <c r="P35" s="186">
        <f t="shared" ca="1" si="14"/>
        <v>5892.8693560798856</v>
      </c>
      <c r="Q35" s="186">
        <f t="shared" ca="1" si="14"/>
        <v>6917.649891058305</v>
      </c>
      <c r="R35" s="186">
        <f t="shared" ca="1" si="14"/>
        <v>8219.4205259953396</v>
      </c>
    </row>
    <row r="36" spans="1:18" x14ac:dyDescent="0.25">
      <c r="A36" t="s">
        <v>158</v>
      </c>
      <c r="C36" s="27">
        <v>281.56459999999998</v>
      </c>
      <c r="D36" s="27">
        <v>275.12</v>
      </c>
      <c r="E36" s="27">
        <v>232.64</v>
      </c>
      <c r="F36" s="27">
        <v>191.59</v>
      </c>
      <c r="G36" s="27">
        <v>275.97000000000003</v>
      </c>
      <c r="H36" s="27">
        <v>427.87</v>
      </c>
      <c r="I36" s="27">
        <v>568.24</v>
      </c>
      <c r="J36" s="27">
        <v>609</v>
      </c>
      <c r="K36" s="27">
        <v>353</v>
      </c>
      <c r="L36" s="27">
        <v>706</v>
      </c>
      <c r="M36" s="27">
        <v>1173</v>
      </c>
      <c r="N36" s="180">
        <f ca="1">N35*'Cost Drivers'!N36</f>
        <v>1097.3308767969711</v>
      </c>
      <c r="O36" s="180">
        <f ca="1">O35*'Cost Drivers'!O36</f>
        <v>1280.4308562951728</v>
      </c>
      <c r="P36" s="180">
        <f ca="1">P35*'Cost Drivers'!P36</f>
        <v>1493.5073073025239</v>
      </c>
      <c r="Q36" s="180">
        <f ca="1">Q35*'Cost Drivers'!Q36</f>
        <v>1753.2309028702025</v>
      </c>
      <c r="R36" s="180">
        <f ca="1">R35*'Cost Drivers'!R36</f>
        <v>2083.1557388424108</v>
      </c>
    </row>
    <row r="37" spans="1:18" x14ac:dyDescent="0.25">
      <c r="A37" s="2" t="s">
        <v>159</v>
      </c>
      <c r="B37" s="20"/>
      <c r="C37" s="25">
        <f>C35-C36</f>
        <v>725.3769999999995</v>
      </c>
      <c r="D37" s="25">
        <f t="shared" ref="D37:M37" si="15">D35-D36</f>
        <v>734.94000000000074</v>
      </c>
      <c r="E37" s="25">
        <f t="shared" si="15"/>
        <v>816.25000000000011</v>
      </c>
      <c r="F37" s="25">
        <f t="shared" si="15"/>
        <v>674.52000000000146</v>
      </c>
      <c r="G37" s="25">
        <f t="shared" si="15"/>
        <v>697.27999999999929</v>
      </c>
      <c r="H37" s="25">
        <f t="shared" si="15"/>
        <v>1101.9100000000008</v>
      </c>
      <c r="I37" s="25">
        <f t="shared" si="15"/>
        <v>1388.6499999999999</v>
      </c>
      <c r="J37" s="25">
        <f t="shared" si="15"/>
        <v>1493</v>
      </c>
      <c r="K37" s="25">
        <f t="shared" si="15"/>
        <v>974</v>
      </c>
      <c r="L37" s="25">
        <f t="shared" si="15"/>
        <v>2198</v>
      </c>
      <c r="M37" s="25">
        <f t="shared" si="15"/>
        <v>3274</v>
      </c>
      <c r="N37" s="186">
        <f ca="1">N35-N36</f>
        <v>3232.361697011982</v>
      </c>
      <c r="O37" s="186">
        <f ca="1">O35-O36</f>
        <v>3771.7116533179778</v>
      </c>
      <c r="P37" s="186">
        <f ca="1">P35-P36</f>
        <v>4399.3620487773615</v>
      </c>
      <c r="Q37" s="186">
        <f ca="1">Q35-Q36</f>
        <v>5164.418988188103</v>
      </c>
      <c r="R37" s="186">
        <f ca="1">R35-R36</f>
        <v>6136.2647871529289</v>
      </c>
    </row>
    <row r="38" spans="1:18" s="89" customFormat="1" ht="12.75" x14ac:dyDescent="0.2">
      <c r="C38" s="115"/>
      <c r="D38" s="116">
        <f t="shared" ref="D38:R38" si="16">D37/C37-1</f>
        <v>1.3183489413093108E-2</v>
      </c>
      <c r="E38" s="116">
        <f t="shared" si="16"/>
        <v>0.11063488175905412</v>
      </c>
      <c r="F38" s="116">
        <f t="shared" si="16"/>
        <v>-0.17363552833077933</v>
      </c>
      <c r="G38" s="116">
        <f t="shared" si="16"/>
        <v>3.3742513194564783E-2</v>
      </c>
      <c r="H38" s="116">
        <f t="shared" si="16"/>
        <v>0.58029772831574378</v>
      </c>
      <c r="I38" s="116">
        <f t="shared" si="16"/>
        <v>0.2602208891833262</v>
      </c>
      <c r="J38" s="116">
        <f t="shared" si="16"/>
        <v>7.5144924927087464E-2</v>
      </c>
      <c r="K38" s="116">
        <f t="shared" si="16"/>
        <v>-0.34762223710649698</v>
      </c>
      <c r="L38" s="116">
        <f t="shared" si="16"/>
        <v>1.2566735112936347</v>
      </c>
      <c r="M38" s="116">
        <f t="shared" si="16"/>
        <v>0.48953594176524118</v>
      </c>
      <c r="N38" s="181">
        <f t="shared" ca="1" si="16"/>
        <v>-1.2717868963963985E-2</v>
      </c>
      <c r="O38" s="181">
        <f t="shared" ca="1" si="16"/>
        <v>0.16685940710304004</v>
      </c>
      <c r="P38" s="181">
        <f t="shared" ca="1" si="16"/>
        <v>0.16640996267761854</v>
      </c>
      <c r="Q38" s="181">
        <f t="shared" ca="1" si="16"/>
        <v>0.1739017909706615</v>
      </c>
      <c r="R38" s="181">
        <f t="shared" ca="1" si="16"/>
        <v>0.18818105215467629</v>
      </c>
    </row>
    <row r="39" spans="1:18" x14ac:dyDescent="0.25">
      <c r="A39" s="38" t="s">
        <v>163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187"/>
      <c r="O39" s="187"/>
      <c r="P39" s="187"/>
      <c r="Q39" s="187"/>
      <c r="R39" s="187"/>
    </row>
    <row r="40" spans="1:18" x14ac:dyDescent="0.25">
      <c r="A40" t="s">
        <v>81</v>
      </c>
      <c r="C40" s="29">
        <v>8.17</v>
      </c>
      <c r="D40" s="29">
        <v>8.2799999999999994</v>
      </c>
      <c r="E40" s="29">
        <v>9.19</v>
      </c>
      <c r="F40" s="29">
        <v>7.6</v>
      </c>
      <c r="G40" s="29">
        <v>8.17</v>
      </c>
      <c r="H40" s="29">
        <v>12.73</v>
      </c>
      <c r="I40" s="29">
        <v>15.82</v>
      </c>
      <c r="J40" s="29">
        <v>16.91</v>
      </c>
      <c r="K40" s="29">
        <v>10.96</v>
      </c>
      <c r="L40" s="29">
        <v>24.49</v>
      </c>
      <c r="M40" s="29">
        <v>36.61</v>
      </c>
      <c r="N40" s="188"/>
      <c r="O40" s="188"/>
      <c r="P40" s="188"/>
      <c r="Q40" s="188"/>
      <c r="R40" s="188"/>
    </row>
    <row r="41" spans="1:18" x14ac:dyDescent="0.25">
      <c r="A41" t="s">
        <v>82</v>
      </c>
      <c r="C41" s="29">
        <v>8.17</v>
      </c>
      <c r="D41" s="29">
        <v>8.2799999999999994</v>
      </c>
      <c r="E41" s="29">
        <v>9.19</v>
      </c>
      <c r="F41" s="29">
        <v>7.6</v>
      </c>
      <c r="G41" s="29">
        <v>8.17</v>
      </c>
      <c r="H41" s="29">
        <v>12.73</v>
      </c>
      <c r="I41" s="29">
        <v>15.82</v>
      </c>
      <c r="J41" s="29">
        <v>16.91</v>
      </c>
      <c r="K41" s="29">
        <v>10.96</v>
      </c>
      <c r="L41" s="29">
        <v>24.49</v>
      </c>
      <c r="M41" s="29">
        <v>36.61</v>
      </c>
      <c r="N41" s="189"/>
      <c r="O41" s="189"/>
      <c r="P41" s="189"/>
      <c r="Q41" s="189"/>
      <c r="R41" s="189"/>
    </row>
    <row r="42" spans="1:18" x14ac:dyDescent="0.25">
      <c r="N42" s="189"/>
      <c r="O42" s="189"/>
      <c r="P42" s="189"/>
      <c r="Q42" s="189"/>
      <c r="R42" s="189"/>
    </row>
    <row r="43" spans="1:18" x14ac:dyDescent="0.25">
      <c r="A43" t="s">
        <v>197</v>
      </c>
      <c r="C43" s="22">
        <f>-CF!E65</f>
        <v>179.5539</v>
      </c>
      <c r="D43" s="22">
        <f>-CF!F65</f>
        <v>216.91</v>
      </c>
      <c r="E43" s="22">
        <f>-CF!G65</f>
        <v>216.91</v>
      </c>
      <c r="F43" s="22">
        <f>-CF!H65</f>
        <v>475.74</v>
      </c>
      <c r="G43" s="22">
        <f>-CF!I65</f>
        <v>3.55</v>
      </c>
      <c r="H43" s="22">
        <f>-CF!J65</f>
        <v>277.39</v>
      </c>
      <c r="I43" s="22">
        <f>-CF!K65</f>
        <v>397.38</v>
      </c>
      <c r="J43" s="22">
        <f>-CF!L65</f>
        <v>536</v>
      </c>
      <c r="K43" s="22">
        <f>-CF!M65</f>
        <v>355</v>
      </c>
      <c r="L43" s="22">
        <f>-CF!N65</f>
        <v>355</v>
      </c>
      <c r="M43" s="22">
        <f>-CF!O65</f>
        <v>666</v>
      </c>
      <c r="N43" s="190"/>
      <c r="O43" s="190"/>
      <c r="P43" s="190"/>
      <c r="Q43" s="190"/>
      <c r="R43" s="190"/>
    </row>
    <row r="44" spans="1:18" x14ac:dyDescent="0.25">
      <c r="A44" t="s">
        <v>198</v>
      </c>
      <c r="C44" s="53">
        <f t="shared" ref="C44:L44" si="17">C43/C37</f>
        <v>0.24753183516984978</v>
      </c>
      <c r="D44" s="53">
        <f t="shared" si="17"/>
        <v>0.29513973929844584</v>
      </c>
      <c r="E44" s="53">
        <f t="shared" si="17"/>
        <v>0.26573966309341496</v>
      </c>
      <c r="F44" s="53">
        <f t="shared" si="17"/>
        <v>0.7053015477672997</v>
      </c>
      <c r="G44" s="53">
        <f t="shared" si="17"/>
        <v>5.0912115649380495E-3</v>
      </c>
      <c r="H44" s="53">
        <f t="shared" si="17"/>
        <v>0.25173562269150818</v>
      </c>
      <c r="I44" s="53">
        <f t="shared" si="17"/>
        <v>0.2861628200050409</v>
      </c>
      <c r="J44" s="53">
        <f t="shared" si="17"/>
        <v>0.35900870730073675</v>
      </c>
      <c r="K44" s="53">
        <f t="shared" si="17"/>
        <v>0.36447638603696098</v>
      </c>
      <c r="L44" s="53">
        <f t="shared" si="17"/>
        <v>0.16151046405823477</v>
      </c>
      <c r="M44" s="53">
        <f t="shared" ref="M44" si="18">M43/M37</f>
        <v>0.20342089187538179</v>
      </c>
      <c r="N44" s="191"/>
      <c r="O44" s="191"/>
      <c r="P44" s="191"/>
      <c r="Q44" s="191"/>
      <c r="R44" s="191"/>
    </row>
    <row r="48" spans="1:18" x14ac:dyDescent="0.25">
      <c r="F48" t="s">
        <v>370</v>
      </c>
    </row>
    <row r="49" spans="1:13" x14ac:dyDescent="0.25">
      <c r="G49" s="5" t="s">
        <v>369</v>
      </c>
    </row>
    <row r="50" spans="1:13" x14ac:dyDescent="0.25">
      <c r="G50" s="137">
        <f>([1]IS!M8/[1]IS!D8)^(1/9)-1</f>
        <v>0.15643513203387793</v>
      </c>
    </row>
    <row r="51" spans="1:13" x14ac:dyDescent="0.25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 x14ac:dyDescent="0.25">
      <c r="A52" s="1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</row>
    <row r="53" spans="1:13" x14ac:dyDescent="0.25">
      <c r="A53" s="1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</row>
    <row r="54" spans="1:13" x14ac:dyDescent="0.25">
      <c r="D54" s="32"/>
      <c r="E54" s="32"/>
      <c r="F54" s="32"/>
      <c r="G54" s="32"/>
      <c r="H54" s="32"/>
      <c r="I54" s="32"/>
      <c r="J54" s="32"/>
      <c r="K54" s="32"/>
      <c r="L54" s="32"/>
      <c r="M54" s="32"/>
    </row>
    <row r="55" spans="1:13" x14ac:dyDescent="0.25">
      <c r="C55" s="54"/>
      <c r="D55" s="54"/>
      <c r="E55" s="54"/>
      <c r="F55" s="54"/>
      <c r="G55" s="27"/>
      <c r="H55" s="27"/>
      <c r="I55" s="27"/>
      <c r="J55" s="27"/>
      <c r="K55" s="27"/>
      <c r="L55" s="27"/>
      <c r="M55" s="27"/>
    </row>
    <row r="56" spans="1:13" x14ac:dyDescent="0.25">
      <c r="C56" s="54"/>
      <c r="D56" s="54"/>
      <c r="E56" s="54"/>
      <c r="F56" s="54"/>
      <c r="G56" s="27"/>
      <c r="H56" s="27"/>
      <c r="I56" s="27"/>
      <c r="J56" s="27"/>
      <c r="K56" s="27"/>
      <c r="L56" s="27"/>
      <c r="M56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152"/>
  <sheetViews>
    <sheetView showGridLines="0" workbookViewId="0">
      <pane xSplit="2" ySplit="6" topLeftCell="G7" activePane="bottomRight" state="frozen"/>
      <selection pane="topRight" activeCell="E1" sqref="E1"/>
      <selection pane="bottomLeft" activeCell="A7" sqref="A7"/>
      <selection pane="bottomRight" activeCell="N70" sqref="N70"/>
    </sheetView>
  </sheetViews>
  <sheetFormatPr defaultRowHeight="15" outlineLevelRow="1" x14ac:dyDescent="0.25"/>
  <cols>
    <col min="1" max="1" width="50.28515625" customWidth="1"/>
    <col min="2" max="2" width="2.42578125" customWidth="1"/>
    <col min="3" max="7" width="8.7109375" customWidth="1"/>
    <col min="8" max="8" width="8.85546875" bestFit="1" customWidth="1"/>
    <col min="9" max="9" width="8.7109375" customWidth="1"/>
    <col min="10" max="13" width="9.85546875" bestFit="1" customWidth="1"/>
    <col min="14" max="14" width="10.140625" style="73" bestFit="1" customWidth="1"/>
    <col min="15" max="18" width="8.7109375" style="73" customWidth="1"/>
  </cols>
  <sheetData>
    <row r="1" spans="1:18" ht="18.75" outlineLevel="1" x14ac:dyDescent="0.3">
      <c r="A1" s="6" t="s">
        <v>38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outlineLevel="1" x14ac:dyDescent="0.25">
      <c r="A2" s="1" t="s">
        <v>39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 outlineLevel="1" x14ac:dyDescent="0.25">
      <c r="A3" s="1" t="s">
        <v>85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 outlineLevel="1" x14ac:dyDescent="0.25">
      <c r="A4" s="1" t="s">
        <v>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8" outlineLevel="1" x14ac:dyDescent="0.25">
      <c r="A5" s="2" t="s">
        <v>26</v>
      </c>
      <c r="B5" s="2"/>
      <c r="C5" s="7">
        <v>41364</v>
      </c>
      <c r="D5" s="7">
        <f t="shared" ref="D5:K5" si="0">EOMONTH(C5,12)</f>
        <v>41729</v>
      </c>
      <c r="E5" s="7">
        <f t="shared" si="0"/>
        <v>42094</v>
      </c>
      <c r="F5" s="33">
        <f t="shared" si="0"/>
        <v>42460</v>
      </c>
      <c r="G5" s="33">
        <f t="shared" si="0"/>
        <v>42825</v>
      </c>
      <c r="H5" s="33">
        <f t="shared" si="0"/>
        <v>43190</v>
      </c>
      <c r="I5" s="33">
        <f t="shared" si="0"/>
        <v>43555</v>
      </c>
      <c r="J5" s="33">
        <f t="shared" si="0"/>
        <v>43921</v>
      </c>
      <c r="K5" s="33">
        <f t="shared" si="0"/>
        <v>44286</v>
      </c>
      <c r="L5" s="33">
        <f t="shared" ref="L5:R5" si="1">EOMONTH(K5,12)</f>
        <v>44651</v>
      </c>
      <c r="M5" s="33">
        <f t="shared" si="1"/>
        <v>45016</v>
      </c>
      <c r="N5" s="104">
        <f t="shared" si="1"/>
        <v>45382</v>
      </c>
      <c r="O5" s="104">
        <f t="shared" si="1"/>
        <v>45747</v>
      </c>
      <c r="P5" s="104">
        <f t="shared" si="1"/>
        <v>46112</v>
      </c>
      <c r="Q5" s="104">
        <f t="shared" si="1"/>
        <v>46477</v>
      </c>
      <c r="R5" s="104">
        <f t="shared" si="1"/>
        <v>46843</v>
      </c>
    </row>
    <row r="6" spans="1:18" x14ac:dyDescent="0.25">
      <c r="A6" s="1" t="s">
        <v>27</v>
      </c>
      <c r="B6" s="1"/>
      <c r="C6" s="8" t="s">
        <v>28</v>
      </c>
      <c r="D6" s="8" t="s">
        <v>29</v>
      </c>
      <c r="E6" s="8" t="s">
        <v>30</v>
      </c>
      <c r="F6" s="34" t="s">
        <v>31</v>
      </c>
      <c r="G6" s="34" t="s">
        <v>32</v>
      </c>
      <c r="H6" s="34" t="s">
        <v>33</v>
      </c>
      <c r="I6" s="34" t="s">
        <v>34</v>
      </c>
      <c r="J6" s="34" t="s">
        <v>35</v>
      </c>
      <c r="K6" s="34" t="s">
        <v>36</v>
      </c>
      <c r="L6" s="34" t="s">
        <v>37</v>
      </c>
      <c r="M6" s="34" t="s">
        <v>46</v>
      </c>
      <c r="N6" s="105" t="s">
        <v>42</v>
      </c>
      <c r="O6" s="105" t="s">
        <v>43</v>
      </c>
      <c r="P6" s="105" t="s">
        <v>44</v>
      </c>
      <c r="Q6" s="105" t="s">
        <v>45</v>
      </c>
      <c r="R6" s="105" t="s">
        <v>45</v>
      </c>
    </row>
    <row r="8" spans="1:18" x14ac:dyDescent="0.25">
      <c r="A8" s="72" t="s">
        <v>0</v>
      </c>
    </row>
    <row r="9" spans="1:18" x14ac:dyDescent="0.25">
      <c r="A9" s="1" t="s">
        <v>1</v>
      </c>
      <c r="D9" s="53"/>
      <c r="E9" s="53"/>
      <c r="F9" s="53"/>
      <c r="G9" s="53"/>
      <c r="H9" s="53"/>
      <c r="I9" s="53"/>
      <c r="J9" s="53"/>
      <c r="K9" s="53"/>
      <c r="L9" s="94"/>
      <c r="M9" s="94"/>
      <c r="N9" s="88"/>
      <c r="O9" s="88"/>
      <c r="P9" s="88"/>
      <c r="Q9" s="88"/>
      <c r="R9" s="88"/>
    </row>
    <row r="10" spans="1:18" x14ac:dyDescent="0.25">
      <c r="A10" s="201" t="s">
        <v>2</v>
      </c>
      <c r="C10" s="12">
        <v>446.62430000000001</v>
      </c>
      <c r="D10" s="12">
        <v>600.5</v>
      </c>
      <c r="E10" s="12">
        <v>662.3</v>
      </c>
      <c r="F10" s="12">
        <v>740.83</v>
      </c>
      <c r="G10" s="12">
        <v>853.16</v>
      </c>
      <c r="H10" s="16">
        <v>1102.04</v>
      </c>
      <c r="I10" s="16">
        <v>1182.31</v>
      </c>
      <c r="J10" s="11">
        <v>1285</v>
      </c>
      <c r="K10" s="11">
        <v>1216</v>
      </c>
      <c r="L10" s="111">
        <v>1218</v>
      </c>
      <c r="M10" s="111">
        <v>1343</v>
      </c>
      <c r="N10" s="204">
        <f>'Asset Schedule'!N14</f>
        <v>2816.7200505285637</v>
      </c>
      <c r="O10" s="204">
        <f>'Asset Schedule'!O14</f>
        <v>2834.5068260295607</v>
      </c>
      <c r="P10" s="204">
        <f>'Asset Schedule'!P14</f>
        <v>2927.0136182790843</v>
      </c>
      <c r="Q10" s="204">
        <f>'Asset Schedule'!Q14</f>
        <v>3099.3249562690853</v>
      </c>
      <c r="R10" s="204">
        <f>'Asset Schedule'!R14</f>
        <v>3363.751413453901</v>
      </c>
    </row>
    <row r="11" spans="1:18" x14ac:dyDescent="0.25">
      <c r="A11" s="201" t="s">
        <v>3</v>
      </c>
      <c r="C11" s="12">
        <v>41.761099999999999</v>
      </c>
      <c r="D11" s="12">
        <v>32.869999999999997</v>
      </c>
      <c r="E11" s="12">
        <v>55.19</v>
      </c>
      <c r="F11" s="12">
        <v>106.71</v>
      </c>
      <c r="G11" s="12">
        <v>143.24</v>
      </c>
      <c r="H11" s="12">
        <v>43.01</v>
      </c>
      <c r="I11" s="16">
        <v>28.95</v>
      </c>
      <c r="J11" s="13">
        <v>11</v>
      </c>
      <c r="K11" s="13">
        <v>19</v>
      </c>
      <c r="L11" s="112">
        <v>69</v>
      </c>
      <c r="M11" s="112">
        <v>133</v>
      </c>
      <c r="N11" s="205">
        <f>M11</f>
        <v>133</v>
      </c>
      <c r="O11" s="205">
        <f t="shared" ref="O11:R11" si="2">N11</f>
        <v>133</v>
      </c>
      <c r="P11" s="205">
        <f t="shared" si="2"/>
        <v>133</v>
      </c>
      <c r="Q11" s="205">
        <f t="shared" si="2"/>
        <v>133</v>
      </c>
      <c r="R11" s="205">
        <f t="shared" si="2"/>
        <v>133</v>
      </c>
    </row>
    <row r="12" spans="1:18" x14ac:dyDescent="0.25">
      <c r="A12" s="201" t="s">
        <v>4</v>
      </c>
      <c r="C12" s="12"/>
      <c r="D12" s="12"/>
      <c r="E12" s="12"/>
      <c r="F12" s="12"/>
      <c r="G12" s="12"/>
      <c r="H12" s="12"/>
      <c r="I12" s="16"/>
      <c r="J12" s="13">
        <v>935</v>
      </c>
      <c r="K12" s="13">
        <v>917</v>
      </c>
      <c r="L12" s="112">
        <v>973</v>
      </c>
      <c r="M12" s="112">
        <v>1285</v>
      </c>
      <c r="N12" s="204"/>
      <c r="O12" s="204"/>
      <c r="P12" s="204"/>
      <c r="Q12" s="204"/>
      <c r="R12" s="204"/>
    </row>
    <row r="13" spans="1:18" x14ac:dyDescent="0.25">
      <c r="A13" s="110" t="s">
        <v>5</v>
      </c>
      <c r="C13" s="12"/>
      <c r="D13" s="12"/>
      <c r="E13" s="12">
        <v>9.7200000000000006</v>
      </c>
      <c r="F13" s="12">
        <v>9.7200000000000006</v>
      </c>
      <c r="G13" s="12">
        <v>10.65</v>
      </c>
      <c r="H13" s="12">
        <v>22.68</v>
      </c>
      <c r="I13" s="16">
        <v>24.02</v>
      </c>
      <c r="J13" s="13">
        <v>24</v>
      </c>
      <c r="K13" s="13">
        <v>24</v>
      </c>
      <c r="L13" s="112">
        <v>1</v>
      </c>
      <c r="M13" s="112">
        <v>1</v>
      </c>
      <c r="N13" s="109">
        <v>1</v>
      </c>
      <c r="O13" s="109">
        <v>1</v>
      </c>
      <c r="P13" s="109">
        <v>1</v>
      </c>
      <c r="Q13" s="109">
        <v>1</v>
      </c>
      <c r="R13" s="109">
        <v>1</v>
      </c>
    </row>
    <row r="14" spans="1:18" x14ac:dyDescent="0.25">
      <c r="A14" s="110" t="s">
        <v>6</v>
      </c>
      <c r="C14" s="12"/>
      <c r="D14" s="12"/>
      <c r="E14" s="12"/>
      <c r="F14" s="12"/>
      <c r="G14" s="12">
        <v>123.01</v>
      </c>
      <c r="H14" s="12">
        <v>123.01</v>
      </c>
      <c r="I14" s="16">
        <v>123.01</v>
      </c>
      <c r="J14" s="13">
        <v>123</v>
      </c>
      <c r="K14" s="13">
        <v>123</v>
      </c>
      <c r="L14" s="112">
        <v>123</v>
      </c>
      <c r="M14" s="112">
        <v>123</v>
      </c>
      <c r="N14" s="109">
        <v>123</v>
      </c>
      <c r="O14" s="109">
        <v>123</v>
      </c>
      <c r="P14" s="109">
        <v>123</v>
      </c>
      <c r="Q14" s="109">
        <v>123</v>
      </c>
      <c r="R14" s="109">
        <v>123</v>
      </c>
    </row>
    <row r="15" spans="1:18" x14ac:dyDescent="0.25">
      <c r="A15" s="110" t="s">
        <v>7</v>
      </c>
      <c r="C15" s="12">
        <v>17.279800000000002</v>
      </c>
      <c r="D15" s="12">
        <v>13.73</v>
      </c>
      <c r="E15" s="12">
        <v>10.23</v>
      </c>
      <c r="F15" s="12">
        <v>19.989999999999998</v>
      </c>
      <c r="G15" s="12">
        <v>201.9</v>
      </c>
      <c r="H15" s="12">
        <v>226.08</v>
      </c>
      <c r="I15" s="16">
        <v>237.29</v>
      </c>
      <c r="J15" s="13">
        <v>266</v>
      </c>
      <c r="K15" s="13">
        <v>243</v>
      </c>
      <c r="L15" s="112">
        <v>229</v>
      </c>
      <c r="M15" s="112">
        <v>246</v>
      </c>
      <c r="N15" s="209"/>
      <c r="O15" s="209"/>
      <c r="P15" s="209"/>
      <c r="Q15" s="209"/>
      <c r="R15" s="209"/>
    </row>
    <row r="16" spans="1:18" x14ac:dyDescent="0.25">
      <c r="A16" s="110" t="s">
        <v>8</v>
      </c>
      <c r="C16" s="12"/>
      <c r="D16" s="12"/>
      <c r="E16" s="12"/>
      <c r="F16" s="12"/>
      <c r="G16" s="12">
        <v>8.83</v>
      </c>
      <c r="H16" s="17">
        <v>0.36</v>
      </c>
      <c r="I16" s="16">
        <v>2.82</v>
      </c>
      <c r="J16" s="13">
        <v>7</v>
      </c>
      <c r="K16" s="13">
        <v>13</v>
      </c>
      <c r="L16" s="112">
        <v>16</v>
      </c>
      <c r="M16" s="112">
        <v>11</v>
      </c>
      <c r="N16" s="109">
        <v>11</v>
      </c>
      <c r="O16" s="109">
        <v>11</v>
      </c>
      <c r="P16" s="109">
        <v>11</v>
      </c>
      <c r="Q16" s="109">
        <v>11</v>
      </c>
      <c r="R16" s="109">
        <v>11</v>
      </c>
    </row>
    <row r="17" spans="1:27" x14ac:dyDescent="0.25">
      <c r="A17" t="s">
        <v>9</v>
      </c>
      <c r="C17" s="12"/>
      <c r="D17" s="12"/>
      <c r="E17" s="12"/>
      <c r="F17" s="12"/>
      <c r="G17" s="12"/>
      <c r="H17" s="12"/>
      <c r="I17" s="16"/>
      <c r="J17" s="13"/>
      <c r="K17" s="13"/>
      <c r="L17" s="112"/>
      <c r="M17" s="112"/>
      <c r="N17" s="109"/>
      <c r="O17" s="109"/>
      <c r="P17" s="109"/>
      <c r="Q17" s="109"/>
      <c r="R17" s="109"/>
    </row>
    <row r="18" spans="1:27" x14ac:dyDescent="0.25">
      <c r="A18" s="120" t="s">
        <v>10</v>
      </c>
      <c r="C18" s="12">
        <v>2.9063999999999997</v>
      </c>
      <c r="D18" s="12">
        <v>3.09</v>
      </c>
      <c r="E18" s="12">
        <v>9.5</v>
      </c>
      <c r="F18" s="12">
        <v>27.86</v>
      </c>
      <c r="G18" s="12">
        <v>37.01</v>
      </c>
      <c r="H18" s="12">
        <v>34.380000000000003</v>
      </c>
      <c r="I18" s="16">
        <v>39.200000000000003</v>
      </c>
      <c r="J18" s="13">
        <v>44</v>
      </c>
      <c r="K18" s="13">
        <v>19</v>
      </c>
      <c r="L18" s="112">
        <v>279</v>
      </c>
      <c r="M18" s="112">
        <v>351</v>
      </c>
      <c r="N18" s="109">
        <v>351</v>
      </c>
      <c r="O18" s="109">
        <v>351</v>
      </c>
      <c r="P18" s="109">
        <v>351</v>
      </c>
      <c r="Q18" s="109">
        <v>351</v>
      </c>
      <c r="R18" s="109">
        <v>351</v>
      </c>
    </row>
    <row r="19" spans="1:27" x14ac:dyDescent="0.25">
      <c r="A19" s="120" t="s">
        <v>11</v>
      </c>
      <c r="C19" s="12">
        <v>173.602</v>
      </c>
      <c r="D19" s="12">
        <v>218.65</v>
      </c>
      <c r="E19" s="12"/>
      <c r="F19" s="12"/>
      <c r="G19" s="12"/>
      <c r="H19" s="12">
        <v>115.9</v>
      </c>
      <c r="I19" s="16">
        <v>129.13</v>
      </c>
      <c r="J19" s="13">
        <v>154</v>
      </c>
      <c r="K19" s="13">
        <v>43</v>
      </c>
      <c r="L19" s="112">
        <v>42</v>
      </c>
      <c r="M19" s="112">
        <v>54</v>
      </c>
      <c r="N19" s="109">
        <v>54</v>
      </c>
      <c r="O19" s="109">
        <v>54</v>
      </c>
      <c r="P19" s="109">
        <v>54</v>
      </c>
      <c r="Q19" s="109">
        <v>54</v>
      </c>
      <c r="R19" s="109">
        <v>54</v>
      </c>
    </row>
    <row r="20" spans="1:27" x14ac:dyDescent="0.25">
      <c r="A20" s="120" t="s">
        <v>12</v>
      </c>
      <c r="C20" s="12"/>
      <c r="D20" s="12"/>
      <c r="E20" s="12">
        <v>94.64</v>
      </c>
      <c r="F20" s="12">
        <v>105.09</v>
      </c>
      <c r="G20" s="12">
        <v>113.12</v>
      </c>
      <c r="H20" s="12">
        <v>9.15</v>
      </c>
      <c r="I20" s="16">
        <v>8.1199999999999992</v>
      </c>
      <c r="J20" s="13">
        <v>199</v>
      </c>
      <c r="K20" s="13">
        <v>326</v>
      </c>
      <c r="L20" s="13">
        <v>382</v>
      </c>
      <c r="M20" s="13">
        <v>595</v>
      </c>
      <c r="N20" s="58">
        <v>595</v>
      </c>
      <c r="O20" s="58">
        <v>595</v>
      </c>
      <c r="P20" s="58">
        <v>595</v>
      </c>
      <c r="Q20" s="58">
        <v>595</v>
      </c>
      <c r="R20" s="58">
        <v>595</v>
      </c>
    </row>
    <row r="21" spans="1:27" x14ac:dyDescent="0.25">
      <c r="A21" t="s">
        <v>13</v>
      </c>
      <c r="C21" s="12">
        <v>8.0377999999999989</v>
      </c>
      <c r="D21" s="12">
        <v>9.35</v>
      </c>
      <c r="E21" s="12">
        <v>3.65</v>
      </c>
      <c r="F21" s="12">
        <v>3.24</v>
      </c>
      <c r="G21" s="12">
        <v>3.59</v>
      </c>
      <c r="H21" s="12">
        <v>36.06</v>
      </c>
      <c r="I21" s="16">
        <v>74.180000000000007</v>
      </c>
      <c r="J21" s="13">
        <v>159</v>
      </c>
      <c r="K21" s="13">
        <v>105</v>
      </c>
      <c r="L21" s="13">
        <v>187</v>
      </c>
      <c r="M21" s="13">
        <v>158</v>
      </c>
      <c r="N21" s="58">
        <v>158</v>
      </c>
      <c r="O21" s="58">
        <v>158</v>
      </c>
      <c r="P21" s="58">
        <v>158</v>
      </c>
      <c r="Q21" s="58">
        <v>158</v>
      </c>
      <c r="R21" s="58">
        <v>158</v>
      </c>
    </row>
    <row r="22" spans="1:27" x14ac:dyDescent="0.25">
      <c r="A22" t="s">
        <v>14</v>
      </c>
      <c r="C22" s="12"/>
      <c r="D22" s="12"/>
      <c r="E22" s="12">
        <v>69.66</v>
      </c>
      <c r="F22" s="12">
        <v>102.44</v>
      </c>
      <c r="G22" s="12">
        <v>94.85</v>
      </c>
      <c r="H22" s="12">
        <v>102.19</v>
      </c>
      <c r="I22" s="16">
        <v>121.71</v>
      </c>
      <c r="J22" s="13">
        <v>144</v>
      </c>
      <c r="K22" s="13">
        <v>121</v>
      </c>
      <c r="L22" s="13">
        <v>137</v>
      </c>
      <c r="M22" s="13">
        <v>151</v>
      </c>
      <c r="N22" s="58">
        <v>151</v>
      </c>
      <c r="O22" s="58">
        <v>151</v>
      </c>
      <c r="P22" s="58">
        <v>151</v>
      </c>
      <c r="Q22" s="58">
        <v>151</v>
      </c>
      <c r="R22" s="58">
        <v>151</v>
      </c>
    </row>
    <row r="23" spans="1:27" x14ac:dyDescent="0.25">
      <c r="A23" t="s">
        <v>15</v>
      </c>
      <c r="C23" s="21"/>
      <c r="D23" s="12"/>
      <c r="E23" s="12">
        <v>95.46</v>
      </c>
      <c r="F23" s="12">
        <v>103.98</v>
      </c>
      <c r="G23" s="12">
        <v>82.84</v>
      </c>
      <c r="H23" s="12">
        <v>108.34</v>
      </c>
      <c r="I23" s="16">
        <v>157.21</v>
      </c>
      <c r="J23" s="13">
        <v>78</v>
      </c>
      <c r="K23" s="13">
        <v>86</v>
      </c>
      <c r="L23" s="13">
        <v>84</v>
      </c>
      <c r="M23" s="13">
        <v>165</v>
      </c>
      <c r="N23" s="58">
        <v>165</v>
      </c>
      <c r="O23" s="58">
        <v>165</v>
      </c>
      <c r="P23" s="58">
        <v>165</v>
      </c>
      <c r="Q23" s="58">
        <v>165</v>
      </c>
      <c r="R23" s="58">
        <v>165</v>
      </c>
    </row>
    <row r="24" spans="1:27" x14ac:dyDescent="0.25">
      <c r="C24" s="19">
        <f>SUM(C10:C23)</f>
        <v>690.21140000000003</v>
      </c>
      <c r="D24" s="19">
        <f t="shared" ref="D24:R24" si="3">SUM(D10:D23)</f>
        <v>878.19</v>
      </c>
      <c r="E24" s="45">
        <f t="shared" si="3"/>
        <v>1010.35</v>
      </c>
      <c r="F24" s="45">
        <f t="shared" si="3"/>
        <v>1219.8600000000001</v>
      </c>
      <c r="G24" s="45">
        <f t="shared" si="3"/>
        <v>1672.1999999999998</v>
      </c>
      <c r="H24" s="45">
        <f t="shared" si="3"/>
        <v>1923.2</v>
      </c>
      <c r="I24" s="45">
        <f t="shared" si="3"/>
        <v>2127.9499999999998</v>
      </c>
      <c r="J24" s="45">
        <f t="shared" si="3"/>
        <v>3429</v>
      </c>
      <c r="K24" s="45">
        <f t="shared" si="3"/>
        <v>3255</v>
      </c>
      <c r="L24" s="45">
        <f t="shared" si="3"/>
        <v>3740</v>
      </c>
      <c r="M24" s="45">
        <f t="shared" si="3"/>
        <v>4616</v>
      </c>
      <c r="N24" s="45">
        <f t="shared" si="3"/>
        <v>4558.7200505285637</v>
      </c>
      <c r="O24" s="45">
        <f t="shared" si="3"/>
        <v>4576.5068260295611</v>
      </c>
      <c r="P24" s="45">
        <f t="shared" si="3"/>
        <v>4669.0136182790848</v>
      </c>
      <c r="Q24" s="45">
        <f t="shared" si="3"/>
        <v>4841.3249562690853</v>
      </c>
      <c r="R24" s="45">
        <f t="shared" si="3"/>
        <v>5105.7514134539015</v>
      </c>
    </row>
    <row r="25" spans="1:27" x14ac:dyDescent="0.25">
      <c r="A25" s="1" t="s">
        <v>16</v>
      </c>
      <c r="C25" s="12"/>
      <c r="D25" s="12"/>
      <c r="E25" s="12"/>
      <c r="F25" s="12"/>
      <c r="G25" s="12"/>
      <c r="H25" s="12"/>
      <c r="I25" s="13"/>
      <c r="J25" s="13"/>
      <c r="K25" s="13"/>
      <c r="L25" s="13"/>
      <c r="M25" s="13"/>
      <c r="N25" s="88"/>
      <c r="O25" s="88"/>
      <c r="P25" s="88"/>
      <c r="Q25" s="88"/>
      <c r="R25" s="88"/>
    </row>
    <row r="26" spans="1:27" x14ac:dyDescent="0.25">
      <c r="A26" s="201" t="s">
        <v>17</v>
      </c>
      <c r="C26" s="16">
        <v>3680.3296</v>
      </c>
      <c r="D26" s="16">
        <v>3869.39</v>
      </c>
      <c r="E26" s="16">
        <v>4049.31</v>
      </c>
      <c r="F26" s="16">
        <v>4447.1499999999996</v>
      </c>
      <c r="G26" s="16">
        <v>4925.74</v>
      </c>
      <c r="H26" s="16">
        <v>5924.84</v>
      </c>
      <c r="I26" s="16">
        <v>7038.82</v>
      </c>
      <c r="J26" s="11">
        <v>8103</v>
      </c>
      <c r="K26" s="11">
        <v>8408</v>
      </c>
      <c r="L26" s="11">
        <v>13609</v>
      </c>
      <c r="M26" s="11">
        <v>16584</v>
      </c>
      <c r="N26" s="204">
        <f>'Asset Schedule'!N47</f>
        <v>16066.984204844142</v>
      </c>
      <c r="O26" s="204">
        <f>'Asset Schedule'!O47</f>
        <v>21656.160132907447</v>
      </c>
      <c r="P26" s="204">
        <f>'Asset Schedule'!P47</f>
        <v>22060.570588434566</v>
      </c>
      <c r="Q26" s="204">
        <f>'Asset Schedule'!Q47</f>
        <v>29006.271906623835</v>
      </c>
      <c r="R26" s="204">
        <f>'Asset Schedule'!R47</f>
        <v>31390.256297498971</v>
      </c>
      <c r="W26" s="53"/>
      <c r="X26" s="53"/>
      <c r="Y26" s="53"/>
      <c r="Z26" s="53"/>
      <c r="AA26" s="53"/>
    </row>
    <row r="27" spans="1:27" x14ac:dyDescent="0.25">
      <c r="A27" t="s">
        <v>18</v>
      </c>
      <c r="C27" s="1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88"/>
      <c r="O27" s="88"/>
      <c r="P27" s="88"/>
      <c r="Q27" s="88"/>
      <c r="R27" s="88"/>
    </row>
    <row r="28" spans="1:27" x14ac:dyDescent="0.25">
      <c r="A28" s="203" t="s">
        <v>10</v>
      </c>
      <c r="C28" s="12"/>
      <c r="D28" s="12"/>
      <c r="E28" s="12"/>
      <c r="F28" s="12">
        <v>2.5499999999999998</v>
      </c>
      <c r="G28" s="12">
        <v>393.72</v>
      </c>
      <c r="H28" s="12">
        <v>1.61</v>
      </c>
      <c r="I28" s="16">
        <v>69.22</v>
      </c>
      <c r="J28" s="13">
        <v>114</v>
      </c>
      <c r="K28" s="11">
        <v>2805</v>
      </c>
      <c r="L28" s="13">
        <v>15</v>
      </c>
      <c r="M28" s="13">
        <v>2164</v>
      </c>
      <c r="N28" s="13">
        <v>2164</v>
      </c>
      <c r="O28" s="13">
        <v>2164</v>
      </c>
      <c r="P28" s="13">
        <v>2164</v>
      </c>
      <c r="Q28" s="13">
        <v>2164</v>
      </c>
      <c r="R28" s="13">
        <v>2164</v>
      </c>
      <c r="Y28" s="75"/>
    </row>
    <row r="29" spans="1:27" x14ac:dyDescent="0.25">
      <c r="A29" s="202" t="s">
        <v>19</v>
      </c>
      <c r="C29" s="12">
        <v>165.83349999999999</v>
      </c>
      <c r="D29" s="12">
        <v>154.13</v>
      </c>
      <c r="E29" s="12">
        <v>189.74</v>
      </c>
      <c r="F29" s="12">
        <v>192.5</v>
      </c>
      <c r="G29" s="12">
        <v>207.6</v>
      </c>
      <c r="H29" s="12">
        <v>295.69</v>
      </c>
      <c r="I29" s="16">
        <v>420.45</v>
      </c>
      <c r="J29" s="13">
        <v>312</v>
      </c>
      <c r="K29" s="13">
        <v>366</v>
      </c>
      <c r="L29" s="13">
        <v>565</v>
      </c>
      <c r="M29" s="13">
        <v>674</v>
      </c>
      <c r="N29" s="204">
        <f>'Asset Schedule'!N50</f>
        <v>689.60134886761762</v>
      </c>
      <c r="O29" s="204">
        <f>'Asset Schedule'!O50</f>
        <v>885.82835884864471</v>
      </c>
      <c r="P29" s="204">
        <f>'Asset Schedule'!P50</f>
        <v>939.91118412232163</v>
      </c>
      <c r="Q29" s="204">
        <f>'Asset Schedule'!Q50</f>
        <v>1192.7906931564862</v>
      </c>
      <c r="R29" s="204">
        <f>'Asset Schedule'!R50</f>
        <v>1329.5463613524071</v>
      </c>
      <c r="S29" s="22"/>
      <c r="T29" s="22"/>
      <c r="U29" s="22"/>
      <c r="V29" s="22"/>
    </row>
    <row r="30" spans="1:27" x14ac:dyDescent="0.25">
      <c r="A30" s="211" t="s">
        <v>20</v>
      </c>
      <c r="C30" s="16">
        <v>1139.0424</v>
      </c>
      <c r="D30" s="12">
        <v>892.67</v>
      </c>
      <c r="E30" s="12">
        <v>213.8</v>
      </c>
      <c r="F30" s="12">
        <v>116.35</v>
      </c>
      <c r="G30" s="12">
        <v>678</v>
      </c>
      <c r="H30" s="12">
        <v>472.05</v>
      </c>
      <c r="I30" s="16">
        <v>429.53</v>
      </c>
      <c r="J30" s="13">
        <v>75</v>
      </c>
      <c r="K30" s="13">
        <v>181</v>
      </c>
      <c r="L30" s="13">
        <v>219</v>
      </c>
      <c r="M30" s="13">
        <v>232</v>
      </c>
      <c r="N30" s="213">
        <f ca="1">CF!P73</f>
        <v>6204.7521106886343</v>
      </c>
      <c r="O30" s="213">
        <f ca="1">CF!Q73</f>
        <v>7342.2594504205281</v>
      </c>
      <c r="P30" s="213">
        <f ca="1">CF!R73</f>
        <v>14256.107249974124</v>
      </c>
      <c r="Q30" s="213">
        <f ca="1">CF!S73</f>
        <v>16218.418918460753</v>
      </c>
      <c r="R30" s="213">
        <f ca="1">CF!T73</f>
        <v>23871.667862565366</v>
      </c>
    </row>
    <row r="31" spans="1:27" x14ac:dyDescent="0.25">
      <c r="A31" t="s">
        <v>21</v>
      </c>
      <c r="C31" s="12"/>
      <c r="D31" s="12"/>
      <c r="E31" s="12"/>
      <c r="F31" s="12"/>
      <c r="G31" s="12">
        <v>100.93</v>
      </c>
      <c r="H31" s="12">
        <v>145.86000000000001</v>
      </c>
      <c r="I31" s="16">
        <v>636.95000000000005</v>
      </c>
      <c r="J31" s="13">
        <v>306</v>
      </c>
      <c r="K31" s="13">
        <v>379</v>
      </c>
      <c r="L31" s="11">
        <v>1354</v>
      </c>
      <c r="M31" s="11">
        <v>1111</v>
      </c>
      <c r="N31" s="11">
        <v>1111</v>
      </c>
      <c r="O31" s="11">
        <v>1111</v>
      </c>
      <c r="P31" s="11">
        <v>1111</v>
      </c>
      <c r="Q31" s="11">
        <v>1111</v>
      </c>
      <c r="R31" s="11">
        <v>1111</v>
      </c>
    </row>
    <row r="32" spans="1:27" x14ac:dyDescent="0.25">
      <c r="A32" t="s">
        <v>22</v>
      </c>
      <c r="C32" s="12">
        <v>199.32689999999999</v>
      </c>
      <c r="D32" s="12">
        <v>300.3</v>
      </c>
      <c r="E32" s="12"/>
      <c r="F32" s="12"/>
      <c r="G32" s="12">
        <v>0</v>
      </c>
      <c r="H32" s="12">
        <v>266.32</v>
      </c>
      <c r="I32" s="16">
        <v>246.6</v>
      </c>
      <c r="J32" s="13">
        <v>56</v>
      </c>
      <c r="K32" s="13">
        <v>76</v>
      </c>
      <c r="L32" s="13">
        <v>423</v>
      </c>
      <c r="M32" s="13">
        <v>135</v>
      </c>
      <c r="N32" s="13">
        <v>135</v>
      </c>
      <c r="O32" s="13">
        <v>135</v>
      </c>
      <c r="P32" s="13">
        <v>135</v>
      </c>
      <c r="Q32" s="13">
        <v>135</v>
      </c>
      <c r="R32" s="13">
        <v>135</v>
      </c>
    </row>
    <row r="33" spans="1:18" x14ac:dyDescent="0.25">
      <c r="A33" t="s">
        <v>23</v>
      </c>
      <c r="C33" s="12"/>
      <c r="D33" s="12"/>
      <c r="E33" s="12">
        <v>274.32</v>
      </c>
      <c r="F33" s="12">
        <v>242.84</v>
      </c>
      <c r="G33" s="12">
        <v>287.29000000000002</v>
      </c>
      <c r="H33" s="12">
        <v>73.34</v>
      </c>
      <c r="I33" s="16">
        <v>98.98</v>
      </c>
      <c r="J33" s="13">
        <v>459</v>
      </c>
      <c r="K33" s="13">
        <v>230</v>
      </c>
      <c r="L33" s="13">
        <v>291</v>
      </c>
      <c r="M33" s="13">
        <v>201</v>
      </c>
      <c r="N33" s="13">
        <v>201</v>
      </c>
      <c r="O33" s="13">
        <v>201</v>
      </c>
      <c r="P33" s="13">
        <v>201</v>
      </c>
      <c r="Q33" s="13">
        <v>201</v>
      </c>
      <c r="R33" s="13">
        <v>201</v>
      </c>
    </row>
    <row r="34" spans="1:18" x14ac:dyDescent="0.25">
      <c r="A34" t="s">
        <v>24</v>
      </c>
      <c r="C34" s="12">
        <v>9.5229999999999997</v>
      </c>
      <c r="D34" s="12">
        <v>16.71</v>
      </c>
      <c r="E34" s="12">
        <v>125.51</v>
      </c>
      <c r="F34" s="12">
        <v>123.9</v>
      </c>
      <c r="G34" s="12">
        <v>142.41999999999999</v>
      </c>
      <c r="H34" s="12">
        <v>421.3</v>
      </c>
      <c r="I34" s="16">
        <v>646.75</v>
      </c>
      <c r="J34" s="13">
        <v>696</v>
      </c>
      <c r="K34" s="13">
        <v>752</v>
      </c>
      <c r="L34" s="13">
        <v>978</v>
      </c>
      <c r="M34" s="13">
        <v>1288</v>
      </c>
      <c r="N34" s="13">
        <v>1288</v>
      </c>
      <c r="O34" s="13">
        <v>1288</v>
      </c>
      <c r="P34" s="13">
        <v>1288</v>
      </c>
      <c r="Q34" s="13">
        <v>1288</v>
      </c>
      <c r="R34" s="13">
        <v>1288</v>
      </c>
    </row>
    <row r="35" spans="1:18" x14ac:dyDescent="0.25">
      <c r="A35" t="s">
        <v>213</v>
      </c>
      <c r="C35" s="12"/>
      <c r="D35" s="12"/>
      <c r="E35" s="12"/>
      <c r="F35" s="12"/>
      <c r="G35" s="12"/>
      <c r="H35" s="12"/>
      <c r="I35" s="16"/>
      <c r="J35" s="13"/>
      <c r="K35" s="13"/>
      <c r="L35" s="13"/>
      <c r="M35" s="13">
        <v>18</v>
      </c>
      <c r="N35" s="13">
        <v>18</v>
      </c>
      <c r="O35" s="13">
        <v>18</v>
      </c>
      <c r="P35" s="13">
        <v>18</v>
      </c>
      <c r="Q35" s="13">
        <v>18</v>
      </c>
      <c r="R35" s="13">
        <v>18</v>
      </c>
    </row>
    <row r="36" spans="1:18" x14ac:dyDescent="0.25">
      <c r="C36" s="45">
        <f>SUM(C26:C35)</f>
        <v>5194.0554000000002</v>
      </c>
      <c r="D36" s="45">
        <f t="shared" ref="D36:M36" si="4">SUM(D26:D35)</f>
        <v>5233.2</v>
      </c>
      <c r="E36" s="45">
        <f t="shared" si="4"/>
        <v>4852.68</v>
      </c>
      <c r="F36" s="45">
        <f t="shared" si="4"/>
        <v>5125.29</v>
      </c>
      <c r="G36" s="45">
        <f t="shared" si="4"/>
        <v>6735.7000000000007</v>
      </c>
      <c r="H36" s="45">
        <f t="shared" si="4"/>
        <v>7601.0099999999993</v>
      </c>
      <c r="I36" s="45">
        <f t="shared" si="4"/>
        <v>9587.2999999999993</v>
      </c>
      <c r="J36" s="45">
        <f t="shared" si="4"/>
        <v>10121</v>
      </c>
      <c r="K36" s="45">
        <f t="shared" si="4"/>
        <v>13197</v>
      </c>
      <c r="L36" s="45">
        <f t="shared" si="4"/>
        <v>17454</v>
      </c>
      <c r="M36" s="45">
        <f t="shared" si="4"/>
        <v>22407</v>
      </c>
      <c r="N36" s="45">
        <f t="shared" ref="N36:R36" ca="1" si="5">SUM(N26:N35)</f>
        <v>27878.337664400395</v>
      </c>
      <c r="O36" s="45">
        <f t="shared" ca="1" si="5"/>
        <v>34801.247942176618</v>
      </c>
      <c r="P36" s="45">
        <f t="shared" ca="1" si="5"/>
        <v>42173.589022531014</v>
      </c>
      <c r="Q36" s="45">
        <f t="shared" ca="1" si="5"/>
        <v>51334.481518241075</v>
      </c>
      <c r="R36" s="45">
        <f t="shared" ca="1" si="5"/>
        <v>61508.470521416741</v>
      </c>
    </row>
    <row r="37" spans="1:18" x14ac:dyDescent="0.25">
      <c r="A37" s="1" t="s">
        <v>47</v>
      </c>
      <c r="C37" s="46">
        <f>C24+C36</f>
        <v>5884.2668000000003</v>
      </c>
      <c r="D37" s="46">
        <f t="shared" ref="D37:M37" si="6">D24+D36</f>
        <v>6111.3899999999994</v>
      </c>
      <c r="E37" s="46">
        <f t="shared" si="6"/>
        <v>5863.0300000000007</v>
      </c>
      <c r="F37" s="46">
        <f t="shared" si="6"/>
        <v>6345.15</v>
      </c>
      <c r="G37" s="46">
        <f t="shared" si="6"/>
        <v>8407.9000000000015</v>
      </c>
      <c r="H37" s="46">
        <f t="shared" si="6"/>
        <v>9524.2099999999991</v>
      </c>
      <c r="I37" s="46">
        <f t="shared" si="6"/>
        <v>11715.25</v>
      </c>
      <c r="J37" s="46">
        <f t="shared" si="6"/>
        <v>13550</v>
      </c>
      <c r="K37" s="46">
        <f t="shared" si="6"/>
        <v>16452</v>
      </c>
      <c r="L37" s="46">
        <f t="shared" si="6"/>
        <v>21194</v>
      </c>
      <c r="M37" s="46">
        <f t="shared" si="6"/>
        <v>27023</v>
      </c>
      <c r="N37" s="46">
        <f t="shared" ref="N37:R37" ca="1" si="7">N24+N36</f>
        <v>32437.05771492896</v>
      </c>
      <c r="O37" s="46">
        <f t="shared" ca="1" si="7"/>
        <v>39377.754768206178</v>
      </c>
      <c r="P37" s="46">
        <f t="shared" ca="1" si="7"/>
        <v>46842.602640810102</v>
      </c>
      <c r="Q37" s="46">
        <f t="shared" ca="1" si="7"/>
        <v>56175.806474510158</v>
      </c>
      <c r="R37" s="46">
        <f t="shared" ca="1" si="7"/>
        <v>66614.221934870642</v>
      </c>
    </row>
    <row r="38" spans="1:18" x14ac:dyDescent="0.25">
      <c r="C38" s="12"/>
      <c r="D38" s="12"/>
      <c r="E38" s="12"/>
      <c r="F38" s="12"/>
      <c r="G38" s="12"/>
      <c r="H38" s="12"/>
      <c r="I38" s="13"/>
      <c r="J38" s="13"/>
      <c r="K38" s="13"/>
      <c r="L38" s="13"/>
      <c r="M38" s="13"/>
    </row>
    <row r="39" spans="1:18" x14ac:dyDescent="0.25">
      <c r="A39" s="72" t="s">
        <v>48</v>
      </c>
      <c r="C39" s="12"/>
      <c r="D39" s="12"/>
      <c r="E39" s="12"/>
      <c r="F39" s="12"/>
      <c r="G39" s="12"/>
      <c r="H39" s="12"/>
      <c r="I39" s="13"/>
      <c r="J39" s="13"/>
      <c r="K39" s="13"/>
      <c r="L39" s="13"/>
      <c r="M39" s="13"/>
    </row>
    <row r="40" spans="1:18" x14ac:dyDescent="0.25">
      <c r="A40" s="113" t="s">
        <v>49</v>
      </c>
      <c r="C40" s="12"/>
      <c r="D40" s="12"/>
      <c r="E40" s="12"/>
      <c r="F40" s="12"/>
      <c r="G40" s="12"/>
      <c r="H40" s="12"/>
      <c r="I40" s="13"/>
      <c r="J40" s="13"/>
      <c r="K40" s="13"/>
      <c r="L40" s="87"/>
      <c r="M40" s="87"/>
    </row>
    <row r="41" spans="1:18" x14ac:dyDescent="0.25">
      <c r="A41" s="110" t="s">
        <v>50</v>
      </c>
      <c r="C41" s="12">
        <v>88.778600000000012</v>
      </c>
      <c r="D41" s="12">
        <v>88.78</v>
      </c>
      <c r="E41" s="12">
        <v>88.78</v>
      </c>
      <c r="F41" s="12">
        <v>88.78</v>
      </c>
      <c r="G41" s="12">
        <v>88.78</v>
      </c>
      <c r="H41" s="12">
        <v>88.78</v>
      </c>
      <c r="I41" s="11">
        <v>88.78</v>
      </c>
      <c r="J41" s="13">
        <v>89</v>
      </c>
      <c r="K41" s="13">
        <v>89</v>
      </c>
      <c r="L41" s="13">
        <v>89</v>
      </c>
      <c r="M41" s="13">
        <v>89</v>
      </c>
      <c r="N41" s="109">
        <f>M41</f>
        <v>89</v>
      </c>
      <c r="O41" s="109">
        <f>N41</f>
        <v>89</v>
      </c>
      <c r="P41" s="109">
        <f>O41</f>
        <v>89</v>
      </c>
      <c r="Q41" s="109">
        <f>P41</f>
        <v>89</v>
      </c>
      <c r="R41" s="109">
        <f>Q41</f>
        <v>89</v>
      </c>
    </row>
    <row r="42" spans="1:18" x14ac:dyDescent="0.25">
      <c r="A42" s="110" t="s">
        <v>51</v>
      </c>
      <c r="C42" s="16">
        <v>1881.0736999999999</v>
      </c>
      <c r="D42" s="16">
        <v>2433.9499999999998</v>
      </c>
      <c r="E42" s="16">
        <v>3263.4</v>
      </c>
      <c r="F42" s="16">
        <v>3417.5</v>
      </c>
      <c r="G42" s="16">
        <v>4143.6000000000004</v>
      </c>
      <c r="H42" s="16">
        <v>5001.1000000000004</v>
      </c>
      <c r="I42" s="16">
        <v>5981.37</v>
      </c>
      <c r="J42" s="16">
        <v>6580</v>
      </c>
      <c r="K42" s="16">
        <v>7408</v>
      </c>
      <c r="L42" s="16">
        <v>9214</v>
      </c>
      <c r="M42" s="16">
        <v>11762</v>
      </c>
      <c r="N42" s="88">
        <f ca="1">M42+IS!N37</f>
        <v>14994.361697011982</v>
      </c>
      <c r="O42" s="88">
        <f ca="1">N42+IS!O37</f>
        <v>18766.07335032996</v>
      </c>
      <c r="P42" s="88">
        <f ca="1">O42+IS!P37</f>
        <v>23165.435399107322</v>
      </c>
      <c r="Q42" s="88">
        <f ca="1">P42+IS!Q37</f>
        <v>28329.854387295425</v>
      </c>
      <c r="R42" s="88">
        <f ca="1">Q42+IS!R37</f>
        <v>34466.119174448351</v>
      </c>
    </row>
    <row r="43" spans="1:18" x14ac:dyDescent="0.25">
      <c r="A43" s="196" t="s">
        <v>52</v>
      </c>
      <c r="C43" s="16"/>
      <c r="D43" s="16"/>
      <c r="E43" s="16"/>
      <c r="F43" s="16"/>
      <c r="G43" s="43">
        <f t="shared" ref="G43:R43" si="8">SUM(G41:G42)</f>
        <v>4232.38</v>
      </c>
      <c r="H43" s="43">
        <f t="shared" si="8"/>
        <v>5089.88</v>
      </c>
      <c r="I43" s="43">
        <f t="shared" si="8"/>
        <v>6070.15</v>
      </c>
      <c r="J43" s="43">
        <f t="shared" si="8"/>
        <v>6669</v>
      </c>
      <c r="K43" s="43">
        <f t="shared" si="8"/>
        <v>7497</v>
      </c>
      <c r="L43" s="43">
        <f t="shared" si="8"/>
        <v>9303</v>
      </c>
      <c r="M43" s="43">
        <f t="shared" si="8"/>
        <v>11851</v>
      </c>
      <c r="N43" s="43">
        <f t="shared" ca="1" si="8"/>
        <v>15083.361697011982</v>
      </c>
      <c r="O43" s="43">
        <f t="shared" ca="1" si="8"/>
        <v>18855.07335032996</v>
      </c>
      <c r="P43" s="43">
        <f t="shared" ca="1" si="8"/>
        <v>23254.435399107322</v>
      </c>
      <c r="Q43" s="43">
        <f t="shared" ca="1" si="8"/>
        <v>28418.854387295425</v>
      </c>
      <c r="R43" s="43">
        <f t="shared" ca="1" si="8"/>
        <v>34555.119174448351</v>
      </c>
    </row>
    <row r="44" spans="1:18" x14ac:dyDescent="0.25">
      <c r="A44" s="110" t="s">
        <v>53</v>
      </c>
      <c r="C44" s="12"/>
      <c r="D44" s="12"/>
      <c r="E44" s="12"/>
      <c r="F44" s="12"/>
      <c r="G44" s="12">
        <v>26.36</v>
      </c>
      <c r="H44" s="12">
        <v>-1.82</v>
      </c>
      <c r="I44" s="11">
        <v>14.08</v>
      </c>
      <c r="J44" s="13">
        <v>4</v>
      </c>
      <c r="K44" s="13">
        <v>5</v>
      </c>
      <c r="L44" s="13">
        <v>30</v>
      </c>
      <c r="M44" s="13">
        <v>53</v>
      </c>
      <c r="N44" s="58">
        <f>M44</f>
        <v>53</v>
      </c>
      <c r="O44" s="58">
        <f>N44</f>
        <v>53</v>
      </c>
      <c r="P44" s="58">
        <f>O44</f>
        <v>53</v>
      </c>
      <c r="Q44" s="58">
        <f>P44</f>
        <v>53</v>
      </c>
      <c r="R44" s="58">
        <f>Q44</f>
        <v>53</v>
      </c>
    </row>
    <row r="45" spans="1:18" x14ac:dyDescent="0.25">
      <c r="A45" s="1" t="s">
        <v>54</v>
      </c>
      <c r="C45" s="45">
        <f>SUM(C41:C44)</f>
        <v>1969.8523</v>
      </c>
      <c r="D45" s="45">
        <f>SUM(D41:D44)</f>
        <v>2522.73</v>
      </c>
      <c r="E45" s="45">
        <f>SUM(E41:E44)</f>
        <v>3352.1800000000003</v>
      </c>
      <c r="F45" s="45">
        <f>SUM(F41:F44)</f>
        <v>3506.28</v>
      </c>
      <c r="G45" s="45">
        <f t="shared" ref="G45:R45" si="9">G43+G44</f>
        <v>4258.74</v>
      </c>
      <c r="H45" s="45">
        <f t="shared" si="9"/>
        <v>5088.0600000000004</v>
      </c>
      <c r="I45" s="45">
        <f t="shared" si="9"/>
        <v>6084.23</v>
      </c>
      <c r="J45" s="45">
        <f t="shared" si="9"/>
        <v>6673</v>
      </c>
      <c r="K45" s="45">
        <f t="shared" si="9"/>
        <v>7502</v>
      </c>
      <c r="L45" s="45">
        <f t="shared" si="9"/>
        <v>9333</v>
      </c>
      <c r="M45" s="45">
        <f t="shared" si="9"/>
        <v>11904</v>
      </c>
      <c r="N45" s="45">
        <f t="shared" ca="1" si="9"/>
        <v>15136.361697011982</v>
      </c>
      <c r="O45" s="45">
        <f t="shared" ca="1" si="9"/>
        <v>18908.07335032996</v>
      </c>
      <c r="P45" s="45">
        <f t="shared" ca="1" si="9"/>
        <v>23307.435399107322</v>
      </c>
      <c r="Q45" s="45">
        <f t="shared" ca="1" si="9"/>
        <v>28471.854387295425</v>
      </c>
      <c r="R45" s="45">
        <f t="shared" ca="1" si="9"/>
        <v>34608.119174448351</v>
      </c>
    </row>
    <row r="46" spans="1:18" x14ac:dyDescent="0.25">
      <c r="A46" s="1" t="s">
        <v>73</v>
      </c>
      <c r="C46" s="12"/>
      <c r="D46" s="12"/>
      <c r="E46" s="12"/>
      <c r="F46" s="12"/>
      <c r="G46" s="12"/>
      <c r="H46" s="12"/>
      <c r="I46" s="11"/>
      <c r="J46" s="11"/>
      <c r="K46" s="11"/>
      <c r="L46" s="11"/>
      <c r="M46" s="11"/>
    </row>
    <row r="47" spans="1:18" x14ac:dyDescent="0.25">
      <c r="A47" s="1" t="s">
        <v>55</v>
      </c>
      <c r="C47" s="12"/>
      <c r="D47" s="12"/>
      <c r="E47" s="12"/>
      <c r="F47" s="12"/>
      <c r="G47" s="12"/>
      <c r="H47" s="12"/>
      <c r="I47" s="11"/>
      <c r="J47" s="11"/>
      <c r="K47" s="11"/>
      <c r="L47" s="11"/>
      <c r="M47" s="11"/>
    </row>
    <row r="48" spans="1:18" x14ac:dyDescent="0.25">
      <c r="A48" t="s">
        <v>56</v>
      </c>
      <c r="C48" s="12"/>
      <c r="D48" s="12"/>
      <c r="E48" s="12"/>
      <c r="F48" s="12"/>
      <c r="G48" s="12"/>
      <c r="H48" s="12"/>
      <c r="I48" s="11"/>
      <c r="J48" s="11"/>
      <c r="K48" s="11"/>
      <c r="L48" s="11"/>
      <c r="M48" s="11"/>
    </row>
    <row r="49" spans="1:18" x14ac:dyDescent="0.25">
      <c r="A49" s="200" t="s">
        <v>57</v>
      </c>
      <c r="C49" s="12"/>
      <c r="D49" s="12"/>
      <c r="E49" s="12"/>
      <c r="F49" s="12"/>
      <c r="G49" s="12"/>
      <c r="H49" s="12"/>
      <c r="I49" s="11">
        <v>31.67</v>
      </c>
      <c r="J49" s="13">
        <v>17</v>
      </c>
      <c r="K49" s="13">
        <v>9</v>
      </c>
      <c r="L49" s="13">
        <v>2</v>
      </c>
      <c r="M49" s="13">
        <v>0</v>
      </c>
      <c r="N49" s="209"/>
      <c r="O49" s="209"/>
      <c r="P49" s="209"/>
      <c r="Q49" s="209"/>
      <c r="R49" s="209"/>
    </row>
    <row r="50" spans="1:18" x14ac:dyDescent="0.25">
      <c r="A50" s="200" t="s">
        <v>58</v>
      </c>
      <c r="C50" s="12"/>
      <c r="D50" s="12"/>
      <c r="E50" s="12"/>
      <c r="F50" s="12"/>
      <c r="G50" s="12"/>
      <c r="H50" s="12"/>
      <c r="I50" s="13"/>
      <c r="J50" s="11">
        <v>1056</v>
      </c>
      <c r="K50" s="11">
        <v>1059</v>
      </c>
      <c r="L50" s="11">
        <v>1138</v>
      </c>
      <c r="M50" s="11">
        <v>1607</v>
      </c>
      <c r="N50" s="210">
        <f>'Asset Schedule'!N35</f>
        <v>1607</v>
      </c>
      <c r="O50" s="210">
        <f>'Asset Schedule'!O35</f>
        <v>1607</v>
      </c>
      <c r="P50" s="210">
        <f>'Asset Schedule'!P35</f>
        <v>1607</v>
      </c>
      <c r="Q50" s="210">
        <f>'Asset Schedule'!Q35</f>
        <v>1607</v>
      </c>
      <c r="R50" s="210">
        <f>'Asset Schedule'!R35</f>
        <v>1607</v>
      </c>
    </row>
    <row r="51" spans="1:18" x14ac:dyDescent="0.25">
      <c r="A51" t="s">
        <v>59</v>
      </c>
      <c r="C51" s="12"/>
      <c r="D51" s="12"/>
      <c r="E51" s="12"/>
      <c r="F51" s="12"/>
      <c r="G51" s="12"/>
      <c r="H51" s="12">
        <v>1.26</v>
      </c>
      <c r="I51" s="12">
        <v>1.33</v>
      </c>
      <c r="J51" s="13">
        <v>4</v>
      </c>
      <c r="K51" s="13">
        <v>3</v>
      </c>
      <c r="L51" s="13">
        <v>4</v>
      </c>
      <c r="M51" s="13">
        <v>4</v>
      </c>
      <c r="N51" s="13">
        <v>4</v>
      </c>
      <c r="O51" s="13">
        <v>4</v>
      </c>
      <c r="P51" s="13">
        <v>4</v>
      </c>
      <c r="Q51" s="13">
        <v>4</v>
      </c>
      <c r="R51" s="13">
        <v>4</v>
      </c>
    </row>
    <row r="52" spans="1:18" x14ac:dyDescent="0.25">
      <c r="A52" t="s">
        <v>60</v>
      </c>
      <c r="C52" s="12">
        <v>65.103300000000004</v>
      </c>
      <c r="D52" s="12">
        <v>74.05</v>
      </c>
      <c r="E52" s="12">
        <v>90.45</v>
      </c>
      <c r="F52" s="12">
        <v>108.99</v>
      </c>
      <c r="G52" s="12">
        <v>121.08</v>
      </c>
      <c r="H52" s="12">
        <v>116.34</v>
      </c>
      <c r="I52" s="11">
        <v>130.68</v>
      </c>
      <c r="J52" s="13">
        <v>166</v>
      </c>
      <c r="K52" s="13">
        <v>156</v>
      </c>
      <c r="L52" s="13">
        <v>198</v>
      </c>
      <c r="M52" s="13">
        <v>240</v>
      </c>
      <c r="N52" s="13">
        <v>240</v>
      </c>
      <c r="O52" s="13">
        <v>240</v>
      </c>
      <c r="P52" s="13">
        <v>240</v>
      </c>
      <c r="Q52" s="13">
        <v>240</v>
      </c>
      <c r="R52" s="13">
        <v>240</v>
      </c>
    </row>
    <row r="53" spans="1:18" x14ac:dyDescent="0.25">
      <c r="A53" t="s">
        <v>61</v>
      </c>
      <c r="C53" s="17">
        <v>0.22320000000000001</v>
      </c>
      <c r="D53" s="12">
        <v>0.56000000000000005</v>
      </c>
      <c r="E53" s="12">
        <v>10.08</v>
      </c>
      <c r="F53" s="12">
        <v>16.3</v>
      </c>
      <c r="G53" s="17">
        <v>0.33</v>
      </c>
      <c r="H53" s="12">
        <v>3.17</v>
      </c>
      <c r="I53" s="12">
        <v>5.41</v>
      </c>
      <c r="J53" s="13">
        <v>6</v>
      </c>
      <c r="K53" s="13">
        <v>8</v>
      </c>
      <c r="L53" s="13">
        <v>6</v>
      </c>
      <c r="M53" s="13">
        <v>3</v>
      </c>
      <c r="N53" s="13">
        <v>3</v>
      </c>
      <c r="O53" s="13">
        <v>3</v>
      </c>
      <c r="P53" s="13">
        <v>3</v>
      </c>
      <c r="Q53" s="13">
        <v>3</v>
      </c>
      <c r="R53" s="13">
        <v>3</v>
      </c>
    </row>
    <row r="54" spans="1:18" x14ac:dyDescent="0.25">
      <c r="A54" t="s">
        <v>62</v>
      </c>
      <c r="C54" s="12"/>
      <c r="D54" s="12"/>
      <c r="E54" s="12"/>
      <c r="F54" s="12"/>
      <c r="G54" s="12"/>
      <c r="H54" s="12"/>
      <c r="I54" s="13"/>
      <c r="J54" s="14" t="s">
        <v>74</v>
      </c>
      <c r="K54" s="13">
        <v>1</v>
      </c>
      <c r="L54" s="13">
        <v>1</v>
      </c>
      <c r="M54" s="13">
        <v>1</v>
      </c>
      <c r="N54" s="13">
        <v>1</v>
      </c>
      <c r="O54" s="13">
        <v>1</v>
      </c>
      <c r="P54" s="13">
        <v>1</v>
      </c>
      <c r="Q54" s="13">
        <v>1</v>
      </c>
      <c r="R54" s="13">
        <v>1</v>
      </c>
    </row>
    <row r="55" spans="1:18" x14ac:dyDescent="0.25">
      <c r="C55" s="19">
        <v>65.326499999999996</v>
      </c>
      <c r="D55" s="19">
        <v>74.61</v>
      </c>
      <c r="E55" s="19">
        <v>100.53</v>
      </c>
      <c r="F55" s="19">
        <v>125.29</v>
      </c>
      <c r="G55" s="19">
        <v>121.41</v>
      </c>
      <c r="H55" s="19">
        <v>120.77</v>
      </c>
      <c r="I55" s="18">
        <v>169.09</v>
      </c>
      <c r="J55" s="18">
        <v>1249</v>
      </c>
      <c r="K55" s="18">
        <v>1236</v>
      </c>
      <c r="L55" s="18">
        <f>SUM(L49:L54)</f>
        <v>1349</v>
      </c>
      <c r="M55" s="18">
        <f>SUM(M49:M54)</f>
        <v>1855</v>
      </c>
      <c r="N55" s="18">
        <f t="shared" ref="N55:R55" si="10">SUM(N49:N54)</f>
        <v>1855</v>
      </c>
      <c r="O55" s="18">
        <f t="shared" si="10"/>
        <v>1855</v>
      </c>
      <c r="P55" s="18">
        <f t="shared" si="10"/>
        <v>1855</v>
      </c>
      <c r="Q55" s="18">
        <f t="shared" si="10"/>
        <v>1855</v>
      </c>
      <c r="R55" s="18">
        <f t="shared" si="10"/>
        <v>1855</v>
      </c>
    </row>
    <row r="56" spans="1:18" x14ac:dyDescent="0.25">
      <c r="A56" s="1" t="s">
        <v>63</v>
      </c>
      <c r="C56" s="12"/>
      <c r="D56" s="12"/>
      <c r="E56" s="12"/>
      <c r="F56" s="12"/>
      <c r="G56" s="12"/>
      <c r="H56" s="12"/>
      <c r="I56" s="11"/>
      <c r="J56" s="11"/>
      <c r="K56" s="11"/>
      <c r="L56" s="13"/>
      <c r="M56" s="13"/>
    </row>
    <row r="57" spans="1:18" x14ac:dyDescent="0.25">
      <c r="A57" t="s">
        <v>56</v>
      </c>
      <c r="C57" s="12"/>
      <c r="D57" s="12"/>
      <c r="E57" s="12"/>
      <c r="F57" s="12"/>
      <c r="G57" s="12"/>
      <c r="H57" s="12"/>
      <c r="I57" s="11"/>
      <c r="J57" s="11"/>
      <c r="K57" s="11"/>
      <c r="L57" s="11"/>
      <c r="M57" s="11"/>
      <c r="N57" s="88"/>
      <c r="O57" s="88"/>
      <c r="P57" s="88"/>
      <c r="Q57" s="88"/>
      <c r="R57" s="88"/>
    </row>
    <row r="58" spans="1:18" x14ac:dyDescent="0.25">
      <c r="A58" s="200" t="s">
        <v>57</v>
      </c>
      <c r="C58" s="12"/>
      <c r="D58" s="12">
        <v>806.84</v>
      </c>
      <c r="E58" s="12">
        <v>99.79</v>
      </c>
      <c r="F58" s="12">
        <v>113.05</v>
      </c>
      <c r="G58" s="12"/>
      <c r="H58" s="12">
        <v>78.989999999999995</v>
      </c>
      <c r="I58" s="13">
        <v>0.08</v>
      </c>
      <c r="J58" s="13">
        <v>706</v>
      </c>
      <c r="K58" s="13">
        <v>163</v>
      </c>
      <c r="L58" s="13">
        <v>516</v>
      </c>
      <c r="M58" s="13">
        <v>2195</v>
      </c>
      <c r="N58" s="212">
        <f ca="1">'Asset Schedule'!N37</f>
        <v>3100.9539808541995</v>
      </c>
      <c r="O58" s="212">
        <f ca="1">'Asset Schedule'!O37</f>
        <v>4986.0342748236089</v>
      </c>
      <c r="P58" s="212">
        <f ca="1">'Asset Schedule'!P37</f>
        <v>7168.5067064170016</v>
      </c>
      <c r="Q58" s="212">
        <f ca="1">'Asset Schedule'!Q37</f>
        <v>9664.29655570871</v>
      </c>
      <c r="R58" s="212">
        <f ca="1">'Asset Schedule'!R37</f>
        <v>12504.061274126519</v>
      </c>
    </row>
    <row r="59" spans="1:18" x14ac:dyDescent="0.25">
      <c r="A59" s="200" t="s">
        <v>64</v>
      </c>
      <c r="C59" s="12"/>
      <c r="D59" s="12"/>
      <c r="E59" s="12"/>
      <c r="F59" s="12"/>
      <c r="G59" s="16">
        <v>1882.43</v>
      </c>
      <c r="H59" s="16">
        <v>1612.02</v>
      </c>
      <c r="I59" s="11">
        <v>2352.9</v>
      </c>
      <c r="J59" s="11">
        <v>1585</v>
      </c>
      <c r="K59" s="11">
        <v>4210</v>
      </c>
      <c r="L59" s="11">
        <v>5398</v>
      </c>
      <c r="M59" s="11">
        <v>5299</v>
      </c>
      <c r="N59" s="210">
        <f>'Asset Schedule'!N38</f>
        <v>6880.6211248867785</v>
      </c>
      <c r="O59" s="210">
        <f>'Asset Schedule'!O38</f>
        <v>7949.4897366364303</v>
      </c>
      <c r="P59" s="210">
        <f>'Asset Schedule'!P38</f>
        <v>9212.5327379144019</v>
      </c>
      <c r="Q59" s="210">
        <f>'Asset Schedule'!Q38</f>
        <v>10761.439626087436</v>
      </c>
      <c r="R59" s="210">
        <f>'Asset Schedule'!R38</f>
        <v>12727.506932837072</v>
      </c>
    </row>
    <row r="60" spans="1:18" x14ac:dyDescent="0.25">
      <c r="A60" s="200" t="s">
        <v>65</v>
      </c>
      <c r="C60" s="12"/>
      <c r="D60" s="12"/>
      <c r="E60" s="12"/>
      <c r="F60" s="12"/>
      <c r="G60" s="12"/>
      <c r="H60" s="12"/>
      <c r="I60" s="14" t="s">
        <v>74</v>
      </c>
      <c r="J60" s="13">
        <v>187</v>
      </c>
      <c r="K60" s="13">
        <v>197</v>
      </c>
      <c r="L60" s="13">
        <v>221</v>
      </c>
      <c r="M60" s="13">
        <v>266</v>
      </c>
      <c r="N60" s="212">
        <f>'Asset Schedule'!N39</f>
        <v>266</v>
      </c>
      <c r="O60" s="212">
        <f>'Asset Schedule'!O39</f>
        <v>266</v>
      </c>
      <c r="P60" s="212">
        <f>'Asset Schedule'!P39</f>
        <v>266</v>
      </c>
      <c r="Q60" s="212">
        <f>'Asset Schedule'!Q39</f>
        <v>266</v>
      </c>
      <c r="R60" s="212">
        <f>'Asset Schedule'!R39</f>
        <v>266</v>
      </c>
    </row>
    <row r="61" spans="1:18" x14ac:dyDescent="0.25">
      <c r="A61" s="200" t="s">
        <v>66</v>
      </c>
      <c r="C61" s="16">
        <v>2097.9928</v>
      </c>
      <c r="D61" s="16">
        <v>859.44</v>
      </c>
      <c r="E61" s="16">
        <v>1899.88</v>
      </c>
      <c r="F61" s="16">
        <v>1654.75</v>
      </c>
      <c r="G61" s="12">
        <f t="shared" ref="G61:L61" si="11">G63+G62</f>
        <v>782.76</v>
      </c>
      <c r="H61" s="12">
        <f t="shared" si="11"/>
        <v>877.54</v>
      </c>
      <c r="I61" s="12">
        <f t="shared" si="11"/>
        <v>905.98</v>
      </c>
      <c r="J61" s="12">
        <f t="shared" si="11"/>
        <v>596</v>
      </c>
      <c r="K61" s="12">
        <f t="shared" si="11"/>
        <v>789</v>
      </c>
      <c r="L61" s="16">
        <f t="shared" si="11"/>
        <v>1294</v>
      </c>
      <c r="M61" s="16">
        <v>1214</v>
      </c>
      <c r="N61" s="210">
        <f>'Asset Schedule'!N54</f>
        <v>907.80025441649195</v>
      </c>
      <c r="O61" s="210">
        <f>'Asset Schedule'!O54</f>
        <v>1122.836748656676</v>
      </c>
      <c r="P61" s="210">
        <f>'Asset Schedule'!P54</f>
        <v>742.80713961186416</v>
      </c>
      <c r="Q61" s="210">
        <f>'Asset Schedule'!Q54</f>
        <v>866.89524765908277</v>
      </c>
      <c r="R61" s="210">
        <f>'Asset Schedule'!R54</f>
        <v>363.21389569919529</v>
      </c>
    </row>
    <row r="62" spans="1:18" x14ac:dyDescent="0.25">
      <c r="A62" s="114" t="s">
        <v>72</v>
      </c>
      <c r="C62" s="12"/>
      <c r="D62" s="12"/>
      <c r="E62" s="12"/>
      <c r="F62" s="12"/>
      <c r="G62" s="12">
        <v>0.57999999999999996</v>
      </c>
      <c r="H62" s="12"/>
      <c r="I62" s="11">
        <v>15.73</v>
      </c>
      <c r="J62" s="13">
        <v>68</v>
      </c>
      <c r="K62" s="13">
        <v>167</v>
      </c>
      <c r="L62" s="13">
        <v>242</v>
      </c>
      <c r="M62" s="206"/>
      <c r="N62" s="88"/>
      <c r="O62" s="88"/>
      <c r="P62" s="88"/>
      <c r="Q62" s="88"/>
      <c r="R62" s="88"/>
    </row>
    <row r="63" spans="1:18" x14ac:dyDescent="0.25">
      <c r="A63" s="114" t="s">
        <v>75</v>
      </c>
      <c r="C63" s="12"/>
      <c r="D63" s="12"/>
      <c r="E63" s="12"/>
      <c r="F63" s="12"/>
      <c r="G63" s="12">
        <v>782.18</v>
      </c>
      <c r="H63" s="12">
        <v>877.54</v>
      </c>
      <c r="I63" s="11">
        <v>890.25</v>
      </c>
      <c r="J63" s="13">
        <v>528</v>
      </c>
      <c r="K63" s="13">
        <v>622</v>
      </c>
      <c r="L63" s="11">
        <v>1052</v>
      </c>
      <c r="M63" s="207"/>
      <c r="N63" s="88"/>
      <c r="O63" s="88"/>
      <c r="P63" s="88"/>
      <c r="Q63" s="88"/>
      <c r="R63" s="88"/>
    </row>
    <row r="64" spans="1:18" x14ac:dyDescent="0.25">
      <c r="A64" s="110" t="s">
        <v>67</v>
      </c>
      <c r="C64" s="12"/>
      <c r="D64" s="12"/>
      <c r="E64" s="12">
        <v>26.09</v>
      </c>
      <c r="F64" s="12">
        <v>70.349999999999994</v>
      </c>
      <c r="G64" s="12">
        <v>238.13</v>
      </c>
      <c r="H64" s="12">
        <v>254.62</v>
      </c>
      <c r="I64" s="11">
        <v>238.43</v>
      </c>
      <c r="J64" s="13">
        <v>219</v>
      </c>
      <c r="K64" s="13">
        <v>232</v>
      </c>
      <c r="L64" s="13">
        <v>440</v>
      </c>
      <c r="M64" s="13">
        <v>568</v>
      </c>
      <c r="N64" s="13">
        <v>568</v>
      </c>
      <c r="O64" s="13">
        <v>568</v>
      </c>
      <c r="P64" s="13">
        <v>568</v>
      </c>
      <c r="Q64" s="13">
        <v>568</v>
      </c>
      <c r="R64" s="13">
        <v>568</v>
      </c>
    </row>
    <row r="65" spans="1:18" x14ac:dyDescent="0.25">
      <c r="A65" t="s">
        <v>203</v>
      </c>
      <c r="C65" s="16">
        <v>1457.8176000000001</v>
      </c>
      <c r="D65" s="16">
        <v>1548.41</v>
      </c>
      <c r="E65" s="16">
        <v>368.35</v>
      </c>
      <c r="F65" s="16">
        <v>854.27</v>
      </c>
      <c r="G65" s="16">
        <v>1102.23</v>
      </c>
      <c r="H65" s="16">
        <v>1445.29</v>
      </c>
      <c r="I65" s="11">
        <v>1889.5</v>
      </c>
      <c r="J65" s="11">
        <v>2206</v>
      </c>
      <c r="K65" s="11">
        <v>2013</v>
      </c>
      <c r="L65" s="11">
        <v>2523</v>
      </c>
      <c r="M65" s="11">
        <v>3517</v>
      </c>
      <c r="N65" s="11">
        <v>3517</v>
      </c>
      <c r="O65" s="11">
        <v>3517</v>
      </c>
      <c r="P65" s="11">
        <v>3517</v>
      </c>
      <c r="Q65" s="11">
        <v>3517</v>
      </c>
      <c r="R65" s="11">
        <v>3517</v>
      </c>
    </row>
    <row r="66" spans="1:18" x14ac:dyDescent="0.25">
      <c r="A66" t="s">
        <v>69</v>
      </c>
      <c r="C66" s="12">
        <v>293.27760000000001</v>
      </c>
      <c r="D66" s="12">
        <v>299.36</v>
      </c>
      <c r="E66" s="12">
        <v>16.21</v>
      </c>
      <c r="F66" s="12">
        <v>21.16</v>
      </c>
      <c r="G66" s="12">
        <v>20.09</v>
      </c>
      <c r="H66" s="12">
        <v>24.93</v>
      </c>
      <c r="I66" s="11">
        <v>65.34</v>
      </c>
      <c r="J66" s="13">
        <v>120</v>
      </c>
      <c r="K66" s="13">
        <v>30</v>
      </c>
      <c r="L66" s="13">
        <v>38</v>
      </c>
      <c r="M66" s="13">
        <v>132</v>
      </c>
      <c r="N66" s="13">
        <v>132</v>
      </c>
      <c r="O66" s="13">
        <v>132</v>
      </c>
      <c r="P66" s="13">
        <v>132</v>
      </c>
      <c r="Q66" s="13">
        <v>132</v>
      </c>
      <c r="R66" s="13">
        <v>132</v>
      </c>
    </row>
    <row r="67" spans="1:18" x14ac:dyDescent="0.25">
      <c r="A67" t="s">
        <v>70</v>
      </c>
      <c r="C67" s="12"/>
      <c r="D67" s="12"/>
      <c r="F67" s="12"/>
      <c r="G67" s="12">
        <v>2.11</v>
      </c>
      <c r="H67" s="12">
        <v>21.99</v>
      </c>
      <c r="I67" s="13">
        <v>9.6999999999999993</v>
      </c>
      <c r="J67" s="13">
        <v>9</v>
      </c>
      <c r="K67" s="13">
        <v>80</v>
      </c>
      <c r="L67" s="13">
        <v>82</v>
      </c>
      <c r="M67" s="13">
        <v>73</v>
      </c>
      <c r="N67" s="13">
        <v>73</v>
      </c>
      <c r="O67" s="13">
        <v>73</v>
      </c>
      <c r="P67" s="13">
        <v>73</v>
      </c>
      <c r="Q67" s="13">
        <v>73</v>
      </c>
      <c r="R67" s="13">
        <v>73</v>
      </c>
    </row>
    <row r="68" spans="1:18" x14ac:dyDescent="0.25">
      <c r="C68" s="45">
        <f>C66+C65+C61+C60+C59+C67+C58</f>
        <v>3849.0880000000002</v>
      </c>
      <c r="D68" s="45">
        <f>D66+D65+D61+D60+D59+D67+D58</f>
        <v>3514.05</v>
      </c>
      <c r="E68" s="45">
        <f>E66+E64+E65+E61+E60+E59+E67+E58</f>
        <v>2410.3200000000002</v>
      </c>
      <c r="F68" s="45">
        <f>F66+F64+F65+F61+F60+F59+F67+F58</f>
        <v>2713.58</v>
      </c>
      <c r="G68" s="45">
        <f>G66+G64+G65+G61+G60+G59+G67+G58</f>
        <v>4027.7500000000005</v>
      </c>
      <c r="H68" s="45">
        <f>H66+H64+H65+H61+H60+H59+H67+H58</f>
        <v>4315.3799999999992</v>
      </c>
      <c r="I68" s="45">
        <f>I66+I64+I65+I61+I59+I67+I58</f>
        <v>5461.9299999999994</v>
      </c>
      <c r="J68" s="45">
        <f>J66+J64+J65+J61+J60+J59+J67+J58</f>
        <v>5628</v>
      </c>
      <c r="K68" s="45">
        <f>K66+K64+K65+K61+K60+K59+K67+K58</f>
        <v>7714</v>
      </c>
      <c r="L68" s="45">
        <f>L66+L64+L65+L61+L60+L59+L67+L58</f>
        <v>10512</v>
      </c>
      <c r="M68" s="45">
        <f>M66+M64+M65+M61+M60+M59+M67+M58</f>
        <v>13264</v>
      </c>
      <c r="N68" s="45">
        <f t="shared" ref="N68:R68" ca="1" si="12">N66+N64+N65+N61+N60+N59+N67+N58</f>
        <v>15445.37536015747</v>
      </c>
      <c r="O68" s="45">
        <f t="shared" ca="1" si="12"/>
        <v>18614.360760116717</v>
      </c>
      <c r="P68" s="45">
        <f t="shared" ca="1" si="12"/>
        <v>21679.846583943268</v>
      </c>
      <c r="Q68" s="45">
        <f t="shared" ca="1" si="12"/>
        <v>25848.631429455228</v>
      </c>
      <c r="R68" s="45">
        <f t="shared" ca="1" si="12"/>
        <v>30150.782102662786</v>
      </c>
    </row>
    <row r="69" spans="1:18" x14ac:dyDescent="0.25">
      <c r="A69" s="1" t="s">
        <v>71</v>
      </c>
      <c r="C69" s="46">
        <f>C68+C45+C55</f>
        <v>5884.2668000000003</v>
      </c>
      <c r="D69" s="46">
        <f t="shared" ref="D69:K69" si="13">D68+D45+D55</f>
        <v>6111.39</v>
      </c>
      <c r="E69" s="46">
        <f t="shared" si="13"/>
        <v>5863.03</v>
      </c>
      <c r="F69" s="46">
        <f t="shared" si="13"/>
        <v>6345.1500000000005</v>
      </c>
      <c r="G69" s="46">
        <f t="shared" si="13"/>
        <v>8407.9</v>
      </c>
      <c r="H69" s="46">
        <f t="shared" si="13"/>
        <v>9524.2099999999991</v>
      </c>
      <c r="I69" s="46">
        <f t="shared" si="13"/>
        <v>11715.25</v>
      </c>
      <c r="J69" s="46">
        <f t="shared" si="13"/>
        <v>13550</v>
      </c>
      <c r="K69" s="46">
        <f t="shared" si="13"/>
        <v>16452</v>
      </c>
      <c r="L69" s="46">
        <f>L68+L45+L55</f>
        <v>21194</v>
      </c>
      <c r="M69" s="46">
        <f>M68+M45+M55</f>
        <v>27023</v>
      </c>
      <c r="N69" s="46">
        <f t="shared" ref="N69:R69" ca="1" si="14">N68+N45+N55</f>
        <v>32436.737057169452</v>
      </c>
      <c r="O69" s="46">
        <f t="shared" ca="1" si="14"/>
        <v>39377.434110446673</v>
      </c>
      <c r="P69" s="46">
        <f t="shared" ca="1" si="14"/>
        <v>46842.28198305059</v>
      </c>
      <c r="Q69" s="46">
        <f t="shared" ca="1" si="14"/>
        <v>56175.485816750654</v>
      </c>
      <c r="R69" s="46">
        <f t="shared" ca="1" si="14"/>
        <v>66613.901277111145</v>
      </c>
    </row>
    <row r="70" spans="1:18" x14ac:dyDescent="0.25">
      <c r="A70" s="23" t="s">
        <v>146</v>
      </c>
      <c r="C70" s="22">
        <f>C37-C69</f>
        <v>0</v>
      </c>
      <c r="D70" s="22">
        <f t="shared" ref="D70:R70" si="15">D37-D69</f>
        <v>0</v>
      </c>
      <c r="E70" s="22">
        <f t="shared" si="15"/>
        <v>0</v>
      </c>
      <c r="F70" s="22">
        <f t="shared" si="15"/>
        <v>0</v>
      </c>
      <c r="G70" s="22">
        <f t="shared" si="15"/>
        <v>0</v>
      </c>
      <c r="H70" s="22">
        <f t="shared" si="15"/>
        <v>0</v>
      </c>
      <c r="I70" s="22">
        <f t="shared" si="15"/>
        <v>0</v>
      </c>
      <c r="J70" s="22">
        <f t="shared" si="15"/>
        <v>0</v>
      </c>
      <c r="K70" s="22">
        <f t="shared" si="15"/>
        <v>0</v>
      </c>
      <c r="L70" s="22">
        <f t="shared" si="15"/>
        <v>0</v>
      </c>
      <c r="M70" s="22">
        <f t="shared" si="15"/>
        <v>0</v>
      </c>
      <c r="N70" s="22">
        <f t="shared" ca="1" si="15"/>
        <v>0.32065775950832176</v>
      </c>
      <c r="O70" s="22">
        <f t="shared" ca="1" si="15"/>
        <v>0.32065775950468378</v>
      </c>
      <c r="P70" s="22">
        <f t="shared" ca="1" si="15"/>
        <v>0.32065775951195974</v>
      </c>
      <c r="Q70" s="22">
        <f t="shared" ca="1" si="15"/>
        <v>0.32065775950468378</v>
      </c>
      <c r="R70" s="22">
        <f t="shared" ca="1" si="15"/>
        <v>0.32065775949740782</v>
      </c>
    </row>
    <row r="71" spans="1:18" x14ac:dyDescent="0.25">
      <c r="I71" s="39"/>
      <c r="J71" s="39"/>
      <c r="K71" s="39"/>
      <c r="L71" s="39"/>
      <c r="M71" s="39"/>
      <c r="N71" s="97"/>
      <c r="O71" s="97"/>
      <c r="P71" s="97"/>
      <c r="Q71" s="97"/>
      <c r="R71" s="97"/>
    </row>
    <row r="72" spans="1:18" x14ac:dyDescent="0.25">
      <c r="C72" s="45"/>
      <c r="D72" s="45"/>
      <c r="E72" s="45"/>
      <c r="F72" s="45"/>
      <c r="G72" s="45"/>
      <c r="H72" s="45"/>
      <c r="I72" s="95"/>
      <c r="J72" s="95"/>
      <c r="K72" s="95"/>
    </row>
    <row r="73" spans="1:18" x14ac:dyDescent="0.25">
      <c r="C73" s="46"/>
      <c r="D73" s="46"/>
      <c r="E73" s="46"/>
      <c r="F73" s="46"/>
      <c r="G73" s="46"/>
      <c r="H73" s="46"/>
      <c r="I73" s="46"/>
      <c r="J73" s="46"/>
      <c r="K73" s="46"/>
    </row>
    <row r="74" spans="1:18" x14ac:dyDescent="0.25">
      <c r="A74" s="70" t="s">
        <v>180</v>
      </c>
      <c r="B74" s="68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</row>
    <row r="75" spans="1:18" x14ac:dyDescent="0.25"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101"/>
      <c r="O75" s="101"/>
      <c r="P75" s="101"/>
      <c r="Q75" s="101"/>
      <c r="R75" s="101"/>
    </row>
    <row r="77" spans="1:18" x14ac:dyDescent="0.25">
      <c r="I77" s="53"/>
      <c r="J77" s="53"/>
      <c r="K77" s="53"/>
      <c r="L77" s="53"/>
      <c r="M77" s="53"/>
    </row>
    <row r="78" spans="1:18" x14ac:dyDescent="0.25"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</row>
    <row r="79" spans="1:18" x14ac:dyDescent="0.25">
      <c r="C79" s="22"/>
      <c r="D79" s="22"/>
      <c r="E79" s="22"/>
      <c r="F79" s="22"/>
      <c r="G79" s="91"/>
      <c r="H79" s="91"/>
      <c r="I79" s="91"/>
      <c r="J79" s="91"/>
      <c r="K79" s="92"/>
      <c r="L79" s="92"/>
      <c r="M79" s="92"/>
    </row>
    <row r="81" spans="1:18" x14ac:dyDescent="0.25">
      <c r="F81" s="1"/>
    </row>
    <row r="82" spans="1:18" x14ac:dyDescent="0.25">
      <c r="F82" s="1"/>
    </row>
    <row r="87" spans="1:18" s="66" customFormat="1" ht="14.45" customHeight="1" x14ac:dyDescent="0.25">
      <c r="D87" s="197" t="s">
        <v>170</v>
      </c>
      <c r="E87" s="197"/>
      <c r="F87" s="197"/>
      <c r="G87" s="197"/>
      <c r="H87" s="197"/>
      <c r="I87" s="197"/>
      <c r="J87" s="197"/>
      <c r="N87" s="98"/>
      <c r="O87" s="98"/>
      <c r="P87" s="98"/>
      <c r="Q87" s="98"/>
      <c r="R87" s="98"/>
    </row>
    <row r="88" spans="1:18" s="66" customFormat="1" ht="14.45" customHeight="1" x14ac:dyDescent="0.25">
      <c r="D88" s="197"/>
      <c r="E88" s="197"/>
      <c r="F88" s="197"/>
      <c r="G88" s="197"/>
      <c r="H88" s="197"/>
      <c r="I88" s="197"/>
      <c r="J88" s="197"/>
      <c r="N88" s="98"/>
      <c r="O88" s="98"/>
      <c r="P88" s="98"/>
      <c r="Q88" s="98"/>
      <c r="R88" s="98"/>
    </row>
    <row r="89" spans="1:18" ht="14.45" customHeight="1" x14ac:dyDescent="0.25"/>
    <row r="91" spans="1:18" x14ac:dyDescent="0.25">
      <c r="A91" s="1" t="s">
        <v>0</v>
      </c>
    </row>
    <row r="92" spans="1:18" x14ac:dyDescent="0.25">
      <c r="A92" s="1" t="s">
        <v>1</v>
      </c>
      <c r="D92" s="53"/>
      <c r="E92" s="53"/>
      <c r="F92" s="53"/>
      <c r="G92" s="53"/>
      <c r="H92" s="53"/>
      <c r="I92" s="53"/>
      <c r="J92" s="53"/>
      <c r="K92" s="53"/>
      <c r="L92" s="53"/>
      <c r="M92" s="53"/>
    </row>
    <row r="93" spans="1:18" x14ac:dyDescent="0.25">
      <c r="A93" t="s">
        <v>2</v>
      </c>
      <c r="C93" s="54">
        <v>7.5901436012384749E-2</v>
      </c>
      <c r="D93" s="62">
        <v>9.8259152173237191E-2</v>
      </c>
      <c r="E93" s="62">
        <v>0.11296206910078917</v>
      </c>
      <c r="F93" s="62">
        <v>0.11675531705318236</v>
      </c>
      <c r="G93" s="62">
        <v>0.10147123538576812</v>
      </c>
      <c r="H93" s="62">
        <v>0.11570933442248754</v>
      </c>
      <c r="I93" s="62">
        <v>0.10092059495102537</v>
      </c>
      <c r="J93" s="62">
        <v>9.4833948339483401E-2</v>
      </c>
      <c r="K93" s="62">
        <v>7.3911986384634087E-2</v>
      </c>
      <c r="L93" s="62">
        <v>5.7469095026894401E-2</v>
      </c>
      <c r="M93" s="62"/>
    </row>
    <row r="94" spans="1:18" x14ac:dyDescent="0.25">
      <c r="A94" t="s">
        <v>3</v>
      </c>
      <c r="C94" s="54">
        <v>7.0970779231152459E-3</v>
      </c>
      <c r="D94" s="62">
        <v>5.3784818183751975E-3</v>
      </c>
      <c r="E94" s="62">
        <v>9.4132214912766941E-3</v>
      </c>
      <c r="F94" s="62">
        <v>1.6817569324602256E-2</v>
      </c>
      <c r="G94" s="62">
        <v>1.7036358662686282E-2</v>
      </c>
      <c r="H94" s="62">
        <v>4.5158601080824553E-3</v>
      </c>
      <c r="I94" s="62">
        <v>2.4711380465632401E-3</v>
      </c>
      <c r="J94" s="62">
        <v>8.1180811808118081E-4</v>
      </c>
      <c r="K94" s="62">
        <v>1.1548747872599076E-3</v>
      </c>
      <c r="L94" s="62">
        <v>3.2556383882230821E-3</v>
      </c>
      <c r="M94" s="62"/>
    </row>
    <row r="95" spans="1:18" x14ac:dyDescent="0.25">
      <c r="A95" t="s">
        <v>4</v>
      </c>
      <c r="C95" s="54"/>
      <c r="D95" s="62"/>
      <c r="E95" s="62"/>
      <c r="F95" s="62"/>
      <c r="G95" s="62">
        <v>0</v>
      </c>
      <c r="H95" s="62">
        <v>0</v>
      </c>
      <c r="I95" s="62">
        <v>0</v>
      </c>
      <c r="J95" s="62">
        <v>6.9003690036900364E-2</v>
      </c>
      <c r="K95" s="62">
        <v>5.573790420617554E-2</v>
      </c>
      <c r="L95" s="62">
        <v>4.5909219590450127E-2</v>
      </c>
      <c r="M95" s="62"/>
    </row>
    <row r="96" spans="1:18" x14ac:dyDescent="0.25">
      <c r="A96" t="s">
        <v>5</v>
      </c>
      <c r="C96" s="54"/>
      <c r="D96" s="62"/>
      <c r="E96" s="62">
        <v>1.6578458578584792E-3</v>
      </c>
      <c r="F96" s="62">
        <v>1.5318786789910407E-3</v>
      </c>
      <c r="G96" s="62">
        <v>1.2666658737615813E-3</v>
      </c>
      <c r="H96" s="62">
        <v>2.3812998663406207E-3</v>
      </c>
      <c r="I96" s="62">
        <v>2.0503190286165467E-3</v>
      </c>
      <c r="J96" s="62">
        <v>1.7712177121771218E-3</v>
      </c>
      <c r="K96" s="62">
        <v>1.4587892049598833E-3</v>
      </c>
      <c r="L96" s="62">
        <v>4.7183165046711336E-5</v>
      </c>
      <c r="M96" s="62"/>
    </row>
    <row r="97" spans="1:18" x14ac:dyDescent="0.25">
      <c r="A97" t="s">
        <v>6</v>
      </c>
      <c r="C97" s="54"/>
      <c r="D97" s="62"/>
      <c r="E97" s="62"/>
      <c r="F97" s="62"/>
      <c r="G97" s="62">
        <v>1.4630288181353248E-2</v>
      </c>
      <c r="H97" s="62">
        <v>1.2915506902934734E-2</v>
      </c>
      <c r="I97" s="62">
        <v>1.0499989330146604E-2</v>
      </c>
      <c r="J97" s="62">
        <v>9.0774907749077496E-3</v>
      </c>
      <c r="K97" s="62">
        <v>7.4762946754194015E-3</v>
      </c>
      <c r="L97" s="62">
        <v>5.8035293007454936E-3</v>
      </c>
      <c r="M97" s="62"/>
    </row>
    <row r="98" spans="1:18" x14ac:dyDescent="0.25">
      <c r="A98" t="s">
        <v>7</v>
      </c>
      <c r="C98" s="54">
        <v>2.9366105561358978E-3</v>
      </c>
      <c r="D98" s="62">
        <v>2.2466247449434585E-3</v>
      </c>
      <c r="E98" s="62">
        <v>1.7448315973140167E-3</v>
      </c>
      <c r="F98" s="62">
        <v>3.1504377359085284E-3</v>
      </c>
      <c r="G98" s="62">
        <v>2.4013130508212511E-2</v>
      </c>
      <c r="H98" s="62">
        <v>2.3737401842252537E-2</v>
      </c>
      <c r="I98" s="62">
        <v>2.0254796099101597E-2</v>
      </c>
      <c r="J98" s="62">
        <v>1.9630996309963098E-2</v>
      </c>
      <c r="K98" s="62">
        <v>1.4770240700218819E-2</v>
      </c>
      <c r="L98" s="62">
        <v>1.0804944795696896E-2</v>
      </c>
      <c r="M98" s="62"/>
    </row>
    <row r="99" spans="1:18" x14ac:dyDescent="0.25">
      <c r="A99" t="s">
        <v>8</v>
      </c>
      <c r="C99" s="54"/>
      <c r="D99" s="62"/>
      <c r="E99" s="62"/>
      <c r="F99" s="62"/>
      <c r="G99" s="62">
        <v>1.0502027854755644E-3</v>
      </c>
      <c r="H99" s="62">
        <v>3.7798410576835246E-5</v>
      </c>
      <c r="I99" s="62">
        <v>2.4071189261859542E-4</v>
      </c>
      <c r="J99" s="62">
        <v>5.1660516605166054E-4</v>
      </c>
      <c r="K99" s="62">
        <v>7.9017748601993673E-4</v>
      </c>
      <c r="L99" s="62">
        <v>7.5493064074738138E-4</v>
      </c>
      <c r="M99" s="62"/>
    </row>
    <row r="100" spans="1:18" x14ac:dyDescent="0.25">
      <c r="A100" t="s">
        <v>9</v>
      </c>
      <c r="C100" s="54"/>
      <c r="D100" s="62"/>
      <c r="E100" s="62"/>
      <c r="F100" s="62"/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/>
    </row>
    <row r="101" spans="1:18" x14ac:dyDescent="0.25">
      <c r="A101" t="s">
        <v>10</v>
      </c>
      <c r="C101" s="54">
        <v>4.939272977901001E-4</v>
      </c>
      <c r="D101" s="62">
        <v>5.0561328928443454E-4</v>
      </c>
      <c r="E101" s="62">
        <v>1.6203225977011885E-3</v>
      </c>
      <c r="F101" s="62">
        <v>4.3907551436924265E-3</v>
      </c>
      <c r="G101" s="62">
        <v>4.4018125810249874E-3</v>
      </c>
      <c r="H101" s="62">
        <v>3.6097482100877665E-3</v>
      </c>
      <c r="I101" s="62">
        <v>3.3460660250528161E-3</v>
      </c>
      <c r="J101" s="62">
        <v>3.2472324723247232E-3</v>
      </c>
      <c r="K101" s="62">
        <v>1.1548747872599076E-3</v>
      </c>
      <c r="L101" s="62">
        <v>1.3164103048032462E-2</v>
      </c>
      <c r="M101" s="62"/>
    </row>
    <row r="102" spans="1:18" x14ac:dyDescent="0.25">
      <c r="A102" t="s">
        <v>11</v>
      </c>
      <c r="C102" s="54">
        <v>2.9502741106164663E-2</v>
      </c>
      <c r="D102" s="62">
        <v>3.5777458156000523E-2</v>
      </c>
      <c r="E102" s="62"/>
      <c r="F102" s="62"/>
      <c r="G102" s="62">
        <v>0</v>
      </c>
      <c r="H102" s="62">
        <v>1.2168988294042237E-2</v>
      </c>
      <c r="I102" s="62">
        <v>1.1022385352425257E-2</v>
      </c>
      <c r="J102" s="62">
        <v>1.1365313653136531E-2</v>
      </c>
      <c r="K102" s="62">
        <v>2.6136639922197907E-3</v>
      </c>
      <c r="L102" s="62">
        <v>1.9816929319618759E-3</v>
      </c>
      <c r="M102" s="62"/>
    </row>
    <row r="103" spans="1:18" x14ac:dyDescent="0.25">
      <c r="A103" t="s">
        <v>12</v>
      </c>
      <c r="C103" s="54"/>
      <c r="D103" s="62"/>
      <c r="E103" s="62">
        <v>1.6141824278572681E-2</v>
      </c>
      <c r="F103" s="62">
        <v>1.6562256211437084E-2</v>
      </c>
      <c r="G103" s="62">
        <v>1.3454013487315499E-2</v>
      </c>
      <c r="H103" s="62">
        <v>9.6070960216122921E-4</v>
      </c>
      <c r="I103" s="62">
        <v>6.9311367661808315E-4</v>
      </c>
      <c r="J103" s="62">
        <v>1.4686346863468635E-2</v>
      </c>
      <c r="K103" s="62">
        <v>1.9815220034038416E-2</v>
      </c>
      <c r="L103" s="62">
        <v>1.802396904784373E-2</v>
      </c>
      <c r="M103" s="62"/>
    </row>
    <row r="104" spans="1:18" x14ac:dyDescent="0.25">
      <c r="A104" t="s">
        <v>13</v>
      </c>
      <c r="C104" s="54">
        <v>1.3659815697004082E-3</v>
      </c>
      <c r="D104" s="62">
        <v>1.5299301795499878E-3</v>
      </c>
      <c r="E104" s="62">
        <v>6.2254499806414082E-4</v>
      </c>
      <c r="F104" s="62">
        <v>5.1062622633034685E-4</v>
      </c>
      <c r="G104" s="62">
        <v>4.2697938843230761E-4</v>
      </c>
      <c r="H104" s="62">
        <v>3.7861407927796643E-3</v>
      </c>
      <c r="I104" s="62">
        <v>6.3319177994494357E-3</v>
      </c>
      <c r="J104" s="62">
        <v>1.1734317343173432E-2</v>
      </c>
      <c r="K104" s="62">
        <v>6.382202771699489E-3</v>
      </c>
      <c r="L104" s="62">
        <v>8.82325186373502E-3</v>
      </c>
      <c r="M104" s="62"/>
    </row>
    <row r="105" spans="1:18" x14ac:dyDescent="0.25">
      <c r="A105" t="s">
        <v>14</v>
      </c>
      <c r="C105" s="54"/>
      <c r="D105" s="62"/>
      <c r="E105" s="62">
        <v>1.1881228647985766E-2</v>
      </c>
      <c r="F105" s="62">
        <v>1.6144614390518744E-2</v>
      </c>
      <c r="G105" s="62">
        <v>1.1281057101059715E-2</v>
      </c>
      <c r="H105" s="62">
        <v>1.0729498824574427E-2</v>
      </c>
      <c r="I105" s="62">
        <v>1.0389022854825973E-2</v>
      </c>
      <c r="J105" s="62">
        <v>1.062730627306273E-2</v>
      </c>
      <c r="K105" s="62">
        <v>7.354728908339412E-3</v>
      </c>
      <c r="L105" s="62">
        <v>6.4640936113994525E-3</v>
      </c>
      <c r="M105" s="62"/>
    </row>
    <row r="106" spans="1:18" x14ac:dyDescent="0.25">
      <c r="A106" t="s">
        <v>15</v>
      </c>
      <c r="C106" s="54"/>
      <c r="D106" s="62"/>
      <c r="E106" s="62">
        <v>1.628168370279531E-2</v>
      </c>
      <c r="F106" s="62">
        <v>1.6387319448712797E-2</v>
      </c>
      <c r="G106" s="62">
        <v>9.8526385898975947E-3</v>
      </c>
      <c r="H106" s="62">
        <v>1.1375221671928696E-2</v>
      </c>
      <c r="I106" s="62">
        <v>1.3419261219350847E-2</v>
      </c>
      <c r="J106" s="62">
        <v>5.7564575645756453E-3</v>
      </c>
      <c r="K106" s="62">
        <v>5.2273279844395814E-3</v>
      </c>
      <c r="L106" s="62">
        <v>3.9633858639237518E-3</v>
      </c>
      <c r="M106" s="62"/>
    </row>
    <row r="107" spans="1:18" x14ac:dyDescent="0.25">
      <c r="C107" s="60">
        <v>0.11729777446529106</v>
      </c>
      <c r="D107" s="63">
        <v>0.1436972603613908</v>
      </c>
      <c r="E107" s="63">
        <v>0.17232557227235745</v>
      </c>
      <c r="F107" s="63">
        <v>0.19225077421337561</v>
      </c>
      <c r="G107" s="63">
        <v>0.19888438254498739</v>
      </c>
      <c r="H107" s="63">
        <v>0.20192750894824876</v>
      </c>
      <c r="I107" s="63">
        <v>0.18163931627579435</v>
      </c>
      <c r="J107" s="63">
        <v>0.25306273062730628</v>
      </c>
      <c r="K107" s="63">
        <v>0.19784828592268416</v>
      </c>
      <c r="L107" s="63">
        <v>0.17646503727470039</v>
      </c>
      <c r="M107" s="63"/>
      <c r="N107" s="49"/>
      <c r="O107" s="49"/>
      <c r="P107" s="49"/>
      <c r="Q107" s="49"/>
      <c r="R107" s="49"/>
    </row>
    <row r="108" spans="1:18" x14ac:dyDescent="0.25">
      <c r="A108" s="1" t="s">
        <v>16</v>
      </c>
      <c r="C108" s="61"/>
      <c r="D108" s="62"/>
      <c r="E108" s="62"/>
      <c r="F108" s="62"/>
      <c r="G108" s="62">
        <v>0</v>
      </c>
      <c r="H108" s="62">
        <v>0</v>
      </c>
      <c r="I108" s="62">
        <v>0</v>
      </c>
      <c r="J108" s="62">
        <v>0</v>
      </c>
      <c r="K108" s="62">
        <v>0</v>
      </c>
      <c r="L108" s="62">
        <v>0</v>
      </c>
      <c r="M108" s="62"/>
    </row>
    <row r="109" spans="1:18" x14ac:dyDescent="0.25">
      <c r="A109" t="s">
        <v>17</v>
      </c>
      <c r="C109" s="54">
        <v>0.62545253726428585</v>
      </c>
      <c r="D109" s="62">
        <v>0.63314401470042003</v>
      </c>
      <c r="E109" s="62">
        <v>0.69065142085235787</v>
      </c>
      <c r="F109" s="62">
        <v>0.70087389581018567</v>
      </c>
      <c r="G109" s="62">
        <v>0.58584664422745258</v>
      </c>
      <c r="H109" s="62">
        <v>0.62208204145015711</v>
      </c>
      <c r="I109" s="62">
        <v>0.60082541985873117</v>
      </c>
      <c r="J109" s="62">
        <v>0.59800738007380072</v>
      </c>
      <c r="K109" s="62">
        <v>0.51106248480427907</v>
      </c>
      <c r="L109" s="64">
        <v>0.6421156931206945</v>
      </c>
      <c r="M109" s="64"/>
    </row>
    <row r="110" spans="1:18" x14ac:dyDescent="0.25">
      <c r="A110" t="s">
        <v>18</v>
      </c>
      <c r="C110" s="54"/>
      <c r="D110" s="62"/>
      <c r="E110" s="62"/>
      <c r="F110" s="62"/>
      <c r="G110" s="62">
        <v>0</v>
      </c>
      <c r="H110" s="62">
        <v>0</v>
      </c>
      <c r="I110" s="62">
        <v>0</v>
      </c>
      <c r="J110" s="62">
        <v>0</v>
      </c>
      <c r="K110" s="62">
        <v>0</v>
      </c>
      <c r="L110" s="62">
        <v>0</v>
      </c>
      <c r="M110" s="62"/>
    </row>
    <row r="111" spans="1:18" x14ac:dyDescent="0.25">
      <c r="A111" t="s">
        <v>10</v>
      </c>
      <c r="C111" s="54"/>
      <c r="D111" s="62"/>
      <c r="E111" s="62"/>
      <c r="F111" s="62">
        <v>4.0188175220443962E-4</v>
      </c>
      <c r="G111" s="62">
        <v>4.6827388527456319E-2</v>
      </c>
      <c r="H111" s="62">
        <v>1.6904289174640209E-4</v>
      </c>
      <c r="I111" s="62">
        <v>5.9085380166876509E-3</v>
      </c>
      <c r="J111" s="62">
        <v>8.4132841328413283E-3</v>
      </c>
      <c r="K111" s="62">
        <v>0.17049598832968635</v>
      </c>
      <c r="L111" s="62">
        <v>7.0774747570067004E-4</v>
      </c>
      <c r="M111" s="62"/>
    </row>
    <row r="112" spans="1:18" x14ac:dyDescent="0.25">
      <c r="A112" t="s">
        <v>19</v>
      </c>
      <c r="C112" s="54">
        <v>2.8182525646185855E-2</v>
      </c>
      <c r="D112" s="62">
        <v>2.522012177262456E-2</v>
      </c>
      <c r="E112" s="62">
        <v>3.2362106282928793E-2</v>
      </c>
      <c r="F112" s="62">
        <v>3.0338132274256718E-2</v>
      </c>
      <c r="G112" s="62">
        <v>2.4691064356141244E-2</v>
      </c>
      <c r="H112" s="62">
        <v>3.1046144509623372E-2</v>
      </c>
      <c r="I112" s="62">
        <v>3.5889118883506536E-2</v>
      </c>
      <c r="J112" s="62">
        <v>2.3025830258302581E-2</v>
      </c>
      <c r="K112" s="62">
        <v>2.224653537563822E-2</v>
      </c>
      <c r="L112" s="62">
        <v>2.6658488251391905E-2</v>
      </c>
      <c r="M112" s="62"/>
    </row>
    <row r="113" spans="1:18" x14ac:dyDescent="0.25">
      <c r="A113" t="s">
        <v>20</v>
      </c>
      <c r="C113" s="54">
        <v>0.19357422746364933</v>
      </c>
      <c r="D113" s="62">
        <v>0.14606660677849065</v>
      </c>
      <c r="E113" s="62">
        <v>3.6465786461948854E-2</v>
      </c>
      <c r="F113" s="62">
        <v>1.8336839948622174E-2</v>
      </c>
      <c r="G113" s="62">
        <v>8.0638447174680938E-2</v>
      </c>
      <c r="H113" s="62">
        <v>4.9563165868875221E-2</v>
      </c>
      <c r="I113" s="62">
        <v>3.6664177034207546E-2</v>
      </c>
      <c r="J113" s="62">
        <v>5.5350553505535052E-3</v>
      </c>
      <c r="K113" s="62">
        <v>1.100170192073912E-2</v>
      </c>
      <c r="L113" s="62">
        <v>1.0333113145229783E-2</v>
      </c>
      <c r="M113" s="62"/>
    </row>
    <row r="114" spans="1:18" x14ac:dyDescent="0.25">
      <c r="A114" t="s">
        <v>21</v>
      </c>
      <c r="C114" s="54"/>
      <c r="D114" s="62"/>
      <c r="E114" s="62"/>
      <c r="F114" s="62"/>
      <c r="G114" s="62">
        <v>1.2004186538850365E-2</v>
      </c>
      <c r="H114" s="62">
        <v>1.5314656018714417E-2</v>
      </c>
      <c r="I114" s="62">
        <v>5.4369304965749772E-2</v>
      </c>
      <c r="J114" s="62">
        <v>2.2583025830258303E-2</v>
      </c>
      <c r="K114" s="62">
        <v>2.3036712861658155E-2</v>
      </c>
      <c r="L114" s="62">
        <v>6.3886005473247146E-2</v>
      </c>
      <c r="M114" s="62"/>
    </row>
    <row r="115" spans="1:18" x14ac:dyDescent="0.25">
      <c r="A115" t="s">
        <v>22</v>
      </c>
      <c r="C115" s="54">
        <v>3.3874551711353396E-2</v>
      </c>
      <c r="D115" s="62">
        <v>4.913775753142903E-2</v>
      </c>
      <c r="E115" s="62"/>
      <c r="F115" s="62"/>
      <c r="G115" s="62">
        <v>0</v>
      </c>
      <c r="H115" s="62">
        <v>2.7962424180063231E-2</v>
      </c>
      <c r="I115" s="62">
        <v>2.1049486780051641E-2</v>
      </c>
      <c r="J115" s="62">
        <v>4.1328413284132844E-3</v>
      </c>
      <c r="K115" s="62">
        <v>4.6194991490396305E-3</v>
      </c>
      <c r="L115" s="62">
        <v>1.9958478814758894E-2</v>
      </c>
      <c r="M115" s="62"/>
    </row>
    <row r="116" spans="1:18" x14ac:dyDescent="0.25">
      <c r="A116" t="s">
        <v>23</v>
      </c>
      <c r="C116" s="54"/>
      <c r="D116" s="62"/>
      <c r="E116" s="62">
        <v>4.6788094210672634E-2</v>
      </c>
      <c r="F116" s="62">
        <v>3.8271750864833774E-2</v>
      </c>
      <c r="G116" s="62">
        <v>3.416905529323612E-2</v>
      </c>
      <c r="H116" s="62">
        <v>7.7003761991808256E-3</v>
      </c>
      <c r="I116" s="62">
        <v>8.44881671325836E-3</v>
      </c>
      <c r="J116" s="62">
        <v>3.3874538745387456E-2</v>
      </c>
      <c r="K116" s="62">
        <v>1.3980063214198882E-2</v>
      </c>
      <c r="L116" s="62">
        <v>1.3730301028592998E-2</v>
      </c>
      <c r="M116" s="62"/>
    </row>
    <row r="117" spans="1:18" x14ac:dyDescent="0.25">
      <c r="A117" t="s">
        <v>24</v>
      </c>
      <c r="C117" s="54">
        <v>1.6183834492344907E-3</v>
      </c>
      <c r="D117" s="62">
        <v>2.734238855644952E-3</v>
      </c>
      <c r="E117" s="62">
        <v>2.1407019919734333E-2</v>
      </c>
      <c r="F117" s="62">
        <v>1.9526725136521598E-2</v>
      </c>
      <c r="G117" s="62">
        <v>1.6938831337194777E-2</v>
      </c>
      <c r="H117" s="62">
        <v>4.4234639933390808E-2</v>
      </c>
      <c r="I117" s="62">
        <v>5.5205821472012973E-2</v>
      </c>
      <c r="J117" s="62">
        <v>5.1365313653136534E-2</v>
      </c>
      <c r="K117" s="62">
        <v>4.5708728422076343E-2</v>
      </c>
      <c r="L117" s="62">
        <v>4.6145135415683686E-2</v>
      </c>
      <c r="M117" s="62"/>
    </row>
    <row r="118" spans="1:18" x14ac:dyDescent="0.25">
      <c r="C118" s="60">
        <v>0.8827022255347089</v>
      </c>
      <c r="D118" s="63">
        <v>0.85630273963860926</v>
      </c>
      <c r="E118" s="63">
        <v>0.82767442772764244</v>
      </c>
      <c r="F118" s="63">
        <v>0.80774922578662445</v>
      </c>
      <c r="G118" s="63">
        <v>0.80111561745501247</v>
      </c>
      <c r="H118" s="63">
        <v>0.79807249105175126</v>
      </c>
      <c r="I118" s="63">
        <v>0.81836068372420556</v>
      </c>
      <c r="J118" s="63">
        <v>0.74693726937269378</v>
      </c>
      <c r="K118" s="63">
        <v>0.80215171407731578</v>
      </c>
      <c r="L118" s="63">
        <v>0.82353496272529958</v>
      </c>
      <c r="M118" s="63"/>
      <c r="N118" s="99"/>
      <c r="O118" s="99"/>
      <c r="P118" s="99"/>
      <c r="Q118" s="99"/>
      <c r="R118" s="99"/>
    </row>
    <row r="119" spans="1:18" x14ac:dyDescent="0.25">
      <c r="A119" s="1" t="s">
        <v>47</v>
      </c>
      <c r="C119" s="60">
        <v>1</v>
      </c>
      <c r="D119" s="60">
        <v>1</v>
      </c>
      <c r="E119" s="60">
        <v>1</v>
      </c>
      <c r="F119" s="60">
        <v>1</v>
      </c>
      <c r="G119" s="60">
        <v>1</v>
      </c>
      <c r="H119" s="60">
        <v>1</v>
      </c>
      <c r="I119" s="60">
        <v>1</v>
      </c>
      <c r="J119" s="60">
        <v>1</v>
      </c>
      <c r="K119" s="60">
        <v>1</v>
      </c>
      <c r="L119" s="60">
        <v>1</v>
      </c>
      <c r="M119" s="60"/>
      <c r="N119" s="100"/>
      <c r="O119" s="100"/>
      <c r="P119" s="100"/>
      <c r="Q119" s="100"/>
      <c r="R119" s="100"/>
    </row>
    <row r="120" spans="1:18" x14ac:dyDescent="0.25">
      <c r="C120" s="12"/>
      <c r="D120" s="12"/>
      <c r="E120" s="12"/>
      <c r="F120" s="12"/>
      <c r="G120" s="12"/>
      <c r="H120" s="12"/>
      <c r="I120" s="13"/>
      <c r="J120" s="13"/>
      <c r="K120" s="13"/>
      <c r="L120" s="13"/>
      <c r="M120" s="13"/>
    </row>
    <row r="121" spans="1:18" x14ac:dyDescent="0.25">
      <c r="A121" s="1" t="s">
        <v>48</v>
      </c>
      <c r="C121" s="12"/>
      <c r="D121" s="12"/>
      <c r="E121" s="12"/>
      <c r="F121" s="12"/>
      <c r="G121" s="12"/>
      <c r="H121" s="12"/>
      <c r="I121" s="13"/>
      <c r="J121" s="13"/>
      <c r="K121" s="13"/>
      <c r="L121" s="13"/>
      <c r="M121" s="13"/>
    </row>
    <row r="122" spans="1:18" x14ac:dyDescent="0.25">
      <c r="A122" s="1" t="s">
        <v>49</v>
      </c>
      <c r="C122" s="12"/>
      <c r="D122" s="12"/>
      <c r="E122" s="12"/>
      <c r="F122" s="12"/>
      <c r="G122" s="12"/>
      <c r="H122" s="12"/>
      <c r="I122" s="13"/>
      <c r="J122" s="13"/>
      <c r="K122" s="13"/>
      <c r="L122" s="13"/>
      <c r="M122" s="13"/>
    </row>
    <row r="123" spans="1:18" x14ac:dyDescent="0.25">
      <c r="A123" t="s">
        <v>50</v>
      </c>
      <c r="C123" s="62">
        <v>1.5087453206574522E-2</v>
      </c>
      <c r="D123" s="62">
        <v>1.4526973405395499E-2</v>
      </c>
      <c r="E123" s="62">
        <v>1.5142341076201214E-2</v>
      </c>
      <c r="F123" s="62">
        <v>1.399178900420006E-2</v>
      </c>
      <c r="G123" s="62">
        <v>1.0559117020897015E-2</v>
      </c>
      <c r="H123" s="62">
        <v>9.3215080305873148E-3</v>
      </c>
      <c r="I123" s="62">
        <v>7.5781566761272704E-3</v>
      </c>
      <c r="J123" s="62">
        <v>6.5682656826568262E-3</v>
      </c>
      <c r="K123" s="62">
        <v>5.409676635059567E-3</v>
      </c>
      <c r="L123" s="62">
        <v>4.1993016891573084E-3</v>
      </c>
      <c r="M123" s="62"/>
    </row>
    <row r="124" spans="1:18" x14ac:dyDescent="0.25">
      <c r="A124" t="s">
        <v>51</v>
      </c>
      <c r="C124" s="62">
        <v>0.31967851967555239</v>
      </c>
      <c r="D124" s="62">
        <v>0.39826455192681204</v>
      </c>
      <c r="E124" s="62">
        <v>0.55660639635137465</v>
      </c>
      <c r="F124" s="62">
        <v>0.53860034829751857</v>
      </c>
      <c r="G124" s="62">
        <v>0.49282222671535109</v>
      </c>
      <c r="H124" s="62">
        <v>0.52509341982169655</v>
      </c>
      <c r="I124" s="62">
        <v>0.51056272806811631</v>
      </c>
      <c r="J124" s="62">
        <v>0.48560885608856086</v>
      </c>
      <c r="K124" s="62">
        <v>0.45027960126428396</v>
      </c>
      <c r="L124" s="62">
        <v>0.43474568274039821</v>
      </c>
      <c r="M124" s="62"/>
    </row>
    <row r="125" spans="1:18" x14ac:dyDescent="0.25">
      <c r="A125" t="s">
        <v>52</v>
      </c>
      <c r="C125" s="62"/>
      <c r="D125" s="62"/>
      <c r="E125" s="62"/>
      <c r="F125" s="62"/>
      <c r="G125" s="62">
        <v>0.5033813437362481</v>
      </c>
      <c r="H125" s="62">
        <v>0.53441492785228384</v>
      </c>
      <c r="I125" s="62">
        <v>0.51814088474424358</v>
      </c>
      <c r="J125" s="62">
        <v>0.4921771217712177</v>
      </c>
      <c r="K125" s="62">
        <v>0.45568927789934355</v>
      </c>
      <c r="L125" s="62">
        <v>0.43894498442955554</v>
      </c>
      <c r="M125" s="62"/>
    </row>
    <row r="126" spans="1:18" x14ac:dyDescent="0.25">
      <c r="A126" t="s">
        <v>53</v>
      </c>
      <c r="C126" s="62"/>
      <c r="D126" s="62"/>
      <c r="E126" s="62"/>
      <c r="F126" s="62"/>
      <c r="G126" s="62">
        <v>3.1351467072634072E-3</v>
      </c>
      <c r="H126" s="62">
        <v>-1.9109196458288931E-4</v>
      </c>
      <c r="I126" s="62">
        <v>1.2018522865495829E-3</v>
      </c>
      <c r="J126" s="62">
        <v>2.9520295202952032E-4</v>
      </c>
      <c r="K126" s="62">
        <v>3.039144176999757E-4</v>
      </c>
      <c r="L126" s="62">
        <v>1.4154949514013401E-3</v>
      </c>
      <c r="M126" s="62"/>
    </row>
    <row r="127" spans="1:18" x14ac:dyDescent="0.25">
      <c r="A127" s="1" t="s">
        <v>54</v>
      </c>
      <c r="C127" s="63">
        <v>0.33476597288212695</v>
      </c>
      <c r="D127" s="63">
        <v>0.41279152533220753</v>
      </c>
      <c r="E127" s="63">
        <v>0.57174873742757593</v>
      </c>
      <c r="F127" s="63">
        <v>0.55259213730171874</v>
      </c>
      <c r="G127" s="63">
        <v>0.50651649044351144</v>
      </c>
      <c r="H127" s="63">
        <v>0.53422383588770106</v>
      </c>
      <c r="I127" s="63">
        <v>0.51934273703079314</v>
      </c>
      <c r="J127" s="63">
        <v>0.49247232472324726</v>
      </c>
      <c r="K127" s="63">
        <v>0.45599319231704349</v>
      </c>
      <c r="L127" s="63">
        <v>0.44036047938095685</v>
      </c>
      <c r="M127" s="63"/>
      <c r="N127" s="45"/>
      <c r="O127" s="45"/>
      <c r="P127" s="45"/>
      <c r="Q127" s="45"/>
      <c r="R127" s="45"/>
    </row>
    <row r="128" spans="1:18" x14ac:dyDescent="0.25">
      <c r="A128" s="1" t="s">
        <v>73</v>
      </c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</row>
    <row r="129" spans="1:18" x14ac:dyDescent="0.25">
      <c r="A129" s="1" t="s">
        <v>55</v>
      </c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</row>
    <row r="130" spans="1:18" x14ac:dyDescent="0.25">
      <c r="A130" t="s">
        <v>56</v>
      </c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</row>
    <row r="131" spans="1:18" x14ac:dyDescent="0.25">
      <c r="A131" t="s">
        <v>57</v>
      </c>
      <c r="C131" s="62"/>
      <c r="D131" s="62"/>
      <c r="E131" s="62"/>
      <c r="F131" s="62"/>
      <c r="G131" s="62"/>
      <c r="H131" s="62"/>
      <c r="I131" s="62">
        <v>2.7033140564648645E-3</v>
      </c>
      <c r="J131" s="62">
        <v>1.2546125461254613E-3</v>
      </c>
      <c r="K131" s="62">
        <v>5.4704595185995622E-4</v>
      </c>
      <c r="L131" s="62">
        <v>9.4366330093422672E-5</v>
      </c>
      <c r="M131" s="62"/>
    </row>
    <row r="132" spans="1:18" x14ac:dyDescent="0.25">
      <c r="A132" t="s">
        <v>58</v>
      </c>
      <c r="C132" s="62"/>
      <c r="D132" s="62"/>
      <c r="E132" s="62"/>
      <c r="F132" s="62"/>
      <c r="G132" s="62"/>
      <c r="H132" s="62"/>
      <c r="I132" s="62"/>
      <c r="J132" s="62">
        <v>7.7933579335793354E-2</v>
      </c>
      <c r="K132" s="62">
        <v>6.4369073668854845E-2</v>
      </c>
      <c r="L132" s="62">
        <v>5.3694441823157496E-2</v>
      </c>
      <c r="M132" s="62"/>
    </row>
    <row r="133" spans="1:18" x14ac:dyDescent="0.25">
      <c r="A133" t="s">
        <v>59</v>
      </c>
      <c r="C133" s="62"/>
      <c r="D133" s="62"/>
      <c r="E133" s="62"/>
      <c r="F133" s="62"/>
      <c r="G133" s="62"/>
      <c r="H133" s="62">
        <v>1.3229443701892336E-4</v>
      </c>
      <c r="I133" s="62">
        <v>1.1352724013572054E-4</v>
      </c>
      <c r="J133" s="62">
        <v>2.9520295202952032E-4</v>
      </c>
      <c r="K133" s="62">
        <v>1.8234865061998541E-4</v>
      </c>
      <c r="L133" s="62">
        <v>1.8873266018684534E-4</v>
      </c>
      <c r="M133" s="62"/>
    </row>
    <row r="134" spans="1:18" x14ac:dyDescent="0.25">
      <c r="A134" t="s">
        <v>60</v>
      </c>
      <c r="C134" s="62">
        <v>1.1063961273815797E-2</v>
      </c>
      <c r="D134" s="62">
        <v>1.2116719764243486E-2</v>
      </c>
      <c r="E134" s="62">
        <v>1.542717673284974E-2</v>
      </c>
      <c r="F134" s="62">
        <v>1.7176898891279165E-2</v>
      </c>
      <c r="G134" s="62">
        <v>1.4400742159159837E-2</v>
      </c>
      <c r="H134" s="62">
        <v>1.2215186351413925E-2</v>
      </c>
      <c r="I134" s="62">
        <v>1.1154691534538316E-2</v>
      </c>
      <c r="J134" s="62">
        <v>1.2250922509225092E-2</v>
      </c>
      <c r="K134" s="62">
        <v>9.4821298322392417E-3</v>
      </c>
      <c r="L134" s="62">
        <v>9.3422666792488448E-3</v>
      </c>
      <c r="M134" s="62"/>
    </row>
    <row r="135" spans="1:18" x14ac:dyDescent="0.25">
      <c r="A135" t="s">
        <v>61</v>
      </c>
      <c r="C135" s="62">
        <v>3.7931658707249641E-5</v>
      </c>
      <c r="D135" s="62">
        <v>9.163218187679072E-5</v>
      </c>
      <c r="E135" s="62">
        <v>1.7192475562976823E-3</v>
      </c>
      <c r="F135" s="62">
        <v>2.568891200365634E-3</v>
      </c>
      <c r="G135" s="62">
        <v>3.9248801722189851E-5</v>
      </c>
      <c r="H135" s="62">
        <v>3.3283600424602149E-4</v>
      </c>
      <c r="I135" s="62">
        <v>4.6179125498815648E-4</v>
      </c>
      <c r="J135" s="62">
        <v>4.4280442804428045E-4</v>
      </c>
      <c r="K135" s="62">
        <v>4.8626306831996109E-4</v>
      </c>
      <c r="L135" s="62">
        <v>2.8309899028026802E-4</v>
      </c>
      <c r="M135" s="62"/>
    </row>
    <row r="136" spans="1:18" x14ac:dyDescent="0.25">
      <c r="A136" t="s">
        <v>62</v>
      </c>
      <c r="C136" s="62"/>
      <c r="D136" s="62"/>
      <c r="E136" s="62"/>
      <c r="F136" s="62"/>
      <c r="G136" s="62"/>
      <c r="H136" s="62"/>
      <c r="I136" s="62"/>
      <c r="J136" s="65"/>
      <c r="K136" s="62">
        <v>6.0782883539995136E-5</v>
      </c>
      <c r="L136" s="62">
        <v>4.7183165046711336E-5</v>
      </c>
      <c r="M136" s="62"/>
    </row>
    <row r="137" spans="1:18" x14ac:dyDescent="0.25">
      <c r="C137" s="63">
        <v>1.1101892932523045E-2</v>
      </c>
      <c r="D137" s="63">
        <v>1.2208351946120277E-2</v>
      </c>
      <c r="E137" s="63">
        <v>1.7146424289147422E-2</v>
      </c>
      <c r="F137" s="63">
        <v>1.9745790091644802E-2</v>
      </c>
      <c r="G137" s="63">
        <v>1.4439990960882028E-2</v>
      </c>
      <c r="H137" s="63">
        <v>1.2680316792678869E-2</v>
      </c>
      <c r="I137" s="63">
        <v>1.4433324086127058E-2</v>
      </c>
      <c r="J137" s="63">
        <v>9.2177121771217715E-2</v>
      </c>
      <c r="K137" s="63">
        <v>7.5127644055433984E-2</v>
      </c>
      <c r="L137" s="63">
        <v>6.3650089648013594E-2</v>
      </c>
      <c r="M137" s="63"/>
      <c r="N137" s="99"/>
      <c r="O137" s="99"/>
      <c r="P137" s="99"/>
      <c r="Q137" s="99"/>
      <c r="R137" s="99"/>
    </row>
    <row r="138" spans="1:18" x14ac:dyDescent="0.25">
      <c r="A138" s="1" t="s">
        <v>63</v>
      </c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</row>
    <row r="139" spans="1:18" x14ac:dyDescent="0.25">
      <c r="A139" t="s">
        <v>56</v>
      </c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</row>
    <row r="140" spans="1:18" x14ac:dyDescent="0.25">
      <c r="A140" t="s">
        <v>57</v>
      </c>
      <c r="C140" s="62">
        <v>0</v>
      </c>
      <c r="D140" s="62">
        <v>0.1320223386169104</v>
      </c>
      <c r="E140" s="62">
        <v>1.702020968680017E-2</v>
      </c>
      <c r="F140" s="62">
        <v>1.7816757681063489E-2</v>
      </c>
      <c r="G140" s="62">
        <v>0</v>
      </c>
      <c r="H140" s="62">
        <v>8.2936012540672666E-3</v>
      </c>
      <c r="I140" s="62">
        <v>6.8287061735771748E-6</v>
      </c>
      <c r="J140" s="62">
        <v>5.2103321033210331E-2</v>
      </c>
      <c r="K140" s="62">
        <v>9.9076100170192079E-3</v>
      </c>
      <c r="L140" s="62">
        <v>2.4346513164103047E-2</v>
      </c>
      <c r="M140" s="62"/>
    </row>
    <row r="141" spans="1:18" x14ac:dyDescent="0.25">
      <c r="A141" t="s">
        <v>64</v>
      </c>
      <c r="C141" s="62">
        <v>0</v>
      </c>
      <c r="D141" s="62">
        <v>0</v>
      </c>
      <c r="E141" s="62">
        <v>0</v>
      </c>
      <c r="F141" s="62">
        <v>0</v>
      </c>
      <c r="G141" s="62">
        <v>0.2238882479572783</v>
      </c>
      <c r="H141" s="62">
        <v>0.16925498282797211</v>
      </c>
      <c r="I141" s="62">
        <v>0.20084078444762168</v>
      </c>
      <c r="J141" s="62">
        <v>0.11697416974169741</v>
      </c>
      <c r="K141" s="62">
        <v>0.25589593970337954</v>
      </c>
      <c r="L141" s="62">
        <v>0.25469472492214779</v>
      </c>
      <c r="M141" s="62"/>
    </row>
    <row r="142" spans="1:18" x14ac:dyDescent="0.25">
      <c r="A142" t="s">
        <v>65</v>
      </c>
      <c r="C142" s="62">
        <v>0</v>
      </c>
      <c r="D142" s="62">
        <v>0</v>
      </c>
      <c r="E142" s="62">
        <v>0</v>
      </c>
      <c r="F142" s="62">
        <v>0</v>
      </c>
      <c r="G142" s="62">
        <v>0</v>
      </c>
      <c r="H142" s="62">
        <v>0</v>
      </c>
      <c r="I142" s="65" t="s">
        <v>74</v>
      </c>
      <c r="J142" s="62">
        <v>1.3800738007380074E-2</v>
      </c>
      <c r="K142" s="62">
        <v>1.1974228057379042E-2</v>
      </c>
      <c r="L142" s="62">
        <v>1.0427479475323204E-2</v>
      </c>
      <c r="M142" s="62"/>
    </row>
    <row r="143" spans="1:18" x14ac:dyDescent="0.25">
      <c r="A143" t="s">
        <v>66</v>
      </c>
      <c r="C143" s="62">
        <v>0.35654277266965528</v>
      </c>
      <c r="D143" s="62">
        <v>0.14062921855748037</v>
      </c>
      <c r="E143" s="62">
        <v>0.32404405230742467</v>
      </c>
      <c r="F143" s="62">
        <v>0.26078973704325353</v>
      </c>
      <c r="G143" s="62">
        <v>0</v>
      </c>
      <c r="H143" s="62">
        <v>0</v>
      </c>
      <c r="I143" s="62">
        <v>0</v>
      </c>
      <c r="J143" s="62">
        <v>0</v>
      </c>
      <c r="K143" s="62">
        <v>0</v>
      </c>
      <c r="L143" s="62">
        <v>0</v>
      </c>
      <c r="M143" s="62"/>
    </row>
    <row r="144" spans="1:18" x14ac:dyDescent="0.25">
      <c r="A144" s="5" t="s">
        <v>72</v>
      </c>
      <c r="C144" s="62">
        <v>0</v>
      </c>
      <c r="D144" s="62">
        <v>0</v>
      </c>
      <c r="E144" s="62">
        <v>0</v>
      </c>
      <c r="F144" s="62">
        <v>0</v>
      </c>
      <c r="G144" s="62">
        <v>6.8982742420818519E-5</v>
      </c>
      <c r="H144" s="62">
        <v>0</v>
      </c>
      <c r="I144" s="62">
        <v>1.342694351379612E-3</v>
      </c>
      <c r="J144" s="62">
        <v>5.018450184501845E-3</v>
      </c>
      <c r="K144" s="62">
        <v>1.0150741551179189E-2</v>
      </c>
      <c r="L144" s="62">
        <v>1.1418325941304142E-2</v>
      </c>
      <c r="M144" s="62"/>
    </row>
    <row r="145" spans="1:18" x14ac:dyDescent="0.25">
      <c r="A145" s="5" t="s">
        <v>75</v>
      </c>
      <c r="C145" s="62">
        <v>0</v>
      </c>
      <c r="D145" s="62">
        <v>0</v>
      </c>
      <c r="E145" s="62">
        <v>0</v>
      </c>
      <c r="F145" s="62">
        <v>0</v>
      </c>
      <c r="G145" s="62">
        <v>9.3029174942613493E-2</v>
      </c>
      <c r="H145" s="62">
        <v>9.2137825604433343E-2</v>
      </c>
      <c r="I145" s="62">
        <v>7.5990695887838494E-2</v>
      </c>
      <c r="J145" s="62">
        <v>3.8966789667896677E-2</v>
      </c>
      <c r="K145" s="62">
        <v>3.7806953561876973E-2</v>
      </c>
      <c r="L145" s="62">
        <v>4.9636689629140321E-2</v>
      </c>
      <c r="M145" s="62"/>
    </row>
    <row r="146" spans="1:18" x14ac:dyDescent="0.25">
      <c r="A146" t="s">
        <v>67</v>
      </c>
      <c r="C146" s="62">
        <v>0</v>
      </c>
      <c r="D146" s="62">
        <v>0</v>
      </c>
      <c r="E146" s="62">
        <v>4.4499175341077913E-3</v>
      </c>
      <c r="F146" s="62">
        <v>1.1087208340228362E-2</v>
      </c>
      <c r="G146" s="62">
        <v>2.8322173194257783E-2</v>
      </c>
      <c r="H146" s="62">
        <v>2.6733975836316086E-2</v>
      </c>
      <c r="I146" s="62">
        <v>2.0352105162075074E-2</v>
      </c>
      <c r="J146" s="62">
        <v>1.6162361623616235E-2</v>
      </c>
      <c r="K146" s="62">
        <v>1.4101628981278872E-2</v>
      </c>
      <c r="L146" s="62">
        <v>2.0760592620552985E-2</v>
      </c>
      <c r="M146" s="62"/>
    </row>
    <row r="147" spans="1:18" x14ac:dyDescent="0.25">
      <c r="A147" t="s">
        <v>68</v>
      </c>
      <c r="C147" s="62">
        <v>0.24774838557626244</v>
      </c>
      <c r="D147" s="62">
        <v>0.2533646191782884</v>
      </c>
      <c r="E147" s="62">
        <v>6.2825876722445564E-2</v>
      </c>
      <c r="F147" s="62">
        <v>0.13463353900223005</v>
      </c>
      <c r="G147" s="62">
        <v>0.13109456582499793</v>
      </c>
      <c r="H147" s="62">
        <v>0.15174906895165061</v>
      </c>
      <c r="I147" s="62">
        <v>0.16128550393717592</v>
      </c>
      <c r="J147" s="62">
        <v>0.16280442804428044</v>
      </c>
      <c r="K147" s="62">
        <v>0.12235594456601021</v>
      </c>
      <c r="L147" s="62">
        <v>0.1190431254128527</v>
      </c>
      <c r="M147" s="62"/>
    </row>
    <row r="148" spans="1:18" x14ac:dyDescent="0.25">
      <c r="A148" t="s">
        <v>69</v>
      </c>
      <c r="C148" s="62">
        <v>4.984097593943225E-2</v>
      </c>
      <c r="D148" s="62">
        <v>4.8983946368992975E-2</v>
      </c>
      <c r="E148" s="62">
        <v>2.764782032498555E-3</v>
      </c>
      <c r="F148" s="62">
        <v>3.334830539861154E-3</v>
      </c>
      <c r="G148" s="62">
        <v>2.3894194745418002E-3</v>
      </c>
      <c r="H148" s="62">
        <v>2.5965408154587102E-3</v>
      </c>
      <c r="I148" s="62">
        <v>5.577345767269158E-3</v>
      </c>
      <c r="J148" s="62">
        <v>8.8560885608856086E-3</v>
      </c>
      <c r="K148" s="62">
        <v>1.8234865061998542E-3</v>
      </c>
      <c r="L148" s="62">
        <v>1.7929602717750308E-3</v>
      </c>
      <c r="M148" s="62"/>
    </row>
    <row r="149" spans="1:18" x14ac:dyDescent="0.25">
      <c r="A149" t="s">
        <v>70</v>
      </c>
      <c r="C149" s="62">
        <v>0</v>
      </c>
      <c r="D149" s="62">
        <v>0</v>
      </c>
      <c r="E149" s="53">
        <v>0</v>
      </c>
      <c r="F149" s="62">
        <v>0</v>
      </c>
      <c r="G149" s="62">
        <v>2.50954459496426E-4</v>
      </c>
      <c r="H149" s="62">
        <v>2.3088529127350196E-3</v>
      </c>
      <c r="I149" s="62">
        <v>8.2798062354623241E-4</v>
      </c>
      <c r="J149" s="62">
        <v>6.6420664206642062E-4</v>
      </c>
      <c r="K149" s="62">
        <v>4.8626306831996112E-3</v>
      </c>
      <c r="L149" s="62">
        <v>3.8690195338303294E-3</v>
      </c>
      <c r="M149" s="62"/>
    </row>
    <row r="150" spans="1:18" x14ac:dyDescent="0.25">
      <c r="C150" s="63">
        <v>0.65413213418534988</v>
      </c>
      <c r="D150" s="63">
        <v>0.57500012272167211</v>
      </c>
      <c r="E150" s="63">
        <v>0.41110483828327676</v>
      </c>
      <c r="F150" s="63">
        <v>0.42766207260663658</v>
      </c>
      <c r="G150" s="63">
        <v>0.47904351859560651</v>
      </c>
      <c r="H150" s="63">
        <v>0.45309584731962027</v>
      </c>
      <c r="I150" s="63">
        <v>0.46622393888307978</v>
      </c>
      <c r="J150" s="63">
        <v>0.41535055350553507</v>
      </c>
      <c r="K150" s="63">
        <v>0.46887916362752247</v>
      </c>
      <c r="L150" s="63">
        <v>0.49598943097102954</v>
      </c>
      <c r="M150" s="63"/>
      <c r="N150" s="99"/>
      <c r="O150" s="99"/>
      <c r="P150" s="99"/>
      <c r="Q150" s="99"/>
      <c r="R150" s="99"/>
    </row>
    <row r="151" spans="1:18" x14ac:dyDescent="0.25">
      <c r="A151" s="1" t="s">
        <v>71</v>
      </c>
      <c r="C151" s="60">
        <v>1</v>
      </c>
      <c r="D151" s="60">
        <v>1</v>
      </c>
      <c r="E151" s="60">
        <v>1</v>
      </c>
      <c r="F151" s="60">
        <v>1</v>
      </c>
      <c r="G151" s="60">
        <v>1</v>
      </c>
      <c r="H151" s="60">
        <v>1</v>
      </c>
      <c r="I151" s="60">
        <v>1</v>
      </c>
      <c r="J151" s="60">
        <v>1</v>
      </c>
      <c r="K151" s="60">
        <v>1</v>
      </c>
      <c r="L151" s="60">
        <v>1</v>
      </c>
      <c r="M151" s="60"/>
      <c r="N151" s="100"/>
      <c r="O151" s="100"/>
      <c r="P151" s="100"/>
      <c r="Q151" s="100"/>
      <c r="R151" s="100"/>
    </row>
    <row r="152" spans="1:18" x14ac:dyDescent="0.25">
      <c r="A152" s="23" t="s">
        <v>146</v>
      </c>
      <c r="C152" s="22">
        <f>C119-C151</f>
        <v>0</v>
      </c>
      <c r="D152" s="22">
        <f t="shared" ref="D152:L152" si="16">D119-D151</f>
        <v>0</v>
      </c>
      <c r="E152" s="22">
        <f t="shared" si="16"/>
        <v>0</v>
      </c>
      <c r="F152" s="22">
        <f t="shared" si="16"/>
        <v>0</v>
      </c>
      <c r="G152" s="22">
        <f t="shared" si="16"/>
        <v>0</v>
      </c>
      <c r="H152" s="22">
        <f t="shared" si="16"/>
        <v>0</v>
      </c>
      <c r="I152" s="22">
        <f t="shared" si="16"/>
        <v>0</v>
      </c>
      <c r="J152" s="22">
        <f t="shared" si="16"/>
        <v>0</v>
      </c>
      <c r="K152" s="22">
        <f t="shared" si="16"/>
        <v>0</v>
      </c>
      <c r="L152" s="22">
        <f t="shared" si="16"/>
        <v>0</v>
      </c>
      <c r="M152" s="22"/>
    </row>
  </sheetData>
  <sheetProtection selectLockedCells="1" selectUnlockedCells="1"/>
  <mergeCells count="1">
    <mergeCell ref="D87:J88"/>
  </mergeCells>
  <conditionalFormatting sqref="C152:Q152 C70:R70">
    <cfRule type="cellIs" dxfId="14" priority="15" operator="equal">
      <formula>0</formula>
    </cfRule>
    <cfRule type="cellIs" dxfId="13" priority="16" operator="greaterThan">
      <formula>0</formula>
    </cfRule>
    <cfRule type="cellIs" dxfId="12" priority="17" operator="lessThan">
      <formula>0</formula>
    </cfRule>
  </conditionalFormatting>
  <conditionalFormatting sqref="H70">
    <cfRule type="cellIs" dxfId="11" priority="8" operator="greaterThan">
      <formula>1</formula>
    </cfRule>
  </conditionalFormatting>
  <conditionalFormatting sqref="M70:R70">
    <cfRule type="cellIs" dxfId="10" priority="6" operator="between">
      <formula>-1</formula>
      <formula>1</formula>
    </cfRule>
    <cfRule type="cellIs" dxfId="9" priority="7" operator="greaterThan">
      <formula>1</formula>
    </cfRule>
  </conditionalFormatting>
  <conditionalFormatting sqref="O140">
    <cfRule type="cellIs" dxfId="8" priority="12" operator="lessThan">
      <formula>0</formula>
    </cfRule>
  </conditionalFormatting>
  <conditionalFormatting sqref="R152">
    <cfRule type="cellIs" dxfId="7" priority="3" operator="equal">
      <formula>0</formula>
    </cfRule>
    <cfRule type="cellIs" dxfId="6" priority="4" operator="greaterThan">
      <formula>0</formula>
    </cfRule>
    <cfRule type="cellIs" dxfId="5" priority="5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76"/>
  <sheetViews>
    <sheetView showGridLines="0" workbookViewId="0">
      <pane xSplit="4" ySplit="6" topLeftCell="M24" activePane="bottomRight" state="frozen"/>
      <selection pane="topRight" activeCell="E1" sqref="E1"/>
      <selection pane="bottomLeft" activeCell="A7" sqref="A7"/>
      <selection pane="bottomRight" activeCell="T47" sqref="T47"/>
    </sheetView>
  </sheetViews>
  <sheetFormatPr defaultRowHeight="15" outlineLevelRow="1" x14ac:dyDescent="0.25"/>
  <cols>
    <col min="1" max="1" width="73.7109375" bestFit="1" customWidth="1"/>
    <col min="2" max="4" width="2.42578125" hidden="1" customWidth="1"/>
    <col min="5" max="7" width="8.7109375" customWidth="1"/>
    <col min="8" max="8" width="8.85546875" bestFit="1" customWidth="1"/>
    <col min="9" max="10" width="9.28515625" bestFit="1" customWidth="1"/>
    <col min="11" max="15" width="9.85546875" bestFit="1" customWidth="1"/>
    <col min="16" max="18" width="9.42578125" bestFit="1" customWidth="1"/>
    <col min="19" max="20" width="9.85546875" bestFit="1" customWidth="1"/>
  </cols>
  <sheetData>
    <row r="1" spans="1:20" ht="18.75" outlineLevel="1" x14ac:dyDescent="0.3">
      <c r="A1" s="6" t="s">
        <v>38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outlineLevel="1" x14ac:dyDescent="0.25">
      <c r="A2" s="1" t="s">
        <v>41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0" outlineLevel="1" x14ac:dyDescent="0.25">
      <c r="A3" s="1" t="s">
        <v>85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0" outlineLevel="1" x14ac:dyDescent="0.25">
      <c r="A4" s="1" t="s">
        <v>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20" outlineLevel="1" x14ac:dyDescent="0.25">
      <c r="A5" s="2" t="s">
        <v>26</v>
      </c>
      <c r="B5" s="2"/>
      <c r="C5" s="2"/>
      <c r="D5" s="2"/>
      <c r="E5" s="3">
        <v>41364</v>
      </c>
      <c r="F5" s="3">
        <f t="shared" ref="F5:T5" si="0">EOMONTH(E5,12)</f>
        <v>41729</v>
      </c>
      <c r="G5" s="3">
        <f t="shared" si="0"/>
        <v>42094</v>
      </c>
      <c r="H5" s="3">
        <f t="shared" si="0"/>
        <v>42460</v>
      </c>
      <c r="I5" s="3">
        <f t="shared" si="0"/>
        <v>42825</v>
      </c>
      <c r="J5" s="3">
        <f t="shared" si="0"/>
        <v>43190</v>
      </c>
      <c r="K5" s="3">
        <f t="shared" si="0"/>
        <v>43555</v>
      </c>
      <c r="L5" s="3">
        <f t="shared" si="0"/>
        <v>43921</v>
      </c>
      <c r="M5" s="3">
        <f t="shared" si="0"/>
        <v>44286</v>
      </c>
      <c r="N5" s="3">
        <f>EOMONTH(M5,12)</f>
        <v>44651</v>
      </c>
      <c r="O5" s="3">
        <f>EOMONTH(N5,12)</f>
        <v>45016</v>
      </c>
      <c r="P5" s="104">
        <f t="shared" si="0"/>
        <v>45382</v>
      </c>
      <c r="Q5" s="104">
        <f t="shared" si="0"/>
        <v>45747</v>
      </c>
      <c r="R5" s="104">
        <f t="shared" si="0"/>
        <v>46112</v>
      </c>
      <c r="S5" s="104">
        <f t="shared" si="0"/>
        <v>46477</v>
      </c>
      <c r="T5" s="104">
        <f t="shared" si="0"/>
        <v>46843</v>
      </c>
    </row>
    <row r="6" spans="1:20" x14ac:dyDescent="0.25">
      <c r="A6" s="1" t="s">
        <v>27</v>
      </c>
      <c r="B6" s="1"/>
      <c r="C6" s="1"/>
      <c r="D6" s="1"/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  <c r="K6" s="4" t="s">
        <v>34</v>
      </c>
      <c r="L6" s="4" t="s">
        <v>35</v>
      </c>
      <c r="M6" s="4" t="s">
        <v>36</v>
      </c>
      <c r="N6" s="4" t="s">
        <v>37</v>
      </c>
      <c r="O6" s="4" t="s">
        <v>46</v>
      </c>
      <c r="P6" s="105" t="s">
        <v>42</v>
      </c>
      <c r="Q6" s="105" t="s">
        <v>43</v>
      </c>
      <c r="R6" s="105" t="s">
        <v>44</v>
      </c>
      <c r="S6" s="105" t="s">
        <v>45</v>
      </c>
      <c r="T6" s="105" t="s">
        <v>45</v>
      </c>
    </row>
    <row r="8" spans="1:20" x14ac:dyDescent="0.25">
      <c r="A8" s="103" t="s">
        <v>86</v>
      </c>
    </row>
    <row r="9" spans="1:20" x14ac:dyDescent="0.25">
      <c r="A9" s="9" t="s">
        <v>87</v>
      </c>
      <c r="E9" s="16">
        <v>1006.5015</v>
      </c>
      <c r="F9" s="50">
        <v>1009.87</v>
      </c>
      <c r="G9" s="16">
        <v>1048.8900000000001</v>
      </c>
      <c r="H9" s="16">
        <v>868.11</v>
      </c>
      <c r="I9" s="16">
        <v>973.25</v>
      </c>
      <c r="J9" s="16">
        <v>1529.78</v>
      </c>
      <c r="K9" s="16">
        <v>1956.89</v>
      </c>
      <c r="L9" s="16">
        <v>2102</v>
      </c>
      <c r="M9" s="16">
        <v>1327</v>
      </c>
      <c r="N9" s="16">
        <v>2904</v>
      </c>
      <c r="O9" s="16">
        <v>4447</v>
      </c>
      <c r="P9" s="210">
        <f ca="1">IS!N35</f>
        <v>4329.6925738089531</v>
      </c>
      <c r="Q9" s="210">
        <f ca="1">IS!O35</f>
        <v>5052.1425096131507</v>
      </c>
      <c r="R9" s="210">
        <f ca="1">IS!P35</f>
        <v>5892.8693560798856</v>
      </c>
      <c r="S9" s="210">
        <f ca="1">IS!Q35</f>
        <v>6917.649891058305</v>
      </c>
      <c r="T9" s="210">
        <f ca="1">IS!R35</f>
        <v>8219.4205259953396</v>
      </c>
    </row>
    <row r="10" spans="1:20" x14ac:dyDescent="0.25">
      <c r="A10" s="10" t="s">
        <v>88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88"/>
      <c r="Q10" s="88"/>
      <c r="R10" s="88"/>
      <c r="S10" s="88"/>
      <c r="T10" s="88"/>
    </row>
    <row r="11" spans="1:20" x14ac:dyDescent="0.25">
      <c r="A11" s="114" t="s">
        <v>91</v>
      </c>
      <c r="E11" s="16">
        <v>56.230699999999999</v>
      </c>
      <c r="F11" s="50">
        <v>67.55</v>
      </c>
      <c r="G11" s="16">
        <v>89.57</v>
      </c>
      <c r="H11" s="16">
        <v>98.19</v>
      </c>
      <c r="I11" s="16">
        <v>110.53</v>
      </c>
      <c r="J11" s="16">
        <v>131.43</v>
      </c>
      <c r="K11" s="16">
        <v>162.84</v>
      </c>
      <c r="L11" s="16">
        <v>348</v>
      </c>
      <c r="M11" s="16">
        <v>376</v>
      </c>
      <c r="N11" s="16">
        <v>399</v>
      </c>
      <c r="O11" s="16">
        <v>441</v>
      </c>
      <c r="P11" s="210">
        <f>IS!N26</f>
        <v>519.49606757475794</v>
      </c>
      <c r="Q11" s="210">
        <f>IS!O26</f>
        <v>515.86173598604375</v>
      </c>
      <c r="R11" s="210">
        <f>IS!P26</f>
        <v>525.92967920805268</v>
      </c>
      <c r="S11" s="210">
        <f>IS!Q26</f>
        <v>550.10310975153516</v>
      </c>
      <c r="T11" s="210">
        <f>IS!R26</f>
        <v>589.96990719407825</v>
      </c>
    </row>
    <row r="12" spans="1:20" x14ac:dyDescent="0.25">
      <c r="A12" s="114" t="s">
        <v>92</v>
      </c>
      <c r="E12" s="16">
        <v>-12.0123</v>
      </c>
      <c r="F12" s="50">
        <v>0.43</v>
      </c>
      <c r="G12" s="16">
        <v>-1.65</v>
      </c>
      <c r="H12" s="16">
        <v>-1.65</v>
      </c>
      <c r="I12" s="16">
        <v>2.09</v>
      </c>
      <c r="J12" s="16">
        <v>-1.26</v>
      </c>
      <c r="K12" s="16">
        <v>-1.44</v>
      </c>
      <c r="L12" s="16">
        <v>-1</v>
      </c>
      <c r="M12" s="16">
        <v>-2</v>
      </c>
      <c r="N12" s="16">
        <v>-3</v>
      </c>
      <c r="O12" s="16">
        <v>7</v>
      </c>
      <c r="P12" s="88"/>
      <c r="Q12" s="88"/>
      <c r="R12" s="88"/>
      <c r="S12" s="88"/>
      <c r="T12" s="88"/>
    </row>
    <row r="13" spans="1:20" x14ac:dyDescent="0.25">
      <c r="A13" s="114" t="s">
        <v>93</v>
      </c>
      <c r="E13" s="16"/>
      <c r="F13" s="16"/>
      <c r="G13" s="16"/>
      <c r="H13" s="44">
        <v>-0.17</v>
      </c>
      <c r="I13" s="16">
        <v>1.77</v>
      </c>
      <c r="J13" s="16">
        <v>2.77</v>
      </c>
      <c r="K13" s="16">
        <v>2.16</v>
      </c>
      <c r="L13" s="16">
        <v>4</v>
      </c>
      <c r="M13" s="16">
        <v>5</v>
      </c>
      <c r="N13" s="16">
        <v>0</v>
      </c>
      <c r="O13" s="16">
        <v>-1</v>
      </c>
      <c r="P13" s="88"/>
      <c r="Q13" s="88"/>
      <c r="R13" s="88"/>
      <c r="S13" s="88"/>
      <c r="T13" s="88"/>
    </row>
    <row r="14" spans="1:20" x14ac:dyDescent="0.25">
      <c r="A14" s="114" t="s">
        <v>94</v>
      </c>
      <c r="E14" s="16"/>
      <c r="F14" s="16"/>
      <c r="G14" s="16"/>
      <c r="H14" s="16"/>
      <c r="I14" s="16">
        <v>0.93</v>
      </c>
      <c r="J14" s="16">
        <v>4.3099999999999996</v>
      </c>
      <c r="K14" s="16">
        <v>1.07</v>
      </c>
      <c r="L14" s="16"/>
      <c r="M14" s="16">
        <v>0</v>
      </c>
      <c r="N14" s="16">
        <v>2</v>
      </c>
      <c r="O14" s="16">
        <v>1</v>
      </c>
      <c r="P14" s="88"/>
      <c r="Q14" s="88"/>
      <c r="R14" s="88"/>
      <c r="S14" s="88"/>
      <c r="T14" s="88"/>
    </row>
    <row r="15" spans="1:20" x14ac:dyDescent="0.25">
      <c r="A15" s="114" t="s">
        <v>95</v>
      </c>
      <c r="E15" s="16">
        <v>1.8618999999999999</v>
      </c>
      <c r="F15" s="50">
        <v>2.9</v>
      </c>
      <c r="G15" s="16">
        <v>4.18</v>
      </c>
      <c r="H15" s="16">
        <v>4.59</v>
      </c>
      <c r="I15" s="16">
        <v>8.41</v>
      </c>
      <c r="J15" s="16">
        <v>2.2799999999999998</v>
      </c>
      <c r="K15" s="16">
        <v>4.46</v>
      </c>
      <c r="L15" s="16">
        <v>-3</v>
      </c>
      <c r="M15" s="16">
        <v>6</v>
      </c>
      <c r="N15" s="16">
        <v>3</v>
      </c>
      <c r="O15" s="16">
        <v>3</v>
      </c>
      <c r="P15" s="88"/>
      <c r="Q15" s="88"/>
      <c r="R15" s="88"/>
      <c r="S15" s="88"/>
      <c r="T15" s="88"/>
    </row>
    <row r="16" spans="1:20" x14ac:dyDescent="0.25">
      <c r="A16" s="114" t="s">
        <v>138</v>
      </c>
      <c r="E16" s="16">
        <v>1.5546</v>
      </c>
      <c r="F16" s="50">
        <v>0.03</v>
      </c>
      <c r="G16" s="16">
        <v>5.45</v>
      </c>
      <c r="H16" s="16">
        <v>-1.74</v>
      </c>
      <c r="I16" s="16">
        <v>2.66</v>
      </c>
      <c r="J16" s="16">
        <v>3.32</v>
      </c>
      <c r="K16" s="16">
        <v>7.29</v>
      </c>
      <c r="L16" s="16">
        <v>4</v>
      </c>
      <c r="M16" s="16">
        <v>35</v>
      </c>
      <c r="N16" s="16">
        <v>3</v>
      </c>
      <c r="O16" s="16">
        <v>4</v>
      </c>
      <c r="P16" s="88"/>
      <c r="Q16" s="88"/>
      <c r="R16" s="88"/>
      <c r="S16" s="88"/>
      <c r="T16" s="88"/>
    </row>
    <row r="17" spans="1:20" x14ac:dyDescent="0.25">
      <c r="A17" s="114" t="s">
        <v>96</v>
      </c>
      <c r="E17" s="16"/>
      <c r="F17" s="16"/>
      <c r="G17" s="16"/>
      <c r="H17" s="16"/>
      <c r="I17" s="16"/>
      <c r="J17" s="16"/>
      <c r="K17" s="16">
        <v>0</v>
      </c>
      <c r="L17" s="16">
        <v>0</v>
      </c>
      <c r="M17" s="16">
        <v>31</v>
      </c>
      <c r="N17" s="16">
        <v>9</v>
      </c>
      <c r="O17" s="16">
        <v>0</v>
      </c>
      <c r="P17" s="88"/>
      <c r="Q17" s="88"/>
      <c r="R17" s="88"/>
      <c r="S17" s="88"/>
      <c r="T17" s="88"/>
    </row>
    <row r="18" spans="1:20" x14ac:dyDescent="0.25">
      <c r="A18" s="114" t="s">
        <v>97</v>
      </c>
      <c r="E18" s="16">
        <v>-99.988799999999998</v>
      </c>
      <c r="F18" s="50">
        <v>-119.48</v>
      </c>
      <c r="G18" s="16">
        <v>-64.22</v>
      </c>
      <c r="H18" s="16">
        <v>-57.55</v>
      </c>
      <c r="I18" s="16">
        <v>-51.37</v>
      </c>
      <c r="J18" s="16">
        <v>-64.22</v>
      </c>
      <c r="K18" s="16">
        <v>-103.69</v>
      </c>
      <c r="L18" s="16">
        <v>-98</v>
      </c>
      <c r="M18" s="16">
        <v>-61</v>
      </c>
      <c r="N18" s="16">
        <v>-96</v>
      </c>
      <c r="O18" s="16">
        <v>-143</v>
      </c>
      <c r="P18" s="88"/>
      <c r="Q18" s="88"/>
      <c r="R18" s="88"/>
      <c r="S18" s="88"/>
      <c r="T18" s="88"/>
    </row>
    <row r="19" spans="1:20" x14ac:dyDescent="0.25">
      <c r="A19" s="114" t="s">
        <v>98</v>
      </c>
      <c r="E19" s="44">
        <v>0.1492</v>
      </c>
      <c r="F19" s="44">
        <v>0.23</v>
      </c>
      <c r="G19" s="44">
        <v>-0.24</v>
      </c>
      <c r="H19" s="16">
        <v>-8.11</v>
      </c>
      <c r="I19" s="16">
        <v>-12.78</v>
      </c>
      <c r="J19" s="16">
        <v>-19.54</v>
      </c>
      <c r="K19" s="16">
        <v>-44.59</v>
      </c>
      <c r="L19" s="16">
        <v>-32</v>
      </c>
      <c r="M19" s="16">
        <v>-35</v>
      </c>
      <c r="N19" s="16">
        <v>-87</v>
      </c>
      <c r="O19" s="16">
        <v>-106</v>
      </c>
      <c r="P19" s="88"/>
      <c r="Q19" s="88"/>
      <c r="R19" s="88"/>
      <c r="S19" s="88"/>
      <c r="T19" s="88"/>
    </row>
    <row r="20" spans="1:20" x14ac:dyDescent="0.25">
      <c r="A20" s="114" t="s">
        <v>99</v>
      </c>
      <c r="E20" s="16"/>
      <c r="F20" s="16"/>
      <c r="G20" s="16"/>
      <c r="H20" s="16"/>
      <c r="I20" s="16"/>
      <c r="J20" s="16"/>
      <c r="K20" s="16">
        <v>0</v>
      </c>
      <c r="L20" s="16">
        <v>0</v>
      </c>
      <c r="M20" s="16">
        <v>-22</v>
      </c>
      <c r="N20" s="16">
        <v>0</v>
      </c>
      <c r="O20" s="16"/>
      <c r="P20" s="88"/>
      <c r="Q20" s="88"/>
      <c r="R20" s="88"/>
      <c r="S20" s="88"/>
      <c r="T20" s="88"/>
    </row>
    <row r="21" spans="1:20" x14ac:dyDescent="0.25">
      <c r="A21" s="114" t="s">
        <v>100</v>
      </c>
      <c r="E21" s="16"/>
      <c r="F21" s="16"/>
      <c r="G21" s="16"/>
      <c r="H21" s="16"/>
      <c r="I21" s="16"/>
      <c r="J21" s="16"/>
      <c r="K21" s="16">
        <v>145</v>
      </c>
      <c r="L21" s="16">
        <v>-9</v>
      </c>
      <c r="M21" s="16">
        <v>-13</v>
      </c>
      <c r="N21" s="16">
        <v>-20</v>
      </c>
      <c r="O21" s="16">
        <v>-14</v>
      </c>
      <c r="P21" s="88"/>
      <c r="Q21" s="88"/>
      <c r="R21" s="88"/>
      <c r="S21" s="88"/>
      <c r="T21" s="88"/>
    </row>
    <row r="22" spans="1:20" x14ac:dyDescent="0.25">
      <c r="A22" s="114" t="s">
        <v>101</v>
      </c>
      <c r="E22" s="16"/>
      <c r="F22" s="16"/>
      <c r="G22" s="16"/>
      <c r="H22" s="16"/>
      <c r="I22" s="16"/>
      <c r="J22" s="16"/>
      <c r="K22" s="41"/>
      <c r="L22" s="16">
        <v>0</v>
      </c>
      <c r="M22" s="16">
        <v>-61</v>
      </c>
      <c r="N22" s="16">
        <v>-34</v>
      </c>
      <c r="O22" s="16">
        <v>-2</v>
      </c>
      <c r="P22" s="88"/>
      <c r="Q22" s="88"/>
      <c r="R22" s="88"/>
      <c r="S22" s="88"/>
      <c r="T22" s="88"/>
    </row>
    <row r="23" spans="1:20" x14ac:dyDescent="0.25">
      <c r="A23" s="114" t="s">
        <v>102</v>
      </c>
      <c r="E23" s="16">
        <v>50.645400000000002</v>
      </c>
      <c r="F23" s="16">
        <v>87.13</v>
      </c>
      <c r="G23" s="16">
        <v>80.69</v>
      </c>
      <c r="H23" s="16">
        <v>42.36</v>
      </c>
      <c r="I23" s="16">
        <v>37.74</v>
      </c>
      <c r="J23" s="16">
        <v>52.92</v>
      </c>
      <c r="K23" s="16">
        <v>52.54</v>
      </c>
      <c r="L23" s="16">
        <v>166</v>
      </c>
      <c r="M23" s="16">
        <v>203</v>
      </c>
      <c r="N23" s="16">
        <v>218</v>
      </c>
      <c r="O23" s="16">
        <v>300</v>
      </c>
      <c r="P23" s="210"/>
      <c r="Q23" s="210"/>
      <c r="R23" s="210"/>
      <c r="S23" s="210"/>
      <c r="T23" s="210"/>
    </row>
    <row r="24" spans="1:20" x14ac:dyDescent="0.25">
      <c r="A24" s="114" t="s">
        <v>142</v>
      </c>
      <c r="E24" s="16"/>
      <c r="F24" s="16"/>
      <c r="G24" s="16"/>
      <c r="H24" s="52">
        <v>0.25</v>
      </c>
      <c r="I24" s="16"/>
      <c r="J24" s="16"/>
      <c r="K24" s="16"/>
      <c r="L24" s="16"/>
      <c r="M24" s="16"/>
      <c r="N24" s="16"/>
      <c r="O24" s="16"/>
      <c r="P24" s="88"/>
      <c r="Q24" s="88"/>
      <c r="R24" s="88"/>
      <c r="S24" s="88"/>
      <c r="T24" s="88"/>
    </row>
    <row r="25" spans="1:20" x14ac:dyDescent="0.25">
      <c r="A25" s="114" t="s">
        <v>143</v>
      </c>
      <c r="E25" s="16"/>
      <c r="F25" s="16"/>
      <c r="G25" s="16"/>
      <c r="H25" s="16">
        <v>-0.83</v>
      </c>
      <c r="I25" s="16"/>
      <c r="J25" s="16"/>
      <c r="K25" s="16"/>
      <c r="L25" s="16"/>
      <c r="M25" s="16"/>
      <c r="N25" s="16"/>
      <c r="O25" s="16"/>
      <c r="P25" s="88"/>
      <c r="Q25" s="88"/>
      <c r="R25" s="88"/>
      <c r="S25" s="88"/>
      <c r="T25" s="88"/>
    </row>
    <row r="26" spans="1:20" x14ac:dyDescent="0.25">
      <c r="A26" s="114" t="s">
        <v>144</v>
      </c>
      <c r="E26" s="16"/>
      <c r="F26" s="16"/>
      <c r="G26" s="16"/>
      <c r="H26" s="16">
        <v>-1.83</v>
      </c>
      <c r="I26" s="16"/>
      <c r="J26" s="16"/>
      <c r="K26" s="16"/>
      <c r="L26" s="16"/>
      <c r="M26" s="16"/>
      <c r="N26" s="16"/>
      <c r="O26" s="16"/>
      <c r="P26" s="88"/>
      <c r="Q26" s="88"/>
      <c r="R26" s="88"/>
      <c r="S26" s="88"/>
      <c r="T26" s="88"/>
    </row>
    <row r="27" spans="1:20" x14ac:dyDescent="0.25">
      <c r="A27" s="117" t="s">
        <v>89</v>
      </c>
      <c r="E27" s="42">
        <f>SUM(E9:E26)</f>
        <v>1004.9421999999998</v>
      </c>
      <c r="F27" s="42">
        <f t="shared" ref="F27:T27" si="1">SUM(F9:F26)</f>
        <v>1048.6600000000003</v>
      </c>
      <c r="G27" s="42">
        <f t="shared" si="1"/>
        <v>1162.67</v>
      </c>
      <c r="H27" s="42">
        <f t="shared" si="1"/>
        <v>941.62</v>
      </c>
      <c r="I27" s="42">
        <f t="shared" si="1"/>
        <v>1073.2300000000002</v>
      </c>
      <c r="J27" s="42">
        <f t="shared" si="1"/>
        <v>1641.79</v>
      </c>
      <c r="K27" s="42">
        <f t="shared" si="1"/>
        <v>2182.5299999999997</v>
      </c>
      <c r="L27" s="42">
        <f t="shared" si="1"/>
        <v>2481</v>
      </c>
      <c r="M27" s="42">
        <f t="shared" si="1"/>
        <v>1789</v>
      </c>
      <c r="N27" s="42">
        <f t="shared" si="1"/>
        <v>3298</v>
      </c>
      <c r="O27" s="42">
        <f t="shared" si="1"/>
        <v>4937</v>
      </c>
      <c r="P27" s="42">
        <f t="shared" ca="1" si="1"/>
        <v>4849.188641383711</v>
      </c>
      <c r="Q27" s="42">
        <f t="shared" ca="1" si="1"/>
        <v>5568.0042455991943</v>
      </c>
      <c r="R27" s="42">
        <f t="shared" ca="1" si="1"/>
        <v>6418.7990352879388</v>
      </c>
      <c r="S27" s="42">
        <f t="shared" ca="1" si="1"/>
        <v>7467.7530008098402</v>
      </c>
      <c r="T27" s="42">
        <f t="shared" ca="1" si="1"/>
        <v>8809.3904331894173</v>
      </c>
    </row>
    <row r="28" spans="1:20" x14ac:dyDescent="0.25">
      <c r="A28" s="118" t="s">
        <v>88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88"/>
      <c r="Q28" s="88"/>
      <c r="R28" s="88"/>
      <c r="S28" s="88"/>
      <c r="T28" s="88"/>
    </row>
    <row r="29" spans="1:20" x14ac:dyDescent="0.25">
      <c r="A29" s="114" t="s">
        <v>103</v>
      </c>
      <c r="E29" s="16">
        <v>-1.9328999999999998</v>
      </c>
      <c r="F29" s="50">
        <v>11.73</v>
      </c>
      <c r="G29" s="16">
        <v>-39.26</v>
      </c>
      <c r="H29" s="44">
        <v>0.31</v>
      </c>
      <c r="I29" s="16">
        <v>-11.64</v>
      </c>
      <c r="J29" s="16">
        <v>-90.32</v>
      </c>
      <c r="K29" s="16">
        <v>-139.08000000000001</v>
      </c>
      <c r="L29" s="16">
        <v>109</v>
      </c>
      <c r="M29" s="16">
        <v>-59</v>
      </c>
      <c r="N29" s="16">
        <v>-207</v>
      </c>
      <c r="O29" s="16">
        <v>-112</v>
      </c>
      <c r="P29" s="88">
        <f>BS!M29-BS!N29</f>
        <v>-15.601348867617617</v>
      </c>
      <c r="Q29" s="88">
        <f>BS!N29-BS!O29</f>
        <v>-196.22700998102709</v>
      </c>
      <c r="R29" s="88">
        <f>BS!O29-BS!P29</f>
        <v>-54.082825273676917</v>
      </c>
      <c r="S29" s="88">
        <f>BS!P29-BS!Q29</f>
        <v>-252.87950903416458</v>
      </c>
      <c r="T29" s="88">
        <f>BS!Q29-BS!R29</f>
        <v>-136.75566819592086</v>
      </c>
    </row>
    <row r="30" spans="1:20" x14ac:dyDescent="0.25">
      <c r="A30" s="114" t="s">
        <v>104</v>
      </c>
      <c r="E30" s="16">
        <v>-798.31009999999992</v>
      </c>
      <c r="F30" s="50">
        <v>-189.06</v>
      </c>
      <c r="G30" s="16">
        <v>-179.97</v>
      </c>
      <c r="H30" s="16">
        <v>-397.85</v>
      </c>
      <c r="I30" s="16">
        <v>-448.27</v>
      </c>
      <c r="J30" s="16">
        <v>-995.93</v>
      </c>
      <c r="K30" s="16">
        <v>-1119.8599999999999</v>
      </c>
      <c r="L30" s="16">
        <v>-1057</v>
      </c>
      <c r="M30" s="16">
        <v>-316</v>
      </c>
      <c r="N30" s="16">
        <v>-5199</v>
      </c>
      <c r="O30" s="16">
        <v>-2977</v>
      </c>
      <c r="P30" s="88">
        <f>BS!M26-BS!N26</f>
        <v>517.01579515585763</v>
      </c>
      <c r="Q30" s="88">
        <f>BS!N26-BS!O26</f>
        <v>-5589.175928063305</v>
      </c>
      <c r="R30" s="88">
        <f>BS!O26-BS!P26</f>
        <v>-404.41045552711876</v>
      </c>
      <c r="S30" s="88">
        <f>BS!P26-BS!Q26</f>
        <v>-6945.7013181892689</v>
      </c>
      <c r="T30" s="88">
        <f>BS!Q26-BS!R26</f>
        <v>-2383.9843908751354</v>
      </c>
    </row>
    <row r="31" spans="1:20" x14ac:dyDescent="0.25">
      <c r="A31" s="114" t="s">
        <v>105</v>
      </c>
      <c r="E31" s="16">
        <v>-26.939900000000002</v>
      </c>
      <c r="F31" s="50">
        <v>-6.16</v>
      </c>
      <c r="G31" s="16">
        <v>-71.010000000000005</v>
      </c>
      <c r="H31" s="16"/>
      <c r="I31" s="16">
        <v>1.39</v>
      </c>
      <c r="J31" s="16">
        <v>2.73</v>
      </c>
      <c r="K31" s="16">
        <v>-23.51</v>
      </c>
      <c r="L31" s="16">
        <v>-20</v>
      </c>
      <c r="M31" s="16">
        <v>-8</v>
      </c>
      <c r="N31" s="16">
        <v>-3</v>
      </c>
      <c r="O31" s="16">
        <v>-18</v>
      </c>
      <c r="P31" s="88"/>
      <c r="Q31" s="88"/>
      <c r="R31" s="88"/>
      <c r="S31" s="88"/>
      <c r="T31" s="88"/>
    </row>
    <row r="32" spans="1:20" x14ac:dyDescent="0.25">
      <c r="A32" s="114" t="s">
        <v>106</v>
      </c>
      <c r="E32" s="16"/>
      <c r="F32" s="16"/>
      <c r="G32" s="16"/>
      <c r="H32" s="16">
        <v>-65.87</v>
      </c>
      <c r="I32" s="16">
        <v>2.2400000000000002</v>
      </c>
      <c r="J32" s="16">
        <v>-31.44</v>
      </c>
      <c r="K32" s="16">
        <v>-11.53</v>
      </c>
      <c r="L32" s="16">
        <v>-336</v>
      </c>
      <c r="M32" s="16">
        <v>237</v>
      </c>
      <c r="N32" s="16">
        <v>-29</v>
      </c>
      <c r="O32" s="16">
        <v>74</v>
      </c>
      <c r="P32" s="88"/>
      <c r="Q32" s="88"/>
      <c r="R32" s="88"/>
      <c r="S32" s="88"/>
      <c r="T32" s="88"/>
    </row>
    <row r="33" spans="1:20" x14ac:dyDescent="0.25">
      <c r="A33" s="114" t="s">
        <v>107</v>
      </c>
      <c r="E33" s="16"/>
      <c r="F33" s="16"/>
      <c r="G33" s="16"/>
      <c r="H33" s="16">
        <v>1.04</v>
      </c>
      <c r="I33" s="16">
        <v>-38.97</v>
      </c>
      <c r="J33" s="16">
        <v>-270.16000000000003</v>
      </c>
      <c r="K33" s="16">
        <v>-276.20999999999998</v>
      </c>
      <c r="L33" s="16">
        <v>36</v>
      </c>
      <c r="M33" s="16">
        <v>-62</v>
      </c>
      <c r="N33" s="16">
        <v>-223</v>
      </c>
      <c r="O33" s="16">
        <v>-363</v>
      </c>
      <c r="P33" s="88"/>
      <c r="Q33" s="88"/>
      <c r="R33" s="88"/>
      <c r="S33" s="88"/>
      <c r="T33" s="88"/>
    </row>
    <row r="34" spans="1:20" x14ac:dyDescent="0.25">
      <c r="A34" s="114" t="s">
        <v>108</v>
      </c>
      <c r="E34" s="16"/>
      <c r="F34" s="16"/>
      <c r="G34" s="16"/>
      <c r="H34" s="16">
        <v>1.61</v>
      </c>
      <c r="I34" s="16">
        <v>-29.53</v>
      </c>
      <c r="J34" s="44">
        <v>-0.41</v>
      </c>
      <c r="K34" s="16">
        <v>-3.9</v>
      </c>
      <c r="L34" s="16"/>
      <c r="M34" s="16">
        <v>0</v>
      </c>
      <c r="N34" s="16">
        <v>1</v>
      </c>
      <c r="O34" s="16">
        <v>0</v>
      </c>
      <c r="P34" s="88"/>
      <c r="Q34" s="88"/>
      <c r="R34" s="88"/>
      <c r="S34" s="88"/>
      <c r="T34" s="88"/>
    </row>
    <row r="35" spans="1:20" x14ac:dyDescent="0.25">
      <c r="A35" s="114" t="s">
        <v>109</v>
      </c>
      <c r="E35" s="16"/>
      <c r="F35" s="16"/>
      <c r="G35" s="16"/>
      <c r="H35" s="16"/>
      <c r="I35" s="16">
        <v>762.83</v>
      </c>
      <c r="J35" s="16">
        <v>-270.41000000000003</v>
      </c>
      <c r="K35" s="16">
        <v>740.88</v>
      </c>
      <c r="L35" s="16">
        <v>-768</v>
      </c>
      <c r="M35" s="16">
        <v>2625</v>
      </c>
      <c r="N35" s="16">
        <v>1188</v>
      </c>
      <c r="O35" s="16">
        <v>-99</v>
      </c>
      <c r="P35" s="210">
        <f>BS!N59-BS!M59</f>
        <v>1581.6211248867785</v>
      </c>
      <c r="Q35" s="210">
        <f>BS!O59-BS!N59</f>
        <v>1068.8686117496518</v>
      </c>
      <c r="R35" s="210">
        <f>BS!P59-BS!O59</f>
        <v>1263.0430012779716</v>
      </c>
      <c r="S35" s="210">
        <f>BS!Q59-BS!P59</f>
        <v>1548.9068881730345</v>
      </c>
      <c r="T35" s="210">
        <f>BS!R59-BS!Q59</f>
        <v>1966.0673067496355</v>
      </c>
    </row>
    <row r="36" spans="1:20" x14ac:dyDescent="0.25">
      <c r="A36" s="114" t="s">
        <v>110</v>
      </c>
      <c r="E36" s="16">
        <v>222.38209999999998</v>
      </c>
      <c r="F36" s="50">
        <v>-1238.6500000000001</v>
      </c>
      <c r="G36" s="16">
        <v>1078.72</v>
      </c>
      <c r="H36" s="16">
        <v>-244.83</v>
      </c>
      <c r="I36" s="16">
        <v>237.6</v>
      </c>
      <c r="J36" s="16">
        <v>94.82</v>
      </c>
      <c r="K36" s="16">
        <v>32.32</v>
      </c>
      <c r="L36" s="16">
        <v>-310</v>
      </c>
      <c r="M36" s="16">
        <v>195</v>
      </c>
      <c r="N36" s="16">
        <v>504</v>
      </c>
      <c r="O36" s="16">
        <v>-89</v>
      </c>
      <c r="P36" s="210">
        <f>BS!N61-BS!M61</f>
        <v>-306.19974558350805</v>
      </c>
      <c r="Q36" s="210">
        <f>BS!O61-BS!N61</f>
        <v>215.03649424018408</v>
      </c>
      <c r="R36" s="210">
        <f>BS!P61-BS!O61</f>
        <v>-380.02960904481188</v>
      </c>
      <c r="S36" s="210">
        <f>BS!Q61-BS!P61</f>
        <v>124.08810804721861</v>
      </c>
      <c r="T36" s="210">
        <f>BS!R61-BS!Q61</f>
        <v>-503.68135195988748</v>
      </c>
    </row>
    <row r="37" spans="1:20" x14ac:dyDescent="0.25">
      <c r="A37" s="114" t="s">
        <v>111</v>
      </c>
      <c r="E37" s="16"/>
      <c r="F37" s="50">
        <v>0</v>
      </c>
      <c r="G37" s="16"/>
      <c r="H37" s="16">
        <v>39.17</v>
      </c>
      <c r="I37" s="16">
        <v>195.67</v>
      </c>
      <c r="J37" s="16">
        <v>-18.670000000000002</v>
      </c>
      <c r="K37" s="16">
        <v>20.93</v>
      </c>
      <c r="L37" s="16">
        <v>-280</v>
      </c>
      <c r="M37" s="16">
        <v>253</v>
      </c>
      <c r="N37" s="16">
        <v>179</v>
      </c>
      <c r="O37" s="16">
        <v>108</v>
      </c>
      <c r="P37" s="88"/>
      <c r="Q37" s="88"/>
      <c r="R37" s="88"/>
      <c r="S37" s="88"/>
      <c r="T37" s="88"/>
    </row>
    <row r="38" spans="1:20" x14ac:dyDescent="0.25">
      <c r="A38" s="114" t="s">
        <v>112</v>
      </c>
      <c r="E38" s="16">
        <v>403.7912</v>
      </c>
      <c r="F38" s="50">
        <v>88.92</v>
      </c>
      <c r="G38" s="16">
        <v>-1237.8900000000001</v>
      </c>
      <c r="H38" s="16">
        <v>479.87</v>
      </c>
      <c r="I38" s="16">
        <v>235.17</v>
      </c>
      <c r="J38" s="16">
        <v>343.06</v>
      </c>
      <c r="K38" s="16">
        <v>446.42</v>
      </c>
      <c r="L38" s="16">
        <v>316</v>
      </c>
      <c r="M38" s="16">
        <v>-192</v>
      </c>
      <c r="N38" s="16">
        <v>510</v>
      </c>
      <c r="O38" s="16">
        <v>994</v>
      </c>
      <c r="P38" s="88"/>
      <c r="Q38" s="88"/>
      <c r="R38" s="88"/>
      <c r="S38" s="88"/>
      <c r="T38" s="88"/>
    </row>
    <row r="39" spans="1:20" x14ac:dyDescent="0.25">
      <c r="A39" s="114" t="s">
        <v>113</v>
      </c>
      <c r="E39" s="16">
        <v>24.724899999999998</v>
      </c>
      <c r="F39" s="67">
        <v>15.03</v>
      </c>
      <c r="G39" s="16">
        <v>34.26</v>
      </c>
      <c r="H39" s="16">
        <v>23.49</v>
      </c>
      <c r="I39" s="16">
        <v>9.33</v>
      </c>
      <c r="J39" s="40">
        <v>-0.1</v>
      </c>
      <c r="K39" s="16">
        <v>29.97</v>
      </c>
      <c r="L39" s="16">
        <v>38</v>
      </c>
      <c r="M39" s="16">
        <v>-52</v>
      </c>
      <c r="N39" s="16">
        <v>59</v>
      </c>
      <c r="O39" s="16">
        <v>69</v>
      </c>
      <c r="P39" s="88"/>
      <c r="Q39" s="88"/>
      <c r="R39" s="88"/>
      <c r="S39" s="88"/>
      <c r="T39" s="88"/>
    </row>
    <row r="40" spans="1:20" x14ac:dyDescent="0.25">
      <c r="A40" s="119" t="s">
        <v>205</v>
      </c>
      <c r="E40" s="42">
        <f>SUM(E29:E39)</f>
        <v>-176.28469999999999</v>
      </c>
      <c r="F40" s="42">
        <f t="shared" ref="F40:O40" si="2">SUM(F29:F39)</f>
        <v>-1318.19</v>
      </c>
      <c r="G40" s="42">
        <f t="shared" si="2"/>
        <v>-415.15000000000009</v>
      </c>
      <c r="H40" s="42">
        <f t="shared" si="2"/>
        <v>-163.06000000000006</v>
      </c>
      <c r="I40" s="42">
        <f t="shared" si="2"/>
        <v>915.82</v>
      </c>
      <c r="J40" s="42">
        <f t="shared" si="2"/>
        <v>-1236.8300000000004</v>
      </c>
      <c r="K40" s="42">
        <f t="shared" si="2"/>
        <v>-303.56999999999994</v>
      </c>
      <c r="L40" s="42">
        <f t="shared" si="2"/>
        <v>-2272</v>
      </c>
      <c r="M40" s="42">
        <f t="shared" si="2"/>
        <v>2621</v>
      </c>
      <c r="N40" s="42">
        <f t="shared" si="2"/>
        <v>-3220</v>
      </c>
      <c r="O40" s="42">
        <f t="shared" si="2"/>
        <v>-2413</v>
      </c>
      <c r="P40" s="42">
        <f t="shared" ref="P40:T40" si="3">SUM(P29:P39)</f>
        <v>1776.8358255915105</v>
      </c>
      <c r="Q40" s="42">
        <f t="shared" si="3"/>
        <v>-4501.497832054496</v>
      </c>
      <c r="R40" s="42">
        <f t="shared" si="3"/>
        <v>424.52011143236405</v>
      </c>
      <c r="S40" s="42">
        <f t="shared" si="3"/>
        <v>-5525.5858310031799</v>
      </c>
      <c r="T40" s="42">
        <f t="shared" si="3"/>
        <v>-1058.3541042813083</v>
      </c>
    </row>
    <row r="41" spans="1:20" x14ac:dyDescent="0.25">
      <c r="A41" s="113" t="s">
        <v>90</v>
      </c>
      <c r="E41" s="42">
        <f t="shared" ref="E41:O41" si="4">E27+E40</f>
        <v>828.6574999999998</v>
      </c>
      <c r="F41" s="42">
        <f t="shared" si="4"/>
        <v>-269.52999999999975</v>
      </c>
      <c r="G41" s="42">
        <f t="shared" si="4"/>
        <v>747.52</v>
      </c>
      <c r="H41" s="42">
        <f t="shared" si="4"/>
        <v>778.56</v>
      </c>
      <c r="I41" s="42">
        <f t="shared" si="4"/>
        <v>1989.0500000000002</v>
      </c>
      <c r="J41" s="42">
        <f t="shared" si="4"/>
        <v>404.95999999999958</v>
      </c>
      <c r="K41" s="42">
        <f t="shared" si="4"/>
        <v>1878.9599999999998</v>
      </c>
      <c r="L41" s="42">
        <f t="shared" si="4"/>
        <v>209</v>
      </c>
      <c r="M41" s="42">
        <f t="shared" si="4"/>
        <v>4410</v>
      </c>
      <c r="N41" s="42">
        <f t="shared" si="4"/>
        <v>78</v>
      </c>
      <c r="O41" s="42">
        <f t="shared" si="4"/>
        <v>2524</v>
      </c>
      <c r="P41" s="42">
        <f t="shared" ref="P41:T41" ca="1" si="5">P27+P40</f>
        <v>6626.024466975221</v>
      </c>
      <c r="Q41" s="42">
        <f t="shared" ca="1" si="5"/>
        <v>1066.5064135446983</v>
      </c>
      <c r="R41" s="42">
        <f t="shared" ca="1" si="5"/>
        <v>6843.3191467203033</v>
      </c>
      <c r="S41" s="42">
        <f t="shared" ca="1" si="5"/>
        <v>1942.1671698066602</v>
      </c>
      <c r="T41" s="42">
        <f t="shared" ca="1" si="5"/>
        <v>7751.0363289081088</v>
      </c>
    </row>
    <row r="42" spans="1:20" x14ac:dyDescent="0.25">
      <c r="A42" s="114" t="s">
        <v>114</v>
      </c>
      <c r="E42" s="16">
        <v>-275.69220000000001</v>
      </c>
      <c r="F42" s="16">
        <v>-285.14999999999998</v>
      </c>
      <c r="G42" s="16">
        <v>-244.92</v>
      </c>
      <c r="H42" s="16">
        <v>-202.47</v>
      </c>
      <c r="I42" s="16">
        <v>-276.75</v>
      </c>
      <c r="J42" s="16">
        <v>-456.08</v>
      </c>
      <c r="K42" s="16">
        <v>-636.04</v>
      </c>
      <c r="L42" s="16">
        <v>-557</v>
      </c>
      <c r="M42" s="16">
        <v>-271</v>
      </c>
      <c r="N42" s="16">
        <v>-802</v>
      </c>
      <c r="O42" s="16">
        <v>-1154</v>
      </c>
      <c r="P42" s="210">
        <f ca="1">-IS!N36</f>
        <v>-1097.3308767969711</v>
      </c>
      <c r="Q42" s="210">
        <f ca="1">-IS!O36</f>
        <v>-1280.4308562951728</v>
      </c>
      <c r="R42" s="210">
        <f ca="1">-IS!P36</f>
        <v>-1493.5073073025239</v>
      </c>
      <c r="S42" s="210">
        <f ca="1">-IS!Q36</f>
        <v>-1753.2309028702025</v>
      </c>
      <c r="T42" s="210">
        <f ca="1">-IS!R36</f>
        <v>-2083.1557388424108</v>
      </c>
    </row>
    <row r="43" spans="1:20" x14ac:dyDescent="0.25">
      <c r="A43" s="2" t="s">
        <v>115</v>
      </c>
      <c r="B43" s="20"/>
      <c r="C43" s="20"/>
      <c r="D43" s="20"/>
      <c r="E43" s="49">
        <f>SUM(E41:E42)</f>
        <v>552.96529999999984</v>
      </c>
      <c r="F43" s="49">
        <f t="shared" ref="F43:L43" si="6">SUM(F41:F42)</f>
        <v>-554.67999999999972</v>
      </c>
      <c r="G43" s="49">
        <f t="shared" si="6"/>
        <v>502.6</v>
      </c>
      <c r="H43" s="49">
        <f t="shared" si="6"/>
        <v>576.08999999999992</v>
      </c>
      <c r="I43" s="49">
        <f t="shared" si="6"/>
        <v>1712.3000000000002</v>
      </c>
      <c r="J43" s="49">
        <f t="shared" si="6"/>
        <v>-51.120000000000402</v>
      </c>
      <c r="K43" s="49">
        <f t="shared" si="6"/>
        <v>1242.9199999999998</v>
      </c>
      <c r="L43" s="49">
        <f t="shared" si="6"/>
        <v>-348</v>
      </c>
      <c r="M43" s="49">
        <f>SUM(M41:M42)</f>
        <v>4139</v>
      </c>
      <c r="N43" s="49">
        <f>SUM(N41:N42)</f>
        <v>-724</v>
      </c>
      <c r="O43" s="49">
        <f>SUM(O41:O42)</f>
        <v>1370</v>
      </c>
      <c r="P43" s="49">
        <f t="shared" ref="P43:S43" ca="1" si="7">SUM(P41:P42)</f>
        <v>5528.6935901782499</v>
      </c>
      <c r="Q43" s="49">
        <f t="shared" ca="1" si="7"/>
        <v>-213.92444275047455</v>
      </c>
      <c r="R43" s="49">
        <f t="shared" ca="1" si="7"/>
        <v>5349.8118394177791</v>
      </c>
      <c r="S43" s="49">
        <f t="shared" ca="1" si="7"/>
        <v>188.93626693645774</v>
      </c>
      <c r="T43" s="49">
        <f ca="1">SUM(T41:T42)</f>
        <v>5667.880590065698</v>
      </c>
    </row>
    <row r="44" spans="1:20" x14ac:dyDescent="0.25">
      <c r="A44" s="103" t="s">
        <v>116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88"/>
      <c r="Q44" s="88"/>
      <c r="R44" s="88"/>
      <c r="S44" s="88"/>
      <c r="T44" s="88"/>
    </row>
    <row r="45" spans="1:20" x14ac:dyDescent="0.25">
      <c r="A45" s="110" t="s">
        <v>139</v>
      </c>
      <c r="E45" s="16">
        <v>-168.83610000000002</v>
      </c>
      <c r="F45" s="50">
        <v>-212.84</v>
      </c>
      <c r="G45" s="16">
        <v>-209.34</v>
      </c>
      <c r="H45" s="16">
        <v>-254.43</v>
      </c>
      <c r="I45" s="16">
        <v>-256.10000000000002</v>
      </c>
      <c r="J45" s="16">
        <v>-304.85000000000002</v>
      </c>
      <c r="K45" s="16">
        <v>-264.72000000000003</v>
      </c>
      <c r="L45" s="16">
        <v>-355</v>
      </c>
      <c r="M45" s="16">
        <v>-146</v>
      </c>
      <c r="N45" s="16">
        <v>-224</v>
      </c>
      <c r="O45" s="16">
        <v>-432</v>
      </c>
      <c r="P45" s="210">
        <f>-'Asset Schedule'!N19</f>
        <v>-461.89546034381505</v>
      </c>
      <c r="Q45" s="210">
        <f>-'Asset Schedule'!O19</f>
        <v>-533.64851148704076</v>
      </c>
      <c r="R45" s="210">
        <f>-'Asset Schedule'!P19</f>
        <v>-618.43647145757643</v>
      </c>
      <c r="S45" s="210">
        <f>-'Asset Schedule'!Q19</f>
        <v>-722.41444774153615</v>
      </c>
      <c r="T45" s="210">
        <f>-'Asset Schedule'!R19</f>
        <v>-854.39636437889362</v>
      </c>
    </row>
    <row r="46" spans="1:20" x14ac:dyDescent="0.25">
      <c r="A46" t="s">
        <v>117</v>
      </c>
      <c r="E46" s="16">
        <v>3.8745999999999996</v>
      </c>
      <c r="F46" s="50">
        <v>1.69</v>
      </c>
      <c r="G46" s="16">
        <v>2.31</v>
      </c>
      <c r="H46" s="16">
        <v>2.25</v>
      </c>
      <c r="I46" s="16">
        <v>5.05</v>
      </c>
      <c r="J46" s="16">
        <v>5.58</v>
      </c>
      <c r="K46" s="16">
        <v>1.37</v>
      </c>
      <c r="L46" s="16">
        <v>10</v>
      </c>
      <c r="M46" s="16">
        <v>7</v>
      </c>
      <c r="N46" s="16">
        <v>8</v>
      </c>
      <c r="O46" s="16">
        <v>12</v>
      </c>
      <c r="P46" s="88"/>
      <c r="Q46" s="88"/>
      <c r="R46" s="88"/>
      <c r="S46" s="88"/>
      <c r="T46" s="88"/>
    </row>
    <row r="47" spans="1:20" x14ac:dyDescent="0.25">
      <c r="A47" t="s">
        <v>118</v>
      </c>
      <c r="E47" s="16"/>
      <c r="F47" s="16"/>
      <c r="G47" s="16"/>
      <c r="H47" s="16"/>
      <c r="I47" s="16"/>
      <c r="J47" s="16"/>
      <c r="K47" s="16">
        <v>0</v>
      </c>
      <c r="L47" s="16">
        <v>0</v>
      </c>
      <c r="M47" s="16">
        <v>-5</v>
      </c>
      <c r="N47" s="16">
        <v>-100</v>
      </c>
      <c r="O47" s="16">
        <v>-353</v>
      </c>
      <c r="P47" s="88"/>
      <c r="Q47" s="88"/>
      <c r="R47" s="88"/>
      <c r="S47" s="88"/>
      <c r="T47" s="88"/>
    </row>
    <row r="48" spans="1:20" x14ac:dyDescent="0.25">
      <c r="A48" t="s">
        <v>168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88"/>
      <c r="Q48" s="88"/>
      <c r="R48" s="88"/>
      <c r="S48" s="88"/>
      <c r="T48" s="88"/>
    </row>
    <row r="49" spans="1:20" x14ac:dyDescent="0.25">
      <c r="A49" t="s">
        <v>119</v>
      </c>
      <c r="E49" s="16">
        <v>-100</v>
      </c>
      <c r="F49" s="16">
        <v>-90</v>
      </c>
      <c r="G49" s="16">
        <v>-48</v>
      </c>
      <c r="H49" s="16">
        <v>38</v>
      </c>
      <c r="I49" s="16">
        <v>-370</v>
      </c>
      <c r="J49" s="16">
        <v>-670</v>
      </c>
      <c r="K49" s="16">
        <v>-910</v>
      </c>
      <c r="L49" s="16">
        <v>-100</v>
      </c>
      <c r="M49" s="16">
        <v>-150</v>
      </c>
      <c r="N49" s="16">
        <v>-1094</v>
      </c>
      <c r="O49" s="16">
        <v>-570</v>
      </c>
      <c r="P49" s="88"/>
      <c r="Q49" s="88"/>
      <c r="R49" s="88"/>
      <c r="S49" s="88"/>
      <c r="T49" s="88"/>
    </row>
    <row r="50" spans="1:20" x14ac:dyDescent="0.25">
      <c r="A50" t="s">
        <v>120</v>
      </c>
      <c r="E50" s="16"/>
      <c r="F50" s="16"/>
      <c r="G50" s="16"/>
      <c r="H50" s="16"/>
      <c r="I50" s="16">
        <v>375</v>
      </c>
      <c r="J50" s="16">
        <v>635</v>
      </c>
      <c r="K50" s="16">
        <v>795</v>
      </c>
      <c r="L50" s="16">
        <v>300</v>
      </c>
      <c r="M50" s="16">
        <v>100</v>
      </c>
      <c r="N50" s="16">
        <v>750</v>
      </c>
      <c r="O50" s="16">
        <v>864</v>
      </c>
      <c r="P50" s="88"/>
      <c r="Q50" s="88"/>
      <c r="R50" s="88"/>
      <c r="S50" s="88"/>
      <c r="T50" s="88"/>
    </row>
    <row r="51" spans="1:20" x14ac:dyDescent="0.25">
      <c r="A51" t="s">
        <v>121</v>
      </c>
      <c r="E51" s="16"/>
      <c r="F51" s="16">
        <v>-82.83</v>
      </c>
      <c r="G51" s="16">
        <v>59.58</v>
      </c>
      <c r="H51" s="16">
        <v>9.91</v>
      </c>
      <c r="I51" s="16">
        <v>-69.03</v>
      </c>
      <c r="J51" s="16">
        <v>-44.52</v>
      </c>
      <c r="K51" s="16">
        <v>-487.19</v>
      </c>
      <c r="L51" s="16">
        <v>331</v>
      </c>
      <c r="M51" s="16">
        <v>-73</v>
      </c>
      <c r="N51" s="16">
        <v>-975</v>
      </c>
      <c r="O51" s="16">
        <v>243</v>
      </c>
      <c r="P51" s="88"/>
      <c r="Q51" s="88"/>
      <c r="R51" s="88"/>
      <c r="S51" s="88"/>
      <c r="T51" s="88"/>
    </row>
    <row r="52" spans="1:20" x14ac:dyDescent="0.25">
      <c r="A52" t="s">
        <v>122</v>
      </c>
      <c r="E52" s="44"/>
      <c r="F52" s="44"/>
      <c r="G52" s="44"/>
      <c r="H52" s="44"/>
      <c r="I52" s="16">
        <v>-325.37</v>
      </c>
      <c r="J52" s="16"/>
      <c r="K52" s="16">
        <v>18.21</v>
      </c>
      <c r="L52" s="16">
        <v>0</v>
      </c>
      <c r="M52" s="16">
        <v>43</v>
      </c>
      <c r="N52" s="16">
        <v>0</v>
      </c>
      <c r="O52" s="16">
        <v>0</v>
      </c>
      <c r="P52" s="88"/>
      <c r="Q52" s="88"/>
      <c r="R52" s="88"/>
      <c r="S52" s="88"/>
      <c r="T52" s="88"/>
    </row>
    <row r="53" spans="1:20" x14ac:dyDescent="0.25">
      <c r="A53" t="s">
        <v>123</v>
      </c>
      <c r="E53" s="44">
        <v>-2.76E-2</v>
      </c>
      <c r="F53" s="44"/>
      <c r="G53" s="44">
        <v>0.24</v>
      </c>
      <c r="H53" s="44">
        <v>-0.02</v>
      </c>
      <c r="I53" s="16">
        <v>-10.78</v>
      </c>
      <c r="J53" s="16"/>
      <c r="K53" s="16">
        <v>0</v>
      </c>
      <c r="L53" s="16">
        <v>-39</v>
      </c>
      <c r="M53" s="16">
        <v>0</v>
      </c>
      <c r="N53" s="16">
        <v>-153</v>
      </c>
      <c r="O53" s="16">
        <v>-1</v>
      </c>
      <c r="P53" s="88"/>
      <c r="Q53" s="88"/>
      <c r="R53" s="88"/>
      <c r="S53" s="88"/>
      <c r="T53" s="88"/>
    </row>
    <row r="54" spans="1:20" x14ac:dyDescent="0.25">
      <c r="A54" t="s">
        <v>124</v>
      </c>
      <c r="E54" s="16"/>
      <c r="F54" s="16"/>
      <c r="G54" s="16"/>
      <c r="H54" s="16">
        <v>5.55</v>
      </c>
      <c r="I54" s="16"/>
      <c r="J54" s="16">
        <v>411.52</v>
      </c>
      <c r="K54" s="16">
        <v>-35.869999999999997</v>
      </c>
      <c r="L54" s="16">
        <v>-13</v>
      </c>
      <c r="M54" s="16">
        <v>-2651</v>
      </c>
      <c r="N54" s="16">
        <v>2870</v>
      </c>
      <c r="O54" s="16">
        <v>-1750</v>
      </c>
      <c r="P54" s="88"/>
      <c r="Q54" s="88"/>
      <c r="R54" s="88"/>
      <c r="S54" s="88"/>
      <c r="T54" s="88"/>
    </row>
    <row r="55" spans="1:20" x14ac:dyDescent="0.25">
      <c r="A55" t="s">
        <v>125</v>
      </c>
      <c r="E55" s="16"/>
      <c r="F55" s="16"/>
      <c r="G55" s="16"/>
      <c r="H55" s="16"/>
      <c r="I55" s="16"/>
      <c r="J55" s="16"/>
      <c r="K55" s="41">
        <v>0</v>
      </c>
      <c r="L55" s="16">
        <v>0</v>
      </c>
      <c r="M55" s="16">
        <v>-97</v>
      </c>
      <c r="N55" s="16">
        <v>-34</v>
      </c>
      <c r="O55" s="16">
        <v>0</v>
      </c>
      <c r="P55" s="88"/>
      <c r="Q55" s="88"/>
      <c r="R55" s="88"/>
      <c r="S55" s="88"/>
      <c r="T55" s="88"/>
    </row>
    <row r="56" spans="1:20" x14ac:dyDescent="0.25">
      <c r="A56" t="s">
        <v>126</v>
      </c>
      <c r="E56" s="16"/>
      <c r="F56" s="16"/>
      <c r="G56" s="16"/>
      <c r="H56" s="16"/>
      <c r="I56" s="16"/>
      <c r="J56" s="16"/>
      <c r="K56" s="16">
        <v>0</v>
      </c>
      <c r="L56" s="16">
        <v>0</v>
      </c>
      <c r="M56" s="16">
        <v>94</v>
      </c>
      <c r="N56" s="16">
        <v>34</v>
      </c>
      <c r="O56" s="16">
        <v>3</v>
      </c>
      <c r="P56" s="88"/>
      <c r="Q56" s="88"/>
      <c r="R56" s="88"/>
      <c r="S56" s="88"/>
      <c r="T56" s="88"/>
    </row>
    <row r="57" spans="1:20" x14ac:dyDescent="0.25">
      <c r="A57" t="s">
        <v>140</v>
      </c>
      <c r="E57" s="16"/>
      <c r="F57" s="16"/>
      <c r="G57" s="16"/>
      <c r="H57" s="16"/>
      <c r="I57" s="16"/>
      <c r="J57" s="16"/>
      <c r="K57" s="16">
        <v>0</v>
      </c>
      <c r="L57" s="16">
        <v>28</v>
      </c>
      <c r="M57" s="16">
        <v>28</v>
      </c>
      <c r="N57" s="16">
        <v>26</v>
      </c>
      <c r="O57" s="16">
        <v>30</v>
      </c>
      <c r="P57" s="88"/>
      <c r="Q57" s="88"/>
      <c r="R57" s="88"/>
      <c r="S57" s="88"/>
      <c r="T57" s="88"/>
    </row>
    <row r="58" spans="1:20" x14ac:dyDescent="0.25">
      <c r="A58" t="s">
        <v>141</v>
      </c>
      <c r="E58" s="16"/>
      <c r="G58" s="16">
        <v>0</v>
      </c>
      <c r="H58" s="16"/>
      <c r="I58" s="16">
        <v>-374.03</v>
      </c>
      <c r="J58" s="16"/>
      <c r="K58" s="16"/>
      <c r="L58" s="16"/>
      <c r="M58" s="16"/>
      <c r="N58" s="16"/>
      <c r="O58" s="16"/>
      <c r="P58" s="88"/>
      <c r="Q58" s="88"/>
      <c r="R58" s="88"/>
      <c r="S58" s="88"/>
      <c r="T58" s="88"/>
    </row>
    <row r="59" spans="1:20" x14ac:dyDescent="0.25">
      <c r="A59" t="s">
        <v>127</v>
      </c>
      <c r="E59" s="16">
        <v>123.24340000000001</v>
      </c>
      <c r="F59" s="16">
        <v>112.3</v>
      </c>
      <c r="G59" s="16">
        <v>76.55</v>
      </c>
      <c r="H59" s="16">
        <v>58.26</v>
      </c>
      <c r="I59" s="16">
        <v>40.89</v>
      </c>
      <c r="J59" s="16">
        <v>63.63</v>
      </c>
      <c r="K59" s="16">
        <v>84.86</v>
      </c>
      <c r="L59" s="16">
        <v>73</v>
      </c>
      <c r="M59" s="16">
        <v>49</v>
      </c>
      <c r="N59" s="16">
        <v>56</v>
      </c>
      <c r="O59" s="16">
        <v>143</v>
      </c>
      <c r="P59" s="88"/>
      <c r="Q59" s="88"/>
      <c r="R59" s="88"/>
      <c r="S59" s="88"/>
      <c r="T59" s="88"/>
    </row>
    <row r="60" spans="1:20" x14ac:dyDescent="0.25">
      <c r="A60" s="5" t="s">
        <v>145</v>
      </c>
      <c r="E60" s="16"/>
      <c r="F60" s="16"/>
      <c r="G60" s="16"/>
      <c r="H60" s="16">
        <v>-18.34</v>
      </c>
      <c r="I60" s="16"/>
      <c r="J60" s="16"/>
      <c r="K60" s="16"/>
      <c r="L60" s="16"/>
      <c r="M60" s="16"/>
      <c r="N60" s="16"/>
      <c r="O60" s="16"/>
      <c r="P60" s="88"/>
      <c r="Q60" s="88"/>
      <c r="R60" s="88"/>
      <c r="S60" s="88"/>
      <c r="T60" s="88"/>
    </row>
    <row r="61" spans="1:20" x14ac:dyDescent="0.25">
      <c r="A61" s="2" t="s">
        <v>134</v>
      </c>
      <c r="B61" s="20"/>
      <c r="C61" s="20"/>
      <c r="D61" s="20"/>
      <c r="E61" s="49">
        <f t="shared" ref="E61:T61" si="8">SUM(E45:E60)</f>
        <v>-141.7457</v>
      </c>
      <c r="F61" s="49">
        <f t="shared" si="8"/>
        <v>-271.67999999999995</v>
      </c>
      <c r="G61" s="49">
        <f t="shared" si="8"/>
        <v>-118.65999999999998</v>
      </c>
      <c r="H61" s="49">
        <f t="shared" si="8"/>
        <v>-158.82000000000002</v>
      </c>
      <c r="I61" s="49">
        <f t="shared" si="8"/>
        <v>-984.36999999999978</v>
      </c>
      <c r="J61" s="49">
        <f t="shared" si="8"/>
        <v>96.360000000000014</v>
      </c>
      <c r="K61" s="49">
        <f t="shared" si="8"/>
        <v>-798.33999999999992</v>
      </c>
      <c r="L61" s="49">
        <f t="shared" si="8"/>
        <v>235</v>
      </c>
      <c r="M61" s="49">
        <f t="shared" si="8"/>
        <v>-2801</v>
      </c>
      <c r="N61" s="49">
        <f t="shared" si="8"/>
        <v>1164</v>
      </c>
      <c r="O61" s="49">
        <f t="shared" si="8"/>
        <v>-1811</v>
      </c>
      <c r="P61" s="49">
        <f t="shared" si="8"/>
        <v>-461.89546034381505</v>
      </c>
      <c r="Q61" s="49">
        <f t="shared" si="8"/>
        <v>-533.64851148704076</v>
      </c>
      <c r="R61" s="49">
        <f t="shared" si="8"/>
        <v>-618.43647145757643</v>
      </c>
      <c r="S61" s="49">
        <f t="shared" si="8"/>
        <v>-722.41444774153615</v>
      </c>
      <c r="T61" s="49">
        <f t="shared" si="8"/>
        <v>-854.39636437889362</v>
      </c>
    </row>
    <row r="62" spans="1:20" x14ac:dyDescent="0.25">
      <c r="A62" s="103" t="s">
        <v>135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88"/>
      <c r="Q62" s="88"/>
      <c r="R62" s="88"/>
      <c r="S62" s="88"/>
      <c r="T62" s="88"/>
    </row>
    <row r="63" spans="1:20" x14ac:dyDescent="0.25">
      <c r="A63" t="s">
        <v>128</v>
      </c>
      <c r="E63" s="16"/>
      <c r="F63" s="16"/>
      <c r="G63" s="16"/>
      <c r="H63" s="16"/>
      <c r="I63" s="16"/>
      <c r="J63" s="16"/>
      <c r="K63" s="16"/>
      <c r="L63" s="16">
        <v>693</v>
      </c>
      <c r="M63" s="16">
        <v>-12</v>
      </c>
      <c r="N63" s="16">
        <v>-7</v>
      </c>
      <c r="O63" s="16">
        <v>-7</v>
      </c>
      <c r="P63" s="88"/>
      <c r="Q63" s="88"/>
      <c r="R63" s="88"/>
      <c r="S63" s="88"/>
      <c r="T63" s="88"/>
    </row>
    <row r="64" spans="1:20" x14ac:dyDescent="0.25">
      <c r="A64" s="110" t="s">
        <v>129</v>
      </c>
      <c r="E64" s="16">
        <v>-5.4222000000000001</v>
      </c>
      <c r="F64" s="50">
        <v>801.42</v>
      </c>
      <c r="G64" s="16">
        <v>-707.05</v>
      </c>
      <c r="H64" s="16">
        <v>13.26</v>
      </c>
      <c r="I64" s="16">
        <v>-124.31</v>
      </c>
      <c r="J64" s="16">
        <v>78.989999999999995</v>
      </c>
      <c r="K64" s="16">
        <v>-38.909999999999997</v>
      </c>
      <c r="L64" s="16"/>
      <c r="M64" s="16">
        <v>-550</v>
      </c>
      <c r="N64" s="16">
        <v>349</v>
      </c>
      <c r="O64" s="16">
        <v>1684</v>
      </c>
      <c r="P64" s="210">
        <f ca="1">BS!N58-BS!M58</f>
        <v>905.95398085419947</v>
      </c>
      <c r="Q64" s="210">
        <f ca="1">BS!O58-BS!N58</f>
        <v>1885.0802939694095</v>
      </c>
      <c r="R64" s="210">
        <f ca="1">BS!P58-BS!O58</f>
        <v>2182.4724315933927</v>
      </c>
      <c r="S64" s="210">
        <f ca="1">BS!Q58-BS!P58</f>
        <v>2495.7898492917084</v>
      </c>
      <c r="T64" s="210">
        <f ca="1">BS!R58-BS!Q58</f>
        <v>2839.7647184178095</v>
      </c>
    </row>
    <row r="65" spans="1:20" x14ac:dyDescent="0.25">
      <c r="A65" s="110" t="s">
        <v>130</v>
      </c>
      <c r="E65" s="16">
        <v>-179.5539</v>
      </c>
      <c r="F65" s="50">
        <v>-216.91</v>
      </c>
      <c r="G65" s="16">
        <v>-216.91</v>
      </c>
      <c r="H65" s="16">
        <v>-475.74</v>
      </c>
      <c r="I65" s="16">
        <v>-3.55</v>
      </c>
      <c r="J65" s="16">
        <v>-277.39</v>
      </c>
      <c r="K65" s="16">
        <v>-397.38</v>
      </c>
      <c r="L65" s="16">
        <v>-536</v>
      </c>
      <c r="M65" s="16">
        <v>-355</v>
      </c>
      <c r="N65" s="16">
        <v>-355</v>
      </c>
      <c r="O65" s="16">
        <v>-666</v>
      </c>
      <c r="P65" s="88"/>
      <c r="Q65" s="88"/>
      <c r="R65" s="88"/>
      <c r="S65" s="88"/>
      <c r="T65" s="88"/>
    </row>
    <row r="66" spans="1:20" x14ac:dyDescent="0.25">
      <c r="A66" s="110" t="s">
        <v>131</v>
      </c>
      <c r="E66" s="16"/>
      <c r="F66" s="16"/>
      <c r="G66" s="16"/>
      <c r="H66" s="16"/>
      <c r="I66" s="16"/>
      <c r="J66" s="16"/>
      <c r="K66" s="16"/>
      <c r="L66" s="16">
        <v>-233</v>
      </c>
      <c r="M66" s="16">
        <v>-114</v>
      </c>
      <c r="N66" s="16">
        <v>-172</v>
      </c>
      <c r="O66" s="16">
        <v>-254</v>
      </c>
      <c r="P66" s="88"/>
      <c r="Q66" s="88"/>
      <c r="R66" s="88"/>
      <c r="S66" s="88"/>
      <c r="T66" s="88"/>
    </row>
    <row r="67" spans="1:20" x14ac:dyDescent="0.25">
      <c r="A67" t="s">
        <v>132</v>
      </c>
      <c r="E67" s="16">
        <v>-50.645400000000002</v>
      </c>
      <c r="F67" s="51">
        <v>-87.13</v>
      </c>
      <c r="G67" s="16">
        <v>-80.69</v>
      </c>
      <c r="H67" s="16">
        <v>-42.36</v>
      </c>
      <c r="I67" s="16">
        <v>-37.74</v>
      </c>
      <c r="J67" s="16">
        <v>-54.05</v>
      </c>
      <c r="K67" s="16">
        <v>-52.54</v>
      </c>
      <c r="L67" s="16">
        <v>-166</v>
      </c>
      <c r="M67" s="16">
        <v>-203</v>
      </c>
      <c r="N67" s="16">
        <v>-218</v>
      </c>
      <c r="O67" s="16">
        <v>-300</v>
      </c>
      <c r="P67" s="210"/>
      <c r="Q67" s="210"/>
      <c r="R67" s="210"/>
      <c r="S67" s="210"/>
      <c r="T67" s="210"/>
    </row>
    <row r="68" spans="1:20" x14ac:dyDescent="0.25">
      <c r="A68" s="2" t="s">
        <v>136</v>
      </c>
      <c r="B68" s="20"/>
      <c r="C68" s="20"/>
      <c r="D68" s="20"/>
      <c r="E68" s="49">
        <f>SUM(E63:E67)</f>
        <v>-235.6215</v>
      </c>
      <c r="F68" s="49">
        <f t="shared" ref="F68:M68" si="9">SUM(F63:F67)</f>
        <v>497.38</v>
      </c>
      <c r="G68" s="49">
        <f t="shared" si="9"/>
        <v>-1004.6499999999999</v>
      </c>
      <c r="H68" s="49">
        <f t="shared" si="9"/>
        <v>-504.84000000000003</v>
      </c>
      <c r="I68" s="49">
        <f t="shared" si="9"/>
        <v>-165.6</v>
      </c>
      <c r="J68" s="49">
        <f t="shared" si="9"/>
        <v>-252.45</v>
      </c>
      <c r="K68" s="49">
        <f t="shared" si="9"/>
        <v>-488.83</v>
      </c>
      <c r="L68" s="49">
        <f t="shared" si="9"/>
        <v>-242</v>
      </c>
      <c r="M68" s="49">
        <f t="shared" si="9"/>
        <v>-1234</v>
      </c>
      <c r="N68" s="49">
        <f>SUM(N63:N67)</f>
        <v>-403</v>
      </c>
      <c r="O68" s="49">
        <f>SUM(O63:O67)</f>
        <v>457</v>
      </c>
      <c r="P68" s="49">
        <f t="shared" ref="P68:T68" ca="1" si="10">SUM(P63:P67)</f>
        <v>905.95398085419947</v>
      </c>
      <c r="Q68" s="49">
        <f t="shared" ca="1" si="10"/>
        <v>1885.0802939694095</v>
      </c>
      <c r="R68" s="49">
        <f t="shared" ca="1" si="10"/>
        <v>2182.4724315933927</v>
      </c>
      <c r="S68" s="49">
        <f t="shared" ca="1" si="10"/>
        <v>2495.7898492917084</v>
      </c>
      <c r="T68" s="49">
        <f t="shared" ca="1" si="10"/>
        <v>2839.7647184178095</v>
      </c>
    </row>
    <row r="69" spans="1:20" x14ac:dyDescent="0.25">
      <c r="A69" s="2" t="s">
        <v>137</v>
      </c>
      <c r="B69" s="20"/>
      <c r="C69" s="20"/>
      <c r="D69" s="20"/>
      <c r="E69" s="49">
        <f>E68+E61+E43</f>
        <v>175.59809999999982</v>
      </c>
      <c r="F69" s="49">
        <f t="shared" ref="F69:T69" si="11">F68+F61+F43</f>
        <v>-328.97999999999968</v>
      </c>
      <c r="G69" s="49">
        <f t="shared" si="11"/>
        <v>-620.70999999999992</v>
      </c>
      <c r="H69" s="49">
        <f t="shared" si="11"/>
        <v>-87.570000000000164</v>
      </c>
      <c r="I69" s="49">
        <f t="shared" si="11"/>
        <v>562.33000000000038</v>
      </c>
      <c r="J69" s="49">
        <f t="shared" si="11"/>
        <v>-207.21000000000038</v>
      </c>
      <c r="K69" s="49">
        <f t="shared" si="11"/>
        <v>-44.25</v>
      </c>
      <c r="L69" s="49">
        <f t="shared" si="11"/>
        <v>-355</v>
      </c>
      <c r="M69" s="49">
        <f t="shared" si="11"/>
        <v>104</v>
      </c>
      <c r="N69" s="49">
        <f t="shared" si="11"/>
        <v>37</v>
      </c>
      <c r="O69" s="49">
        <f t="shared" si="11"/>
        <v>16</v>
      </c>
      <c r="P69" s="49">
        <f t="shared" ca="1" si="11"/>
        <v>5972.7521106886343</v>
      </c>
      <c r="Q69" s="49">
        <f t="shared" ca="1" si="11"/>
        <v>1137.5073397318943</v>
      </c>
      <c r="R69" s="49">
        <f t="shared" ca="1" si="11"/>
        <v>6913.8477995535959</v>
      </c>
      <c r="S69" s="49">
        <f t="shared" ca="1" si="11"/>
        <v>1962.31166848663</v>
      </c>
      <c r="T69" s="49">
        <f t="shared" ca="1" si="11"/>
        <v>7653.2489441046137</v>
      </c>
    </row>
    <row r="70" spans="1:20" x14ac:dyDescent="0.25">
      <c r="A70" t="s">
        <v>209</v>
      </c>
      <c r="E70" s="16">
        <v>967.09479999999996</v>
      </c>
      <c r="F70" s="50">
        <v>1120.49</v>
      </c>
      <c r="G70" s="16">
        <v>791.28</v>
      </c>
      <c r="H70" s="16">
        <v>171.99</v>
      </c>
      <c r="I70" s="16">
        <v>84.45</v>
      </c>
      <c r="J70" s="16">
        <v>678</v>
      </c>
      <c r="K70" s="16">
        <v>472.05</v>
      </c>
      <c r="L70" s="16">
        <v>430</v>
      </c>
      <c r="M70" s="16">
        <v>75</v>
      </c>
      <c r="N70" s="16">
        <v>181</v>
      </c>
      <c r="O70" s="16">
        <v>219</v>
      </c>
      <c r="P70" s="16">
        <f>O73</f>
        <v>232</v>
      </c>
      <c r="Q70" s="16">
        <f t="shared" ref="Q70:T70" ca="1" si="12">P73</f>
        <v>6204.7521106886343</v>
      </c>
      <c r="R70" s="16">
        <f t="shared" ca="1" si="12"/>
        <v>7342.2594504205281</v>
      </c>
      <c r="S70" s="16">
        <f t="shared" ca="1" si="12"/>
        <v>14256.107249974124</v>
      </c>
      <c r="T70" s="16">
        <f t="shared" ca="1" si="12"/>
        <v>16218.418918460753</v>
      </c>
    </row>
    <row r="71" spans="1:20" x14ac:dyDescent="0.25">
      <c r="A71" t="s">
        <v>164</v>
      </c>
      <c r="E71" s="16"/>
      <c r="F71" s="16"/>
      <c r="G71" s="16"/>
      <c r="H71" s="16"/>
      <c r="I71" s="16">
        <f>3331/100</f>
        <v>33.31</v>
      </c>
      <c r="J71" s="16"/>
      <c r="K71" s="16"/>
      <c r="L71" s="16"/>
      <c r="M71" s="16"/>
      <c r="N71" s="16"/>
      <c r="O71" s="16"/>
      <c r="P71" s="88"/>
      <c r="Q71" s="88"/>
      <c r="R71" s="88"/>
      <c r="S71" s="88"/>
      <c r="T71" s="88"/>
    </row>
    <row r="72" spans="1:20" x14ac:dyDescent="0.25">
      <c r="A72" t="s">
        <v>133</v>
      </c>
      <c r="E72" s="16">
        <v>-3.1877</v>
      </c>
      <c r="F72" s="16">
        <v>0.44</v>
      </c>
      <c r="G72" s="16">
        <v>0.63</v>
      </c>
      <c r="H72" s="16">
        <v>-0.79</v>
      </c>
      <c r="I72" s="16">
        <v>-0.82</v>
      </c>
      <c r="J72" s="16">
        <v>1.26</v>
      </c>
      <c r="K72" s="16">
        <v>1.73</v>
      </c>
      <c r="L72" s="16"/>
      <c r="M72" s="16">
        <v>2</v>
      </c>
      <c r="N72" s="16">
        <v>1</v>
      </c>
      <c r="O72" s="16">
        <v>-3</v>
      </c>
      <c r="P72" s="88"/>
      <c r="Q72" s="88"/>
      <c r="R72" s="88"/>
      <c r="S72" s="88"/>
      <c r="T72" s="88"/>
    </row>
    <row r="73" spans="1:20" x14ac:dyDescent="0.25">
      <c r="A73" t="s">
        <v>210</v>
      </c>
      <c r="E73" s="46">
        <f t="shared" ref="E73:T73" si="13">SUM(E69:E72)</f>
        <v>1139.5051999999998</v>
      </c>
      <c r="F73" s="46">
        <f t="shared" si="13"/>
        <v>791.95000000000039</v>
      </c>
      <c r="G73" s="46">
        <f t="shared" si="13"/>
        <v>171.20000000000005</v>
      </c>
      <c r="H73" s="47">
        <f t="shared" si="13"/>
        <v>83.629999999999839</v>
      </c>
      <c r="I73" s="47">
        <f t="shared" si="13"/>
        <v>679.27000000000032</v>
      </c>
      <c r="J73" s="47">
        <f t="shared" si="13"/>
        <v>472.04999999999961</v>
      </c>
      <c r="K73" s="47">
        <f t="shared" si="13"/>
        <v>429.53000000000003</v>
      </c>
      <c r="L73" s="47">
        <f t="shared" si="13"/>
        <v>75</v>
      </c>
      <c r="M73" s="47">
        <f t="shared" si="13"/>
        <v>181</v>
      </c>
      <c r="N73" s="46">
        <f t="shared" si="13"/>
        <v>219</v>
      </c>
      <c r="O73" s="46">
        <f t="shared" si="13"/>
        <v>232</v>
      </c>
      <c r="P73" s="46">
        <f t="shared" ca="1" si="13"/>
        <v>6204.7521106886343</v>
      </c>
      <c r="Q73" s="46">
        <f t="shared" ca="1" si="13"/>
        <v>7342.2594504205281</v>
      </c>
      <c r="R73" s="46">
        <f t="shared" ca="1" si="13"/>
        <v>14256.107249974124</v>
      </c>
      <c r="S73" s="46">
        <f t="shared" ca="1" si="13"/>
        <v>16218.418918460753</v>
      </c>
      <c r="T73" s="46">
        <f t="shared" ca="1" si="13"/>
        <v>23871.667862565366</v>
      </c>
    </row>
    <row r="74" spans="1:20" x14ac:dyDescent="0.25">
      <c r="A74" s="31"/>
      <c r="E74" s="12"/>
      <c r="F74" s="13"/>
      <c r="G74" s="13"/>
      <c r="H74" s="48"/>
      <c r="I74" s="13"/>
      <c r="J74" s="13"/>
      <c r="K74" s="15"/>
      <c r="L74" s="13"/>
      <c r="M74" s="13"/>
      <c r="N74" s="13"/>
      <c r="O74" s="13"/>
    </row>
    <row r="75" spans="1:20" x14ac:dyDescent="0.25"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20" x14ac:dyDescent="0.25"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showGridLines="0" workbookViewId="0">
      <pane xSplit="2" ySplit="6" topLeftCell="H7" activePane="bottomRight" state="frozen"/>
      <selection pane="topRight" activeCell="C1" sqref="C1"/>
      <selection pane="bottomLeft" activeCell="A7" sqref="A7"/>
      <selection pane="bottomRight" activeCell="N8" sqref="N8"/>
    </sheetView>
  </sheetViews>
  <sheetFormatPr defaultRowHeight="15" outlineLevelRow="2" x14ac:dyDescent="0.25"/>
  <cols>
    <col min="1" max="1" width="66.28515625" bestFit="1" customWidth="1"/>
    <col min="2" max="2" width="2" customWidth="1"/>
    <col min="14" max="18" width="9.85546875" bestFit="1" customWidth="1"/>
  </cols>
  <sheetData>
    <row r="1" spans="1:22" ht="18.75" outlineLevel="1" x14ac:dyDescent="0.3">
      <c r="A1" s="6" t="s">
        <v>38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outlineLevel="1" x14ac:dyDescent="0.25">
      <c r="A2" s="1" t="s">
        <v>194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R2" s="1"/>
    </row>
    <row r="3" spans="1:22" outlineLevel="1" x14ac:dyDescent="0.25">
      <c r="A3" s="1" t="s">
        <v>85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R3" s="1"/>
    </row>
    <row r="4" spans="1:22" outlineLevel="1" x14ac:dyDescent="0.25">
      <c r="A4" s="1" t="s">
        <v>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R4" s="1"/>
    </row>
    <row r="5" spans="1:22" outlineLevel="1" x14ac:dyDescent="0.25">
      <c r="A5" s="2" t="s">
        <v>26</v>
      </c>
      <c r="B5" s="2"/>
      <c r="C5" s="3">
        <v>41364</v>
      </c>
      <c r="D5" s="3">
        <f t="shared" ref="D5:Q5" si="0">EOMONTH(C5,12)</f>
        <v>41729</v>
      </c>
      <c r="E5" s="3">
        <f t="shared" si="0"/>
        <v>42094</v>
      </c>
      <c r="F5" s="3">
        <f t="shared" si="0"/>
        <v>42460</v>
      </c>
      <c r="G5" s="3">
        <f t="shared" si="0"/>
        <v>42825</v>
      </c>
      <c r="H5" s="3">
        <f t="shared" si="0"/>
        <v>43190</v>
      </c>
      <c r="I5" s="3">
        <f t="shared" si="0"/>
        <v>43555</v>
      </c>
      <c r="J5" s="3">
        <f t="shared" si="0"/>
        <v>43921</v>
      </c>
      <c r="K5" s="3">
        <f>EOMONTH(J5,12)</f>
        <v>44286</v>
      </c>
      <c r="L5" s="3">
        <f>EOMONTH(K5,12)</f>
        <v>44651</v>
      </c>
      <c r="M5" s="3">
        <f>EOMONTH(L5,12)</f>
        <v>45016</v>
      </c>
      <c r="N5" s="104">
        <f t="shared" si="0"/>
        <v>45382</v>
      </c>
      <c r="O5" s="104">
        <f t="shared" si="0"/>
        <v>45747</v>
      </c>
      <c r="P5" s="104">
        <f t="shared" si="0"/>
        <v>46112</v>
      </c>
      <c r="Q5" s="104">
        <f t="shared" si="0"/>
        <v>46477</v>
      </c>
      <c r="R5" s="104">
        <f>EOMONTH(Q5,12)</f>
        <v>46843</v>
      </c>
    </row>
    <row r="6" spans="1:22" x14ac:dyDescent="0.25">
      <c r="A6" s="1" t="s">
        <v>27</v>
      </c>
      <c r="B6" s="1"/>
      <c r="C6" s="4"/>
      <c r="D6" s="4" t="s">
        <v>29</v>
      </c>
      <c r="E6" s="4" t="s">
        <v>30</v>
      </c>
      <c r="F6" s="4" t="s">
        <v>31</v>
      </c>
      <c r="G6" s="4" t="s">
        <v>32</v>
      </c>
      <c r="H6" s="4" t="s">
        <v>33</v>
      </c>
      <c r="I6" s="4" t="s">
        <v>34</v>
      </c>
      <c r="J6" s="4" t="s">
        <v>35</v>
      </c>
      <c r="K6" s="4" t="s">
        <v>36</v>
      </c>
      <c r="L6" s="4" t="s">
        <v>37</v>
      </c>
      <c r="M6" s="4" t="s">
        <v>46</v>
      </c>
      <c r="N6" s="105" t="s">
        <v>42</v>
      </c>
      <c r="O6" s="105" t="s">
        <v>43</v>
      </c>
      <c r="P6" s="105" t="s">
        <v>44</v>
      </c>
      <c r="Q6" s="105" t="s">
        <v>45</v>
      </c>
      <c r="R6" s="105" t="s">
        <v>45</v>
      </c>
    </row>
    <row r="7" spans="1:22" x14ac:dyDescent="0.25">
      <c r="A7" t="s">
        <v>208</v>
      </c>
      <c r="N7" s="76"/>
      <c r="O7" s="76"/>
      <c r="P7" s="76"/>
      <c r="Q7" s="76"/>
      <c r="R7" s="76"/>
    </row>
    <row r="8" spans="1:22" x14ac:dyDescent="0.25">
      <c r="A8" s="1" t="s">
        <v>147</v>
      </c>
      <c r="C8" s="55">
        <v>10217.989599999999</v>
      </c>
      <c r="D8" s="55">
        <v>10969</v>
      </c>
      <c r="E8" s="55">
        <v>11949.33</v>
      </c>
      <c r="F8" s="55">
        <v>11310.02</v>
      </c>
      <c r="G8" s="55">
        <v>13382.13</v>
      </c>
      <c r="H8" s="55">
        <v>16155.95</v>
      </c>
      <c r="I8" s="55">
        <v>19778.52</v>
      </c>
      <c r="J8" s="55">
        <v>21052</v>
      </c>
      <c r="K8" s="55">
        <v>21644</v>
      </c>
      <c r="L8" s="55">
        <v>28799</v>
      </c>
      <c r="M8" s="55">
        <f>IS!M8</f>
        <v>40575</v>
      </c>
      <c r="N8" s="100">
        <f>SUM(N11:N15)</f>
        <v>43382.889591320127</v>
      </c>
      <c r="O8" s="100">
        <f>SUM(O11:O15)</f>
        <v>50122.195262932124</v>
      </c>
      <c r="P8" s="100">
        <f>SUM(P11:P15)</f>
        <v>58085.786642109168</v>
      </c>
      <c r="Q8" s="100">
        <f>SUM(Q11:Q15)</f>
        <v>67851.773650724135</v>
      </c>
      <c r="R8" s="100">
        <f>SUM(R11:R15)</f>
        <v>80247.991862670387</v>
      </c>
    </row>
    <row r="9" spans="1:22" s="89" customFormat="1" x14ac:dyDescent="0.25">
      <c r="A9" s="53"/>
      <c r="B9"/>
      <c r="C9"/>
      <c r="D9" s="32">
        <f>D8/C8-1</f>
        <v>7.3498841689954464E-2</v>
      </c>
      <c r="E9" s="32">
        <f t="shared" ref="E9:L9" si="1">E8/D8-1</f>
        <v>8.9372777828425454E-2</v>
      </c>
      <c r="F9" s="32">
        <f t="shared" si="1"/>
        <v>-5.3501744449270361E-2</v>
      </c>
      <c r="G9" s="32">
        <f t="shared" si="1"/>
        <v>0.18321010926594283</v>
      </c>
      <c r="H9" s="32">
        <f t="shared" si="1"/>
        <v>0.20727791465185308</v>
      </c>
      <c r="I9" s="32">
        <f t="shared" si="1"/>
        <v>0.22422513067940919</v>
      </c>
      <c r="J9" s="32">
        <f t="shared" si="1"/>
        <v>6.4387021880302431E-2</v>
      </c>
      <c r="K9" s="32">
        <f t="shared" si="1"/>
        <v>2.8120843625308867E-2</v>
      </c>
      <c r="L9" s="32">
        <f t="shared" si="1"/>
        <v>0.33057660321567184</v>
      </c>
      <c r="M9" s="32">
        <f t="shared" ref="M9:R9" si="2">M8/L8-1</f>
        <v>0.40890308691274013</v>
      </c>
      <c r="N9" s="32">
        <f t="shared" si="2"/>
        <v>6.9202454499571742E-2</v>
      </c>
      <c r="O9" s="32">
        <f t="shared" si="2"/>
        <v>0.15534478535427865</v>
      </c>
      <c r="P9" s="32">
        <f t="shared" si="2"/>
        <v>0.15888353128591959</v>
      </c>
      <c r="Q9" s="32">
        <f t="shared" si="2"/>
        <v>0.16813040802541424</v>
      </c>
      <c r="R9" s="32">
        <f t="shared" si="2"/>
        <v>0.18269556630542039</v>
      </c>
    </row>
    <row r="10" spans="1:22" x14ac:dyDescent="0.25">
      <c r="A10" s="77" t="s">
        <v>181</v>
      </c>
      <c r="B10" s="78"/>
      <c r="N10" s="59"/>
      <c r="O10" s="59"/>
      <c r="P10" s="59"/>
      <c r="Q10" s="59"/>
      <c r="R10" s="59"/>
    </row>
    <row r="11" spans="1:22" outlineLevel="1" x14ac:dyDescent="0.25">
      <c r="A11" t="s">
        <v>182</v>
      </c>
      <c r="C11" s="100">
        <f>(129114.43+45476.8)/100</f>
        <v>1745.9122999999997</v>
      </c>
      <c r="D11" s="100">
        <f>(161164+20191)/100</f>
        <v>1813.55</v>
      </c>
      <c r="E11" s="100">
        <f>(173753+19786)/100</f>
        <v>1935.39</v>
      </c>
      <c r="F11" s="100">
        <f>(179121+18583)/100</f>
        <v>1977.04</v>
      </c>
      <c r="G11" s="100">
        <f>(184907+20869)/100</f>
        <v>2057.7600000000002</v>
      </c>
      <c r="H11" s="100">
        <f>(176198+29831)/100</f>
        <v>2060.29</v>
      </c>
      <c r="I11" s="100">
        <f>(191782+46969)/100</f>
        <v>2387.5100000000002</v>
      </c>
      <c r="J11" s="100">
        <f>(2030+502)</f>
        <v>2532</v>
      </c>
      <c r="K11" s="100">
        <f>1180+349</f>
        <v>1529</v>
      </c>
      <c r="L11" s="100">
        <f>1804+433</f>
        <v>2237</v>
      </c>
      <c r="M11" s="100">
        <v>3310</v>
      </c>
      <c r="N11" s="106">
        <f>M11*(1+N25)</f>
        <v>4870.1817447980093</v>
      </c>
      <c r="O11" s="106">
        <f>N11*(1+O25)</f>
        <v>7185.9878906116337</v>
      </c>
      <c r="P11" s="106">
        <f>O11*(1+P25)</f>
        <v>10588.054204258398</v>
      </c>
      <c r="Q11" s="106">
        <f>P11*(1+Q25)</f>
        <v>15611.756086537467</v>
      </c>
      <c r="R11" s="106">
        <f>Q11*(1+R25)</f>
        <v>23010.943309823622</v>
      </c>
    </row>
    <row r="12" spans="1:22" outlineLevel="1" x14ac:dyDescent="0.25">
      <c r="A12" t="s">
        <v>183</v>
      </c>
      <c r="C12" s="100">
        <f>(660934.58+133530.11)/100</f>
        <v>7944.6468999999997</v>
      </c>
      <c r="D12" s="100">
        <f>(700598+151979)/100</f>
        <v>8525.77</v>
      </c>
      <c r="E12" s="100">
        <f>(786901+144045)/100</f>
        <v>9309.4599999999991</v>
      </c>
      <c r="F12" s="100">
        <f>(753936+108210)/100</f>
        <v>8621.4599999999991</v>
      </c>
      <c r="G12" s="100">
        <f>(941078+109774)/100</f>
        <v>10508.52</v>
      </c>
      <c r="H12" s="100">
        <f>(1099353+213198)/100</f>
        <v>13125.51</v>
      </c>
      <c r="I12" s="100">
        <f>(1300097+319916)/100</f>
        <v>16200.13</v>
      </c>
      <c r="J12" s="100">
        <f>(13731+3324)</f>
        <v>17055</v>
      </c>
      <c r="K12" s="100">
        <f>14511+3234</f>
        <v>17745</v>
      </c>
      <c r="L12" s="100">
        <f>19427+4710</f>
        <v>24137</v>
      </c>
      <c r="M12" s="100">
        <f>35914-308</f>
        <v>35606</v>
      </c>
      <c r="N12" s="106">
        <f>N36*N56</f>
        <v>36755.743373111633</v>
      </c>
      <c r="O12" s="106">
        <f>O36*O56</f>
        <v>40825.435238432852</v>
      </c>
      <c r="P12" s="106">
        <f>P36*P56</f>
        <v>44895.127103754072</v>
      </c>
      <c r="Q12" s="106">
        <f>Q36*Q56</f>
        <v>48964.818969075292</v>
      </c>
      <c r="R12" s="106">
        <f>R36*R56</f>
        <v>53034.510834396511</v>
      </c>
    </row>
    <row r="13" spans="1:22" outlineLevel="1" x14ac:dyDescent="0.25">
      <c r="A13" t="s">
        <v>184</v>
      </c>
      <c r="C13" s="100"/>
      <c r="D13" s="100"/>
      <c r="E13" s="100">
        <f>(5295+28077)/100</f>
        <v>333.72</v>
      </c>
      <c r="F13" s="100">
        <f>(5406+31925)/100</f>
        <v>373.31</v>
      </c>
      <c r="G13" s="100">
        <f>(5983+35300)/100</f>
        <v>412.83</v>
      </c>
      <c r="H13" s="100">
        <f>(7206+34183)/100</f>
        <v>413.89</v>
      </c>
      <c r="I13" s="100">
        <f>(8400+42606)/100</f>
        <v>510.06</v>
      </c>
      <c r="J13" s="100">
        <f>(86+452)</f>
        <v>538</v>
      </c>
      <c r="K13" s="100">
        <f>218+143</f>
        <v>361</v>
      </c>
      <c r="L13" s="100">
        <f>293+213</f>
        <v>506</v>
      </c>
      <c r="M13" s="100">
        <v>689</v>
      </c>
      <c r="N13" s="106">
        <f>M13*(1+N27)</f>
        <v>951.9644734104869</v>
      </c>
      <c r="O13" s="106">
        <f>N13*(1+O27)</f>
        <v>1305.7721338876397</v>
      </c>
      <c r="P13" s="106">
        <f>O13*(1+P27)</f>
        <v>1797.6053340966987</v>
      </c>
      <c r="Q13" s="106">
        <f>P13*(1+Q27)</f>
        <v>2470.1985951113738</v>
      </c>
      <c r="R13" s="106">
        <f>Q13*(1+R27)</f>
        <v>3397.5377184502531</v>
      </c>
    </row>
    <row r="14" spans="1:22" outlineLevel="1" x14ac:dyDescent="0.25">
      <c r="A14" t="s">
        <v>185</v>
      </c>
      <c r="C14" s="100">
        <f>(14767.19+25588.37)/100</f>
        <v>403.55559999999997</v>
      </c>
      <c r="D14" s="100">
        <f>(20772+29759)/100</f>
        <v>505.31</v>
      </c>
      <c r="E14" s="100">
        <f>(17648+5811)/100</f>
        <v>234.59</v>
      </c>
      <c r="F14" s="100">
        <f>(16849+5716)/100</f>
        <v>225.65</v>
      </c>
      <c r="G14" s="100">
        <f>(22759+9283)/100</f>
        <v>320.42</v>
      </c>
      <c r="H14" s="100">
        <f>(27092+9946)/100</f>
        <v>370.38</v>
      </c>
      <c r="I14" s="100">
        <f>(33899+13729)/100</f>
        <v>476.28</v>
      </c>
      <c r="J14" s="100">
        <f>(454+178)</f>
        <v>632</v>
      </c>
      <c r="K14" s="100">
        <f>339+93</f>
        <v>432</v>
      </c>
      <c r="L14" s="100">
        <f>354+149</f>
        <v>503</v>
      </c>
      <c r="M14" s="100">
        <v>805</v>
      </c>
      <c r="N14" s="106">
        <f>M14</f>
        <v>805</v>
      </c>
      <c r="O14" s="106">
        <f>N14</f>
        <v>805</v>
      </c>
      <c r="P14" s="106">
        <f>O14</f>
        <v>805</v>
      </c>
      <c r="Q14" s="106">
        <f>P14</f>
        <v>805</v>
      </c>
      <c r="R14" s="106">
        <f>Q14</f>
        <v>805</v>
      </c>
    </row>
    <row r="15" spans="1:22" outlineLevel="1" x14ac:dyDescent="0.25">
      <c r="A15" t="s">
        <v>186</v>
      </c>
      <c r="C15" s="100">
        <f>(1682.85+310.56+10394.07)/100</f>
        <v>123.87479999999999</v>
      </c>
      <c r="D15" s="100">
        <f>(1827+487+10123)/100</f>
        <v>124.37</v>
      </c>
      <c r="E15" s="100">
        <f>(1922+453+11242)/100</f>
        <v>136.16999999999999</v>
      </c>
      <c r="F15" s="100">
        <f>(8815+1733+708)/100</f>
        <v>112.56</v>
      </c>
      <c r="G15" s="100">
        <f>74.05+8.54</f>
        <v>82.59</v>
      </c>
      <c r="H15" s="100">
        <f>(1260+17328)/100</f>
        <v>185.88</v>
      </c>
      <c r="I15" s="100">
        <f>(18646+1808)/100</f>
        <v>204.54</v>
      </c>
      <c r="J15" s="100">
        <f>(11+284)</f>
        <v>295</v>
      </c>
      <c r="K15" s="100">
        <f>1556+21</f>
        <v>1577</v>
      </c>
      <c r="L15" s="100">
        <f>1382+34</f>
        <v>1416</v>
      </c>
      <c r="M15" s="100">
        <v>165</v>
      </c>
      <c r="N15" s="106"/>
      <c r="O15" s="106"/>
      <c r="P15" s="106"/>
      <c r="Q15" s="106"/>
      <c r="R15" s="106"/>
    </row>
    <row r="16" spans="1:22" s="89" customFormat="1" x14ac:dyDescent="0.25">
      <c r="A16"/>
      <c r="B16"/>
      <c r="C16" s="76"/>
      <c r="D16"/>
      <c r="E16"/>
      <c r="F16" s="76"/>
      <c r="G16" s="76"/>
      <c r="H16" s="76"/>
      <c r="I16" s="76"/>
      <c r="J16" s="76"/>
      <c r="K16"/>
      <c r="L16" s="76"/>
      <c r="M16" s="76"/>
      <c r="N16" s="96"/>
      <c r="O16" s="96"/>
      <c r="P16" s="96"/>
      <c r="Q16" s="96"/>
      <c r="R16" s="96"/>
    </row>
    <row r="17" spans="1:18" x14ac:dyDescent="0.25">
      <c r="A17" s="77" t="s">
        <v>215</v>
      </c>
      <c r="B17" s="78"/>
      <c r="F17" s="76"/>
      <c r="G17" s="76"/>
      <c r="N17" s="106"/>
      <c r="O17" s="106"/>
      <c r="P17" s="106"/>
      <c r="Q17" s="106"/>
      <c r="R17" s="106"/>
    </row>
    <row r="18" spans="1:18" hidden="1" outlineLevel="2" x14ac:dyDescent="0.25">
      <c r="A18" t="s">
        <v>182</v>
      </c>
      <c r="C18" s="53">
        <f t="shared" ref="C18:L22" si="3">C11/C$8</f>
        <v>0.17086651761712499</v>
      </c>
      <c r="D18" s="53">
        <f t="shared" si="3"/>
        <v>0.16533412343878201</v>
      </c>
      <c r="E18" s="53">
        <f t="shared" si="3"/>
        <v>0.16196640313724703</v>
      </c>
      <c r="F18" s="53">
        <f t="shared" si="3"/>
        <v>0.17480428858658073</v>
      </c>
      <c r="G18" s="53">
        <f t="shared" si="3"/>
        <v>0.15376924301288364</v>
      </c>
      <c r="H18" s="53">
        <f t="shared" si="3"/>
        <v>0.12752515327170486</v>
      </c>
      <c r="I18" s="53">
        <f t="shared" si="3"/>
        <v>0.12071226765197801</v>
      </c>
      <c r="J18" s="53">
        <f t="shared" si="3"/>
        <v>0.12027360820824624</v>
      </c>
      <c r="K18" s="53">
        <f t="shared" si="3"/>
        <v>7.0643134355941606E-2</v>
      </c>
      <c r="L18" s="53">
        <f t="shared" si="3"/>
        <v>7.7676308205146011E-2</v>
      </c>
      <c r="M18" s="53">
        <f>M11/M$8</f>
        <v>8.1577325939617987E-2</v>
      </c>
      <c r="N18" s="132"/>
      <c r="O18" s="132"/>
      <c r="P18" s="132"/>
      <c r="Q18" s="132"/>
      <c r="R18" s="132"/>
    </row>
    <row r="19" spans="1:18" hidden="1" outlineLevel="2" x14ac:dyDescent="0.25">
      <c r="A19" t="s">
        <v>183</v>
      </c>
      <c r="C19" s="53">
        <f t="shared" si="3"/>
        <v>0.77751565728741789</v>
      </c>
      <c r="D19" s="53">
        <f t="shared" si="3"/>
        <v>0.77726046130002735</v>
      </c>
      <c r="E19" s="53">
        <f t="shared" si="3"/>
        <v>0.77907799014672785</v>
      </c>
      <c r="F19" s="53">
        <f t="shared" si="3"/>
        <v>0.76228512416423655</v>
      </c>
      <c r="G19" s="53">
        <f t="shared" si="3"/>
        <v>0.78526512595528519</v>
      </c>
      <c r="H19" s="53">
        <f t="shared" si="3"/>
        <v>0.81242576264472222</v>
      </c>
      <c r="I19" s="53">
        <f t="shared" si="3"/>
        <v>0.81907695823549986</v>
      </c>
      <c r="J19" s="53">
        <f t="shared" si="3"/>
        <v>0.81013680410412314</v>
      </c>
      <c r="K19" s="53">
        <f t="shared" si="3"/>
        <v>0.81985769728331181</v>
      </c>
      <c r="L19" s="53">
        <f t="shared" si="3"/>
        <v>0.83811937914510926</v>
      </c>
      <c r="M19" s="53">
        <f>M12/M$8</f>
        <v>0.87753542821934694</v>
      </c>
      <c r="N19" s="132"/>
      <c r="O19" s="132"/>
      <c r="P19" s="132"/>
      <c r="Q19" s="132"/>
      <c r="R19" s="132"/>
    </row>
    <row r="20" spans="1:18" hidden="1" outlineLevel="2" x14ac:dyDescent="0.25">
      <c r="A20" t="s">
        <v>184</v>
      </c>
      <c r="C20" s="53">
        <f t="shared" si="3"/>
        <v>0</v>
      </c>
      <c r="D20" s="53">
        <f t="shared" si="3"/>
        <v>0</v>
      </c>
      <c r="E20" s="53">
        <f t="shared" si="3"/>
        <v>2.7927925666125217E-2</v>
      </c>
      <c r="F20" s="53">
        <f t="shared" si="3"/>
        <v>3.3007015018541079E-2</v>
      </c>
      <c r="G20" s="53">
        <f t="shared" si="3"/>
        <v>3.0849349094650851E-2</v>
      </c>
      <c r="H20" s="53">
        <f t="shared" si="3"/>
        <v>2.5618425409833528E-2</v>
      </c>
      <c r="I20" s="53">
        <f t="shared" si="3"/>
        <v>2.5788582765545652E-2</v>
      </c>
      <c r="J20" s="53">
        <f t="shared" si="3"/>
        <v>2.5555766673000191E-2</v>
      </c>
      <c r="K20" s="53">
        <f t="shared" si="3"/>
        <v>1.6678987248198114E-2</v>
      </c>
      <c r="L20" s="53">
        <f t="shared" si="3"/>
        <v>1.7570054515781797E-2</v>
      </c>
      <c r="M20" s="53">
        <f>M13/M$8</f>
        <v>1.6980899568699939E-2</v>
      </c>
      <c r="N20" s="132"/>
      <c r="O20" s="132"/>
      <c r="P20" s="132"/>
      <c r="Q20" s="132"/>
      <c r="R20" s="132"/>
    </row>
    <row r="21" spans="1:18" hidden="1" outlineLevel="2" x14ac:dyDescent="0.25">
      <c r="A21" t="s">
        <v>185</v>
      </c>
      <c r="C21" s="53">
        <f t="shared" si="3"/>
        <v>3.9494618393426432E-2</v>
      </c>
      <c r="D21" s="53">
        <f t="shared" si="3"/>
        <v>4.6067098185796337E-2</v>
      </c>
      <c r="E21" s="53">
        <f t="shared" si="3"/>
        <v>1.9632063052907569E-2</v>
      </c>
      <c r="F21" s="53">
        <f t="shared" si="3"/>
        <v>1.9951335187736185E-2</v>
      </c>
      <c r="G21" s="53">
        <f t="shared" si="3"/>
        <v>2.3943871416583162E-2</v>
      </c>
      <c r="H21" s="53">
        <f t="shared" si="3"/>
        <v>2.2925299966885263E-2</v>
      </c>
      <c r="I21" s="53">
        <f t="shared" si="3"/>
        <v>2.4080669332184612E-2</v>
      </c>
      <c r="J21" s="53">
        <f t="shared" si="3"/>
        <v>3.0020900627018812E-2</v>
      </c>
      <c r="K21" s="53">
        <f t="shared" si="3"/>
        <v>1.995934208094622E-2</v>
      </c>
      <c r="L21" s="53">
        <f t="shared" si="3"/>
        <v>1.7465884232091392E-2</v>
      </c>
      <c r="M21" s="53">
        <f>M14/M$8</f>
        <v>1.9839802834257549E-2</v>
      </c>
      <c r="N21" s="132"/>
      <c r="O21" s="132"/>
      <c r="P21" s="132"/>
      <c r="Q21" s="132"/>
      <c r="R21" s="132"/>
    </row>
    <row r="22" spans="1:18" hidden="1" outlineLevel="2" x14ac:dyDescent="0.25">
      <c r="A22" t="s">
        <v>186</v>
      </c>
      <c r="C22" s="53">
        <f t="shared" si="3"/>
        <v>1.2123206702030702E-2</v>
      </c>
      <c r="D22" s="53">
        <f t="shared" si="3"/>
        <v>1.1338317075394294E-2</v>
      </c>
      <c r="E22" s="53">
        <f t="shared" si="3"/>
        <v>1.13956179969923E-2</v>
      </c>
      <c r="F22" s="53">
        <f t="shared" si="3"/>
        <v>9.9522370429053174E-3</v>
      </c>
      <c r="G22" s="53">
        <f t="shared" si="3"/>
        <v>6.1716632554010466E-3</v>
      </c>
      <c r="H22" s="53">
        <f t="shared" si="3"/>
        <v>1.1505358706854131E-2</v>
      </c>
      <c r="I22" s="53">
        <f t="shared" si="3"/>
        <v>1.0341522014791804E-2</v>
      </c>
      <c r="J22" s="53">
        <f t="shared" si="3"/>
        <v>1.4012920387611628E-2</v>
      </c>
      <c r="K22" s="53">
        <f t="shared" si="3"/>
        <v>7.2860839031602287E-2</v>
      </c>
      <c r="L22" s="53">
        <f t="shared" si="3"/>
        <v>4.9168373901871593E-2</v>
      </c>
      <c r="M22" s="53">
        <f>M15/M$8</f>
        <v>4.0665434380776338E-3</v>
      </c>
      <c r="N22" s="132"/>
      <c r="O22" s="132"/>
      <c r="P22" s="132"/>
      <c r="Q22" s="132"/>
      <c r="R22" s="132"/>
    </row>
    <row r="23" spans="1:18" collapsed="1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107"/>
      <c r="O23" s="107"/>
      <c r="P23" s="107"/>
      <c r="Q23" s="107"/>
      <c r="R23" s="107"/>
    </row>
    <row r="24" spans="1:18" x14ac:dyDescent="0.25">
      <c r="A24" s="77" t="s">
        <v>216</v>
      </c>
      <c r="B24" s="78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107"/>
      <c r="O24" s="107"/>
      <c r="P24" s="107"/>
      <c r="Q24" s="107"/>
      <c r="R24" s="107"/>
    </row>
    <row r="25" spans="1:18" s="89" customFormat="1" outlineLevel="1" x14ac:dyDescent="0.25">
      <c r="A25" t="s">
        <v>182</v>
      </c>
      <c r="B25"/>
      <c r="C25" s="53"/>
      <c r="D25" s="53">
        <f>D11/C11-1</f>
        <v>3.8740605699381536E-2</v>
      </c>
      <c r="E25" s="53">
        <f t="shared" ref="E25:M25" si="4">E11/D11-1</f>
        <v>6.7183149072261639E-2</v>
      </c>
      <c r="F25" s="53">
        <f t="shared" si="4"/>
        <v>2.1520210396870798E-2</v>
      </c>
      <c r="G25" s="53">
        <f t="shared" si="4"/>
        <v>4.0828713632501179E-2</v>
      </c>
      <c r="H25" s="53">
        <f t="shared" si="4"/>
        <v>1.2294922634319416E-3</v>
      </c>
      <c r="I25" s="53">
        <f t="shared" si="4"/>
        <v>0.15882230171480716</v>
      </c>
      <c r="J25" s="53">
        <f t="shared" si="4"/>
        <v>6.0519118244530823E-2</v>
      </c>
      <c r="K25" s="53">
        <f t="shared" si="4"/>
        <v>-0.39612954186413907</v>
      </c>
      <c r="L25" s="53">
        <f t="shared" si="4"/>
        <v>0.46304774362328316</v>
      </c>
      <c r="M25" s="53">
        <f t="shared" si="4"/>
        <v>0.4796602592758159</v>
      </c>
      <c r="N25" s="57">
        <f>AVERAGE(L25:M25)</f>
        <v>0.47135400144954953</v>
      </c>
      <c r="O25" s="57">
        <f>AVERAGE(M25:N25)</f>
        <v>0.47550713036268272</v>
      </c>
      <c r="P25" s="57">
        <f>AVERAGE(N25:O25)</f>
        <v>0.4734305659061161</v>
      </c>
      <c r="Q25" s="57">
        <f>AVERAGE(O25:P25)</f>
        <v>0.47446884813439938</v>
      </c>
      <c r="R25" s="57">
        <f>AVERAGE(P25:Q25)</f>
        <v>0.47394970702025774</v>
      </c>
    </row>
    <row r="26" spans="1:18" outlineLevel="1" x14ac:dyDescent="0.25">
      <c r="A26" t="s">
        <v>183</v>
      </c>
      <c r="C26" s="53"/>
      <c r="D26" s="53">
        <f t="shared" ref="D26:M27" si="5">D12/C12-1</f>
        <v>7.314649817854102E-2</v>
      </c>
      <c r="E26" s="53">
        <f t="shared" si="5"/>
        <v>9.1920143283245714E-2</v>
      </c>
      <c r="F26" s="53">
        <f t="shared" si="5"/>
        <v>-7.3903319848841909E-2</v>
      </c>
      <c r="G26" s="53">
        <f t="shared" si="5"/>
        <v>0.21887940093673253</v>
      </c>
      <c r="H26" s="53">
        <f t="shared" si="5"/>
        <v>0.24903506868712233</v>
      </c>
      <c r="I26" s="53">
        <f t="shared" si="5"/>
        <v>0.23424765970998451</v>
      </c>
      <c r="J26" s="53">
        <f t="shared" si="5"/>
        <v>5.2769329628836292E-2</v>
      </c>
      <c r="K26" s="53">
        <f t="shared" si="5"/>
        <v>4.0457343887422947E-2</v>
      </c>
      <c r="L26" s="53">
        <f>L12/K12-1</f>
        <v>0.36021414482952951</v>
      </c>
      <c r="M26" s="53">
        <f>M12/L12-1</f>
        <v>0.47516261341508881</v>
      </c>
      <c r="N26" s="59" t="s">
        <v>368</v>
      </c>
      <c r="O26" s="59"/>
      <c r="P26" s="59"/>
      <c r="Q26" s="59"/>
      <c r="R26" s="59"/>
    </row>
    <row r="27" spans="1:18" outlineLevel="1" x14ac:dyDescent="0.25">
      <c r="A27" t="s">
        <v>184</v>
      </c>
      <c r="C27" s="53"/>
      <c r="D27" s="53"/>
      <c r="E27" s="53"/>
      <c r="F27" s="53">
        <f t="shared" si="5"/>
        <v>0.11863238643173912</v>
      </c>
      <c r="G27" s="53">
        <f t="shared" si="5"/>
        <v>0.10586375934210168</v>
      </c>
      <c r="H27" s="53">
        <f t="shared" si="5"/>
        <v>2.5676428554126662E-3</v>
      </c>
      <c r="I27" s="53">
        <f t="shared" si="5"/>
        <v>0.232356423204233</v>
      </c>
      <c r="J27" s="53">
        <f t="shared" si="5"/>
        <v>5.4777869270281832E-2</v>
      </c>
      <c r="K27" s="53">
        <f t="shared" si="5"/>
        <v>-0.32899628252788105</v>
      </c>
      <c r="L27" s="53">
        <f t="shared" si="5"/>
        <v>0.40166204986149578</v>
      </c>
      <c r="M27" s="53">
        <f t="shared" si="5"/>
        <v>0.36166007905138331</v>
      </c>
      <c r="N27" s="57">
        <f t="shared" ref="N27:R28" si="6">AVERAGE(L27:M27)</f>
        <v>0.38166106445643955</v>
      </c>
      <c r="O27" s="57">
        <f t="shared" si="6"/>
        <v>0.37166057175391143</v>
      </c>
      <c r="P27" s="57">
        <f t="shared" si="6"/>
        <v>0.37666081810517549</v>
      </c>
      <c r="Q27" s="57">
        <f t="shared" si="6"/>
        <v>0.37416069492954346</v>
      </c>
      <c r="R27" s="57">
        <f t="shared" si="6"/>
        <v>0.37541075651735945</v>
      </c>
    </row>
    <row r="28" spans="1:18" s="89" customFormat="1" outlineLevel="1" x14ac:dyDescent="0.25">
      <c r="A28" t="s">
        <v>185</v>
      </c>
      <c r="B28"/>
      <c r="C28" s="53"/>
      <c r="D28" s="53">
        <f t="shared" ref="D28:M29" si="7">D14/C14-1</f>
        <v>0.25214468588714922</v>
      </c>
      <c r="E28" s="53">
        <f t="shared" si="7"/>
        <v>-0.53575033147968576</v>
      </c>
      <c r="F28" s="53">
        <f t="shared" si="7"/>
        <v>-3.8109041306108482E-2</v>
      </c>
      <c r="G28" s="53">
        <f t="shared" si="7"/>
        <v>0.41998670507423008</v>
      </c>
      <c r="H28" s="53">
        <f t="shared" si="7"/>
        <v>0.15592035453467323</v>
      </c>
      <c r="I28" s="53">
        <f t="shared" si="7"/>
        <v>0.28592256601328359</v>
      </c>
      <c r="J28" s="53">
        <f t="shared" si="7"/>
        <v>0.32695053329973978</v>
      </c>
      <c r="K28" s="53">
        <f t="shared" si="7"/>
        <v>-0.31645569620253167</v>
      </c>
      <c r="L28" s="53">
        <f t="shared" si="7"/>
        <v>0.16435185185185186</v>
      </c>
      <c r="M28" s="53">
        <f t="shared" si="7"/>
        <v>0.6003976143141152</v>
      </c>
      <c r="N28" s="57">
        <f t="shared" si="6"/>
        <v>0.38237473308298353</v>
      </c>
      <c r="O28" s="57">
        <f t="shared" si="6"/>
        <v>0.49138617369854937</v>
      </c>
      <c r="P28" s="57">
        <f t="shared" si="6"/>
        <v>0.43688045339076642</v>
      </c>
      <c r="Q28" s="57">
        <f t="shared" si="6"/>
        <v>0.46413331354465792</v>
      </c>
      <c r="R28" s="57">
        <f t="shared" si="6"/>
        <v>0.45050688346771217</v>
      </c>
    </row>
    <row r="29" spans="1:18" outlineLevel="1" x14ac:dyDescent="0.25">
      <c r="A29" t="s">
        <v>186</v>
      </c>
      <c r="D29" s="53">
        <f t="shared" si="7"/>
        <v>3.9975846580579955E-3</v>
      </c>
      <c r="E29" s="53">
        <f t="shared" si="7"/>
        <v>9.4878186057730796E-2</v>
      </c>
      <c r="F29" s="53">
        <f t="shared" si="7"/>
        <v>-0.17338620841595054</v>
      </c>
      <c r="G29" s="53">
        <f t="shared" si="7"/>
        <v>-0.26625799573560771</v>
      </c>
      <c r="H29" s="53">
        <f t="shared" si="7"/>
        <v>1.2506356701779877</v>
      </c>
      <c r="I29" s="53">
        <f t="shared" si="7"/>
        <v>0.10038734667527427</v>
      </c>
      <c r="J29" s="53">
        <f t="shared" si="7"/>
        <v>0.44226068250708916</v>
      </c>
      <c r="K29" s="53">
        <f t="shared" si="7"/>
        <v>4.3457627118644071</v>
      </c>
      <c r="L29" s="53">
        <f t="shared" si="7"/>
        <v>-0.10209258084971462</v>
      </c>
      <c r="M29" s="53">
        <f t="shared" si="7"/>
        <v>-0.88347457627118642</v>
      </c>
      <c r="N29" s="59"/>
      <c r="O29" s="59"/>
      <c r="P29" s="59"/>
      <c r="Q29" s="59"/>
      <c r="R29" s="59"/>
    </row>
    <row r="30" spans="1:18" x14ac:dyDescent="0.25">
      <c r="N30" s="59"/>
      <c r="O30" s="59"/>
      <c r="P30" s="59"/>
      <c r="Q30" s="59"/>
      <c r="R30" s="59"/>
    </row>
    <row r="31" spans="1:18" x14ac:dyDescent="0.25">
      <c r="A31" s="77" t="s">
        <v>169</v>
      </c>
      <c r="N31" s="107"/>
      <c r="O31" s="107"/>
      <c r="P31" s="107"/>
      <c r="Q31" s="107"/>
      <c r="R31" s="107"/>
    </row>
    <row r="32" spans="1:18" s="89" customFormat="1" x14ac:dyDescent="0.25">
      <c r="A32" s="9" t="s">
        <v>165</v>
      </c>
      <c r="B32"/>
      <c r="C32" s="1">
        <f>SUM(C33:C35)</f>
        <v>550</v>
      </c>
      <c r="D32" s="1">
        <f t="shared" ref="D32:M32" si="8">SUM(D33:D35)</f>
        <v>600</v>
      </c>
      <c r="E32" s="1">
        <f t="shared" si="8"/>
        <v>626</v>
      </c>
      <c r="F32" s="1">
        <f t="shared" si="8"/>
        <v>652</v>
      </c>
      <c r="G32" s="1">
        <f t="shared" si="8"/>
        <v>678</v>
      </c>
      <c r="H32" s="1">
        <f t="shared" si="8"/>
        <v>722</v>
      </c>
      <c r="I32" s="1">
        <f t="shared" si="8"/>
        <v>734</v>
      </c>
      <c r="J32" s="1">
        <f t="shared" si="8"/>
        <v>774</v>
      </c>
      <c r="K32" s="1">
        <f t="shared" si="8"/>
        <v>782</v>
      </c>
      <c r="L32" s="1">
        <f t="shared" si="8"/>
        <v>843</v>
      </c>
      <c r="M32" s="1">
        <f t="shared" si="8"/>
        <v>1005</v>
      </c>
      <c r="N32" s="108"/>
      <c r="O32" s="108"/>
      <c r="P32" s="108"/>
      <c r="Q32" s="108"/>
      <c r="R32" s="108"/>
    </row>
    <row r="33" spans="1:18" hidden="1" outlineLevel="1" x14ac:dyDescent="0.25">
      <c r="A33" s="37" t="s">
        <v>177</v>
      </c>
      <c r="B33" s="37"/>
      <c r="C33" s="37">
        <v>364</v>
      </c>
      <c r="D33" s="37">
        <v>401</v>
      </c>
      <c r="E33" s="37">
        <v>430</v>
      </c>
      <c r="F33" s="37">
        <v>452</v>
      </c>
      <c r="G33" s="37">
        <v>474</v>
      </c>
      <c r="H33" s="37">
        <v>486</v>
      </c>
      <c r="I33" s="37">
        <v>486</v>
      </c>
      <c r="J33" s="37">
        <v>499</v>
      </c>
      <c r="K33" s="37">
        <v>511</v>
      </c>
      <c r="L33" s="37">
        <v>544</v>
      </c>
      <c r="M33" s="37">
        <v>622</v>
      </c>
      <c r="N33" s="107"/>
      <c r="O33" s="107"/>
      <c r="P33" s="107"/>
      <c r="Q33" s="107"/>
      <c r="R33" s="107"/>
    </row>
    <row r="34" spans="1:18" hidden="1" outlineLevel="1" x14ac:dyDescent="0.25">
      <c r="A34" s="37" t="s">
        <v>178</v>
      </c>
      <c r="B34" s="37"/>
      <c r="C34" s="37">
        <v>46</v>
      </c>
      <c r="D34" s="37">
        <v>49</v>
      </c>
      <c r="E34" s="37">
        <v>42</v>
      </c>
      <c r="F34" s="37">
        <v>41</v>
      </c>
      <c r="G34" s="37">
        <v>49</v>
      </c>
      <c r="H34" s="37">
        <v>70</v>
      </c>
      <c r="I34" s="37">
        <v>76</v>
      </c>
      <c r="J34" s="37">
        <v>92</v>
      </c>
      <c r="K34" s="37">
        <v>103</v>
      </c>
      <c r="L34" s="37">
        <v>136</v>
      </c>
      <c r="M34" s="37">
        <v>198</v>
      </c>
      <c r="N34" s="107"/>
      <c r="O34" s="107"/>
      <c r="P34" s="107"/>
      <c r="Q34" s="107"/>
      <c r="R34" s="107"/>
    </row>
    <row r="35" spans="1:18" hidden="1" outlineLevel="1" x14ac:dyDescent="0.25">
      <c r="A35" s="37" t="s">
        <v>172</v>
      </c>
      <c r="B35" s="37"/>
      <c r="C35" s="37">
        <v>140</v>
      </c>
      <c r="D35" s="37">
        <v>150</v>
      </c>
      <c r="E35" s="37">
        <v>154</v>
      </c>
      <c r="F35" s="37">
        <v>159</v>
      </c>
      <c r="G35" s="37">
        <v>155</v>
      </c>
      <c r="H35" s="37">
        <v>166</v>
      </c>
      <c r="I35" s="37">
        <v>172</v>
      </c>
      <c r="J35" s="37">
        <v>183</v>
      </c>
      <c r="K35" s="37">
        <v>168</v>
      </c>
      <c r="L35" s="37">
        <v>163</v>
      </c>
      <c r="M35" s="37">
        <v>185</v>
      </c>
      <c r="N35" s="107"/>
      <c r="O35" s="107"/>
      <c r="P35" s="107"/>
      <c r="Q35" s="107"/>
      <c r="R35" s="107"/>
    </row>
    <row r="36" spans="1:18" collapsed="1" x14ac:dyDescent="0.25">
      <c r="A36" s="9" t="s">
        <v>166</v>
      </c>
      <c r="C36" s="1">
        <f>SUM(C37:C41)</f>
        <v>179</v>
      </c>
      <c r="D36" s="1">
        <f t="shared" ref="D36:R36" si="9">SUM(D37:D41)</f>
        <v>198</v>
      </c>
      <c r="E36" s="1">
        <f t="shared" si="9"/>
        <v>209</v>
      </c>
      <c r="F36" s="1">
        <f t="shared" si="9"/>
        <v>227</v>
      </c>
      <c r="G36" s="1">
        <f t="shared" si="9"/>
        <v>286</v>
      </c>
      <c r="H36" s="1">
        <f t="shared" si="9"/>
        <v>328</v>
      </c>
      <c r="I36" s="1">
        <f t="shared" si="9"/>
        <v>375</v>
      </c>
      <c r="J36" s="1">
        <f t="shared" si="9"/>
        <v>461</v>
      </c>
      <c r="K36" s="1">
        <f t="shared" si="9"/>
        <v>514</v>
      </c>
      <c r="L36" s="1">
        <f t="shared" si="9"/>
        <v>582</v>
      </c>
      <c r="M36" s="1">
        <f t="shared" si="9"/>
        <v>763</v>
      </c>
      <c r="N36" s="177">
        <f t="shared" si="9"/>
        <v>858</v>
      </c>
      <c r="O36" s="177">
        <f t="shared" si="9"/>
        <v>953</v>
      </c>
      <c r="P36" s="177">
        <f t="shared" si="9"/>
        <v>1048</v>
      </c>
      <c r="Q36" s="177">
        <f t="shared" si="9"/>
        <v>1143</v>
      </c>
      <c r="R36" s="177">
        <f t="shared" si="9"/>
        <v>1238</v>
      </c>
    </row>
    <row r="37" spans="1:18" x14ac:dyDescent="0.25">
      <c r="A37" s="69" t="s">
        <v>179</v>
      </c>
      <c r="B37" s="37"/>
      <c r="C37" s="69">
        <v>31</v>
      </c>
      <c r="D37" s="69">
        <v>33</v>
      </c>
      <c r="E37" s="69">
        <v>33</v>
      </c>
      <c r="F37" s="69">
        <v>32</v>
      </c>
      <c r="G37" s="69">
        <v>29</v>
      </c>
      <c r="H37" s="69"/>
      <c r="I37" s="69"/>
      <c r="J37" s="69"/>
      <c r="K37" s="69"/>
      <c r="L37" s="69"/>
      <c r="M37" s="69"/>
      <c r="N37" s="107"/>
      <c r="O37" s="107"/>
      <c r="P37" s="107"/>
      <c r="Q37" s="107"/>
      <c r="R37" s="107"/>
    </row>
    <row r="38" spans="1:18" s="89" customFormat="1" x14ac:dyDescent="0.25">
      <c r="A38" s="69" t="s">
        <v>173</v>
      </c>
      <c r="B38" s="37"/>
      <c r="C38" s="69">
        <v>2</v>
      </c>
      <c r="D38" s="69">
        <v>2</v>
      </c>
      <c r="E38" s="69">
        <v>2</v>
      </c>
      <c r="F38" s="69">
        <v>2</v>
      </c>
      <c r="G38" s="69">
        <v>2</v>
      </c>
      <c r="H38" s="69">
        <v>3</v>
      </c>
      <c r="I38" s="69">
        <v>3</v>
      </c>
      <c r="J38" s="69">
        <v>4</v>
      </c>
      <c r="K38" s="69">
        <v>4</v>
      </c>
      <c r="L38" s="69">
        <v>5</v>
      </c>
      <c r="M38" s="69">
        <v>7</v>
      </c>
      <c r="N38" s="59">
        <v>7</v>
      </c>
      <c r="O38" s="59">
        <v>7</v>
      </c>
      <c r="P38" s="59">
        <v>7</v>
      </c>
      <c r="Q38" s="59">
        <v>7</v>
      </c>
      <c r="R38" s="59">
        <v>7</v>
      </c>
    </row>
    <row r="39" spans="1:18" x14ac:dyDescent="0.25">
      <c r="A39" s="69" t="s">
        <v>174</v>
      </c>
      <c r="B39" s="37"/>
      <c r="C39" s="69">
        <v>146</v>
      </c>
      <c r="D39" s="69">
        <v>163</v>
      </c>
      <c r="E39" s="69">
        <v>174</v>
      </c>
      <c r="F39" s="69">
        <v>193</v>
      </c>
      <c r="G39" s="69">
        <v>208</v>
      </c>
      <c r="H39" s="69">
        <v>253</v>
      </c>
      <c r="I39" s="69">
        <v>287</v>
      </c>
      <c r="J39" s="69">
        <v>327</v>
      </c>
      <c r="K39" s="69">
        <v>353</v>
      </c>
      <c r="L39" s="69">
        <v>389</v>
      </c>
      <c r="M39" s="69">
        <v>423</v>
      </c>
      <c r="N39" s="59">
        <f>M39+35</f>
        <v>458</v>
      </c>
      <c r="O39" s="59">
        <f>N39+35</f>
        <v>493</v>
      </c>
      <c r="P39" s="59">
        <f>O39+35</f>
        <v>528</v>
      </c>
      <c r="Q39" s="59">
        <f>P39+35</f>
        <v>563</v>
      </c>
      <c r="R39" s="59">
        <f>Q39+35</f>
        <v>598</v>
      </c>
    </row>
    <row r="40" spans="1:18" x14ac:dyDescent="0.25">
      <c r="A40" s="69" t="s">
        <v>175</v>
      </c>
      <c r="B40" s="37"/>
      <c r="C40" s="69"/>
      <c r="D40" s="69"/>
      <c r="E40" s="69"/>
      <c r="F40" s="69"/>
      <c r="G40" s="69">
        <v>32</v>
      </c>
      <c r="H40" s="69">
        <v>36</v>
      </c>
      <c r="I40" s="69">
        <v>30</v>
      </c>
      <c r="J40" s="69">
        <v>38</v>
      </c>
      <c r="K40" s="69">
        <v>40</v>
      </c>
      <c r="L40" s="69">
        <v>50</v>
      </c>
      <c r="M40" s="69">
        <v>111</v>
      </c>
      <c r="N40" s="59">
        <f>M40+10</f>
        <v>121</v>
      </c>
      <c r="O40" s="59">
        <f>N40+10</f>
        <v>131</v>
      </c>
      <c r="P40" s="59">
        <f>O40+10</f>
        <v>141</v>
      </c>
      <c r="Q40" s="59">
        <f>P40+10</f>
        <v>151</v>
      </c>
      <c r="R40" s="59">
        <f>Q40+10</f>
        <v>161</v>
      </c>
    </row>
    <row r="41" spans="1:18" x14ac:dyDescent="0.25">
      <c r="A41" s="69" t="s">
        <v>176</v>
      </c>
      <c r="B41" s="37"/>
      <c r="C41" s="69"/>
      <c r="D41" s="69"/>
      <c r="E41" s="69"/>
      <c r="F41" s="69"/>
      <c r="G41" s="69">
        <v>15</v>
      </c>
      <c r="H41" s="69">
        <v>36</v>
      </c>
      <c r="I41" s="69">
        <v>55</v>
      </c>
      <c r="J41" s="69">
        <v>92</v>
      </c>
      <c r="K41" s="69">
        <v>117</v>
      </c>
      <c r="L41" s="69">
        <v>138</v>
      </c>
      <c r="M41" s="69">
        <v>222</v>
      </c>
      <c r="N41" s="59">
        <f>M41+50</f>
        <v>272</v>
      </c>
      <c r="O41" s="59">
        <f>N41+50</f>
        <v>322</v>
      </c>
      <c r="P41" s="59">
        <f>O41+50</f>
        <v>372</v>
      </c>
      <c r="Q41" s="59">
        <f>P41+50</f>
        <v>422</v>
      </c>
      <c r="R41" s="59">
        <f>Q41+50</f>
        <v>472</v>
      </c>
    </row>
    <row r="42" spans="1:18" x14ac:dyDescent="0.25">
      <c r="A42" s="9" t="s">
        <v>167</v>
      </c>
      <c r="C42" s="1">
        <v>224</v>
      </c>
      <c r="D42" s="1">
        <v>280</v>
      </c>
      <c r="E42" s="1">
        <v>366</v>
      </c>
      <c r="F42" s="1">
        <v>404</v>
      </c>
      <c r="G42" s="1">
        <v>448</v>
      </c>
      <c r="H42" s="1">
        <v>500</v>
      </c>
      <c r="I42" s="1">
        <v>537</v>
      </c>
      <c r="J42" s="1">
        <v>584</v>
      </c>
      <c r="K42" s="1">
        <v>599</v>
      </c>
      <c r="L42" s="1">
        <v>733</v>
      </c>
      <c r="M42" s="1">
        <v>901</v>
      </c>
      <c r="N42" s="108"/>
      <c r="O42" s="108"/>
      <c r="P42" s="108"/>
      <c r="Q42" s="108"/>
      <c r="R42" s="108"/>
    </row>
    <row r="43" spans="1:18" hidden="1" outlineLevel="1" x14ac:dyDescent="0.25">
      <c r="A43" s="37" t="s">
        <v>171</v>
      </c>
      <c r="B43" s="37"/>
      <c r="C43" s="37">
        <v>224</v>
      </c>
      <c r="D43" s="37">
        <v>280</v>
      </c>
      <c r="E43" s="37">
        <v>366</v>
      </c>
      <c r="F43" s="37">
        <v>404</v>
      </c>
      <c r="G43" s="37">
        <v>448</v>
      </c>
      <c r="H43" s="37">
        <v>500</v>
      </c>
      <c r="I43" s="37">
        <v>537</v>
      </c>
      <c r="J43" s="69">
        <v>584</v>
      </c>
      <c r="K43" s="37">
        <v>599</v>
      </c>
      <c r="L43" s="37">
        <v>733</v>
      </c>
      <c r="M43" s="37">
        <v>901</v>
      </c>
      <c r="N43" s="107"/>
      <c r="O43" s="107"/>
      <c r="P43" s="107"/>
      <c r="Q43" s="107"/>
      <c r="R43" s="107"/>
    </row>
    <row r="44" spans="1:18" hidden="1" outlineLevel="1" x14ac:dyDescent="0.25">
      <c r="A44" s="37" t="s">
        <v>172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107"/>
      <c r="O44" s="107"/>
      <c r="P44" s="107"/>
      <c r="Q44" s="107"/>
      <c r="R44" s="107"/>
    </row>
    <row r="45" spans="1:18" collapsed="1" x14ac:dyDescent="0.25">
      <c r="N45" s="107"/>
      <c r="O45" s="107"/>
      <c r="P45" s="107"/>
      <c r="Q45" s="107"/>
      <c r="R45" s="107"/>
    </row>
    <row r="46" spans="1:18" x14ac:dyDescent="0.25">
      <c r="A46" s="77" t="s">
        <v>218</v>
      </c>
      <c r="N46" s="107"/>
      <c r="O46" s="107"/>
      <c r="P46" s="107"/>
      <c r="Q46" s="107"/>
      <c r="R46" s="107"/>
    </row>
    <row r="47" spans="1:18" x14ac:dyDescent="0.25">
      <c r="A47" s="9" t="s">
        <v>165</v>
      </c>
      <c r="B47" s="57"/>
      <c r="D47" s="53">
        <f t="shared" ref="D47:M47" si="10">D32/C32-1</f>
        <v>9.0909090909090828E-2</v>
      </c>
      <c r="E47" s="53">
        <f t="shared" si="10"/>
        <v>4.3333333333333224E-2</v>
      </c>
      <c r="F47" s="53">
        <f t="shared" si="10"/>
        <v>4.1533546325878579E-2</v>
      </c>
      <c r="G47" s="53">
        <f t="shared" si="10"/>
        <v>3.9877300613496924E-2</v>
      </c>
      <c r="H47" s="53">
        <f t="shared" si="10"/>
        <v>6.4896755162241915E-2</v>
      </c>
      <c r="I47" s="53">
        <f t="shared" si="10"/>
        <v>1.6620498614958512E-2</v>
      </c>
      <c r="J47" s="53">
        <f t="shared" si="10"/>
        <v>5.4495912806539426E-2</v>
      </c>
      <c r="K47" s="53">
        <f t="shared" si="10"/>
        <v>1.0335917312661591E-2</v>
      </c>
      <c r="L47" s="53">
        <f t="shared" si="10"/>
        <v>7.8005115089514021E-2</v>
      </c>
      <c r="M47" s="53">
        <f t="shared" si="10"/>
        <v>0.19217081850533813</v>
      </c>
      <c r="N47" s="57"/>
      <c r="O47" s="57"/>
      <c r="P47" s="57"/>
      <c r="Q47" s="57"/>
      <c r="R47" s="57"/>
    </row>
    <row r="48" spans="1:18" x14ac:dyDescent="0.25">
      <c r="A48" s="9" t="s">
        <v>166</v>
      </c>
      <c r="B48" s="57"/>
      <c r="D48" s="53">
        <f t="shared" ref="D48:M48" si="11">D36/C36-1</f>
        <v>0.1061452513966481</v>
      </c>
      <c r="E48" s="53">
        <f t="shared" si="11"/>
        <v>5.555555555555558E-2</v>
      </c>
      <c r="F48" s="53">
        <f t="shared" si="11"/>
        <v>8.6124401913875603E-2</v>
      </c>
      <c r="G48" s="53">
        <f t="shared" si="11"/>
        <v>0.25991189427312777</v>
      </c>
      <c r="H48" s="53">
        <f t="shared" si="11"/>
        <v>0.14685314685314688</v>
      </c>
      <c r="I48" s="53">
        <f t="shared" si="11"/>
        <v>0.14329268292682928</v>
      </c>
      <c r="J48" s="53">
        <f t="shared" si="11"/>
        <v>0.22933333333333339</v>
      </c>
      <c r="K48" s="53">
        <f t="shared" si="11"/>
        <v>0.11496746203904551</v>
      </c>
      <c r="L48" s="53">
        <f t="shared" si="11"/>
        <v>0.13229571984435795</v>
      </c>
      <c r="M48" s="53">
        <f t="shared" si="11"/>
        <v>0.31099656357388317</v>
      </c>
      <c r="N48" s="57"/>
      <c r="O48" s="57"/>
      <c r="P48" s="57"/>
      <c r="Q48" s="57"/>
      <c r="R48" s="57"/>
    </row>
    <row r="49" spans="1:18" x14ac:dyDescent="0.25">
      <c r="A49" s="9" t="s">
        <v>167</v>
      </c>
      <c r="B49" s="57"/>
      <c r="D49" s="53">
        <f t="shared" ref="D49:M49" si="12">D42/C42-1</f>
        <v>0.25</v>
      </c>
      <c r="E49" s="53">
        <f t="shared" si="12"/>
        <v>0.30714285714285716</v>
      </c>
      <c r="F49" s="53">
        <f t="shared" si="12"/>
        <v>0.10382513661202175</v>
      </c>
      <c r="G49" s="53">
        <f t="shared" si="12"/>
        <v>0.10891089108910901</v>
      </c>
      <c r="H49" s="53">
        <f t="shared" si="12"/>
        <v>0.1160714285714286</v>
      </c>
      <c r="I49" s="53">
        <f t="shared" si="12"/>
        <v>7.4000000000000066E-2</v>
      </c>
      <c r="J49" s="53">
        <f t="shared" si="12"/>
        <v>8.7523277467411509E-2</v>
      </c>
      <c r="K49" s="53">
        <f t="shared" si="12"/>
        <v>2.5684931506849251E-2</v>
      </c>
      <c r="L49" s="53">
        <f t="shared" si="12"/>
        <v>0.22370617696160267</v>
      </c>
      <c r="M49" s="53">
        <f t="shared" si="12"/>
        <v>0.22919508867667115</v>
      </c>
      <c r="N49" s="57"/>
      <c r="O49" s="57"/>
      <c r="P49" s="57"/>
      <c r="Q49" s="57"/>
      <c r="R49" s="57"/>
    </row>
    <row r="50" spans="1:18" x14ac:dyDescent="0.25">
      <c r="N50" s="107"/>
      <c r="O50" s="107"/>
      <c r="P50" s="107"/>
      <c r="Q50" s="107"/>
      <c r="R50" s="107"/>
    </row>
    <row r="51" spans="1:18" x14ac:dyDescent="0.25">
      <c r="A51" s="77" t="s">
        <v>219</v>
      </c>
      <c r="C51" s="35">
        <v>29600</v>
      </c>
      <c r="D51" s="35">
        <v>28006</v>
      </c>
      <c r="E51" s="35">
        <v>26343</v>
      </c>
      <c r="F51" s="35">
        <v>28623</v>
      </c>
      <c r="G51" s="35">
        <v>29667</v>
      </c>
      <c r="H51" s="35">
        <v>31438</v>
      </c>
      <c r="I51" s="35">
        <v>35220</v>
      </c>
      <c r="J51" s="35">
        <v>48651</v>
      </c>
      <c r="K51" s="35">
        <v>48720</v>
      </c>
      <c r="L51" s="35">
        <v>52670</v>
      </c>
      <c r="M51" s="35">
        <v>59511</v>
      </c>
      <c r="N51" s="58"/>
      <c r="O51" s="58"/>
      <c r="P51" s="58"/>
      <c r="Q51" s="58"/>
      <c r="R51" s="58"/>
    </row>
    <row r="52" spans="1:18" x14ac:dyDescent="0.25">
      <c r="D52" s="74">
        <f>D51/C51-1</f>
        <v>-5.3851351351351329E-2</v>
      </c>
      <c r="E52" s="74">
        <f t="shared" ref="E52:M52" si="13">E51/D51-1</f>
        <v>-5.9380132828679599E-2</v>
      </c>
      <c r="F52" s="74">
        <f t="shared" si="13"/>
        <v>8.6550506775993519E-2</v>
      </c>
      <c r="G52" s="74">
        <f t="shared" si="13"/>
        <v>3.6474164133738496E-2</v>
      </c>
      <c r="H52" s="74">
        <f t="shared" si="13"/>
        <v>5.9695958472376631E-2</v>
      </c>
      <c r="I52" s="74">
        <f t="shared" si="13"/>
        <v>0.12030027355429729</v>
      </c>
      <c r="J52" s="74">
        <f t="shared" si="13"/>
        <v>0.38134582623509372</v>
      </c>
      <c r="K52" s="74">
        <f t="shared" si="13"/>
        <v>1.4182647838687501E-3</v>
      </c>
      <c r="L52" s="74">
        <f t="shared" si="13"/>
        <v>8.1075533661740584E-2</v>
      </c>
      <c r="M52" s="74">
        <f t="shared" si="13"/>
        <v>0.12988418454528183</v>
      </c>
      <c r="N52" s="124"/>
      <c r="O52" s="124"/>
      <c r="P52" s="124"/>
      <c r="Q52" s="124"/>
      <c r="R52" s="124"/>
    </row>
    <row r="54" spans="1:18" x14ac:dyDescent="0.25">
      <c r="A54" s="77" t="s">
        <v>217</v>
      </c>
      <c r="N54" s="107"/>
      <c r="O54" s="107"/>
      <c r="P54" s="107"/>
      <c r="Q54" s="107"/>
      <c r="R54" s="107"/>
    </row>
    <row r="55" spans="1:18" x14ac:dyDescent="0.25">
      <c r="A55" s="9" t="s">
        <v>165</v>
      </c>
      <c r="C55" s="71">
        <f>C11/C32</f>
        <v>3.1743859999999997</v>
      </c>
      <c r="D55" s="71">
        <f t="shared" ref="D55:L55" si="14">D11/D32</f>
        <v>3.0225833333333334</v>
      </c>
      <c r="E55" s="71">
        <f t="shared" si="14"/>
        <v>3.0916773162939299</v>
      </c>
      <c r="F55" s="71">
        <f t="shared" si="14"/>
        <v>3.0322699386503067</v>
      </c>
      <c r="G55" s="71">
        <f t="shared" si="14"/>
        <v>3.0350442477876109</v>
      </c>
      <c r="H55" s="71">
        <f t="shared" si="14"/>
        <v>2.8535872576177286</v>
      </c>
      <c r="I55" s="71">
        <f t="shared" si="14"/>
        <v>3.2527384196185287</v>
      </c>
      <c r="J55" s="71">
        <f t="shared" si="14"/>
        <v>3.2713178294573644</v>
      </c>
      <c r="K55" s="71">
        <f t="shared" si="14"/>
        <v>1.9552429667519182</v>
      </c>
      <c r="L55" s="71">
        <f t="shared" si="14"/>
        <v>2.6536180308422299</v>
      </c>
      <c r="M55" s="71">
        <f>M11/M32</f>
        <v>3.2935323383084576</v>
      </c>
      <c r="N55" s="133">
        <f>AVERAGE(C55:M55)</f>
        <v>2.9669088798783103</v>
      </c>
      <c r="O55" s="133">
        <f t="shared" ref="O55:R57" si="15">AVERAGE(D55:N55)</f>
        <v>2.9480473235036104</v>
      </c>
      <c r="P55" s="133">
        <f t="shared" si="15"/>
        <v>2.9412713226099996</v>
      </c>
      <c r="Q55" s="133">
        <f t="shared" si="15"/>
        <v>2.9275980504569152</v>
      </c>
      <c r="R55" s="133">
        <f t="shared" si="15"/>
        <v>2.9180824242575159</v>
      </c>
    </row>
    <row r="56" spans="1:18" x14ac:dyDescent="0.25">
      <c r="A56" s="9" t="s">
        <v>166</v>
      </c>
      <c r="C56" s="71">
        <f>C12/C36</f>
        <v>44.383502234636872</v>
      </c>
      <c r="D56" s="71">
        <f t="shared" ref="D56:L56" si="16">D12/D36</f>
        <v>43.059444444444445</v>
      </c>
      <c r="E56" s="71">
        <f t="shared" si="16"/>
        <v>44.542870813397123</v>
      </c>
      <c r="F56" s="71">
        <f t="shared" si="16"/>
        <v>37.979999999999997</v>
      </c>
      <c r="G56" s="71">
        <f t="shared" si="16"/>
        <v>36.743076923076927</v>
      </c>
      <c r="H56" s="179">
        <f t="shared" si="16"/>
        <v>40.016798780487804</v>
      </c>
      <c r="I56" s="179">
        <f t="shared" si="16"/>
        <v>43.200346666666661</v>
      </c>
      <c r="J56" s="178">
        <f t="shared" si="16"/>
        <v>36.995661605206074</v>
      </c>
      <c r="K56" s="178">
        <f t="shared" si="16"/>
        <v>34.523346303501945</v>
      </c>
      <c r="L56" s="179">
        <f t="shared" si="16"/>
        <v>41.472508591065292</v>
      </c>
      <c r="M56" s="179">
        <f>M12/M36</f>
        <v>46.66579292267366</v>
      </c>
      <c r="N56" s="133">
        <f>AVERAGE(H56,I56,L56,M56)</f>
        <v>42.838861740223351</v>
      </c>
      <c r="O56" s="133">
        <f>N56</f>
        <v>42.838861740223351</v>
      </c>
      <c r="P56" s="133">
        <f>O56</f>
        <v>42.838861740223351</v>
      </c>
      <c r="Q56" s="133">
        <f>P56</f>
        <v>42.838861740223351</v>
      </c>
      <c r="R56" s="133">
        <f>Q56</f>
        <v>42.838861740223351</v>
      </c>
    </row>
    <row r="57" spans="1:18" x14ac:dyDescent="0.25">
      <c r="A57" s="9" t="s">
        <v>167</v>
      </c>
      <c r="E57" s="71">
        <f>E13/E42</f>
        <v>0.91180327868852462</v>
      </c>
      <c r="F57" s="71">
        <f t="shared" ref="F57:L57" si="17">F13/F42</f>
        <v>0.92403465346534652</v>
      </c>
      <c r="G57" s="71">
        <f t="shared" si="17"/>
        <v>0.92149553571428566</v>
      </c>
      <c r="H57" s="71">
        <f t="shared" si="17"/>
        <v>0.82777999999999996</v>
      </c>
      <c r="I57" s="71">
        <f t="shared" si="17"/>
        <v>0.94983240223463683</v>
      </c>
      <c r="J57" s="71">
        <f t="shared" si="17"/>
        <v>0.92123287671232879</v>
      </c>
      <c r="K57" s="71">
        <f t="shared" si="17"/>
        <v>0.60267111853088484</v>
      </c>
      <c r="L57" s="71">
        <f t="shared" si="17"/>
        <v>0.69031377899045021</v>
      </c>
      <c r="M57" s="71">
        <f>M13/M42</f>
        <v>0.76470588235294112</v>
      </c>
      <c r="N57" s="133">
        <f>AVERAGE(C57:M57)</f>
        <v>0.83487439185437751</v>
      </c>
      <c r="O57" s="133">
        <f t="shared" si="15"/>
        <v>0.83487439185437751</v>
      </c>
      <c r="P57" s="133">
        <f t="shared" si="15"/>
        <v>0.83487439185437751</v>
      </c>
      <c r="Q57" s="133">
        <f t="shared" si="15"/>
        <v>0.82788085668763689</v>
      </c>
      <c r="R57" s="133">
        <f t="shared" si="15"/>
        <v>0.81913960243511807</v>
      </c>
    </row>
    <row r="59" spans="1:18" x14ac:dyDescent="0.25">
      <c r="A59" s="77" t="s">
        <v>221</v>
      </c>
    </row>
    <row r="60" spans="1:18" x14ac:dyDescent="0.25">
      <c r="A60" s="9" t="s">
        <v>165</v>
      </c>
      <c r="D60" s="137">
        <f t="shared" ref="D60:M60" si="18">D55/C55-1</f>
        <v>-4.7821111442233666E-2</v>
      </c>
      <c r="E60" s="137">
        <f t="shared" si="18"/>
        <v>2.2859248312071756E-2</v>
      </c>
      <c r="F60" s="137">
        <f t="shared" si="18"/>
        <v>-1.9215258115887868E-2</v>
      </c>
      <c r="G60" s="137">
        <f t="shared" si="18"/>
        <v>9.1492815396865268E-4</v>
      </c>
      <c r="H60" s="137">
        <f t="shared" si="18"/>
        <v>-5.9787263497774412E-2</v>
      </c>
      <c r="I60" s="137">
        <f t="shared" si="18"/>
        <v>0.13987697798105003</v>
      </c>
      <c r="J60" s="137">
        <f t="shared" si="18"/>
        <v>5.7119286711702077E-3</v>
      </c>
      <c r="K60" s="137">
        <f t="shared" si="18"/>
        <v>-0.40230724476066959</v>
      </c>
      <c r="L60" s="137">
        <f t="shared" si="18"/>
        <v>0.35718070642159816</v>
      </c>
      <c r="M60" s="137">
        <f t="shared" si="18"/>
        <v>0.24114785927314708</v>
      </c>
    </row>
    <row r="61" spans="1:18" x14ac:dyDescent="0.25">
      <c r="A61" s="9" t="s">
        <v>166</v>
      </c>
      <c r="D61" s="137">
        <f t="shared" ref="D61:L62" si="19">D56/C56-1</f>
        <v>-2.9832206192127231E-2</v>
      </c>
      <c r="E61" s="137">
        <f t="shared" si="19"/>
        <v>3.4450662057811776E-2</v>
      </c>
      <c r="F61" s="137">
        <f t="shared" si="19"/>
        <v>-0.14733829889166494</v>
      </c>
      <c r="G61" s="137">
        <f t="shared" si="19"/>
        <v>-3.2567748207558478E-2</v>
      </c>
      <c r="H61" s="137">
        <f t="shared" si="19"/>
        <v>8.9097651355234619E-2</v>
      </c>
      <c r="I61" s="137">
        <f t="shared" si="19"/>
        <v>7.9555286359666466E-2</v>
      </c>
      <c r="J61" s="137">
        <f t="shared" si="19"/>
        <v>-0.14362581646244321</v>
      </c>
      <c r="K61" s="137">
        <f t="shared" si="19"/>
        <v>-6.6827168225482403E-2</v>
      </c>
      <c r="L61" s="137">
        <f t="shared" si="19"/>
        <v>0.2012887808288284</v>
      </c>
      <c r="M61" s="137">
        <f>M56/L56-1</f>
        <v>0.12522233421701423</v>
      </c>
    </row>
    <row r="62" spans="1:18" x14ac:dyDescent="0.25">
      <c r="A62" s="9" t="s">
        <v>167</v>
      </c>
      <c r="D62" s="137"/>
      <c r="E62" s="137"/>
      <c r="F62" s="137">
        <f t="shared" si="19"/>
        <v>1.3414488698060723E-2</v>
      </c>
      <c r="G62" s="137">
        <f t="shared" si="19"/>
        <v>-2.7478598789976161E-3</v>
      </c>
      <c r="H62" s="137">
        <f t="shared" si="19"/>
        <v>-0.10169939200155032</v>
      </c>
      <c r="I62" s="137">
        <f t="shared" si="19"/>
        <v>0.1474454592218184</v>
      </c>
      <c r="J62" s="137">
        <f t="shared" si="19"/>
        <v>-3.0110075688113969E-2</v>
      </c>
      <c r="K62" s="137">
        <f t="shared" si="19"/>
        <v>-0.34579938062818449</v>
      </c>
      <c r="L62" s="137">
        <f t="shared" si="19"/>
        <v>0.14542369422515145</v>
      </c>
      <c r="M62" s="137">
        <f>M57/L57-1</f>
        <v>0.10776563589862809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showGridLines="0" workbookViewId="0">
      <pane xSplit="2" ySplit="6" topLeftCell="I22" activePane="bottomRight" state="frozen"/>
      <selection pane="topRight" activeCell="C1" sqref="C1"/>
      <selection pane="bottomLeft" activeCell="A7" sqref="A7"/>
      <selection pane="bottomRight" activeCell="N36" sqref="N36"/>
    </sheetView>
  </sheetViews>
  <sheetFormatPr defaultRowHeight="15" outlineLevelRow="1" x14ac:dyDescent="0.25"/>
  <cols>
    <col min="1" max="1" width="66.28515625" bestFit="1" customWidth="1"/>
    <col min="2" max="2" width="2" customWidth="1"/>
    <col min="14" max="18" width="9.85546875" bestFit="1" customWidth="1"/>
  </cols>
  <sheetData>
    <row r="1" spans="1:22" ht="18.75" outlineLevel="1" x14ac:dyDescent="0.3">
      <c r="A1" s="6" t="s">
        <v>38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outlineLevel="1" x14ac:dyDescent="0.25">
      <c r="A2" s="1" t="s">
        <v>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outlineLevel="1" x14ac:dyDescent="0.25">
      <c r="A3" s="1" t="s">
        <v>85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2" outlineLevel="1" x14ac:dyDescent="0.25">
      <c r="A4" s="1" t="s">
        <v>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2" outlineLevel="1" x14ac:dyDescent="0.25">
      <c r="A5" s="2" t="s">
        <v>26</v>
      </c>
      <c r="B5" s="2"/>
      <c r="C5" s="3">
        <v>41364</v>
      </c>
      <c r="D5" s="3">
        <f t="shared" ref="D5:R5" si="0">EOMONTH(C5,12)</f>
        <v>41729</v>
      </c>
      <c r="E5" s="3">
        <f t="shared" si="0"/>
        <v>42094</v>
      </c>
      <c r="F5" s="3">
        <f t="shared" si="0"/>
        <v>42460</v>
      </c>
      <c r="G5" s="3">
        <f t="shared" si="0"/>
        <v>42825</v>
      </c>
      <c r="H5" s="3">
        <f t="shared" si="0"/>
        <v>43190</v>
      </c>
      <c r="I5" s="3">
        <f t="shared" si="0"/>
        <v>43555</v>
      </c>
      <c r="J5" s="3">
        <f t="shared" si="0"/>
        <v>43921</v>
      </c>
      <c r="K5" s="3">
        <f>EOMONTH(J5,12)</f>
        <v>44286</v>
      </c>
      <c r="L5" s="3">
        <f>EOMONTH(K5,12)</f>
        <v>44651</v>
      </c>
      <c r="M5" s="3">
        <f>EOMONTH(L5,12)</f>
        <v>45016</v>
      </c>
      <c r="N5" s="104">
        <f t="shared" si="0"/>
        <v>45382</v>
      </c>
      <c r="O5" s="104">
        <f t="shared" si="0"/>
        <v>45747</v>
      </c>
      <c r="P5" s="104">
        <f t="shared" si="0"/>
        <v>46112</v>
      </c>
      <c r="Q5" s="104">
        <f t="shared" si="0"/>
        <v>46477</v>
      </c>
      <c r="R5" s="104">
        <f t="shared" si="0"/>
        <v>46843</v>
      </c>
    </row>
    <row r="6" spans="1:22" x14ac:dyDescent="0.25">
      <c r="A6" s="1" t="s">
        <v>27</v>
      </c>
      <c r="B6" s="1"/>
      <c r="C6" s="4" t="s">
        <v>28</v>
      </c>
      <c r="D6" s="4" t="s">
        <v>29</v>
      </c>
      <c r="E6" s="4" t="s">
        <v>30</v>
      </c>
      <c r="F6" s="4" t="s">
        <v>31</v>
      </c>
      <c r="G6" s="4" t="s">
        <v>32</v>
      </c>
      <c r="H6" s="4" t="s">
        <v>33</v>
      </c>
      <c r="I6" s="4" t="s">
        <v>34</v>
      </c>
      <c r="J6" s="4" t="s">
        <v>35</v>
      </c>
      <c r="K6" s="4" t="s">
        <v>36</v>
      </c>
      <c r="L6" s="4" t="s">
        <v>37</v>
      </c>
      <c r="M6" s="4" t="s">
        <v>211</v>
      </c>
      <c r="N6" s="105" t="s">
        <v>42</v>
      </c>
      <c r="O6" s="105" t="s">
        <v>43</v>
      </c>
      <c r="P6" s="105" t="s">
        <v>44</v>
      </c>
      <c r="Q6" s="105" t="s">
        <v>45</v>
      </c>
      <c r="R6" s="105" t="s">
        <v>45</v>
      </c>
    </row>
    <row r="8" spans="1:22" x14ac:dyDescent="0.25">
      <c r="A8" s="1" t="s">
        <v>147</v>
      </c>
      <c r="C8" s="27">
        <v>10217.989599999999</v>
      </c>
      <c r="D8" s="27">
        <v>10969</v>
      </c>
      <c r="E8" s="27">
        <v>11949.33</v>
      </c>
      <c r="F8" s="27">
        <v>11310.02</v>
      </c>
      <c r="G8" s="27">
        <v>13382.13</v>
      </c>
      <c r="H8" s="27">
        <v>16155.95</v>
      </c>
      <c r="I8" s="27">
        <v>19778.52</v>
      </c>
      <c r="J8" s="27">
        <v>21052</v>
      </c>
      <c r="K8" s="27">
        <v>21644</v>
      </c>
      <c r="L8" s="27">
        <v>28799</v>
      </c>
      <c r="M8" s="27">
        <v>40575</v>
      </c>
      <c r="N8" s="100">
        <f>IS!N8</f>
        <v>43382.889591320127</v>
      </c>
      <c r="O8" s="100">
        <f>IS!O8</f>
        <v>50122.195262932124</v>
      </c>
      <c r="P8" s="100">
        <f>IS!P8</f>
        <v>58085.786642109168</v>
      </c>
      <c r="Q8" s="100">
        <f>IS!Q8</f>
        <v>67851.773650724135</v>
      </c>
      <c r="R8" s="100">
        <f>IS!R8</f>
        <v>80247.991862670387</v>
      </c>
    </row>
    <row r="9" spans="1:22" s="128" customFormat="1" ht="12.75" x14ac:dyDescent="0.2">
      <c r="C9" s="129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1"/>
      <c r="O9" s="131"/>
      <c r="P9" s="131"/>
      <c r="Q9" s="131"/>
      <c r="R9" s="131"/>
    </row>
    <row r="10" spans="1:22" x14ac:dyDescent="0.25">
      <c r="A10" s="121" t="s">
        <v>149</v>
      </c>
      <c r="B10" s="121"/>
      <c r="C10" s="127">
        <v>7588.8589999999995</v>
      </c>
      <c r="D10" s="127">
        <v>8093.48</v>
      </c>
      <c r="E10" s="127">
        <v>8787.41</v>
      </c>
      <c r="F10" s="127">
        <v>8214.869999999999</v>
      </c>
      <c r="G10" s="127">
        <v>9628.73</v>
      </c>
      <c r="H10" s="127">
        <v>11722.4</v>
      </c>
      <c r="I10" s="127">
        <v>14394.25</v>
      </c>
      <c r="J10" s="127">
        <v>15155</v>
      </c>
      <c r="K10" s="127">
        <v>16414</v>
      </c>
      <c r="L10" s="127">
        <v>21641</v>
      </c>
      <c r="M10" s="127">
        <v>30355</v>
      </c>
      <c r="N10" s="126">
        <f t="shared" ref="N10" si="1">N8*N$25</f>
        <v>32455.640506334505</v>
      </c>
      <c r="O10" s="126">
        <f t="shared" ref="O10:R10" si="2">O8*O$25</f>
        <v>37497.455014326668</v>
      </c>
      <c r="P10" s="126">
        <f t="shared" si="2"/>
        <v>43455.183081237803</v>
      </c>
      <c r="Q10" s="126">
        <f t="shared" si="2"/>
        <v>50761.320743505392</v>
      </c>
      <c r="R10" s="126">
        <f t="shared" si="2"/>
        <v>60035.188983151194</v>
      </c>
    </row>
    <row r="11" spans="1:22" x14ac:dyDescent="0.25">
      <c r="A11" t="s">
        <v>155</v>
      </c>
      <c r="C11" s="27">
        <v>489.8306</v>
      </c>
      <c r="D11" s="27">
        <v>540.42999999999995</v>
      </c>
      <c r="E11" s="27">
        <v>632.46</v>
      </c>
      <c r="F11" s="27">
        <v>696.28</v>
      </c>
      <c r="G11" s="27">
        <v>787.47</v>
      </c>
      <c r="H11" s="27">
        <v>885.08</v>
      </c>
      <c r="I11" s="27">
        <v>1019.27</v>
      </c>
      <c r="J11" s="27">
        <v>1199</v>
      </c>
      <c r="K11" s="27">
        <v>1065</v>
      </c>
      <c r="L11" s="27">
        <v>1349</v>
      </c>
      <c r="M11" s="27">
        <v>1647</v>
      </c>
      <c r="N11" s="126">
        <f>N8*N26</f>
        <v>1760.9764425607948</v>
      </c>
      <c r="O11" s="126">
        <f>O8*O26</f>
        <v>2034.5349500443428</v>
      </c>
      <c r="P11" s="126">
        <f>P8*P26</f>
        <v>2357.7890474320097</v>
      </c>
      <c r="Q11" s="126">
        <f>Q8*Q26</f>
        <v>2754.2050820146064</v>
      </c>
      <c r="R11" s="126">
        <f>R8*R26</f>
        <v>3257.386139194532</v>
      </c>
    </row>
    <row r="12" spans="1:22" x14ac:dyDescent="0.25">
      <c r="A12" t="s">
        <v>80</v>
      </c>
      <c r="C12" s="27">
        <v>1126.8075999999999</v>
      </c>
      <c r="D12" s="27">
        <v>1290.76</v>
      </c>
      <c r="E12" s="27">
        <v>1381.06</v>
      </c>
      <c r="F12" s="27">
        <v>1464.13</v>
      </c>
      <c r="G12" s="27">
        <v>1810.44</v>
      </c>
      <c r="H12" s="27">
        <v>1903.78</v>
      </c>
      <c r="I12" s="27">
        <v>2373.5100000000002</v>
      </c>
      <c r="J12" s="27">
        <v>2231</v>
      </c>
      <c r="K12" s="27">
        <v>2441</v>
      </c>
      <c r="L12" s="27">
        <v>2468</v>
      </c>
      <c r="M12" s="27">
        <v>3694</v>
      </c>
      <c r="N12" s="126">
        <f>N27*N8</f>
        <v>3949.6338669214183</v>
      </c>
      <c r="O12" s="126">
        <f>O27*O8</f>
        <v>4563.1888922063163</v>
      </c>
      <c r="P12" s="126">
        <f>P27*P8</f>
        <v>5288.2044573247385</v>
      </c>
      <c r="Q12" s="126">
        <f>Q27*Q8</f>
        <v>6177.3124304565608</v>
      </c>
      <c r="R12" s="126">
        <f>R27*R8</f>
        <v>7305.8800231843352</v>
      </c>
    </row>
    <row r="13" spans="1:22" hidden="1" outlineLevel="1" x14ac:dyDescent="0.25">
      <c r="A13" s="24" t="s">
        <v>150</v>
      </c>
      <c r="C13" s="36">
        <f>37709.41/100</f>
        <v>377.09410000000003</v>
      </c>
      <c r="D13" s="35">
        <f>40443/100</f>
        <v>404.43</v>
      </c>
      <c r="E13" s="35">
        <f>38213/100</f>
        <v>382.13</v>
      </c>
      <c r="F13" s="35">
        <f>42892/100</f>
        <v>428.92</v>
      </c>
      <c r="G13" s="35">
        <f>48116/100</f>
        <v>481.16</v>
      </c>
      <c r="H13" s="35">
        <f>49399/100</f>
        <v>493.99</v>
      </c>
      <c r="I13" s="35">
        <f>59920/100</f>
        <v>599.20000000000005</v>
      </c>
      <c r="J13">
        <v>560</v>
      </c>
      <c r="K13">
        <v>232</v>
      </c>
      <c r="L13">
        <v>474</v>
      </c>
      <c r="M13">
        <v>966</v>
      </c>
      <c r="N13" s="126"/>
      <c r="O13" s="126"/>
      <c r="P13" s="126"/>
      <c r="Q13" s="126"/>
      <c r="R13" s="126"/>
    </row>
    <row r="14" spans="1:22" hidden="1" outlineLevel="1" x14ac:dyDescent="0.25">
      <c r="A14" s="24" t="s">
        <v>151</v>
      </c>
      <c r="C14" s="36">
        <f>9114.09/100</f>
        <v>91.140900000000002</v>
      </c>
      <c r="D14" s="35">
        <f>11739/100</f>
        <v>117.39</v>
      </c>
      <c r="E14" s="35">
        <f>11526/100</f>
        <v>115.26</v>
      </c>
      <c r="F14" s="35">
        <f>13738/100</f>
        <v>137.38</v>
      </c>
      <c r="G14" s="35">
        <f>38983/100</f>
        <v>389.83</v>
      </c>
      <c r="H14" s="35">
        <f>47566/100</f>
        <v>475.66</v>
      </c>
      <c r="I14" s="35">
        <f>55489/100</f>
        <v>554.89</v>
      </c>
      <c r="J14">
        <v>675</v>
      </c>
      <c r="K14">
        <v>542</v>
      </c>
      <c r="L14">
        <v>811</v>
      </c>
      <c r="M14">
        <v>1353</v>
      </c>
      <c r="N14" s="126"/>
      <c r="O14" s="126"/>
      <c r="P14" s="126"/>
      <c r="Q14" s="126"/>
      <c r="R14" s="126"/>
    </row>
    <row r="15" spans="1:22" hidden="1" outlineLevel="1" x14ac:dyDescent="0.25">
      <c r="A15" s="24" t="s">
        <v>152</v>
      </c>
      <c r="C15" s="36">
        <f>110.81/100</f>
        <v>1.1081000000000001</v>
      </c>
      <c r="D15" s="35">
        <f>1977/100</f>
        <v>19.77</v>
      </c>
      <c r="E15" s="35">
        <f>3577/100</f>
        <v>35.770000000000003</v>
      </c>
      <c r="G15" s="35">
        <f>1129/100</f>
        <v>11.29</v>
      </c>
      <c r="J15">
        <v>60</v>
      </c>
      <c r="K15">
        <v>739</v>
      </c>
      <c r="N15" s="126"/>
      <c r="O15" s="126"/>
      <c r="P15" s="126"/>
      <c r="Q15" s="126"/>
      <c r="R15" s="126"/>
    </row>
    <row r="16" spans="1:22" hidden="1" outlineLevel="1" x14ac:dyDescent="0.25">
      <c r="A16" s="24" t="s">
        <v>212</v>
      </c>
      <c r="C16" s="36">
        <f>14273.96/100</f>
        <v>142.7396</v>
      </c>
      <c r="D16" s="35">
        <f>16065/100</f>
        <v>160.65</v>
      </c>
      <c r="E16" s="35">
        <f>17680/100</f>
        <v>176.8</v>
      </c>
      <c r="F16" s="35">
        <f>18443/100</f>
        <v>184.43</v>
      </c>
      <c r="G16" s="35"/>
      <c r="M16">
        <v>739</v>
      </c>
      <c r="N16" s="126"/>
      <c r="O16" s="126"/>
      <c r="P16" s="126"/>
      <c r="Q16" s="126"/>
      <c r="R16" s="126"/>
    </row>
    <row r="17" spans="1:18" hidden="1" outlineLevel="1" x14ac:dyDescent="0.25">
      <c r="A17" s="24" t="s">
        <v>153</v>
      </c>
      <c r="C17" s="36">
        <f>21294.7/100</f>
        <v>212.947</v>
      </c>
      <c r="D17" s="35">
        <f>25399/100</f>
        <v>253.99</v>
      </c>
      <c r="E17" s="35">
        <f>26341/100</f>
        <v>263.41000000000003</v>
      </c>
      <c r="G17" s="35">
        <f>35488/100</f>
        <v>354.88</v>
      </c>
      <c r="H17" s="35">
        <f>42148/100</f>
        <v>421.48</v>
      </c>
      <c r="I17" s="35">
        <f>48662/100</f>
        <v>486.62</v>
      </c>
      <c r="J17">
        <v>393</v>
      </c>
      <c r="K17">
        <v>340</v>
      </c>
      <c r="L17">
        <v>425</v>
      </c>
      <c r="M17">
        <v>636</v>
      </c>
      <c r="N17" s="126"/>
      <c r="O17" s="126"/>
      <c r="P17" s="126"/>
      <c r="Q17" s="126"/>
      <c r="R17" s="126"/>
    </row>
    <row r="18" spans="1:18" collapsed="1" x14ac:dyDescent="0.25">
      <c r="A18" t="s">
        <v>79</v>
      </c>
      <c r="C18" s="28">
        <v>56.230699999999999</v>
      </c>
      <c r="D18" s="28">
        <v>67.55</v>
      </c>
      <c r="E18" s="28">
        <v>89.57</v>
      </c>
      <c r="F18" s="28">
        <v>98.19</v>
      </c>
      <c r="G18" s="28">
        <v>110.53</v>
      </c>
      <c r="H18" s="28">
        <v>131.43</v>
      </c>
      <c r="I18" s="28">
        <v>162.84</v>
      </c>
      <c r="J18" s="28">
        <v>348</v>
      </c>
      <c r="K18" s="28">
        <v>375</v>
      </c>
      <c r="L18" s="28">
        <v>399</v>
      </c>
      <c r="M18" s="28">
        <v>441</v>
      </c>
      <c r="N18" s="126"/>
      <c r="O18" s="126"/>
      <c r="P18" s="126"/>
      <c r="Q18" s="126"/>
      <c r="R18" s="126"/>
    </row>
    <row r="19" spans="1:18" x14ac:dyDescent="0.25">
      <c r="A19" t="s">
        <v>148</v>
      </c>
      <c r="C19" s="27">
        <v>100.8852</v>
      </c>
      <c r="D19" s="27">
        <v>120.22</v>
      </c>
      <c r="E19" s="27">
        <v>70.75</v>
      </c>
      <c r="F19" s="27">
        <v>73.92</v>
      </c>
      <c r="G19" s="27">
        <v>70.489999999999995</v>
      </c>
      <c r="H19" s="27">
        <v>88.86</v>
      </c>
      <c r="I19" s="27">
        <v>182.94</v>
      </c>
      <c r="J19" s="27">
        <v>153</v>
      </c>
      <c r="K19" s="27">
        <v>186</v>
      </c>
      <c r="L19" s="27">
        <v>234</v>
      </c>
      <c r="M19" s="27">
        <v>308</v>
      </c>
      <c r="N19" s="126"/>
      <c r="O19" s="126"/>
      <c r="P19" s="126"/>
      <c r="Q19" s="126"/>
      <c r="R19" s="126"/>
    </row>
    <row r="20" spans="1:18" x14ac:dyDescent="0.25">
      <c r="A20" t="s">
        <v>78</v>
      </c>
      <c r="C20" s="27">
        <v>50.645400000000002</v>
      </c>
      <c r="D20" s="27">
        <v>87.13</v>
      </c>
      <c r="E20" s="27">
        <v>80.69</v>
      </c>
      <c r="F20" s="27">
        <v>42.36</v>
      </c>
      <c r="G20" s="27">
        <v>37.74</v>
      </c>
      <c r="H20" s="27">
        <v>52.92</v>
      </c>
      <c r="I20" s="27">
        <v>52.54</v>
      </c>
      <c r="J20" s="27">
        <v>166</v>
      </c>
      <c r="K20" s="27">
        <v>203</v>
      </c>
      <c r="L20" s="27">
        <v>218</v>
      </c>
      <c r="M20" s="27">
        <v>300</v>
      </c>
      <c r="N20" s="126"/>
      <c r="O20" s="126"/>
      <c r="P20" s="126"/>
      <c r="Q20" s="126"/>
      <c r="R20" s="126"/>
    </row>
    <row r="21" spans="1:18" x14ac:dyDescent="0.25"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126"/>
      <c r="O21" s="126"/>
      <c r="P21" s="126"/>
      <c r="Q21" s="126"/>
      <c r="R21" s="126"/>
    </row>
    <row r="22" spans="1:18" x14ac:dyDescent="0.25">
      <c r="A22" t="s">
        <v>158</v>
      </c>
      <c r="C22" s="27">
        <v>281.56459999999998</v>
      </c>
      <c r="D22" s="27">
        <v>275.12</v>
      </c>
      <c r="E22" s="27">
        <v>232.64</v>
      </c>
      <c r="F22" s="27">
        <v>191.59</v>
      </c>
      <c r="G22" s="27">
        <v>275.97000000000003</v>
      </c>
      <c r="H22" s="27">
        <v>427.87</v>
      </c>
      <c r="I22" s="27">
        <v>568.24</v>
      </c>
      <c r="J22" s="27">
        <v>609</v>
      </c>
      <c r="K22" s="27">
        <v>353</v>
      </c>
      <c r="L22" s="27">
        <v>706</v>
      </c>
      <c r="M22" s="27">
        <v>1173</v>
      </c>
      <c r="N22" s="126"/>
      <c r="O22" s="126"/>
      <c r="P22" s="126"/>
      <c r="Q22" s="126"/>
      <c r="R22" s="126"/>
    </row>
    <row r="24" spans="1:18" x14ac:dyDescent="0.25">
      <c r="A24" s="122" t="s">
        <v>214</v>
      </c>
    </row>
    <row r="25" spans="1:18" x14ac:dyDescent="0.25">
      <c r="A25" s="121" t="s">
        <v>149</v>
      </c>
      <c r="C25" s="74">
        <f>C10/C$8</f>
        <v>0.74269590174568201</v>
      </c>
      <c r="D25" s="74">
        <f t="shared" ref="D25:M25" si="3">D10/D$8</f>
        <v>0.7378503054061446</v>
      </c>
      <c r="E25" s="74">
        <f t="shared" si="3"/>
        <v>0.73538934818939639</v>
      </c>
      <c r="F25" s="74">
        <f t="shared" si="3"/>
        <v>0.72633558561346478</v>
      </c>
      <c r="G25" s="74">
        <f t="shared" si="3"/>
        <v>0.71952148125896254</v>
      </c>
      <c r="H25" s="74">
        <f t="shared" si="3"/>
        <v>0.72557788307094284</v>
      </c>
      <c r="I25" s="74">
        <f t="shared" si="3"/>
        <v>0.72777184541613826</v>
      </c>
      <c r="J25" s="74">
        <f t="shared" si="3"/>
        <v>0.71988409652289564</v>
      </c>
      <c r="K25" s="74">
        <f t="shared" si="3"/>
        <v>0.75836259471447054</v>
      </c>
      <c r="L25" s="74">
        <f t="shared" si="3"/>
        <v>0.7514497031146915</v>
      </c>
      <c r="M25" s="74">
        <f t="shared" si="3"/>
        <v>0.74812076401725203</v>
      </c>
      <c r="N25" s="125">
        <f>M25</f>
        <v>0.74812076401725203</v>
      </c>
      <c r="O25" s="125">
        <f>N25</f>
        <v>0.74812076401725203</v>
      </c>
      <c r="P25" s="125">
        <f>O25</f>
        <v>0.74812076401725203</v>
      </c>
      <c r="Q25" s="125">
        <f>P25</f>
        <v>0.74812076401725203</v>
      </c>
      <c r="R25" s="125">
        <f>Q25</f>
        <v>0.74812076401725203</v>
      </c>
    </row>
    <row r="26" spans="1:18" x14ac:dyDescent="0.25">
      <c r="A26" t="s">
        <v>155</v>
      </c>
      <c r="C26" s="74">
        <f t="shared" ref="C26:M26" si="4">C11/C$8</f>
        <v>4.79380601444339E-2</v>
      </c>
      <c r="D26" s="74">
        <f t="shared" si="4"/>
        <v>4.9268848573251887E-2</v>
      </c>
      <c r="E26" s="74">
        <f t="shared" si="4"/>
        <v>5.292849055135309E-2</v>
      </c>
      <c r="F26" s="74">
        <f t="shared" si="4"/>
        <v>6.1563109525889427E-2</v>
      </c>
      <c r="G26" s="74">
        <f t="shared" si="4"/>
        <v>5.8844892405020728E-2</v>
      </c>
      <c r="H26" s="74">
        <f t="shared" si="4"/>
        <v>5.4783531763839328E-2</v>
      </c>
      <c r="I26" s="74">
        <f t="shared" si="4"/>
        <v>5.1534189615805429E-2</v>
      </c>
      <c r="J26" s="74">
        <f t="shared" si="4"/>
        <v>5.6954208626258787E-2</v>
      </c>
      <c r="K26" s="74">
        <f t="shared" si="4"/>
        <v>4.9205322491221587E-2</v>
      </c>
      <c r="L26" s="74">
        <f t="shared" si="4"/>
        <v>4.6841904232785864E-2</v>
      </c>
      <c r="M26" s="74">
        <f t="shared" si="4"/>
        <v>4.0591497227356749E-2</v>
      </c>
      <c r="N26" s="125">
        <f t="shared" ref="N26:R32" si="5">M26</f>
        <v>4.0591497227356749E-2</v>
      </c>
      <c r="O26" s="125">
        <f t="shared" si="5"/>
        <v>4.0591497227356749E-2</v>
      </c>
      <c r="P26" s="125">
        <f t="shared" si="5"/>
        <v>4.0591497227356749E-2</v>
      </c>
      <c r="Q26" s="125">
        <f t="shared" si="5"/>
        <v>4.0591497227356749E-2</v>
      </c>
      <c r="R26" s="125">
        <f t="shared" si="5"/>
        <v>4.0591497227356749E-2</v>
      </c>
    </row>
    <row r="27" spans="1:18" x14ac:dyDescent="0.25">
      <c r="A27" s="1" t="s">
        <v>80</v>
      </c>
      <c r="C27" s="123">
        <f t="shared" ref="C27:M27" si="6">C12/C$8</f>
        <v>0.11027683958496101</v>
      </c>
      <c r="D27" s="123">
        <f t="shared" si="6"/>
        <v>0.11767344334032273</v>
      </c>
      <c r="E27" s="123">
        <f t="shared" si="6"/>
        <v>0.11557635449016807</v>
      </c>
      <c r="F27" s="123">
        <f t="shared" si="6"/>
        <v>0.12945423615519691</v>
      </c>
      <c r="G27" s="123">
        <f t="shared" si="6"/>
        <v>0.13528788018050938</v>
      </c>
      <c r="H27" s="123">
        <f t="shared" si="6"/>
        <v>0.11783770066136624</v>
      </c>
      <c r="I27" s="123">
        <f t="shared" si="6"/>
        <v>0.12000442904726948</v>
      </c>
      <c r="J27" s="123">
        <f t="shared" si="6"/>
        <v>0.10597567927037811</v>
      </c>
      <c r="K27" s="123">
        <f t="shared" si="6"/>
        <v>0.11277952319349473</v>
      </c>
      <c r="L27" s="123">
        <f t="shared" si="6"/>
        <v>8.5697420049307263E-2</v>
      </c>
      <c r="M27" s="123">
        <f t="shared" si="6"/>
        <v>9.1041281577325939E-2</v>
      </c>
      <c r="N27" s="125">
        <f t="shared" si="5"/>
        <v>9.1041281577325939E-2</v>
      </c>
      <c r="O27" s="125">
        <f t="shared" si="5"/>
        <v>9.1041281577325939E-2</v>
      </c>
      <c r="P27" s="125">
        <f t="shared" si="5"/>
        <v>9.1041281577325939E-2</v>
      </c>
      <c r="Q27" s="125">
        <f t="shared" si="5"/>
        <v>9.1041281577325939E-2</v>
      </c>
      <c r="R27" s="125">
        <f t="shared" si="5"/>
        <v>9.1041281577325939E-2</v>
      </c>
    </row>
    <row r="28" spans="1:18" x14ac:dyDescent="0.25">
      <c r="A28" s="24" t="s">
        <v>150</v>
      </c>
      <c r="C28" s="74">
        <f t="shared" ref="C28:M28" si="7">C13/C$8</f>
        <v>3.6904921101113673E-2</v>
      </c>
      <c r="D28" s="74">
        <f t="shared" si="7"/>
        <v>3.6870270763059529E-2</v>
      </c>
      <c r="E28" s="74">
        <f t="shared" si="7"/>
        <v>3.1979198833742145E-2</v>
      </c>
      <c r="F28" s="74">
        <f t="shared" si="7"/>
        <v>3.7923894033785974E-2</v>
      </c>
      <c r="G28" s="74">
        <f t="shared" si="7"/>
        <v>3.5955412180273247E-2</v>
      </c>
      <c r="H28" s="74">
        <f t="shared" si="7"/>
        <v>3.0576351127603141E-2</v>
      </c>
      <c r="I28" s="74">
        <f t="shared" si="7"/>
        <v>3.0295492281525616E-2</v>
      </c>
      <c r="J28" s="74">
        <f t="shared" si="7"/>
        <v>2.6600798023940719E-2</v>
      </c>
      <c r="K28" s="74">
        <f t="shared" si="7"/>
        <v>1.0718905932360008E-2</v>
      </c>
      <c r="L28" s="74">
        <f t="shared" si="7"/>
        <v>1.6458904823084135E-2</v>
      </c>
      <c r="M28" s="74">
        <f t="shared" si="7"/>
        <v>2.3807763401109058E-2</v>
      </c>
      <c r="N28" s="125">
        <f t="shared" si="5"/>
        <v>2.3807763401109058E-2</v>
      </c>
      <c r="O28" s="125">
        <f t="shared" si="5"/>
        <v>2.3807763401109058E-2</v>
      </c>
      <c r="P28" s="125">
        <f t="shared" si="5"/>
        <v>2.3807763401109058E-2</v>
      </c>
      <c r="Q28" s="125">
        <f t="shared" si="5"/>
        <v>2.3807763401109058E-2</v>
      </c>
      <c r="R28" s="125">
        <f t="shared" si="5"/>
        <v>2.3807763401109058E-2</v>
      </c>
    </row>
    <row r="29" spans="1:18" x14ac:dyDescent="0.25">
      <c r="A29" s="24" t="s">
        <v>151</v>
      </c>
      <c r="C29" s="74">
        <f t="shared" ref="C29:M29" si="8">C14/C$8</f>
        <v>8.9196508870981826E-3</v>
      </c>
      <c r="D29" s="74">
        <f t="shared" si="8"/>
        <v>1.0701978302488832E-2</v>
      </c>
      <c r="E29" s="74">
        <f t="shared" si="8"/>
        <v>9.6457290910871157E-3</v>
      </c>
      <c r="F29" s="74">
        <f t="shared" si="8"/>
        <v>1.214675128779613E-2</v>
      </c>
      <c r="G29" s="74">
        <f t="shared" si="8"/>
        <v>2.9130639143394962E-2</v>
      </c>
      <c r="H29" s="74">
        <f t="shared" si="8"/>
        <v>2.9441784605671595E-2</v>
      </c>
      <c r="I29" s="74">
        <f t="shared" si="8"/>
        <v>2.8055183097623077E-2</v>
      </c>
      <c r="J29" s="74">
        <f t="shared" si="8"/>
        <v>3.2063461903857116E-2</v>
      </c>
      <c r="K29" s="74">
        <f t="shared" si="8"/>
        <v>2.504158196266864E-2</v>
      </c>
      <c r="L29" s="74">
        <f t="shared" si="8"/>
        <v>2.8160700024306401E-2</v>
      </c>
      <c r="M29" s="74">
        <f t="shared" si="8"/>
        <v>3.3345656192236596E-2</v>
      </c>
      <c r="N29" s="125">
        <f t="shared" si="5"/>
        <v>3.3345656192236596E-2</v>
      </c>
      <c r="O29" s="125">
        <f t="shared" si="5"/>
        <v>3.3345656192236596E-2</v>
      </c>
      <c r="P29" s="125">
        <f t="shared" si="5"/>
        <v>3.3345656192236596E-2</v>
      </c>
      <c r="Q29" s="125">
        <f t="shared" si="5"/>
        <v>3.3345656192236596E-2</v>
      </c>
      <c r="R29" s="125">
        <f t="shared" si="5"/>
        <v>3.3345656192236596E-2</v>
      </c>
    </row>
    <row r="30" spans="1:18" x14ac:dyDescent="0.25">
      <c r="A30" s="24" t="s">
        <v>152</v>
      </c>
      <c r="C30" s="74">
        <f t="shared" ref="C30:M30" si="9">C15/C$8</f>
        <v>1.0844599019752381E-4</v>
      </c>
      <c r="D30" s="74">
        <f t="shared" si="9"/>
        <v>1.8023520831434042E-3</v>
      </c>
      <c r="E30" s="74">
        <f t="shared" si="9"/>
        <v>2.9934732742337858E-3</v>
      </c>
      <c r="F30" s="74">
        <f t="shared" si="9"/>
        <v>0</v>
      </c>
      <c r="G30" s="74">
        <f t="shared" si="9"/>
        <v>8.4366240650778318E-4</v>
      </c>
      <c r="H30" s="74">
        <f t="shared" si="9"/>
        <v>0</v>
      </c>
      <c r="I30" s="74">
        <f t="shared" si="9"/>
        <v>0</v>
      </c>
      <c r="J30" s="74">
        <f t="shared" si="9"/>
        <v>2.8500855025650768E-3</v>
      </c>
      <c r="K30" s="74">
        <f t="shared" si="9"/>
        <v>3.4143411569026061E-2</v>
      </c>
      <c r="L30" s="74">
        <f t="shared" si="9"/>
        <v>0</v>
      </c>
      <c r="M30" s="74">
        <f t="shared" si="9"/>
        <v>0</v>
      </c>
      <c r="N30" s="125">
        <f t="shared" si="5"/>
        <v>0</v>
      </c>
      <c r="O30" s="125">
        <f t="shared" si="5"/>
        <v>0</v>
      </c>
      <c r="P30" s="125">
        <f t="shared" si="5"/>
        <v>0</v>
      </c>
      <c r="Q30" s="125">
        <f t="shared" si="5"/>
        <v>0</v>
      </c>
      <c r="R30" s="125">
        <f t="shared" si="5"/>
        <v>0</v>
      </c>
    </row>
    <row r="31" spans="1:18" x14ac:dyDescent="0.25">
      <c r="A31" s="24" t="s">
        <v>212</v>
      </c>
      <c r="C31" s="74">
        <f t="shared" ref="C31:M31" si="10">C16/C$8</f>
        <v>1.3969440720511206E-2</v>
      </c>
      <c r="D31" s="74">
        <f t="shared" si="10"/>
        <v>1.4645820038289726E-2</v>
      </c>
      <c r="E31" s="74">
        <f t="shared" si="10"/>
        <v>1.4795808635295872E-2</v>
      </c>
      <c r="F31" s="74">
        <f t="shared" si="10"/>
        <v>1.630677929835668E-2</v>
      </c>
      <c r="G31" s="74">
        <f t="shared" si="10"/>
        <v>0</v>
      </c>
      <c r="H31" s="74">
        <f t="shared" si="10"/>
        <v>0</v>
      </c>
      <c r="I31" s="74">
        <f t="shared" si="10"/>
        <v>0</v>
      </c>
      <c r="J31" s="74">
        <f t="shared" si="10"/>
        <v>0</v>
      </c>
      <c r="K31" s="74">
        <f t="shared" si="10"/>
        <v>0</v>
      </c>
      <c r="L31" s="74">
        <f t="shared" si="10"/>
        <v>0</v>
      </c>
      <c r="M31" s="74">
        <f t="shared" si="10"/>
        <v>1.8213185459026494E-2</v>
      </c>
      <c r="N31" s="125">
        <f t="shared" si="5"/>
        <v>1.8213185459026494E-2</v>
      </c>
      <c r="O31" s="125">
        <f t="shared" si="5"/>
        <v>1.8213185459026494E-2</v>
      </c>
      <c r="P31" s="125">
        <f t="shared" si="5"/>
        <v>1.8213185459026494E-2</v>
      </c>
      <c r="Q31" s="125">
        <f t="shared" si="5"/>
        <v>1.8213185459026494E-2</v>
      </c>
      <c r="R31" s="125">
        <f t="shared" si="5"/>
        <v>1.8213185459026494E-2</v>
      </c>
    </row>
    <row r="32" spans="1:18" x14ac:dyDescent="0.25">
      <c r="A32" s="24" t="s">
        <v>153</v>
      </c>
      <c r="C32" s="74">
        <f t="shared" ref="C32:M32" si="11">C17/C$8</f>
        <v>2.0840400933663118E-2</v>
      </c>
      <c r="D32" s="74">
        <f t="shared" si="11"/>
        <v>2.3155255720667334E-2</v>
      </c>
      <c r="E32" s="74">
        <f t="shared" si="11"/>
        <v>2.204391375918148E-2</v>
      </c>
      <c r="F32" s="74">
        <f t="shared" si="11"/>
        <v>0</v>
      </c>
      <c r="G32" s="74">
        <f t="shared" si="11"/>
        <v>2.6518947282682205E-2</v>
      </c>
      <c r="H32" s="74">
        <f t="shared" si="11"/>
        <v>2.6088221367360012E-2</v>
      </c>
      <c r="I32" s="74">
        <f t="shared" si="11"/>
        <v>2.4603458701662206E-2</v>
      </c>
      <c r="J32" s="74">
        <f t="shared" si="11"/>
        <v>1.8668060041801254E-2</v>
      </c>
      <c r="K32" s="74">
        <f t="shared" si="11"/>
        <v>1.5708741452596563E-2</v>
      </c>
      <c r="L32" s="74">
        <f t="shared" si="11"/>
        <v>1.4757456856140837E-2</v>
      </c>
      <c r="M32" s="74">
        <f t="shared" si="11"/>
        <v>1.5674676524953791E-2</v>
      </c>
      <c r="N32" s="125">
        <f t="shared" si="5"/>
        <v>1.5674676524953791E-2</v>
      </c>
      <c r="O32" s="125">
        <f t="shared" si="5"/>
        <v>1.5674676524953791E-2</v>
      </c>
      <c r="P32" s="125">
        <f t="shared" si="5"/>
        <v>1.5674676524953791E-2</v>
      </c>
      <c r="Q32" s="125">
        <f t="shared" si="5"/>
        <v>1.5674676524953791E-2</v>
      </c>
      <c r="R32" s="125">
        <f t="shared" si="5"/>
        <v>1.5674676524953791E-2</v>
      </c>
    </row>
    <row r="35" spans="1:18" x14ac:dyDescent="0.25">
      <c r="A35" s="10" t="s">
        <v>204</v>
      </c>
      <c r="C35" s="35">
        <f>IS!C35</f>
        <v>1006.9415999999994</v>
      </c>
      <c r="D35" s="35">
        <f>IS!D35</f>
        <v>1010.0600000000007</v>
      </c>
      <c r="E35" s="35">
        <f>IS!E35</f>
        <v>1048.8900000000001</v>
      </c>
      <c r="F35" s="35">
        <f>IS!F35</f>
        <v>866.11000000000149</v>
      </c>
      <c r="G35" s="35">
        <f>IS!G35</f>
        <v>973.24999999999932</v>
      </c>
      <c r="H35" s="35">
        <f>IS!H35</f>
        <v>1529.7800000000009</v>
      </c>
      <c r="I35" s="35">
        <f>IS!I35</f>
        <v>1956.8899999999999</v>
      </c>
      <c r="J35" s="35">
        <f>IS!J35</f>
        <v>2102</v>
      </c>
      <c r="K35" s="35">
        <f>IS!K35</f>
        <v>1327</v>
      </c>
      <c r="L35" s="35">
        <f>IS!L35</f>
        <v>2904</v>
      </c>
      <c r="M35" s="35">
        <f>IS!M35</f>
        <v>4447</v>
      </c>
      <c r="N35" s="35">
        <f ca="1">IS!N35</f>
        <v>4329.6925738089531</v>
      </c>
      <c r="O35" s="35">
        <f ca="1">IS!O35</f>
        <v>5052.1425096131507</v>
      </c>
      <c r="P35" s="35">
        <f ca="1">IS!P35</f>
        <v>5892.8693560798856</v>
      </c>
      <c r="Q35" s="35">
        <f ca="1">IS!Q35</f>
        <v>6917.649891058305</v>
      </c>
      <c r="R35" s="35">
        <f ca="1">IS!R35</f>
        <v>8219.4205259953396</v>
      </c>
    </row>
    <row r="36" spans="1:18" x14ac:dyDescent="0.25">
      <c r="A36" s="10" t="s">
        <v>372</v>
      </c>
      <c r="C36" s="137">
        <f>C22/C35</f>
        <v>0.27962356506077429</v>
      </c>
      <c r="D36" s="137">
        <f t="shared" ref="D36:M36" si="12">D22/D35</f>
        <v>0.27237985862225988</v>
      </c>
      <c r="E36" s="137">
        <f t="shared" si="12"/>
        <v>0.22179637521570419</v>
      </c>
      <c r="F36" s="137">
        <f t="shared" si="12"/>
        <v>0.22120746787359535</v>
      </c>
      <c r="G36" s="137">
        <f t="shared" si="12"/>
        <v>0.28355509889545361</v>
      </c>
      <c r="H36" s="137">
        <f t="shared" si="12"/>
        <v>0.27969381218214368</v>
      </c>
      <c r="I36" s="137">
        <f t="shared" si="12"/>
        <v>0.29037912197415289</v>
      </c>
      <c r="J36" s="137">
        <f t="shared" si="12"/>
        <v>0.28972407231208375</v>
      </c>
      <c r="K36" s="137">
        <f t="shared" si="12"/>
        <v>0.26601356443104746</v>
      </c>
      <c r="L36" s="137">
        <f t="shared" si="12"/>
        <v>0.24311294765840222</v>
      </c>
      <c r="M36" s="137">
        <f t="shared" si="12"/>
        <v>0.26377333033505734</v>
      </c>
      <c r="N36" s="137">
        <f>AVERAGE(L36:M36)</f>
        <v>0.25344313899672977</v>
      </c>
      <c r="O36" s="137">
        <f>N36</f>
        <v>0.25344313899672977</v>
      </c>
      <c r="P36" s="137">
        <f t="shared" ref="P36:R36" si="13">O36</f>
        <v>0.25344313899672977</v>
      </c>
      <c r="Q36" s="137">
        <f t="shared" si="13"/>
        <v>0.25344313899672977</v>
      </c>
      <c r="R36" s="137">
        <f t="shared" si="13"/>
        <v>0.25344313899672977</v>
      </c>
    </row>
    <row r="37" spans="1:18" x14ac:dyDescent="0.25">
      <c r="A37" t="s">
        <v>373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showGridLines="0" workbookViewId="0">
      <pane xSplit="2" ySplit="6" topLeftCell="H73" activePane="bottomRight" state="frozen"/>
      <selection pane="topRight" activeCell="C1" sqref="C1"/>
      <selection pane="bottomLeft" activeCell="A7" sqref="A7"/>
      <selection pane="bottomRight" activeCell="J89" sqref="J89"/>
    </sheetView>
  </sheetViews>
  <sheetFormatPr defaultRowHeight="15" x14ac:dyDescent="0.25"/>
  <cols>
    <col min="1" max="1" width="37.5703125" customWidth="1"/>
    <col min="2" max="2" width="3.5703125" bestFit="1" customWidth="1"/>
    <col min="3" max="3" width="10.5703125" bestFit="1" customWidth="1"/>
    <col min="4" max="13" width="9.5703125" bestFit="1" customWidth="1"/>
    <col min="14" max="14" width="10.42578125" customWidth="1"/>
  </cols>
  <sheetData>
    <row r="1" spans="1:18" ht="18.75" x14ac:dyDescent="0.3">
      <c r="A1" s="6" t="s">
        <v>38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1" t="s">
        <v>195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 x14ac:dyDescent="0.25">
      <c r="A3" s="1" t="s">
        <v>85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 x14ac:dyDescent="0.25">
      <c r="A4" s="1" t="s">
        <v>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8" x14ac:dyDescent="0.25">
      <c r="A5" s="2" t="s">
        <v>26</v>
      </c>
      <c r="B5" s="2"/>
      <c r="C5" s="3">
        <v>41364</v>
      </c>
      <c r="D5" s="3">
        <f t="shared" ref="D5:R5" si="0">EOMONTH(C5,12)</f>
        <v>41729</v>
      </c>
      <c r="E5" s="3">
        <f t="shared" si="0"/>
        <v>42094</v>
      </c>
      <c r="F5" s="3">
        <f t="shared" si="0"/>
        <v>42460</v>
      </c>
      <c r="G5" s="3">
        <f t="shared" si="0"/>
        <v>42825</v>
      </c>
      <c r="H5" s="3">
        <f t="shared" si="0"/>
        <v>43190</v>
      </c>
      <c r="I5" s="3">
        <f t="shared" si="0"/>
        <v>43555</v>
      </c>
      <c r="J5" s="3">
        <f t="shared" si="0"/>
        <v>43921</v>
      </c>
      <c r="K5" s="3">
        <f>EOMONTH(J5,12)</f>
        <v>44286</v>
      </c>
      <c r="L5" s="3">
        <f>EOMONTH(K5,12)</f>
        <v>44651</v>
      </c>
      <c r="M5" s="3">
        <f>EOMONTH(L5,12)</f>
        <v>45016</v>
      </c>
      <c r="N5" s="104">
        <f t="shared" si="0"/>
        <v>45382</v>
      </c>
      <c r="O5" s="104">
        <f t="shared" si="0"/>
        <v>45747</v>
      </c>
      <c r="P5" s="104">
        <f t="shared" si="0"/>
        <v>46112</v>
      </c>
      <c r="Q5" s="104">
        <f t="shared" si="0"/>
        <v>46477</v>
      </c>
      <c r="R5" s="104">
        <f t="shared" si="0"/>
        <v>46843</v>
      </c>
    </row>
    <row r="6" spans="1:18" x14ac:dyDescent="0.25">
      <c r="A6" s="1" t="s">
        <v>27</v>
      </c>
      <c r="B6" s="1"/>
      <c r="C6" s="4" t="s">
        <v>28</v>
      </c>
      <c r="D6" s="4" t="s">
        <v>29</v>
      </c>
      <c r="E6" s="4" t="s">
        <v>30</v>
      </c>
      <c r="F6" s="4" t="s">
        <v>31</v>
      </c>
      <c r="G6" s="4" t="s">
        <v>32</v>
      </c>
      <c r="H6" s="4" t="s">
        <v>33</v>
      </c>
      <c r="I6" s="4" t="s">
        <v>34</v>
      </c>
      <c r="J6" s="4" t="s">
        <v>35</v>
      </c>
      <c r="K6" s="4" t="s">
        <v>36</v>
      </c>
      <c r="L6" s="4" t="s">
        <v>37</v>
      </c>
      <c r="M6" s="4" t="s">
        <v>46</v>
      </c>
      <c r="N6" s="105" t="s">
        <v>42</v>
      </c>
      <c r="O6" s="105" t="s">
        <v>43</v>
      </c>
      <c r="P6" s="105" t="s">
        <v>44</v>
      </c>
      <c r="Q6" s="105" t="s">
        <v>45</v>
      </c>
      <c r="R6" s="105" t="s">
        <v>45</v>
      </c>
    </row>
    <row r="8" spans="1:18" x14ac:dyDescent="0.25">
      <c r="A8" s="79" t="s">
        <v>200</v>
      </c>
    </row>
    <row r="9" spans="1:18" x14ac:dyDescent="0.25">
      <c r="A9" s="1" t="s">
        <v>187</v>
      </c>
      <c r="C9" s="135">
        <f>BS!C10</f>
        <v>446.62430000000001</v>
      </c>
      <c r="D9" s="135">
        <f>BS!D10</f>
        <v>600.5</v>
      </c>
      <c r="E9" s="135">
        <f>BS!E10</f>
        <v>662.3</v>
      </c>
      <c r="F9" s="135">
        <f>BS!F10</f>
        <v>740.83</v>
      </c>
      <c r="G9" s="135">
        <f>BS!G10</f>
        <v>853.16</v>
      </c>
      <c r="H9" s="135">
        <f>BS!H10</f>
        <v>1102.04</v>
      </c>
      <c r="I9" s="135">
        <f>BS!I10</f>
        <v>1182.31</v>
      </c>
      <c r="J9" s="135">
        <f>BS!J10</f>
        <v>1285</v>
      </c>
      <c r="K9" s="135">
        <f>BS!K10</f>
        <v>1216</v>
      </c>
      <c r="L9" s="135">
        <f>BS!L10</f>
        <v>1218</v>
      </c>
      <c r="M9" s="135">
        <f>BS!M10</f>
        <v>1343</v>
      </c>
      <c r="N9" s="81"/>
      <c r="O9" s="81"/>
      <c r="P9" s="81"/>
      <c r="Q9" s="81"/>
      <c r="R9" s="81"/>
    </row>
    <row r="10" spans="1:18" x14ac:dyDescent="0.25">
      <c r="A10" s="1" t="s">
        <v>196</v>
      </c>
      <c r="C10" s="135"/>
      <c r="D10" s="135"/>
      <c r="E10" s="135"/>
      <c r="F10" s="135"/>
      <c r="G10" s="135"/>
      <c r="H10" s="135"/>
      <c r="I10" s="135"/>
      <c r="J10" s="135">
        <f>BS!J12</f>
        <v>935</v>
      </c>
      <c r="K10" s="135">
        <f>BS!K12</f>
        <v>917</v>
      </c>
      <c r="L10" s="135">
        <f>BS!L12</f>
        <v>973</v>
      </c>
      <c r="M10" s="135">
        <f>BS!M12</f>
        <v>1285</v>
      </c>
      <c r="N10" s="82"/>
      <c r="O10" s="82"/>
      <c r="P10" s="82"/>
      <c r="Q10" s="82"/>
      <c r="R10" s="82"/>
    </row>
    <row r="11" spans="1:18" x14ac:dyDescent="0.25">
      <c r="A11" s="1"/>
      <c r="C11" s="22"/>
      <c r="D11" s="22"/>
      <c r="E11" s="22"/>
      <c r="F11" s="22"/>
      <c r="G11" s="22"/>
      <c r="H11" s="22"/>
      <c r="I11" s="22"/>
      <c r="J11" s="22"/>
      <c r="K11" s="32">
        <f>K10/J10-1</f>
        <v>-1.9251336898395754E-2</v>
      </c>
      <c r="L11" s="32">
        <f>L10/K10-1</f>
        <v>6.1068702290076438E-2</v>
      </c>
      <c r="M11" s="32">
        <f>M10/L10-1</f>
        <v>0.32065775950668041</v>
      </c>
      <c r="N11" s="83"/>
      <c r="O11" s="83"/>
      <c r="P11" s="83"/>
      <c r="Q11" s="83"/>
      <c r="R11" s="83"/>
    </row>
    <row r="12" spans="1:18" x14ac:dyDescent="0.25">
      <c r="A12" s="1" t="s">
        <v>188</v>
      </c>
      <c r="C12" s="135">
        <f>BS!C15</f>
        <v>17.279800000000002</v>
      </c>
      <c r="D12" s="135">
        <f>BS!D15</f>
        <v>13.73</v>
      </c>
      <c r="E12" s="135">
        <f>BS!E15</f>
        <v>10.23</v>
      </c>
      <c r="F12" s="135">
        <f>BS!F15</f>
        <v>19.989999999999998</v>
      </c>
      <c r="G12" s="135">
        <f>BS!G15</f>
        <v>201.9</v>
      </c>
      <c r="H12" s="135">
        <f>BS!H15</f>
        <v>226.08</v>
      </c>
      <c r="I12" s="135">
        <f>BS!I15</f>
        <v>237.29</v>
      </c>
      <c r="J12" s="135">
        <f>BS!J15</f>
        <v>266</v>
      </c>
      <c r="K12" s="135">
        <f>BS!K15</f>
        <v>243</v>
      </c>
      <c r="L12" s="135">
        <f>BS!L15</f>
        <v>229</v>
      </c>
      <c r="M12" s="135">
        <f>BS!M15</f>
        <v>246</v>
      </c>
      <c r="N12" s="82"/>
      <c r="O12" s="82"/>
      <c r="P12" s="82"/>
      <c r="Q12" s="82"/>
      <c r="R12" s="82"/>
    </row>
    <row r="13" spans="1:18" x14ac:dyDescent="0.25">
      <c r="A13" s="1"/>
      <c r="B13" s="57">
        <f>AVERAGE(H13:L13)</f>
        <v>2.9251666918803765E-2</v>
      </c>
      <c r="C13" s="22"/>
      <c r="D13" s="53">
        <f>D12/C12-1</f>
        <v>-0.20543061840993537</v>
      </c>
      <c r="E13" s="32">
        <f t="shared" ref="E13:M13" si="1">E12/D12-1</f>
        <v>-0.2549162418062636</v>
      </c>
      <c r="F13" s="32">
        <f t="shared" si="1"/>
        <v>0.95405669599217968</v>
      </c>
      <c r="G13" s="32">
        <f t="shared" si="1"/>
        <v>9.1000500250125071</v>
      </c>
      <c r="H13" s="32">
        <f t="shared" si="1"/>
        <v>0.1197622585438336</v>
      </c>
      <c r="I13" s="32">
        <f t="shared" si="1"/>
        <v>4.9584217975937595E-2</v>
      </c>
      <c r="J13" s="32">
        <f t="shared" si="1"/>
        <v>0.12099119221206123</v>
      </c>
      <c r="K13" s="32">
        <f t="shared" si="1"/>
        <v>-8.6466165413533802E-2</v>
      </c>
      <c r="L13" s="32">
        <f t="shared" si="1"/>
        <v>-5.7613168724279795E-2</v>
      </c>
      <c r="M13" s="32">
        <f t="shared" si="1"/>
        <v>7.4235807860262071E-2</v>
      </c>
      <c r="N13" s="83"/>
      <c r="O13" s="83"/>
      <c r="P13" s="83"/>
      <c r="Q13" s="83"/>
      <c r="R13" s="83"/>
    </row>
    <row r="14" spans="1:18" x14ac:dyDescent="0.25">
      <c r="A14" s="2" t="s">
        <v>189</v>
      </c>
      <c r="B14" s="20"/>
      <c r="C14" s="49">
        <f>SUM(C9:C12)</f>
        <v>463.90410000000003</v>
      </c>
      <c r="D14" s="49">
        <f t="shared" ref="D14:K14" si="2">SUM(D9:D12)</f>
        <v>614.23</v>
      </c>
      <c r="E14" s="49">
        <f t="shared" si="2"/>
        <v>672.53</v>
      </c>
      <c r="F14" s="49">
        <f t="shared" si="2"/>
        <v>760.82</v>
      </c>
      <c r="G14" s="49">
        <f t="shared" si="2"/>
        <v>1055.06</v>
      </c>
      <c r="H14" s="49">
        <f t="shared" si="2"/>
        <v>1328.12</v>
      </c>
      <c r="I14" s="49">
        <f t="shared" si="2"/>
        <v>1419.6</v>
      </c>
      <c r="J14" s="49">
        <f t="shared" si="2"/>
        <v>2486</v>
      </c>
      <c r="K14" s="49">
        <f t="shared" si="2"/>
        <v>2375.9807486631016</v>
      </c>
      <c r="L14" s="49">
        <f>SUM(L9:L12)</f>
        <v>2420.06106870229</v>
      </c>
      <c r="M14" s="49">
        <f>SUM(M9:M12)</f>
        <v>2874.3206577595065</v>
      </c>
      <c r="N14" s="84">
        <f t="shared" ref="M14:R14" si="3">M14+N19-N16</f>
        <v>2816.7200505285637</v>
      </c>
      <c r="O14" s="84">
        <f t="shared" si="3"/>
        <v>2834.5068260295607</v>
      </c>
      <c r="P14" s="84">
        <f t="shared" si="3"/>
        <v>2927.0136182790843</v>
      </c>
      <c r="Q14" s="84">
        <f t="shared" si="3"/>
        <v>3099.3249562690853</v>
      </c>
      <c r="R14" s="84">
        <f t="shared" si="3"/>
        <v>3363.751413453901</v>
      </c>
    </row>
    <row r="15" spans="1:18" x14ac:dyDescent="0.25">
      <c r="N15" s="85"/>
      <c r="O15" s="85"/>
      <c r="P15" s="85"/>
      <c r="Q15" s="85"/>
      <c r="R15" s="85"/>
    </row>
    <row r="16" spans="1:18" x14ac:dyDescent="0.25">
      <c r="A16" s="1" t="s">
        <v>190</v>
      </c>
      <c r="C16" s="135">
        <f>IS!C26</f>
        <v>56.230699999999999</v>
      </c>
      <c r="D16" s="135">
        <f>IS!D26</f>
        <v>67.55</v>
      </c>
      <c r="E16" s="135">
        <f>IS!E26</f>
        <v>89.57</v>
      </c>
      <c r="F16" s="135">
        <f>IS!F26</f>
        <v>98.19</v>
      </c>
      <c r="G16" s="135">
        <f>IS!G26</f>
        <v>110.53</v>
      </c>
      <c r="H16" s="135">
        <f>IS!H26</f>
        <v>131.43</v>
      </c>
      <c r="I16" s="135">
        <f>IS!I26</f>
        <v>162.84</v>
      </c>
      <c r="J16" s="135">
        <f>IS!J26</f>
        <v>348</v>
      </c>
      <c r="K16" s="135">
        <f>IS!K26</f>
        <v>375</v>
      </c>
      <c r="L16" s="135">
        <f>IS!L26</f>
        <v>399</v>
      </c>
      <c r="M16" s="135">
        <f>IS!M26</f>
        <v>441</v>
      </c>
      <c r="N16" s="81">
        <f>(M14+N19/2)*N17</f>
        <v>519.49606757475794</v>
      </c>
      <c r="O16" s="81">
        <f>(N14+O19/2)*O17</f>
        <v>515.86173598604375</v>
      </c>
      <c r="P16" s="81">
        <f>(O14+P19/2)*P17</f>
        <v>525.92967920805268</v>
      </c>
      <c r="Q16" s="81">
        <f>(P14+Q19/2)*Q17</f>
        <v>550.10310975153516</v>
      </c>
      <c r="R16" s="81">
        <f>(Q14+R19/2)*R17</f>
        <v>589.96990719407825</v>
      </c>
    </row>
    <row r="17" spans="1:18" x14ac:dyDescent="0.25">
      <c r="A17" s="1" t="s">
        <v>191</v>
      </c>
      <c r="C17" s="56">
        <f>C16/C14</f>
        <v>0.12121190565032729</v>
      </c>
      <c r="D17" s="56">
        <f>D16/(C14+D19/2)</f>
        <v>0.11844142655027201</v>
      </c>
      <c r="E17" s="56">
        <f t="shared" ref="E17:K17" si="4">E16/(D14+E19/2)</f>
        <v>0.12459312839059673</v>
      </c>
      <c r="F17" s="56">
        <f t="shared" si="4"/>
        <v>0.12277663505242295</v>
      </c>
      <c r="G17" s="56">
        <f t="shared" si="4"/>
        <v>0.12434889241396378</v>
      </c>
      <c r="H17" s="56">
        <f t="shared" si="4"/>
        <v>0.10884607262202016</v>
      </c>
      <c r="I17" s="56">
        <f t="shared" si="4"/>
        <v>0.1114975898334794</v>
      </c>
      <c r="J17" s="56">
        <f t="shared" si="4"/>
        <v>0.21789493456890616</v>
      </c>
      <c r="K17" s="56">
        <f t="shared" si="4"/>
        <v>0.14654161781946073</v>
      </c>
      <c r="L17" s="56">
        <f>L16/(K14+L19/2)</f>
        <v>0.16037101581851054</v>
      </c>
      <c r="M17" s="56">
        <f>M16/(L14+M19/2)</f>
        <v>0.16729506202870348</v>
      </c>
      <c r="N17" s="86">
        <f>M17</f>
        <v>0.16729506202870348</v>
      </c>
      <c r="O17" s="86">
        <f>N17</f>
        <v>0.16729506202870348</v>
      </c>
      <c r="P17" s="86">
        <f>O17</f>
        <v>0.16729506202870348</v>
      </c>
      <c r="Q17" s="86">
        <f>P17</f>
        <v>0.16729506202870348</v>
      </c>
      <c r="R17" s="86">
        <f>Q17</f>
        <v>0.16729506202870348</v>
      </c>
    </row>
    <row r="18" spans="1:18" x14ac:dyDescent="0.25">
      <c r="N18" s="85"/>
      <c r="O18" s="85"/>
      <c r="P18" s="85"/>
      <c r="Q18" s="85"/>
      <c r="R18" s="85"/>
    </row>
    <row r="19" spans="1:18" x14ac:dyDescent="0.25">
      <c r="A19" s="1" t="s">
        <v>192</v>
      </c>
      <c r="C19" s="135">
        <f>-CF!E45</f>
        <v>168.83610000000002</v>
      </c>
      <c r="D19" s="135">
        <f>-CF!F45</f>
        <v>212.84</v>
      </c>
      <c r="E19" s="135">
        <f>-CF!G45</f>
        <v>209.34</v>
      </c>
      <c r="F19" s="135">
        <f>-CF!H45</f>
        <v>254.43</v>
      </c>
      <c r="G19" s="135">
        <f>-CF!I45</f>
        <v>256.10000000000002</v>
      </c>
      <c r="H19" s="135">
        <f>-CF!J45</f>
        <v>304.85000000000002</v>
      </c>
      <c r="I19" s="135">
        <f>-CF!K45</f>
        <v>264.72000000000003</v>
      </c>
      <c r="J19" s="135">
        <f>-CF!L45</f>
        <v>355</v>
      </c>
      <c r="K19" s="135">
        <f>-CF!M45</f>
        <v>146</v>
      </c>
      <c r="L19" s="135">
        <f>-CF!N45</f>
        <v>224</v>
      </c>
      <c r="M19" s="135">
        <f>-CF!O45</f>
        <v>432</v>
      </c>
      <c r="N19" s="82">
        <f>IS!N8*N20</f>
        <v>461.89546034381505</v>
      </c>
      <c r="O19" s="82">
        <f>IS!O8*O20</f>
        <v>533.64851148704076</v>
      </c>
      <c r="P19" s="82">
        <f>IS!P8*P20</f>
        <v>618.43647145757643</v>
      </c>
      <c r="Q19" s="82">
        <f>IS!Q8*Q20</f>
        <v>722.41444774153615</v>
      </c>
      <c r="R19" s="82">
        <f>IS!R8*R20</f>
        <v>854.39636437889362</v>
      </c>
    </row>
    <row r="20" spans="1:18" x14ac:dyDescent="0.25">
      <c r="A20" s="1" t="s">
        <v>193</v>
      </c>
      <c r="C20" s="56">
        <f>C19/'Revenue Drivers'!C8</f>
        <v>1.6523416700287112E-2</v>
      </c>
      <c r="D20" s="56">
        <f>D19/'Revenue Drivers'!D8</f>
        <v>1.9403774272951046E-2</v>
      </c>
      <c r="E20" s="56">
        <f>E19/'Revenue Drivers'!E8</f>
        <v>1.7518973867154057E-2</v>
      </c>
      <c r="F20" s="56">
        <f>F19/'Revenue Drivers'!F8</f>
        <v>2.2495981439466951E-2</v>
      </c>
      <c r="G20" s="134">
        <f>G19/'Revenue Drivers'!G8</f>
        <v>1.9137461674636255E-2</v>
      </c>
      <c r="H20" s="134">
        <f>H19/'Revenue Drivers'!H8</f>
        <v>1.8869209176804833E-2</v>
      </c>
      <c r="I20" s="134">
        <f>I19/'Revenue Drivers'!I8</f>
        <v>1.3384216817031811E-2</v>
      </c>
      <c r="J20" s="134">
        <f>J19/'Revenue Drivers'!J8</f>
        <v>1.6863005890176707E-2</v>
      </c>
      <c r="K20" s="134">
        <f>K19/'Revenue Drivers'!K8</f>
        <v>6.7455183884679356E-3</v>
      </c>
      <c r="L20" s="134">
        <f>L19/'Revenue Drivers'!L8</f>
        <v>7.7780478488836419E-3</v>
      </c>
      <c r="M20" s="134">
        <f>M19/'Revenue Drivers'!M8</f>
        <v>1.0646950092421443E-2</v>
      </c>
      <c r="N20" s="86">
        <f>M20</f>
        <v>1.0646950092421443E-2</v>
      </c>
      <c r="O20" s="86">
        <f>N20</f>
        <v>1.0646950092421443E-2</v>
      </c>
      <c r="P20" s="86">
        <f>O20</f>
        <v>1.0646950092421443E-2</v>
      </c>
      <c r="Q20" s="86">
        <f>P20</f>
        <v>1.0646950092421443E-2</v>
      </c>
      <c r="R20" s="86">
        <f>Q20</f>
        <v>1.0646950092421443E-2</v>
      </c>
    </row>
    <row r="22" spans="1:18" x14ac:dyDescent="0.25">
      <c r="A22" s="79" t="s">
        <v>201</v>
      </c>
    </row>
    <row r="23" spans="1:18" x14ac:dyDescent="0.25">
      <c r="A23" t="s">
        <v>201</v>
      </c>
      <c r="C23" s="135">
        <f>BS!C59</f>
        <v>0</v>
      </c>
      <c r="D23" s="135">
        <f>BS!D59</f>
        <v>0</v>
      </c>
      <c r="E23" s="135">
        <f>BS!E59</f>
        <v>0</v>
      </c>
      <c r="F23" s="135">
        <f>BS!F59</f>
        <v>0</v>
      </c>
      <c r="G23" s="135">
        <f>BS!G59</f>
        <v>1882.43</v>
      </c>
      <c r="H23" s="135">
        <f>BS!H59</f>
        <v>1612.02</v>
      </c>
      <c r="I23" s="135">
        <f>BS!I59</f>
        <v>2352.9</v>
      </c>
      <c r="J23" s="135">
        <f>BS!J59</f>
        <v>1585</v>
      </c>
      <c r="K23" s="135">
        <f>BS!K59</f>
        <v>4210</v>
      </c>
      <c r="L23" s="135">
        <f>BS!L59</f>
        <v>5398</v>
      </c>
      <c r="M23" s="135">
        <f>BS!M59</f>
        <v>5299</v>
      </c>
      <c r="N23" s="76"/>
      <c r="O23" s="76"/>
      <c r="P23" s="76"/>
      <c r="Q23" s="76"/>
      <c r="R23" s="76"/>
    </row>
    <row r="24" spans="1:18" x14ac:dyDescent="0.25">
      <c r="A24" t="s">
        <v>199</v>
      </c>
      <c r="C24" s="136">
        <f>3965.54/100</f>
        <v>39.6554</v>
      </c>
      <c r="D24" s="136">
        <f>4330.52/100</f>
        <v>43.305200000000006</v>
      </c>
      <c r="E24" s="136">
        <f>2860/100</f>
        <v>28.6</v>
      </c>
      <c r="F24" s="136">
        <f>3598/100</f>
        <v>35.979999999999997</v>
      </c>
      <c r="G24" s="136">
        <f>2402/100</f>
        <v>24.02</v>
      </c>
      <c r="H24" s="136">
        <f>4188/100</f>
        <v>41.88</v>
      </c>
      <c r="I24" s="136">
        <f>4254/100</f>
        <v>42.54</v>
      </c>
      <c r="J24" s="136">
        <f>3657/100</f>
        <v>36.57</v>
      </c>
      <c r="K24" s="136">
        <v>55</v>
      </c>
      <c r="L24" s="136">
        <v>87</v>
      </c>
      <c r="M24" s="208">
        <v>109</v>
      </c>
      <c r="N24" s="198"/>
      <c r="O24" s="198"/>
      <c r="P24" s="198"/>
      <c r="Q24" s="198"/>
      <c r="R24" s="198"/>
    </row>
    <row r="25" spans="1:18" x14ac:dyDescent="0.25">
      <c r="A25" t="s">
        <v>220</v>
      </c>
      <c r="C25" s="93">
        <v>0.03</v>
      </c>
      <c r="D25" s="93">
        <v>0.03</v>
      </c>
      <c r="E25" s="93">
        <v>0.03</v>
      </c>
      <c r="F25" s="93">
        <v>0.03</v>
      </c>
      <c r="G25" s="74">
        <f t="shared" ref="G25:M25" si="5">G24/G23</f>
        <v>1.2760102633298449E-2</v>
      </c>
      <c r="H25" s="74">
        <f t="shared" si="5"/>
        <v>2.5979826553020436E-2</v>
      </c>
      <c r="I25" s="74">
        <f t="shared" si="5"/>
        <v>1.8079816396786942E-2</v>
      </c>
      <c r="J25" s="74">
        <f t="shared" si="5"/>
        <v>2.3072555205047317E-2</v>
      </c>
      <c r="K25" s="74">
        <f t="shared" si="5"/>
        <v>1.3064133016627079E-2</v>
      </c>
      <c r="L25" s="74">
        <f t="shared" si="5"/>
        <v>1.6117080400148202E-2</v>
      </c>
      <c r="M25" s="74">
        <f t="shared" si="5"/>
        <v>2.0569918852613701E-2</v>
      </c>
      <c r="N25" s="124"/>
      <c r="O25" s="124"/>
      <c r="P25" s="124"/>
      <c r="Q25" s="124"/>
      <c r="R25" s="124"/>
    </row>
    <row r="27" spans="1:18" x14ac:dyDescent="0.25">
      <c r="A27" t="s">
        <v>202</v>
      </c>
      <c r="C27" s="28">
        <f>BS!C61</f>
        <v>2097.9928</v>
      </c>
      <c r="D27" s="28">
        <f>BS!D61</f>
        <v>859.44</v>
      </c>
      <c r="E27" s="28">
        <f>BS!E61</f>
        <v>1899.88</v>
      </c>
      <c r="F27" s="28">
        <f>BS!F61</f>
        <v>1654.75</v>
      </c>
      <c r="G27" s="28">
        <f>BS!G61</f>
        <v>782.76</v>
      </c>
      <c r="H27" s="28">
        <f>BS!H61</f>
        <v>877.54</v>
      </c>
      <c r="I27" s="28">
        <f>BS!I61</f>
        <v>905.98</v>
      </c>
      <c r="J27" s="28">
        <f>BS!J61</f>
        <v>596</v>
      </c>
      <c r="K27" s="28">
        <f>BS!K61</f>
        <v>789</v>
      </c>
      <c r="L27" s="28">
        <f>BS!L61</f>
        <v>1294</v>
      </c>
      <c r="M27" s="28">
        <f>BS!M61</f>
        <v>1214</v>
      </c>
    </row>
    <row r="28" spans="1:18" x14ac:dyDescent="0.25">
      <c r="C28" s="22"/>
      <c r="D28" s="22"/>
      <c r="E28" s="22"/>
      <c r="F28" s="22"/>
    </row>
    <row r="30" spans="1:18" x14ac:dyDescent="0.25">
      <c r="A30" s="1" t="s">
        <v>371</v>
      </c>
      <c r="C30" s="74">
        <f>C23/IS!C14</f>
        <v>0</v>
      </c>
      <c r="D30" s="74">
        <f>D23/IS!D14</f>
        <v>0</v>
      </c>
      <c r="E30" s="74">
        <f>E23/IS!E14</f>
        <v>0</v>
      </c>
      <c r="F30" s="74">
        <f>F23/IS!F14</f>
        <v>0</v>
      </c>
      <c r="G30" s="74">
        <f>G23/IS!G14</f>
        <v>0.19550137972505202</v>
      </c>
      <c r="H30" s="74">
        <f>H23/IS!H14</f>
        <v>0.13751620828499284</v>
      </c>
      <c r="I30" s="74">
        <f>I23/IS!I14</f>
        <v>0.16346110426038177</v>
      </c>
      <c r="J30" s="74">
        <f>J23/IS!J14</f>
        <v>0.1045859452325965</v>
      </c>
      <c r="K30" s="74">
        <f>K23/IS!K14</f>
        <v>0.25648836359205557</v>
      </c>
      <c r="L30" s="74">
        <f>L23/IS!L14</f>
        <v>0.24943394482694883</v>
      </c>
      <c r="M30" s="74">
        <f>M23/IS!M14</f>
        <v>0.17456761653763794</v>
      </c>
      <c r="N30" s="125">
        <f>AVERAGE(L30:M30)</f>
        <v>0.21200078068229339</v>
      </c>
      <c r="O30" s="125">
        <f>N30</f>
        <v>0.21200078068229339</v>
      </c>
      <c r="P30" s="125">
        <f>O30</f>
        <v>0.21200078068229339</v>
      </c>
      <c r="Q30" s="125">
        <f>P30</f>
        <v>0.21200078068229339</v>
      </c>
      <c r="R30" s="125">
        <f>Q30</f>
        <v>0.21200078068229339</v>
      </c>
    </row>
    <row r="31" spans="1:18" x14ac:dyDescent="0.25">
      <c r="G31" s="76"/>
    </row>
    <row r="32" spans="1:18" x14ac:dyDescent="0.25">
      <c r="A32" s="79" t="s">
        <v>206</v>
      </c>
    </row>
    <row r="33" spans="1:18" x14ac:dyDescent="0.25">
      <c r="A33" s="1" t="str">
        <f>[2]BS!A46</f>
        <v>(1) Non-current liabilities</v>
      </c>
    </row>
    <row r="34" spans="1:18" x14ac:dyDescent="0.25">
      <c r="A34" t="str">
        <f>[2]BS!A48</f>
        <v>(i) Borrowings</v>
      </c>
      <c r="C34" s="12"/>
      <c r="D34" s="12"/>
      <c r="E34" s="12"/>
      <c r="F34" s="12"/>
      <c r="G34" s="12"/>
      <c r="H34" s="12"/>
      <c r="I34" s="11">
        <v>31.67</v>
      </c>
      <c r="J34" s="13">
        <v>17</v>
      </c>
      <c r="K34" s="13">
        <v>9</v>
      </c>
      <c r="L34" s="13">
        <v>2</v>
      </c>
      <c r="M34" s="13">
        <v>0</v>
      </c>
      <c r="N34" s="80"/>
      <c r="O34" s="80"/>
      <c r="P34" s="80"/>
      <c r="Q34" s="80"/>
      <c r="R34" s="80"/>
    </row>
    <row r="35" spans="1:18" x14ac:dyDescent="0.25">
      <c r="A35" t="str">
        <f>[2]BS!A49</f>
        <v>(ii) Lease liabilities</v>
      </c>
      <c r="C35" s="12"/>
      <c r="D35" s="12"/>
      <c r="E35" s="12"/>
      <c r="F35" s="12"/>
      <c r="G35" s="12"/>
      <c r="H35" s="12"/>
      <c r="I35" s="13"/>
      <c r="J35" s="11">
        <v>1056</v>
      </c>
      <c r="K35" s="11">
        <v>1059</v>
      </c>
      <c r="L35" s="11">
        <v>1138</v>
      </c>
      <c r="M35" s="11">
        <v>1607</v>
      </c>
      <c r="N35" s="80">
        <f>M35</f>
        <v>1607</v>
      </c>
      <c r="O35" s="80">
        <f>N35</f>
        <v>1607</v>
      </c>
      <c r="P35" s="80">
        <f>O35</f>
        <v>1607</v>
      </c>
      <c r="Q35" s="80">
        <f>P35</f>
        <v>1607</v>
      </c>
      <c r="R35" s="80">
        <f>Q35</f>
        <v>1607</v>
      </c>
    </row>
    <row r="36" spans="1:18" x14ac:dyDescent="0.25">
      <c r="A36" s="1" t="str">
        <f>[2]BS!A55</f>
        <v>(2) Current liabilities</v>
      </c>
      <c r="N36" s="59"/>
      <c r="O36" s="59"/>
      <c r="P36" s="59"/>
      <c r="Q36" s="59"/>
      <c r="R36" s="59"/>
    </row>
    <row r="37" spans="1:18" x14ac:dyDescent="0.25">
      <c r="A37" t="str">
        <f>[2]BS!A57</f>
        <v>(i) Borrowings</v>
      </c>
      <c r="C37" s="12"/>
      <c r="D37" s="12">
        <v>806.84</v>
      </c>
      <c r="E37" s="12">
        <v>99.79</v>
      </c>
      <c r="F37" s="12">
        <v>113.05</v>
      </c>
      <c r="G37" s="12"/>
      <c r="H37" s="12">
        <v>78.989999999999995</v>
      </c>
      <c r="I37" s="11">
        <v>0.08</v>
      </c>
      <c r="J37" s="13">
        <v>706</v>
      </c>
      <c r="K37" s="13">
        <v>163</v>
      </c>
      <c r="L37" s="13">
        <v>516</v>
      </c>
      <c r="M37" s="13">
        <v>2195</v>
      </c>
      <c r="N37" s="108">
        <f ca="1">N41-SUM(N35,N38,N39)</f>
        <v>3100.9539808541995</v>
      </c>
      <c r="O37" s="108">
        <f t="shared" ref="O37:R37" ca="1" si="6">O41-SUM(O35,O38,O39)</f>
        <v>4986.0342748236089</v>
      </c>
      <c r="P37" s="108">
        <f t="shared" ca="1" si="6"/>
        <v>7168.5067064170016</v>
      </c>
      <c r="Q37" s="108">
        <f t="shared" ca="1" si="6"/>
        <v>9664.29655570871</v>
      </c>
      <c r="R37" s="108">
        <f t="shared" ca="1" si="6"/>
        <v>12504.061274126519</v>
      </c>
    </row>
    <row r="38" spans="1:18" x14ac:dyDescent="0.25">
      <c r="A38" t="str">
        <f>[2]BS!A58</f>
        <v>(ii) Gold on loan</v>
      </c>
      <c r="C38" s="12"/>
      <c r="D38" s="12"/>
      <c r="E38" s="12"/>
      <c r="F38" s="12"/>
      <c r="G38" s="12">
        <v>1882.43</v>
      </c>
      <c r="H38" s="12">
        <v>1612.02</v>
      </c>
      <c r="I38" s="13">
        <v>2352.9</v>
      </c>
      <c r="J38" s="11">
        <v>1585</v>
      </c>
      <c r="K38" s="11">
        <v>4210</v>
      </c>
      <c r="L38" s="11">
        <v>5398</v>
      </c>
      <c r="M38" s="11">
        <v>5299</v>
      </c>
      <c r="N38" s="100">
        <f>IS!N14*'Asset Schedule'!N30</f>
        <v>6880.6211248867785</v>
      </c>
      <c r="O38" s="100">
        <f>IS!O14*'Asset Schedule'!O30</f>
        <v>7949.4897366364303</v>
      </c>
      <c r="P38" s="100">
        <f>IS!P14*'Asset Schedule'!P30</f>
        <v>9212.5327379144019</v>
      </c>
      <c r="Q38" s="100">
        <f>IS!Q14*'Asset Schedule'!Q30</f>
        <v>10761.439626087436</v>
      </c>
      <c r="R38" s="100">
        <f>IS!R14*'Asset Schedule'!R30</f>
        <v>12727.506932837072</v>
      </c>
    </row>
    <row r="39" spans="1:18" x14ac:dyDescent="0.25">
      <c r="A39" t="str">
        <f>[2]BS!A59</f>
        <v>(iii) Lease liabilities</v>
      </c>
      <c r="C39" s="12"/>
      <c r="D39" s="12"/>
      <c r="E39" s="12"/>
      <c r="F39" s="12"/>
      <c r="G39" s="12"/>
      <c r="H39" s="12"/>
      <c r="I39" s="11" t="s">
        <v>74</v>
      </c>
      <c r="J39" s="13">
        <v>187</v>
      </c>
      <c r="K39" s="13">
        <v>197</v>
      </c>
      <c r="L39" s="13">
        <v>221</v>
      </c>
      <c r="M39" s="13">
        <v>266</v>
      </c>
      <c r="N39" s="80">
        <f>M39</f>
        <v>266</v>
      </c>
      <c r="O39" s="80">
        <f>N39</f>
        <v>266</v>
      </c>
      <c r="P39" s="80">
        <f>O39</f>
        <v>266</v>
      </c>
      <c r="Q39" s="80">
        <f>P39</f>
        <v>266</v>
      </c>
      <c r="R39" s="80">
        <f>Q39</f>
        <v>266</v>
      </c>
    </row>
    <row r="40" spans="1:18" x14ac:dyDescent="0.25">
      <c r="A40" s="1"/>
    </row>
    <row r="41" spans="1:18" x14ac:dyDescent="0.25">
      <c r="A41" t="s">
        <v>180</v>
      </c>
      <c r="C41" s="22">
        <f t="shared" ref="C41:M41" si="7">SUM(C34:C39)</f>
        <v>0</v>
      </c>
      <c r="D41" s="22">
        <f t="shared" si="7"/>
        <v>806.84</v>
      </c>
      <c r="E41" s="22">
        <f t="shared" si="7"/>
        <v>99.79</v>
      </c>
      <c r="F41" s="22">
        <f t="shared" si="7"/>
        <v>113.05</v>
      </c>
      <c r="G41" s="22">
        <f t="shared" si="7"/>
        <v>1882.43</v>
      </c>
      <c r="H41" s="22">
        <f t="shared" si="7"/>
        <v>1691.01</v>
      </c>
      <c r="I41" s="22">
        <f t="shared" si="7"/>
        <v>2384.65</v>
      </c>
      <c r="J41" s="22">
        <f t="shared" si="7"/>
        <v>3551</v>
      </c>
      <c r="K41" s="22">
        <f t="shared" si="7"/>
        <v>5638</v>
      </c>
      <c r="L41" s="22">
        <f t="shared" si="7"/>
        <v>7275</v>
      </c>
      <c r="M41" s="22">
        <f t="shared" si="7"/>
        <v>9367</v>
      </c>
      <c r="N41" s="108">
        <f ca="1">BS!N45*'Asset Schedule'!N42</f>
        <v>11854.575105740978</v>
      </c>
      <c r="O41" s="108">
        <f ca="1">BS!O45*'Asset Schedule'!O42</f>
        <v>14808.52401146004</v>
      </c>
      <c r="P41" s="108">
        <f ca="1">BS!P45*'Asset Schedule'!P42</f>
        <v>18254.039444331404</v>
      </c>
      <c r="Q41" s="108">
        <f ca="1">BS!Q45*'Asset Schedule'!Q42</f>
        <v>22298.736181796146</v>
      </c>
      <c r="R41" s="108">
        <f ca="1">BS!R45*'Asset Schedule'!R42</f>
        <v>27104.568206963591</v>
      </c>
    </row>
    <row r="42" spans="1:18" x14ac:dyDescent="0.25">
      <c r="A42" t="s">
        <v>207</v>
      </c>
      <c r="C42" s="102">
        <f>C41/BS!C45</f>
        <v>0</v>
      </c>
      <c r="D42" s="102">
        <f>D41/BS!D45</f>
        <v>0.31982812270833583</v>
      </c>
      <c r="E42" s="102">
        <f>E41/BS!E45</f>
        <v>2.9768687838958526E-2</v>
      </c>
      <c r="F42" s="102">
        <f>F41/BS!F45</f>
        <v>3.2242148373775051E-2</v>
      </c>
      <c r="G42" s="102">
        <f>G41/BS!G45</f>
        <v>0.44201571356786284</v>
      </c>
      <c r="H42" s="102">
        <f>H41/BS!H45</f>
        <v>0.33234867513354793</v>
      </c>
      <c r="I42" s="102">
        <f>I41/BS!I45</f>
        <v>0.391939489467032</v>
      </c>
      <c r="J42" s="102">
        <f>J41/BS!J45</f>
        <v>0.53214446276037763</v>
      </c>
      <c r="K42" s="102">
        <f>K41/BS!K45</f>
        <v>0.75153292455345244</v>
      </c>
      <c r="L42" s="102">
        <f>L41/BS!L45</f>
        <v>0.77949212471873996</v>
      </c>
      <c r="M42" s="102">
        <f>M41/BS!M45</f>
        <v>0.78687836021505375</v>
      </c>
      <c r="N42" s="195">
        <f>AVERAGE(L42:M42)</f>
        <v>0.7831852424668968</v>
      </c>
      <c r="O42" s="195">
        <f>N42</f>
        <v>0.7831852424668968</v>
      </c>
      <c r="P42" s="195">
        <f t="shared" ref="P42:R42" si="8">O42</f>
        <v>0.7831852424668968</v>
      </c>
      <c r="Q42" s="195">
        <f t="shared" si="8"/>
        <v>0.7831852424668968</v>
      </c>
      <c r="R42" s="195">
        <f t="shared" si="8"/>
        <v>0.7831852424668968</v>
      </c>
    </row>
    <row r="44" spans="1:18" x14ac:dyDescent="0.25">
      <c r="A44" t="s">
        <v>222</v>
      </c>
      <c r="C44" s="35">
        <f>'Cost Drivers'!C20</f>
        <v>50.645400000000002</v>
      </c>
      <c r="D44" s="35">
        <f>'Cost Drivers'!D20</f>
        <v>87.13</v>
      </c>
      <c r="E44" s="35">
        <f>'Cost Drivers'!E20</f>
        <v>80.69</v>
      </c>
      <c r="F44" s="35">
        <f>'Cost Drivers'!F20</f>
        <v>42.36</v>
      </c>
      <c r="G44" s="35">
        <f>'Cost Drivers'!G20</f>
        <v>37.74</v>
      </c>
      <c r="H44" s="35">
        <f>'Cost Drivers'!H20</f>
        <v>52.92</v>
      </c>
      <c r="I44" s="35">
        <f>'Cost Drivers'!I20</f>
        <v>52.54</v>
      </c>
      <c r="J44" s="35">
        <f>'Cost Drivers'!J20</f>
        <v>166</v>
      </c>
      <c r="K44" s="35">
        <f>'Cost Drivers'!K20</f>
        <v>203</v>
      </c>
      <c r="L44" s="35">
        <f>'Cost Drivers'!L20</f>
        <v>218</v>
      </c>
      <c r="M44" s="35">
        <f>'Cost Drivers'!M20</f>
        <v>300</v>
      </c>
      <c r="N44" s="35">
        <f ca="1">N41*N45</f>
        <v>367.45013411969705</v>
      </c>
      <c r="O44" s="35">
        <f t="shared" ref="O44:R44" ca="1" si="9">O41*O45</f>
        <v>459.01216075560291</v>
      </c>
      <c r="P44" s="35">
        <f t="shared" ca="1" si="9"/>
        <v>565.81102082667701</v>
      </c>
      <c r="Q44" s="35">
        <f t="shared" ca="1" si="9"/>
        <v>691.1823939377357</v>
      </c>
      <c r="R44" s="35">
        <f t="shared" ca="1" si="9"/>
        <v>840.14628395091006</v>
      </c>
    </row>
    <row r="45" spans="1:18" x14ac:dyDescent="0.25">
      <c r="A45" t="s">
        <v>223</v>
      </c>
      <c r="D45" s="124">
        <f>D44/D41</f>
        <v>0.10798919240493778</v>
      </c>
      <c r="E45" s="124">
        <f t="shared" ref="E45:M45" si="10">E44/E41</f>
        <v>0.80859805591742651</v>
      </c>
      <c r="F45" s="124">
        <f t="shared" si="10"/>
        <v>0.37470145953118089</v>
      </c>
      <c r="G45" s="124">
        <f t="shared" si="10"/>
        <v>2.0048554262309889E-2</v>
      </c>
      <c r="H45" s="124">
        <f t="shared" si="10"/>
        <v>3.129490659428389E-2</v>
      </c>
      <c r="I45" s="124">
        <f t="shared" si="10"/>
        <v>2.2032583397982933E-2</v>
      </c>
      <c r="J45" s="124">
        <f t="shared" si="10"/>
        <v>4.674739509997184E-2</v>
      </c>
      <c r="K45" s="124">
        <f t="shared" si="10"/>
        <v>3.6005675771550193E-2</v>
      </c>
      <c r="L45" s="124">
        <f t="shared" si="10"/>
        <v>2.9965635738831615E-2</v>
      </c>
      <c r="M45" s="124">
        <f t="shared" si="10"/>
        <v>3.2027329988256643E-2</v>
      </c>
      <c r="N45" s="125">
        <f>AVERAGE(L45:M45)</f>
        <v>3.0996482863544131E-2</v>
      </c>
      <c r="O45" s="125">
        <f>N45</f>
        <v>3.0996482863544131E-2</v>
      </c>
      <c r="P45" s="125">
        <f t="shared" ref="P45:R45" si="11">O45</f>
        <v>3.0996482863544131E-2</v>
      </c>
      <c r="Q45" s="125">
        <f t="shared" si="11"/>
        <v>3.0996482863544131E-2</v>
      </c>
      <c r="R45" s="125">
        <f t="shared" si="11"/>
        <v>3.0996482863544131E-2</v>
      </c>
    </row>
    <row r="47" spans="1:18" x14ac:dyDescent="0.25">
      <c r="A47" t="s">
        <v>224</v>
      </c>
      <c r="C47" s="22">
        <f>BS!C26</f>
        <v>3680.3296</v>
      </c>
      <c r="D47" s="22">
        <f>BS!D26</f>
        <v>3869.39</v>
      </c>
      <c r="E47" s="22">
        <f>BS!E26</f>
        <v>4049.31</v>
      </c>
      <c r="F47" s="22">
        <f>BS!F26</f>
        <v>4447.1499999999996</v>
      </c>
      <c r="G47" s="22">
        <f>BS!G26</f>
        <v>4925.74</v>
      </c>
      <c r="H47" s="22">
        <f>BS!H26</f>
        <v>5924.84</v>
      </c>
      <c r="I47" s="22">
        <f>BS!I26</f>
        <v>7038.82</v>
      </c>
      <c r="J47" s="22">
        <f>BS!J26</f>
        <v>8103</v>
      </c>
      <c r="K47" s="22">
        <f>BS!K26</f>
        <v>8408</v>
      </c>
      <c r="L47" s="22">
        <f>BS!L26</f>
        <v>13609</v>
      </c>
      <c r="M47" s="22">
        <f>BS!M26</f>
        <v>16584</v>
      </c>
      <c r="N47" s="22">
        <f>IS!N14/365*N48*2-M47</f>
        <v>16066.984204844142</v>
      </c>
      <c r="O47" s="22">
        <f>IS!O14/365*O48*2-N47</f>
        <v>21656.160132907447</v>
      </c>
      <c r="P47" s="22">
        <f>IS!P14/365*P48*2-O47</f>
        <v>22060.570588434566</v>
      </c>
      <c r="Q47" s="22">
        <f>IS!Q14/365*Q48*2-P47</f>
        <v>29006.271906623835</v>
      </c>
      <c r="R47" s="22">
        <f>IS!R14/365*R48*2-Q47</f>
        <v>31390.256297498971</v>
      </c>
    </row>
    <row r="48" spans="1:18" x14ac:dyDescent="0.25">
      <c r="A48" t="s">
        <v>225</v>
      </c>
      <c r="C48" s="199">
        <f>AVERAGE(B47:C47)/IS!C14*365</f>
        <v>177.01215742709149</v>
      </c>
      <c r="D48" s="199">
        <f>AVERAGE(C47:D47)/IS!D14*365</f>
        <v>170.238738713137</v>
      </c>
      <c r="E48" s="199">
        <f>AVERAGE(D47:E47)/IS!E14*365</f>
        <v>164.45832731146038</v>
      </c>
      <c r="F48" s="199">
        <f>AVERAGE(E47:F47)/IS!F14*365</f>
        <v>188.75575024315663</v>
      </c>
      <c r="G48" s="199">
        <f>AVERAGE(F47:G47)/IS!G14*365</f>
        <v>177.65088698094141</v>
      </c>
      <c r="H48" s="199">
        <f>AVERAGE(G47:H47)/IS!H14*365</f>
        <v>168.92708404422302</v>
      </c>
      <c r="I48" s="199">
        <f>AVERAGE(H47:I47)/IS!I14*365</f>
        <v>164.36201608281084</v>
      </c>
      <c r="J48" s="199">
        <f>AVERAGE(I47:J47)/IS!J14*365</f>
        <v>182.34128340481689</v>
      </c>
      <c r="K48" s="199">
        <f>AVERAGE(J47:K47)/IS!K14*365</f>
        <v>183.5785000609236</v>
      </c>
      <c r="L48" s="199">
        <f>AVERAGE(K47:L47)/IS!L14*365</f>
        <v>185.67083314079755</v>
      </c>
      <c r="M48" s="199">
        <f>AVERAGE(L47:M47)/IS!M14*365</f>
        <v>181.52602536649647</v>
      </c>
      <c r="N48" s="199">
        <f>AVERAGE(L48:M48)</f>
        <v>183.598429253647</v>
      </c>
      <c r="O48" s="199">
        <f>N48</f>
        <v>183.598429253647</v>
      </c>
      <c r="P48" s="199">
        <f t="shared" ref="P48:R48" si="12">O48</f>
        <v>183.598429253647</v>
      </c>
      <c r="Q48" s="199">
        <f t="shared" si="12"/>
        <v>183.598429253647</v>
      </c>
      <c r="R48" s="199">
        <f t="shared" si="12"/>
        <v>183.598429253647</v>
      </c>
    </row>
    <row r="50" spans="1:18" x14ac:dyDescent="0.25">
      <c r="A50" t="s">
        <v>226</v>
      </c>
      <c r="C50" s="22">
        <f>BS!C29</f>
        <v>165.83349999999999</v>
      </c>
      <c r="D50" s="22">
        <f>BS!D29</f>
        <v>154.13</v>
      </c>
      <c r="E50" s="22">
        <f>BS!E29</f>
        <v>189.74</v>
      </c>
      <c r="F50" s="22">
        <f>BS!F29</f>
        <v>192.5</v>
      </c>
      <c r="G50" s="22">
        <f>BS!G29</f>
        <v>207.6</v>
      </c>
      <c r="H50" s="22">
        <f>BS!H29</f>
        <v>295.69</v>
      </c>
      <c r="I50" s="22">
        <f>BS!I29</f>
        <v>420.45</v>
      </c>
      <c r="J50" s="22">
        <f>BS!J29</f>
        <v>312</v>
      </c>
      <c r="K50" s="22">
        <f>BS!K29</f>
        <v>366</v>
      </c>
      <c r="L50" s="22">
        <f>BS!L29</f>
        <v>565</v>
      </c>
      <c r="M50" s="22">
        <f>BS!M29</f>
        <v>674</v>
      </c>
      <c r="N50" s="22">
        <f>IS!N8/365*N51*2-M50</f>
        <v>689.60134886761762</v>
      </c>
      <c r="O50" s="22">
        <f>IS!O8/365*O51*2-N50</f>
        <v>885.82835884864471</v>
      </c>
      <c r="P50" s="22">
        <f>IS!P8/365*P51*2-O50</f>
        <v>939.91118412232163</v>
      </c>
      <c r="Q50" s="22">
        <f>IS!Q8/365*Q51*2-P50</f>
        <v>1192.7906931564862</v>
      </c>
      <c r="R50" s="22">
        <f>IS!R8/365*R51*2-Q50</f>
        <v>1329.5463613524071</v>
      </c>
    </row>
    <row r="51" spans="1:18" x14ac:dyDescent="0.25">
      <c r="A51" t="s">
        <v>227</v>
      </c>
      <c r="C51" s="199">
        <f>AVERAGE(B50:C50)/IS!C8*365</f>
        <v>5.9237902825816144</v>
      </c>
      <c r="D51" s="199">
        <f>AVERAGE(C50:D50)/IS!D8*365</f>
        <v>5.3234878977117326</v>
      </c>
      <c r="E51" s="199">
        <f>AVERAGE(D50:E50)/IS!E8*365</f>
        <v>5.2518655857692442</v>
      </c>
      <c r="F51" s="199">
        <f>AVERAGE(E50:F50)/IS!F8*365</f>
        <v>6.1678759188754748</v>
      </c>
      <c r="G51" s="199">
        <f>AVERAGE(F50:G50)/IS!G8*365</f>
        <v>5.4563996912300219</v>
      </c>
      <c r="H51" s="199">
        <f>AVERAGE(G50:H50)/IS!H8*365</f>
        <v>5.6852382558747703</v>
      </c>
      <c r="I51" s="199">
        <f>AVERAGE(H50:I50)/IS!I8*365</f>
        <v>6.6079539824011091</v>
      </c>
      <c r="J51" s="199">
        <f>AVERAGE(I50:J50)/IS!J8*365</f>
        <v>6.3496164259927799</v>
      </c>
      <c r="K51" s="199">
        <f>AVERAGE(J50:K50)/IS!K8*365</f>
        <v>5.716826834226576</v>
      </c>
      <c r="L51" s="199">
        <f>AVERAGE(K50:L50)/IS!L8*365</f>
        <v>5.8997708253758807</v>
      </c>
      <c r="M51" s="199">
        <f>AVERAGE(L50:M50)/IS!M8*365</f>
        <v>5.5728280961182994</v>
      </c>
      <c r="N51" s="199">
        <f>AVERAGE(L51:M51)</f>
        <v>5.7362994607470901</v>
      </c>
      <c r="O51" s="199">
        <f>N51</f>
        <v>5.7362994607470901</v>
      </c>
      <c r="P51" s="199">
        <f t="shared" ref="P51:R51" si="13">O51</f>
        <v>5.7362994607470901</v>
      </c>
      <c r="Q51" s="199">
        <f t="shared" si="13"/>
        <v>5.7362994607470901</v>
      </c>
      <c r="R51" s="199">
        <f t="shared" si="13"/>
        <v>5.7362994607470901</v>
      </c>
    </row>
    <row r="53" spans="1:18" x14ac:dyDescent="0.25">
      <c r="H53">
        <v>1</v>
      </c>
      <c r="I53">
        <v>2</v>
      </c>
      <c r="J53">
        <v>3</v>
      </c>
      <c r="K53">
        <v>4</v>
      </c>
      <c r="L53">
        <v>5</v>
      </c>
      <c r="M53">
        <v>6</v>
      </c>
      <c r="N53">
        <v>7</v>
      </c>
      <c r="O53">
        <v>8</v>
      </c>
      <c r="P53">
        <v>9</v>
      </c>
      <c r="Q53">
        <v>10</v>
      </c>
      <c r="R53">
        <v>11</v>
      </c>
    </row>
    <row r="54" spans="1:18" x14ac:dyDescent="0.25">
      <c r="A54" t="s">
        <v>228</v>
      </c>
      <c r="C54" s="22">
        <f>BS!C61</f>
        <v>2097.9928</v>
      </c>
      <c r="D54" s="22">
        <f>BS!D61</f>
        <v>859.44</v>
      </c>
      <c r="E54" s="22">
        <f>BS!E61</f>
        <v>1899.88</v>
      </c>
      <c r="F54" s="22">
        <f>BS!F61</f>
        <v>1654.75</v>
      </c>
      <c r="G54" s="22">
        <f>BS!G61</f>
        <v>782.76</v>
      </c>
      <c r="H54" s="22">
        <f>BS!H61</f>
        <v>877.54</v>
      </c>
      <c r="I54" s="22">
        <f>BS!I61</f>
        <v>905.98</v>
      </c>
      <c r="J54" s="22">
        <f>BS!J61</f>
        <v>596</v>
      </c>
      <c r="K54" s="22">
        <f>BS!K61</f>
        <v>789</v>
      </c>
      <c r="L54" s="22">
        <f>BS!L61</f>
        <v>1294</v>
      </c>
      <c r="M54" s="22">
        <f>BS!M61</f>
        <v>1214</v>
      </c>
      <c r="N54" s="199">
        <f>IS!N14/365*'Asset Schedule'!N55*2-'Asset Schedule'!M54</f>
        <v>907.80025441649195</v>
      </c>
      <c r="O54" s="199">
        <f>IS!O14/365*'Asset Schedule'!O55*2-'Asset Schedule'!N54</f>
        <v>1122.836748656676</v>
      </c>
      <c r="P54" s="199">
        <f>IS!P14/365*'Asset Schedule'!P55*2-'Asset Schedule'!O54</f>
        <v>742.80713961186416</v>
      </c>
      <c r="Q54" s="199">
        <f>IS!Q14/365*'Asset Schedule'!Q55*2-'Asset Schedule'!P54</f>
        <v>866.89524765908277</v>
      </c>
      <c r="R54" s="199">
        <f>IS!R14/365*'Asset Schedule'!R55*2-'Asset Schedule'!Q54</f>
        <v>363.21389569919529</v>
      </c>
    </row>
    <row r="55" spans="1:18" x14ac:dyDescent="0.25">
      <c r="A55" t="s">
        <v>229</v>
      </c>
      <c r="C55" s="199">
        <f>AVERAGE(B54:C54)/IS!C14*365</f>
        <v>100.90678611896729</v>
      </c>
      <c r="D55" s="199">
        <f>AVERAGE(C54:D54)/IS!D14*365</f>
        <v>66.687195866302261</v>
      </c>
      <c r="E55" s="199">
        <f>AVERAGE(D54:E54)/IS!E14*365</f>
        <v>57.306521489267034</v>
      </c>
      <c r="F55" s="199">
        <f>AVERAGE(E54:F54)/IS!F14*365</f>
        <v>78.968988553683758</v>
      </c>
      <c r="G55" s="199">
        <f>AVERAGE(F54:G54)/IS!G14*365</f>
        <v>46.199818148395487</v>
      </c>
      <c r="H55" s="199">
        <f>AVERAGE(G54:H54)/IS!H14*365</f>
        <v>25.848354432539409</v>
      </c>
      <c r="I55" s="199">
        <f>AVERAGE(H54:I54)/IS!I14*365</f>
        <v>22.612668252948225</v>
      </c>
      <c r="J55" s="199">
        <f>AVERAGE(I54:J54)/IS!J14*365</f>
        <v>18.087189046519303</v>
      </c>
      <c r="K55" s="199">
        <f>AVERAGE(J54:K54)/IS!K14*365</f>
        <v>15.399201900816376</v>
      </c>
      <c r="L55" s="199">
        <f>AVERAGE(K54:L54)/IS!L14*365</f>
        <v>17.56607827734393</v>
      </c>
      <c r="M55" s="199">
        <f>AVERAGE(L54:M54)/IS!M14*365</f>
        <v>15.078570252017789</v>
      </c>
      <c r="N55" s="199">
        <f>FORECAST(N53,$H$55:$M$55,$H$53:$M$53)</f>
        <v>11.931009229518446</v>
      </c>
      <c r="O55" s="199">
        <f t="shared" ref="O55:R55" si="14">FORECAST(O53,$H$55:$M$55,$H$53:$M$53)</f>
        <v>9.8831041445149062</v>
      </c>
      <c r="P55" s="199">
        <f t="shared" si="14"/>
        <v>7.8351990595113641</v>
      </c>
      <c r="Q55" s="199">
        <f t="shared" si="14"/>
        <v>5.7872939745078256</v>
      </c>
      <c r="R55" s="199">
        <f t="shared" si="14"/>
        <v>3.7393888895042871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showGridLines="0" tabSelected="1" workbookViewId="0">
      <pane xSplit="2" ySplit="4" topLeftCell="C46" activePane="bottomRight" state="frozen"/>
      <selection pane="topRight" activeCell="C1" sqref="C1"/>
      <selection pane="bottomLeft" activeCell="A7" sqref="A7"/>
      <selection pane="bottomRight" activeCell="B60" sqref="B60"/>
    </sheetView>
  </sheetViews>
  <sheetFormatPr defaultRowHeight="15" x14ac:dyDescent="0.25"/>
  <cols>
    <col min="1" max="1" width="41.85546875" customWidth="1"/>
    <col min="2" max="2" width="12.140625" style="145" customWidth="1"/>
    <col min="3" max="3" width="3.42578125" customWidth="1"/>
    <col min="4" max="4" width="12.28515625" customWidth="1"/>
    <col min="5" max="5" width="10.42578125" bestFit="1" customWidth="1"/>
    <col min="6" max="11" width="10.140625" customWidth="1"/>
    <col min="12" max="13" width="9.5703125" customWidth="1"/>
    <col min="14" max="14" width="13.85546875" customWidth="1"/>
    <col min="15" max="15" width="9.5703125" customWidth="1"/>
    <col min="16" max="16" width="10.140625" bestFit="1" customWidth="1"/>
    <col min="17" max="17" width="13.140625" customWidth="1"/>
  </cols>
  <sheetData>
    <row r="1" spans="1:15" s="79" customFormat="1" ht="18.600000000000001" customHeight="1" x14ac:dyDescent="0.3">
      <c r="A1" s="6" t="s">
        <v>38</v>
      </c>
      <c r="B1" s="138"/>
      <c r="C1" s="103"/>
      <c r="D1" s="103"/>
      <c r="F1" s="103"/>
      <c r="G1" s="103"/>
      <c r="H1" s="103"/>
      <c r="I1" s="103"/>
      <c r="J1" s="103"/>
      <c r="K1" s="103"/>
      <c r="L1" s="103"/>
      <c r="M1" s="103"/>
      <c r="N1" s="103"/>
      <c r="O1" s="139"/>
    </row>
    <row r="2" spans="1:15" s="1" customFormat="1" ht="14.45" customHeight="1" x14ac:dyDescent="0.25">
      <c r="A2" s="1" t="s">
        <v>230</v>
      </c>
      <c r="B2" s="140"/>
      <c r="F2"/>
      <c r="G2"/>
      <c r="H2"/>
      <c r="I2"/>
      <c r="J2"/>
      <c r="O2" s="141"/>
    </row>
    <row r="3" spans="1:15" s="1" customFormat="1" ht="14.45" customHeight="1" x14ac:dyDescent="0.25">
      <c r="A3" s="1" t="s">
        <v>85</v>
      </c>
      <c r="B3" s="140"/>
      <c r="F3"/>
      <c r="G3"/>
      <c r="H3"/>
      <c r="I3"/>
      <c r="J3"/>
      <c r="O3" s="141"/>
    </row>
    <row r="4" spans="1:15" s="1" customFormat="1" ht="14.45" customHeight="1" x14ac:dyDescent="0.25">
      <c r="A4" s="142" t="s">
        <v>231</v>
      </c>
      <c r="B4" s="143"/>
      <c r="O4" s="141"/>
    </row>
    <row r="5" spans="1:15" s="1" customFormat="1" ht="14.45" customHeight="1" x14ac:dyDescent="0.25">
      <c r="A5" s="144" t="s">
        <v>232</v>
      </c>
      <c r="B5" s="140"/>
      <c r="O5" s="141"/>
    </row>
    <row r="6" spans="1:15" x14ac:dyDescent="0.25">
      <c r="A6" s="72" t="s">
        <v>233</v>
      </c>
    </row>
    <row r="7" spans="1:15" ht="14.45" customHeight="1" x14ac:dyDescent="0.25">
      <c r="A7" s="1" t="s">
        <v>234</v>
      </c>
      <c r="B7" s="146">
        <v>6.0999999999999999E-2</v>
      </c>
    </row>
    <row r="8" spans="1:15" ht="18" x14ac:dyDescent="0.35">
      <c r="A8" s="1" t="s">
        <v>235</v>
      </c>
      <c r="B8" s="146">
        <v>7.1609999999999993E-2</v>
      </c>
      <c r="C8" s="5"/>
    </row>
    <row r="9" spans="1:15" ht="18" x14ac:dyDescent="0.35">
      <c r="A9" s="1" t="s">
        <v>236</v>
      </c>
      <c r="B9" s="146">
        <v>0.13200000000000001</v>
      </c>
    </row>
    <row r="10" spans="1:15" ht="18" x14ac:dyDescent="0.35">
      <c r="A10" s="1" t="s">
        <v>237</v>
      </c>
      <c r="B10" s="146">
        <f>B9-B8</f>
        <v>6.0390000000000013E-2</v>
      </c>
    </row>
    <row r="11" spans="1:15" x14ac:dyDescent="0.25">
      <c r="A11" s="1" t="s">
        <v>238</v>
      </c>
      <c r="B11" s="147">
        <v>0.71</v>
      </c>
    </row>
    <row r="12" spans="1:15" x14ac:dyDescent="0.25">
      <c r="A12" s="1" t="s">
        <v>239</v>
      </c>
      <c r="B12" s="148">
        <v>2986</v>
      </c>
    </row>
    <row r="14" spans="1:15" x14ac:dyDescent="0.25">
      <c r="A14" s="72" t="s">
        <v>240</v>
      </c>
    </row>
    <row r="15" spans="1:15" x14ac:dyDescent="0.25">
      <c r="A15" s="1" t="s">
        <v>241</v>
      </c>
      <c r="B15" s="149">
        <f>SUM([3]BS!M58:M60,[3]BS!M50)</f>
        <v>9367</v>
      </c>
    </row>
    <row r="16" spans="1:15" ht="14.45" customHeight="1" x14ac:dyDescent="0.25">
      <c r="A16" s="1" t="s">
        <v>242</v>
      </c>
      <c r="B16" s="149">
        <f>[3]CF!O73</f>
        <v>232</v>
      </c>
    </row>
    <row r="17" spans="1:2" x14ac:dyDescent="0.25">
      <c r="A17" s="1" t="s">
        <v>243</v>
      </c>
      <c r="B17" s="150">
        <v>89</v>
      </c>
    </row>
    <row r="18" spans="1:2" x14ac:dyDescent="0.25">
      <c r="A18" s="1" t="s">
        <v>244</v>
      </c>
      <c r="B18" s="151">
        <f>'[3]Cost Drivers'!M36</f>
        <v>0.26377333033505734</v>
      </c>
    </row>
    <row r="19" spans="1:2" x14ac:dyDescent="0.25">
      <c r="A19" s="1" t="s">
        <v>245</v>
      </c>
      <c r="B19" s="146">
        <f>'[3]Asset Schedule'!M45</f>
        <v>3.2027329988256643E-2</v>
      </c>
    </row>
    <row r="22" spans="1:2" x14ac:dyDescent="0.25">
      <c r="A22" s="1" t="s">
        <v>246</v>
      </c>
      <c r="B22" s="149">
        <f>B12*B17</f>
        <v>265754</v>
      </c>
    </row>
    <row r="23" spans="1:2" x14ac:dyDescent="0.25">
      <c r="A23" s="1" t="s">
        <v>247</v>
      </c>
      <c r="B23" s="149">
        <f>B15</f>
        <v>9367</v>
      </c>
    </row>
    <row r="24" spans="1:2" x14ac:dyDescent="0.25">
      <c r="A24" s="1" t="s">
        <v>248</v>
      </c>
      <c r="B24" s="149">
        <f>SUM(B22:B23)</f>
        <v>275121</v>
      </c>
    </row>
    <row r="26" spans="1:2" x14ac:dyDescent="0.25">
      <c r="A26" s="72" t="s">
        <v>249</v>
      </c>
    </row>
    <row r="27" spans="1:2" x14ac:dyDescent="0.25">
      <c r="A27" s="1" t="s">
        <v>250</v>
      </c>
      <c r="B27" s="152">
        <f>B22/B24</f>
        <v>0.96595316242671403</v>
      </c>
    </row>
    <row r="28" spans="1:2" x14ac:dyDescent="0.25">
      <c r="A28" s="1" t="s">
        <v>251</v>
      </c>
      <c r="B28" s="153">
        <f>B23/B24</f>
        <v>3.4046837573285936E-2</v>
      </c>
    </row>
    <row r="29" spans="1:2" x14ac:dyDescent="0.25">
      <c r="A29" s="1" t="s">
        <v>252</v>
      </c>
      <c r="B29" s="146">
        <f>B8+(B10*B11)</f>
        <v>0.1144869</v>
      </c>
    </row>
    <row r="30" spans="1:2" x14ac:dyDescent="0.25">
      <c r="A30" s="1" t="s">
        <v>253</v>
      </c>
      <c r="B30" s="146">
        <f>B19*(1-B18)</f>
        <v>2.3579374495514335E-2</v>
      </c>
    </row>
    <row r="31" spans="1:2" x14ac:dyDescent="0.25">
      <c r="A31" s="1" t="s">
        <v>249</v>
      </c>
      <c r="B31" s="154">
        <f>B27*B29+B28*B30</f>
        <v>0.11139178624495942</v>
      </c>
    </row>
    <row r="33" spans="1:18" x14ac:dyDescent="0.25">
      <c r="A33" s="72" t="s">
        <v>254</v>
      </c>
    </row>
    <row r="34" spans="1:18" x14ac:dyDescent="0.25">
      <c r="C34" s="216"/>
      <c r="D34" s="217" t="s">
        <v>255</v>
      </c>
      <c r="E34" s="218"/>
      <c r="F34" s="218"/>
      <c r="G34" s="218"/>
      <c r="H34" s="218"/>
      <c r="I34" s="217" t="s">
        <v>256</v>
      </c>
      <c r="J34" s="218"/>
      <c r="K34" s="218"/>
      <c r="L34" s="218"/>
      <c r="M34" s="219"/>
      <c r="N34" s="214" t="s">
        <v>257</v>
      </c>
    </row>
    <row r="35" spans="1:18" x14ac:dyDescent="0.25">
      <c r="C35" s="121"/>
      <c r="D35" s="215">
        <v>2024</v>
      </c>
      <c r="E35" s="215">
        <v>2025</v>
      </c>
      <c r="F35" s="215">
        <v>2026</v>
      </c>
      <c r="G35" s="215">
        <v>2027</v>
      </c>
      <c r="H35" s="215">
        <v>2028</v>
      </c>
      <c r="I35" s="215">
        <v>2029</v>
      </c>
      <c r="J35" s="215">
        <v>2030</v>
      </c>
      <c r="K35" s="215">
        <v>2031</v>
      </c>
      <c r="L35" s="215">
        <v>2032</v>
      </c>
      <c r="M35" s="215">
        <v>2033</v>
      </c>
      <c r="N35" s="215">
        <v>2034</v>
      </c>
    </row>
    <row r="36" spans="1:18" x14ac:dyDescent="0.25">
      <c r="A36" s="1" t="s">
        <v>258</v>
      </c>
      <c r="B36" s="155">
        <f>[3]IS!M27*(1-B18)</f>
        <v>3267.3739599730156</v>
      </c>
      <c r="C36" s="155"/>
      <c r="D36" s="155">
        <f>IS!N27*(1-'Cost Drivers'!N36)</f>
        <v>3506.6841157156136</v>
      </c>
      <c r="E36" s="155">
        <f>IS!O27*(1-'Cost Drivers'!O36)</f>
        <v>4114.3903312140092</v>
      </c>
      <c r="F36" s="155">
        <f>IS!P27*(1-'Cost Drivers'!P36)</f>
        <v>4821.7721484067815</v>
      </c>
      <c r="G36" s="155">
        <f>IS!Q27*(1-'Cost Drivers'!Q36)</f>
        <v>5680.4259465869836</v>
      </c>
      <c r="H36" s="155">
        <f>IS!R27*(1-'Cost Drivers'!R36)</f>
        <v>6763.4817596828825</v>
      </c>
      <c r="I36" s="155">
        <f>H36*(1+I42)</f>
        <v>7984.5041721300768</v>
      </c>
      <c r="J36" s="155">
        <f t="shared" ref="J36:M36" si="0">I36*(1+J42)</f>
        <v>9345.0535057855795</v>
      </c>
      <c r="K36" s="155">
        <f t="shared" si="0"/>
        <v>10842.746139999328</v>
      </c>
      <c r="L36" s="155">
        <f t="shared" si="0"/>
        <v>12470.599153660649</v>
      </c>
      <c r="M36" s="155">
        <f t="shared" si="0"/>
        <v>14216.483035173142</v>
      </c>
      <c r="N36" s="155"/>
    </row>
    <row r="37" spans="1:18" x14ac:dyDescent="0.25">
      <c r="A37" s="1" t="s">
        <v>259</v>
      </c>
      <c r="B37" s="155">
        <f>[3]IS!M26</f>
        <v>441</v>
      </c>
      <c r="C37" s="155"/>
      <c r="D37" s="155">
        <f>IS!N26</f>
        <v>519.49606757475794</v>
      </c>
      <c r="E37" s="155">
        <f>IS!O26</f>
        <v>515.86173598604375</v>
      </c>
      <c r="F37" s="155">
        <f>IS!P26</f>
        <v>525.92967920805268</v>
      </c>
      <c r="G37" s="155">
        <f>IS!Q26</f>
        <v>550.10310975153516</v>
      </c>
      <c r="H37" s="155">
        <f>IS!R26</f>
        <v>589.96990719407825</v>
      </c>
      <c r="I37" s="155">
        <f>$I$36*I45</f>
        <v>734.85625394070917</v>
      </c>
      <c r="J37" s="155">
        <f>$J$36*J45</f>
        <v>860.07482294358385</v>
      </c>
      <c r="K37" s="155">
        <f>$K$36*K45</f>
        <v>997.91541705016778</v>
      </c>
      <c r="L37" s="155">
        <f>$L$36*L45</f>
        <v>1147.7353610062023</v>
      </c>
      <c r="M37" s="155">
        <f>$M$36*M45</f>
        <v>1308.4183115470707</v>
      </c>
      <c r="N37" s="155"/>
    </row>
    <row r="38" spans="1:18" x14ac:dyDescent="0.25">
      <c r="A38" s="1" t="s">
        <v>260</v>
      </c>
      <c r="B38" s="155">
        <f>[3]BS!M10</f>
        <v>1343</v>
      </c>
      <c r="C38" s="155"/>
      <c r="D38" s="155">
        <f>CF!P45</f>
        <v>-461.89546034381505</v>
      </c>
      <c r="E38" s="155">
        <f>CF!Q45</f>
        <v>-533.64851148704076</v>
      </c>
      <c r="F38" s="155">
        <f>CF!R45</f>
        <v>-618.43647145757643</v>
      </c>
      <c r="G38" s="155">
        <f>CF!S45</f>
        <v>-722.41444774153615</v>
      </c>
      <c r="H38" s="155">
        <f>CF!T45</f>
        <v>-854.39636437889362</v>
      </c>
      <c r="I38" s="155">
        <f t="shared" ref="I38:I39" si="1">$I$36*I46</f>
        <v>-1012.0400392553936</v>
      </c>
      <c r="J38" s="155">
        <f t="shared" ref="J38:J39" si="2">$J$36*J46</f>
        <v>-1184.4903719695767</v>
      </c>
      <c r="K38" s="155">
        <f t="shared" ref="K38:K39" si="3">$K$36*K46</f>
        <v>-1374.3236890605533</v>
      </c>
      <c r="L38" s="155">
        <f t="shared" ref="L38:L39" si="4">$L$36*L46</f>
        <v>-1580.654901660861</v>
      </c>
      <c r="M38" s="155">
        <f t="shared" ref="M38:M39" si="5">$M$36*M46</f>
        <v>-1801.9465878933818</v>
      </c>
      <c r="N38" s="155"/>
    </row>
    <row r="39" spans="1:18" x14ac:dyDescent="0.25">
      <c r="A39" s="1" t="s">
        <v>261</v>
      </c>
      <c r="B39" s="155"/>
      <c r="C39" s="155"/>
      <c r="D39" s="155">
        <f>SUM(CF!P29,CF!P30,CF!P36)</f>
        <v>195.21470070473197</v>
      </c>
      <c r="E39" s="155">
        <f>SUM(CF!Q29,CF!Q30,CF!Q36)</f>
        <v>-5570.3664438041478</v>
      </c>
      <c r="F39" s="155">
        <f>SUM(CF!R29,CF!R30,CF!R36)</f>
        <v>-838.52288984560755</v>
      </c>
      <c r="G39" s="155">
        <f>SUM(CF!S29,CF!S30,CF!S36)</f>
        <v>-7074.4927191762145</v>
      </c>
      <c r="H39" s="155">
        <f>SUM(CF!T29,CF!T30,CF!T36)</f>
        <v>-3024.421411030944</v>
      </c>
      <c r="I39" s="155">
        <f t="shared" si="1"/>
        <v>-6757.2267480298306</v>
      </c>
      <c r="J39" s="155">
        <f t="shared" si="2"/>
        <v>-7908.6495729412627</v>
      </c>
      <c r="K39" s="155">
        <f t="shared" si="3"/>
        <v>-9176.135757438622</v>
      </c>
      <c r="L39" s="155">
        <f t="shared" si="4"/>
        <v>-10553.775707101115</v>
      </c>
      <c r="M39" s="155">
        <f t="shared" si="5"/>
        <v>-12031.304306095273</v>
      </c>
      <c r="N39" s="155"/>
    </row>
    <row r="40" spans="1:18" x14ac:dyDescent="0.25">
      <c r="A40" s="1" t="s">
        <v>262</v>
      </c>
      <c r="B40" s="156"/>
      <c r="C40" s="156"/>
      <c r="D40" s="156">
        <f>SUM(D36:D39)</f>
        <v>3759.4994236512885</v>
      </c>
      <c r="E40" s="156">
        <f t="shared" ref="E40:H40" si="6">SUM(E36:E39)</f>
        <v>-1473.7628880911361</v>
      </c>
      <c r="F40" s="156">
        <f t="shared" si="6"/>
        <v>3890.7424663116494</v>
      </c>
      <c r="G40" s="156">
        <f t="shared" si="6"/>
        <v>-1566.3781105792314</v>
      </c>
      <c r="H40" s="156">
        <f t="shared" si="6"/>
        <v>3474.6338914671232</v>
      </c>
      <c r="I40" s="156">
        <f t="shared" ref="I40" si="7">SUM(I36:I39)</f>
        <v>950.09363878556087</v>
      </c>
      <c r="J40" s="156">
        <f t="shared" ref="J40" si="8">SUM(J36:J39)</f>
        <v>1111.9883838183241</v>
      </c>
      <c r="K40" s="156">
        <f t="shared" ref="K40" si="9">SUM(K36:K39)</f>
        <v>1290.2021105503209</v>
      </c>
      <c r="L40" s="156">
        <f t="shared" ref="L40" si="10">SUM(L36:L39)</f>
        <v>1483.9039059048755</v>
      </c>
      <c r="M40" s="156">
        <f t="shared" ref="M40" si="11">SUM(M36:M39)</f>
        <v>1691.6504527315574</v>
      </c>
      <c r="N40" s="156"/>
    </row>
    <row r="41" spans="1:18" x14ac:dyDescent="0.25">
      <c r="A41" s="1"/>
    </row>
    <row r="42" spans="1:18" x14ac:dyDescent="0.25">
      <c r="A42" s="1" t="s">
        <v>263</v>
      </c>
      <c r="E42" s="220">
        <f>E36/D36-1</f>
        <v>0.17329938923636989</v>
      </c>
      <c r="F42" s="220">
        <f t="shared" ref="F42:H42" si="12">F36/E36-1</f>
        <v>0.17192870881165256</v>
      </c>
      <c r="G42" s="220">
        <f t="shared" si="12"/>
        <v>0.17807846819637052</v>
      </c>
      <c r="H42" s="220">
        <f t="shared" si="12"/>
        <v>0.19066454228606577</v>
      </c>
      <c r="I42" s="158">
        <f>H42-($H$42-14%)/5</f>
        <v>0.18053163382885262</v>
      </c>
      <c r="J42" s="158">
        <f t="shared" ref="J42:M42" si="13">I42-($H$42-14%)/5</f>
        <v>0.17039872537163947</v>
      </c>
      <c r="K42" s="158">
        <f t="shared" si="13"/>
        <v>0.16026581691442632</v>
      </c>
      <c r="L42" s="158">
        <f t="shared" si="13"/>
        <v>0.15013290845721317</v>
      </c>
      <c r="M42" s="158">
        <f t="shared" si="13"/>
        <v>0.14000000000000001</v>
      </c>
      <c r="N42" s="159"/>
      <c r="R42" s="160"/>
    </row>
    <row r="43" spans="1:18" x14ac:dyDescent="0.25">
      <c r="A43" s="1"/>
      <c r="I43" s="5"/>
    </row>
    <row r="44" spans="1:18" x14ac:dyDescent="0.25">
      <c r="A44" s="72" t="s">
        <v>264</v>
      </c>
    </row>
    <row r="45" spans="1:18" x14ac:dyDescent="0.25">
      <c r="A45" s="1" t="s">
        <v>265</v>
      </c>
      <c r="D45" s="157">
        <f>D37/D36</f>
        <v>0.14814452925673452</v>
      </c>
      <c r="E45" s="157">
        <f t="shared" ref="E45:H45" si="14">E37/E36</f>
        <v>0.12537987270493886</v>
      </c>
      <c r="F45" s="157">
        <f t="shared" si="14"/>
        <v>0.10907393858953524</v>
      </c>
      <c r="G45" s="157">
        <f t="shared" si="14"/>
        <v>9.6841876810674396E-2</v>
      </c>
      <c r="H45" s="157">
        <f t="shared" si="14"/>
        <v>8.7228727474492368E-2</v>
      </c>
      <c r="I45" s="57">
        <f>AVERAGE(G45:H45)</f>
        <v>9.2035302142583375E-2</v>
      </c>
      <c r="J45" s="57">
        <f>I45</f>
        <v>9.2035302142583375E-2</v>
      </c>
      <c r="K45" s="57">
        <f t="shared" ref="K45:M45" si="15">J45</f>
        <v>9.2035302142583375E-2</v>
      </c>
      <c r="L45" s="57">
        <f t="shared" si="15"/>
        <v>9.2035302142583375E-2</v>
      </c>
      <c r="M45" s="57">
        <f t="shared" si="15"/>
        <v>9.2035302142583375E-2</v>
      </c>
      <c r="N45" s="57"/>
      <c r="R45" s="57"/>
    </row>
    <row r="46" spans="1:18" x14ac:dyDescent="0.25">
      <c r="A46" s="1" t="s">
        <v>266</v>
      </c>
      <c r="D46" s="157">
        <f>D38/D36</f>
        <v>-0.13171858231363831</v>
      </c>
      <c r="E46" s="157">
        <f t="shared" ref="E46:H46" si="16">E38/E36</f>
        <v>-0.12970293738017322</v>
      </c>
      <c r="F46" s="157">
        <f t="shared" si="16"/>
        <v>-0.12825916539045115</v>
      </c>
      <c r="G46" s="157">
        <f t="shared" si="16"/>
        <v>-0.12717610519605319</v>
      </c>
      <c r="H46" s="157">
        <f t="shared" si="16"/>
        <v>-0.12632493066987341</v>
      </c>
      <c r="I46" s="57">
        <f t="shared" ref="I46:I47" si="17">AVERAGE(G46:H46)</f>
        <v>-0.1267505179329633</v>
      </c>
      <c r="J46" s="57">
        <f t="shared" ref="J46:M47" si="18">I46</f>
        <v>-0.1267505179329633</v>
      </c>
      <c r="K46" s="57">
        <f t="shared" si="18"/>
        <v>-0.1267505179329633</v>
      </c>
      <c r="L46" s="57">
        <f t="shared" si="18"/>
        <v>-0.1267505179329633</v>
      </c>
      <c r="M46" s="57">
        <f t="shared" si="18"/>
        <v>-0.1267505179329633</v>
      </c>
      <c r="N46" s="57"/>
      <c r="R46" s="57"/>
    </row>
    <row r="47" spans="1:18" x14ac:dyDescent="0.25">
      <c r="A47" s="1" t="s">
        <v>261</v>
      </c>
      <c r="D47" s="157">
        <f>D39/D36</f>
        <v>5.566931444718802E-2</v>
      </c>
      <c r="E47" s="157">
        <f t="shared" ref="E47:H47" si="19">E39/E36</f>
        <v>-1.3538740847080817</v>
      </c>
      <c r="F47" s="157">
        <f t="shared" si="19"/>
        <v>-0.17390346620229116</v>
      </c>
      <c r="G47" s="157">
        <f t="shared" si="19"/>
        <v>-1.2454158870650958</v>
      </c>
      <c r="H47" s="157">
        <f t="shared" si="19"/>
        <v>-0.44716930103360686</v>
      </c>
      <c r="I47" s="57">
        <f t="shared" si="17"/>
        <v>-0.84629259404935131</v>
      </c>
      <c r="J47" s="57">
        <f t="shared" si="18"/>
        <v>-0.84629259404935131</v>
      </c>
      <c r="K47" s="57">
        <f t="shared" si="18"/>
        <v>-0.84629259404935131</v>
      </c>
      <c r="L47" s="57">
        <f t="shared" si="18"/>
        <v>-0.84629259404935131</v>
      </c>
      <c r="M47" s="57">
        <f t="shared" si="18"/>
        <v>-0.84629259404935131</v>
      </c>
      <c r="N47" s="57"/>
      <c r="R47" s="57"/>
    </row>
    <row r="48" spans="1:18" x14ac:dyDescent="0.25">
      <c r="A48" s="1"/>
      <c r="D48" s="157"/>
      <c r="E48" s="157"/>
      <c r="F48" s="157"/>
      <c r="G48" s="157"/>
      <c r="H48" s="157"/>
      <c r="I48" s="75"/>
    </row>
    <row r="49" spans="1:14" x14ac:dyDescent="0.25">
      <c r="A49" s="1" t="s">
        <v>262</v>
      </c>
      <c r="D49" s="161">
        <f>D40</f>
        <v>3759.4994236512885</v>
      </c>
      <c r="E49" s="161">
        <f t="shared" ref="E49:M49" si="20">E40</f>
        <v>-1473.7628880911361</v>
      </c>
      <c r="F49" s="161">
        <f t="shared" si="20"/>
        <v>3890.7424663116494</v>
      </c>
      <c r="G49" s="161">
        <f t="shared" si="20"/>
        <v>-1566.3781105792314</v>
      </c>
      <c r="H49" s="161">
        <f t="shared" si="20"/>
        <v>3474.6338914671232</v>
      </c>
      <c r="I49" s="161">
        <f t="shared" si="20"/>
        <v>950.09363878556087</v>
      </c>
      <c r="J49" s="161">
        <f t="shared" si="20"/>
        <v>1111.9883838183241</v>
      </c>
      <c r="K49" s="161">
        <f t="shared" si="20"/>
        <v>1290.2021105503209</v>
      </c>
      <c r="L49" s="161">
        <f t="shared" si="20"/>
        <v>1483.9039059048755</v>
      </c>
      <c r="M49" s="161">
        <f t="shared" si="20"/>
        <v>1691.6504527315574</v>
      </c>
      <c r="N49" s="161">
        <f>M49*(1+B7)</f>
        <v>1794.8411303481823</v>
      </c>
    </row>
    <row r="50" spans="1:14" x14ac:dyDescent="0.25">
      <c r="A50" s="1" t="s">
        <v>267</v>
      </c>
      <c r="D50" s="161"/>
      <c r="E50" s="161"/>
      <c r="F50" s="161"/>
      <c r="G50" s="161"/>
      <c r="H50" s="161"/>
      <c r="I50" s="161"/>
      <c r="J50" s="161"/>
      <c r="K50" s="161"/>
      <c r="L50" s="161"/>
      <c r="N50" s="162">
        <f>N49/(B31-B7)</f>
        <v>35617.731858586703</v>
      </c>
    </row>
    <row r="51" spans="1:14" x14ac:dyDescent="0.25">
      <c r="A51" s="1" t="s">
        <v>268</v>
      </c>
      <c r="D51" s="163">
        <f>SUM(D49:D50)</f>
        <v>3759.4994236512885</v>
      </c>
      <c r="E51" s="163">
        <f t="shared" ref="E51:N51" si="21">SUM(E49:E50)</f>
        <v>-1473.7628880911361</v>
      </c>
      <c r="F51" s="163">
        <f t="shared" si="21"/>
        <v>3890.7424663116494</v>
      </c>
      <c r="G51" s="163">
        <f t="shared" si="21"/>
        <v>-1566.3781105792314</v>
      </c>
      <c r="H51" s="163">
        <f t="shared" si="21"/>
        <v>3474.6338914671232</v>
      </c>
      <c r="I51" s="163">
        <f t="shared" si="21"/>
        <v>950.09363878556087</v>
      </c>
      <c r="J51" s="163">
        <f t="shared" si="21"/>
        <v>1111.9883838183241</v>
      </c>
      <c r="K51" s="163">
        <f t="shared" si="21"/>
        <v>1290.2021105503209</v>
      </c>
      <c r="L51" s="163">
        <f t="shared" si="21"/>
        <v>1483.9039059048755</v>
      </c>
      <c r="M51" s="163">
        <f t="shared" si="21"/>
        <v>1691.6504527315574</v>
      </c>
      <c r="N51" s="163">
        <f t="shared" si="21"/>
        <v>37412.572988934888</v>
      </c>
    </row>
    <row r="52" spans="1:14" x14ac:dyDescent="0.25">
      <c r="A52" s="1"/>
    </row>
    <row r="53" spans="1:14" x14ac:dyDescent="0.25">
      <c r="A53" s="1" t="s">
        <v>269</v>
      </c>
      <c r="B53" s="164">
        <f>NPV(B31,D51:N51)</f>
        <v>20505.412544819399</v>
      </c>
      <c r="C53" s="165"/>
    </row>
    <row r="54" spans="1:14" x14ac:dyDescent="0.25">
      <c r="A54" t="s">
        <v>270</v>
      </c>
      <c r="B54" s="166">
        <f>-B23</f>
        <v>-9367</v>
      </c>
      <c r="C54" s="165"/>
    </row>
    <row r="55" spans="1:14" x14ac:dyDescent="0.25">
      <c r="A55" t="s">
        <v>271</v>
      </c>
      <c r="B55" s="166">
        <f>B16</f>
        <v>232</v>
      </c>
      <c r="C55" s="165"/>
    </row>
    <row r="56" spans="1:14" x14ac:dyDescent="0.25">
      <c r="A56" s="1" t="s">
        <v>272</v>
      </c>
      <c r="B56" s="166">
        <f>SUM(B53:B55)</f>
        <v>11370.412544819399</v>
      </c>
      <c r="C56" s="165"/>
    </row>
    <row r="57" spans="1:14" x14ac:dyDescent="0.25">
      <c r="B57" s="167"/>
    </row>
    <row r="58" spans="1:14" x14ac:dyDescent="0.25">
      <c r="A58" s="1" t="s">
        <v>273</v>
      </c>
      <c r="B58" s="167">
        <f>B56/B17</f>
        <v>127.75744432381347</v>
      </c>
      <c r="C58" s="165"/>
      <c r="E58" s="168"/>
    </row>
    <row r="60" spans="1:14" x14ac:dyDescent="0.25">
      <c r="A60" s="1" t="s">
        <v>274</v>
      </c>
      <c r="B60" s="169"/>
      <c r="C60" s="53"/>
    </row>
    <row r="61" spans="1:14" ht="15.75" thickBot="1" x14ac:dyDescent="0.3"/>
    <row r="62" spans="1:14" ht="19.5" thickBot="1" x14ac:dyDescent="0.35">
      <c r="A62" s="170" t="s">
        <v>275</v>
      </c>
      <c r="B62" s="171" t="str">
        <f>IF(B60&lt;5%,"SELL",IF(B60&gt;12%,"BUY","HOLD"))</f>
        <v>SELL</v>
      </c>
      <c r="C62" s="8"/>
    </row>
    <row r="67" spans="5:5" x14ac:dyDescent="0.25">
      <c r="E67" s="172"/>
    </row>
  </sheetData>
  <conditionalFormatting sqref="B62:C62">
    <cfRule type="containsText" dxfId="2" priority="1" operator="containsText" text="HOLD">
      <formula>NOT(ISERROR(SEARCH("HOLD",B62)))</formula>
    </cfRule>
    <cfRule type="containsText" dxfId="1" priority="2" operator="containsText" text="BUY">
      <formula>NOT(ISERROR(SEARCH("BUY",B62)))</formula>
    </cfRule>
    <cfRule type="containsText" dxfId="0" priority="3" operator="containsText" text="SELL">
      <formula>NOT(ISERROR(SEARCH("SELL",B62)))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4"/>
  <sheetViews>
    <sheetView showGridLines="0" workbookViewId="0">
      <selection activeCell="B1" sqref="B1"/>
    </sheetView>
  </sheetViews>
  <sheetFormatPr defaultRowHeight="15" x14ac:dyDescent="0.25"/>
  <sheetData>
    <row r="2" spans="2:18" x14ac:dyDescent="0.25">
      <c r="B2" t="s">
        <v>367</v>
      </c>
    </row>
    <row r="3" spans="2:18" x14ac:dyDescent="0.25">
      <c r="B3" t="s">
        <v>366</v>
      </c>
      <c r="G3" t="s">
        <v>365</v>
      </c>
      <c r="Q3" t="s">
        <v>364</v>
      </c>
    </row>
    <row r="4" spans="2:18" x14ac:dyDescent="0.25">
      <c r="G4" t="s">
        <v>363</v>
      </c>
      <c r="Q4" t="s">
        <v>362</v>
      </c>
      <c r="R4" t="s">
        <v>361</v>
      </c>
    </row>
    <row r="5" spans="2:18" x14ac:dyDescent="0.25">
      <c r="B5" t="s">
        <v>360</v>
      </c>
      <c r="G5" t="s">
        <v>359</v>
      </c>
      <c r="K5" t="s">
        <v>358</v>
      </c>
      <c r="Q5" t="s">
        <v>357</v>
      </c>
    </row>
    <row r="6" spans="2:18" x14ac:dyDescent="0.25">
      <c r="G6" t="s">
        <v>356</v>
      </c>
      <c r="K6" t="s">
        <v>355</v>
      </c>
      <c r="Q6" t="s">
        <v>354</v>
      </c>
    </row>
    <row r="7" spans="2:18" x14ac:dyDescent="0.25">
      <c r="B7" t="s">
        <v>353</v>
      </c>
      <c r="G7" t="s">
        <v>352</v>
      </c>
      <c r="K7" t="s">
        <v>351</v>
      </c>
    </row>
    <row r="8" spans="2:18" x14ac:dyDescent="0.25">
      <c r="B8" t="s">
        <v>350</v>
      </c>
      <c r="G8" t="s">
        <v>349</v>
      </c>
      <c r="K8" t="s">
        <v>348</v>
      </c>
    </row>
    <row r="9" spans="2:18" x14ac:dyDescent="0.25">
      <c r="B9" t="s">
        <v>347</v>
      </c>
      <c r="G9" t="s">
        <v>346</v>
      </c>
      <c r="K9" t="s">
        <v>345</v>
      </c>
    </row>
    <row r="11" spans="2:18" x14ac:dyDescent="0.25">
      <c r="B11" t="s">
        <v>344</v>
      </c>
    </row>
    <row r="12" spans="2:18" x14ac:dyDescent="0.25">
      <c r="B12" t="s">
        <v>343</v>
      </c>
    </row>
    <row r="14" spans="2:18" x14ac:dyDescent="0.25">
      <c r="B14" t="s">
        <v>342</v>
      </c>
    </row>
    <row r="16" spans="2:18" x14ac:dyDescent="0.25">
      <c r="B16" t="s">
        <v>341</v>
      </c>
    </row>
    <row r="17" spans="2:13" x14ac:dyDescent="0.25">
      <c r="B17" t="s">
        <v>340</v>
      </c>
    </row>
    <row r="19" spans="2:13" x14ac:dyDescent="0.25">
      <c r="B19" t="s">
        <v>339</v>
      </c>
    </row>
    <row r="20" spans="2:13" ht="15.75" x14ac:dyDescent="0.25">
      <c r="B20" t="s">
        <v>338</v>
      </c>
      <c r="M20" s="176"/>
    </row>
    <row r="23" spans="2:13" x14ac:dyDescent="0.25">
      <c r="G23" t="s">
        <v>337</v>
      </c>
      <c r="J23" t="s">
        <v>336</v>
      </c>
    </row>
    <row r="25" spans="2:13" x14ac:dyDescent="0.25">
      <c r="B25" s="1" t="s">
        <v>335</v>
      </c>
    </row>
    <row r="26" spans="2:13" x14ac:dyDescent="0.25">
      <c r="B26" t="s">
        <v>334</v>
      </c>
      <c r="F26" t="s">
        <v>333</v>
      </c>
    </row>
    <row r="27" spans="2:13" x14ac:dyDescent="0.25">
      <c r="B27" t="s">
        <v>332</v>
      </c>
      <c r="F27" t="s">
        <v>331</v>
      </c>
    </row>
    <row r="28" spans="2:13" x14ac:dyDescent="0.25">
      <c r="B28" t="s">
        <v>330</v>
      </c>
      <c r="F28" t="s">
        <v>329</v>
      </c>
    </row>
    <row r="29" spans="2:13" x14ac:dyDescent="0.25">
      <c r="B29" t="s">
        <v>328</v>
      </c>
    </row>
    <row r="30" spans="2:13" x14ac:dyDescent="0.25">
      <c r="B30" t="s">
        <v>327</v>
      </c>
      <c r="F30" t="s">
        <v>326</v>
      </c>
    </row>
    <row r="35" spans="2:13" ht="15.75" x14ac:dyDescent="0.25">
      <c r="B35" t="s">
        <v>325</v>
      </c>
      <c r="I35" s="176"/>
      <c r="J35" s="174" t="s">
        <v>324</v>
      </c>
    </row>
    <row r="36" spans="2:13" x14ac:dyDescent="0.25">
      <c r="B36" t="s">
        <v>323</v>
      </c>
      <c r="H36" t="s">
        <v>322</v>
      </c>
    </row>
    <row r="38" spans="2:13" x14ac:dyDescent="0.25">
      <c r="B38" t="s">
        <v>321</v>
      </c>
      <c r="G38" t="s">
        <v>320</v>
      </c>
    </row>
    <row r="39" spans="2:13" x14ac:dyDescent="0.25">
      <c r="B39" t="s">
        <v>319</v>
      </c>
    </row>
    <row r="40" spans="2:13" x14ac:dyDescent="0.25">
      <c r="B40" t="s">
        <v>318</v>
      </c>
      <c r="G40" t="s">
        <v>317</v>
      </c>
    </row>
    <row r="41" spans="2:13" x14ac:dyDescent="0.25">
      <c r="B41" t="s">
        <v>316</v>
      </c>
    </row>
    <row r="43" spans="2:13" x14ac:dyDescent="0.25">
      <c r="B43" t="s">
        <v>315</v>
      </c>
    </row>
    <row r="44" spans="2:13" x14ac:dyDescent="0.25">
      <c r="B44" t="s">
        <v>314</v>
      </c>
    </row>
    <row r="45" spans="2:13" x14ac:dyDescent="0.25">
      <c r="B45" t="s">
        <v>313</v>
      </c>
    </row>
    <row r="48" spans="2:13" ht="21" x14ac:dyDescent="0.35">
      <c r="B48" s="175" t="s">
        <v>312</v>
      </c>
      <c r="J48" t="s">
        <v>311</v>
      </c>
      <c r="K48" s="174" t="s">
        <v>310</v>
      </c>
      <c r="L48" s="174"/>
      <c r="M48" s="174"/>
    </row>
    <row r="49" spans="2:18" x14ac:dyDescent="0.25">
      <c r="K49" s="174"/>
      <c r="L49" s="174"/>
      <c r="M49" s="174"/>
    </row>
    <row r="50" spans="2:18" x14ac:dyDescent="0.25">
      <c r="B50" t="s">
        <v>309</v>
      </c>
      <c r="E50" t="s">
        <v>308</v>
      </c>
      <c r="K50" s="174" t="s">
        <v>307</v>
      </c>
      <c r="L50" s="174"/>
      <c r="M50" s="174"/>
    </row>
    <row r="52" spans="2:18" x14ac:dyDescent="0.25">
      <c r="B52" t="s">
        <v>306</v>
      </c>
      <c r="K52" t="s">
        <v>305</v>
      </c>
    </row>
    <row r="53" spans="2:18" x14ac:dyDescent="0.25">
      <c r="B53" t="s">
        <v>304</v>
      </c>
    </row>
    <row r="54" spans="2:18" x14ac:dyDescent="0.25">
      <c r="B54" t="s">
        <v>303</v>
      </c>
      <c r="K54" t="s">
        <v>302</v>
      </c>
      <c r="L54" t="s">
        <v>301</v>
      </c>
      <c r="M54">
        <v>50</v>
      </c>
      <c r="O54" t="s">
        <v>300</v>
      </c>
    </row>
    <row r="55" spans="2:18" x14ac:dyDescent="0.25">
      <c r="L55" t="s">
        <v>299</v>
      </c>
      <c r="M55">
        <v>30</v>
      </c>
      <c r="Q55" t="s">
        <v>298</v>
      </c>
    </row>
    <row r="56" spans="2:18" x14ac:dyDescent="0.25">
      <c r="Q56" t="s">
        <v>297</v>
      </c>
      <c r="R56" s="75">
        <v>0.09</v>
      </c>
    </row>
    <row r="57" spans="2:18" x14ac:dyDescent="0.25">
      <c r="K57" t="s">
        <v>296</v>
      </c>
      <c r="L57" t="s">
        <v>295</v>
      </c>
      <c r="Q57">
        <v>0.108</v>
      </c>
    </row>
    <row r="58" spans="2:18" x14ac:dyDescent="0.25">
      <c r="C58" t="s">
        <v>220</v>
      </c>
      <c r="E58" t="s">
        <v>294</v>
      </c>
      <c r="Q58" s="137">
        <v>0.16800000000000001</v>
      </c>
    </row>
    <row r="59" spans="2:18" x14ac:dyDescent="0.25">
      <c r="E59" t="s">
        <v>293</v>
      </c>
      <c r="J59" t="s">
        <v>292</v>
      </c>
    </row>
    <row r="60" spans="2:18" x14ac:dyDescent="0.25">
      <c r="J60" s="75">
        <v>0.1</v>
      </c>
      <c r="L60" s="75">
        <v>0.12</v>
      </c>
    </row>
    <row r="61" spans="2:18" x14ac:dyDescent="0.25">
      <c r="B61" t="s">
        <v>291</v>
      </c>
      <c r="K61">
        <v>1.2</v>
      </c>
    </row>
    <row r="62" spans="2:18" x14ac:dyDescent="0.25">
      <c r="B62" s="137">
        <f>Q58</f>
        <v>0.16800000000000001</v>
      </c>
      <c r="J62" s="75">
        <v>0.2</v>
      </c>
      <c r="L62" s="75">
        <v>0.24</v>
      </c>
    </row>
    <row r="65" spans="2:11" x14ac:dyDescent="0.25">
      <c r="B65" t="s">
        <v>287</v>
      </c>
    </row>
    <row r="66" spans="2:11" x14ac:dyDescent="0.25">
      <c r="B66" t="s">
        <v>290</v>
      </c>
    </row>
    <row r="68" spans="2:11" x14ac:dyDescent="0.25">
      <c r="C68" t="s">
        <v>262</v>
      </c>
      <c r="I68" t="s">
        <v>289</v>
      </c>
      <c r="J68" t="s">
        <v>288</v>
      </c>
    </row>
    <row r="69" spans="2:11" x14ac:dyDescent="0.25">
      <c r="H69" t="s">
        <v>287</v>
      </c>
      <c r="I69" s="75">
        <v>0.6</v>
      </c>
      <c r="J69" s="137">
        <f>B62</f>
        <v>0.16800000000000001</v>
      </c>
      <c r="K69" s="173">
        <f>I69*J69</f>
        <v>0.1008</v>
      </c>
    </row>
    <row r="70" spans="2:11" x14ac:dyDescent="0.25">
      <c r="B70" t="s">
        <v>249</v>
      </c>
      <c r="H70" t="s">
        <v>286</v>
      </c>
      <c r="I70" s="75">
        <v>0.4</v>
      </c>
      <c r="J70" s="75">
        <v>0.12</v>
      </c>
      <c r="K70" s="173">
        <f>I70*J70</f>
        <v>4.8000000000000001E-2</v>
      </c>
    </row>
    <row r="71" spans="2:11" x14ac:dyDescent="0.25">
      <c r="K71" s="173">
        <f>SUM(K69:K70)</f>
        <v>0.14879999999999999</v>
      </c>
    </row>
    <row r="75" spans="2:11" x14ac:dyDescent="0.25">
      <c r="B75" t="s">
        <v>285</v>
      </c>
      <c r="E75">
        <v>1000</v>
      </c>
    </row>
    <row r="76" spans="2:11" x14ac:dyDescent="0.25">
      <c r="C76" t="s">
        <v>284</v>
      </c>
      <c r="E76">
        <v>200</v>
      </c>
    </row>
    <row r="77" spans="2:11" x14ac:dyDescent="0.25">
      <c r="C77" t="s">
        <v>284</v>
      </c>
      <c r="E77">
        <v>800</v>
      </c>
    </row>
    <row r="90" spans="2:6" x14ac:dyDescent="0.25">
      <c r="B90" s="10" t="s">
        <v>283</v>
      </c>
    </row>
    <row r="91" spans="2:6" x14ac:dyDescent="0.25">
      <c r="B91" t="s">
        <v>282</v>
      </c>
      <c r="F91" t="s">
        <v>281</v>
      </c>
    </row>
    <row r="92" spans="2:6" x14ac:dyDescent="0.25">
      <c r="B92" t="s">
        <v>280</v>
      </c>
      <c r="F92" t="s">
        <v>279</v>
      </c>
    </row>
    <row r="93" spans="2:6" x14ac:dyDescent="0.25">
      <c r="B93" t="s">
        <v>278</v>
      </c>
      <c r="F93" t="s">
        <v>277</v>
      </c>
    </row>
    <row r="94" spans="2:6" x14ac:dyDescent="0.25">
      <c r="B94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</vt:lpstr>
      <vt:lpstr>BS</vt:lpstr>
      <vt:lpstr>CF</vt:lpstr>
      <vt:lpstr>Revenue Drivers</vt:lpstr>
      <vt:lpstr>Cost Drivers</vt:lpstr>
      <vt:lpstr>Asset Schedule</vt:lpstr>
      <vt:lpstr>Valuation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s</dc:creator>
  <cp:lastModifiedBy>RISSHIKAA</cp:lastModifiedBy>
  <cp:lastPrinted>2023-02-02T16:33:22Z</cp:lastPrinted>
  <dcterms:created xsi:type="dcterms:W3CDTF">2022-12-21T00:09:30Z</dcterms:created>
  <dcterms:modified xsi:type="dcterms:W3CDTF">2023-08-07T11:02:34Z</dcterms:modified>
</cp:coreProperties>
</file>