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har\Downloads\"/>
    </mc:Choice>
  </mc:AlternateContent>
  <xr:revisionPtr revIDLastSave="0" documentId="13_ncr:1_{D3515FDE-CAFA-4696-8740-03D4436E2F0E}" xr6:coauthVersionLast="47" xr6:coauthVersionMax="47" xr10:uidLastSave="{00000000-0000-0000-0000-000000000000}"/>
  <bookViews>
    <workbookView minimized="1" xWindow="4668" yWindow="1884" windowWidth="17280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4" r:id="rId4"/>
  </pivotCaches>
</workbook>
</file>

<file path=xl/calcChain.xml><?xml version="1.0" encoding="utf-8"?>
<calcChain xmlns="http://schemas.openxmlformats.org/spreadsheetml/2006/main">
  <c r="C385" i="1" l="1"/>
  <c r="C384" i="1"/>
  <c r="C386" i="1"/>
  <c r="C387" i="1"/>
  <c r="C388" i="1"/>
  <c r="C389" i="1"/>
  <c r="C390" i="1"/>
  <c r="C391" i="1"/>
  <c r="C392" i="1"/>
  <c r="C393" i="1"/>
  <c r="C366" i="1"/>
  <c r="C364" i="1"/>
  <c r="E361" i="1"/>
  <c r="E362" i="1"/>
  <c r="D361" i="1"/>
  <c r="D362" i="1"/>
  <c r="D360" i="1"/>
  <c r="E360" i="1"/>
  <c r="C361" i="1"/>
  <c r="C362" i="1"/>
  <c r="C360" i="1"/>
  <c r="E350" i="1"/>
  <c r="E351" i="1"/>
  <c r="E349" i="1"/>
  <c r="E325" i="1"/>
  <c r="D102" i="1"/>
  <c r="C102" i="1"/>
  <c r="D101" i="1"/>
  <c r="C101" i="1"/>
  <c r="G99" i="1"/>
  <c r="E93" i="1"/>
  <c r="E94" i="1"/>
  <c r="E95" i="1"/>
  <c r="E96" i="1"/>
  <c r="E92" i="1"/>
  <c r="D98" i="1"/>
  <c r="C98" i="1"/>
  <c r="D97" i="1"/>
  <c r="C97" i="1"/>
  <c r="C812" i="1"/>
  <c r="C813" i="1" s="1"/>
  <c r="C789" i="1"/>
  <c r="C790" i="1" s="1"/>
  <c r="C767" i="1"/>
  <c r="C768" i="1" s="1"/>
  <c r="C655" i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D623" i="1"/>
  <c r="D624" i="1" s="1"/>
  <c r="D625" i="1" s="1"/>
  <c r="D626" i="1" s="1"/>
  <c r="C591" i="1"/>
  <c r="C590" i="1"/>
  <c r="C552" i="1"/>
  <c r="C551" i="1"/>
  <c r="C543" i="1"/>
  <c r="C544" i="1" s="1"/>
  <c r="C545" i="1" s="1"/>
  <c r="C542" i="1"/>
  <c r="C508" i="1"/>
  <c r="C507" i="1"/>
  <c r="E499" i="1" s="1"/>
  <c r="C506" i="1"/>
  <c r="E450" i="1"/>
  <c r="E451" i="1"/>
  <c r="E452" i="1"/>
  <c r="E453" i="1"/>
  <c r="E454" i="1"/>
  <c r="E455" i="1"/>
  <c r="E456" i="1"/>
  <c r="E457" i="1"/>
  <c r="E458" i="1"/>
  <c r="E449" i="1"/>
  <c r="G61" i="1"/>
  <c r="D450" i="1"/>
  <c r="D451" i="1"/>
  <c r="D452" i="1"/>
  <c r="D453" i="1"/>
  <c r="D454" i="1"/>
  <c r="D455" i="1"/>
  <c r="D456" i="1"/>
  <c r="D457" i="1"/>
  <c r="D458" i="1"/>
  <c r="D449" i="1"/>
  <c r="C464" i="1"/>
  <c r="C463" i="1"/>
  <c r="C462" i="1"/>
  <c r="C418" i="1"/>
  <c r="C419" i="1"/>
  <c r="C420" i="1"/>
  <c r="C421" i="1"/>
  <c r="C422" i="1"/>
  <c r="C423" i="1"/>
  <c r="C424" i="1"/>
  <c r="C425" i="1"/>
  <c r="C426" i="1"/>
  <c r="C417" i="1"/>
  <c r="C429" i="1"/>
  <c r="C428" i="1"/>
  <c r="C398" i="1"/>
  <c r="C395" i="1"/>
  <c r="C400" i="1" s="1"/>
  <c r="D352" i="1"/>
  <c r="C352" i="1"/>
  <c r="B352" i="1"/>
  <c r="E328" i="1"/>
  <c r="F328" i="1" s="1"/>
  <c r="E327" i="1"/>
  <c r="F327" i="1" s="1"/>
  <c r="E326" i="1"/>
  <c r="F326" i="1" s="1"/>
  <c r="D269" i="1"/>
  <c r="D270" i="1"/>
  <c r="D271" i="1"/>
  <c r="D272" i="1"/>
  <c r="D273" i="1"/>
  <c r="D274" i="1"/>
  <c r="D275" i="1"/>
  <c r="D268" i="1"/>
  <c r="F186" i="1"/>
  <c r="F187" i="1"/>
  <c r="F188" i="1"/>
  <c r="F189" i="1"/>
  <c r="F185" i="1"/>
  <c r="E186" i="1"/>
  <c r="E187" i="1"/>
  <c r="E188" i="1"/>
  <c r="E189" i="1"/>
  <c r="E185" i="1"/>
  <c r="I185" i="1"/>
  <c r="I184" i="1"/>
  <c r="D171" i="1"/>
  <c r="D170" i="1"/>
  <c r="D169" i="1"/>
  <c r="D167" i="1"/>
  <c r="D168" i="1"/>
  <c r="D166" i="1"/>
  <c r="D165" i="1"/>
  <c r="D164" i="1"/>
  <c r="D163" i="1"/>
  <c r="D162" i="1"/>
  <c r="F148" i="1"/>
  <c r="I143" i="1"/>
  <c r="F139" i="1"/>
  <c r="F138" i="1"/>
  <c r="F119" i="1"/>
  <c r="F118" i="1"/>
  <c r="F117" i="1"/>
  <c r="G91" i="1"/>
  <c r="G76" i="1"/>
  <c r="G75" i="1"/>
  <c r="F59" i="1"/>
  <c r="F58" i="1"/>
  <c r="F41" i="1"/>
  <c r="F40" i="1"/>
  <c r="F18" i="1"/>
  <c r="F39" i="1"/>
  <c r="F19" i="1"/>
  <c r="F17" i="1"/>
  <c r="F16" i="1"/>
  <c r="F15" i="1"/>
  <c r="D103" i="1" l="1"/>
  <c r="C103" i="1"/>
  <c r="C363" i="1"/>
  <c r="E97" i="1"/>
  <c r="C100" i="1"/>
  <c r="C553" i="1"/>
  <c r="C554" i="1" s="1"/>
  <c r="C592" i="1"/>
  <c r="C593" i="1" s="1"/>
  <c r="C509" i="1"/>
  <c r="C515" i="1" s="1"/>
  <c r="C549" i="1"/>
  <c r="D549" i="1"/>
  <c r="E329" i="1"/>
  <c r="C399" i="1"/>
  <c r="C396" i="1"/>
  <c r="E352" i="1"/>
  <c r="B356" i="1" s="1"/>
  <c r="F325" i="1"/>
  <c r="G330" i="1" s="1"/>
  <c r="D333" i="1" s="1"/>
  <c r="E330" i="1"/>
  <c r="G170" i="1"/>
  <c r="F141" i="1"/>
  <c r="F143" i="1" s="1"/>
  <c r="F121" i="1"/>
  <c r="F123" i="1" s="1"/>
  <c r="B357" i="1" l="1"/>
  <c r="B355" i="1"/>
  <c r="C555" i="1"/>
  <c r="C594" i="1"/>
  <c r="C401" i="1"/>
  <c r="F144" i="1"/>
  <c r="F122" i="1"/>
</calcChain>
</file>

<file path=xl/sharedStrings.xml><?xml version="1.0" encoding="utf-8"?>
<sst xmlns="http://schemas.openxmlformats.org/spreadsheetml/2006/main" count="369" uniqueCount="195">
  <si>
    <t>Column1</t>
  </si>
  <si>
    <t>Temperature</t>
  </si>
  <si>
    <t>a, mean</t>
  </si>
  <si>
    <t>n</t>
  </si>
  <si>
    <t>b,median</t>
  </si>
  <si>
    <t>c,mode</t>
  </si>
  <si>
    <t>d,range</t>
  </si>
  <si>
    <t>varience</t>
  </si>
  <si>
    <t>Height</t>
  </si>
  <si>
    <t>range</t>
  </si>
  <si>
    <t>Sd</t>
  </si>
  <si>
    <t>Weekly expense</t>
  </si>
  <si>
    <t>sd</t>
  </si>
  <si>
    <t>medium level</t>
  </si>
  <si>
    <t>covarience</t>
  </si>
  <si>
    <t>advertising spending</t>
  </si>
  <si>
    <t>sales</t>
  </si>
  <si>
    <t>corealation</t>
  </si>
  <si>
    <t>study hour</t>
  </si>
  <si>
    <t>exam scores</t>
  </si>
  <si>
    <t>corelation</t>
  </si>
  <si>
    <t>n=</t>
  </si>
  <si>
    <t>IQR</t>
  </si>
  <si>
    <t>monthly savings</t>
  </si>
  <si>
    <t>Q1</t>
  </si>
  <si>
    <t>Q3</t>
  </si>
  <si>
    <t>min</t>
  </si>
  <si>
    <t>max</t>
  </si>
  <si>
    <t>There is no outliers</t>
  </si>
  <si>
    <t>ages</t>
  </si>
  <si>
    <t>There is one outlier</t>
  </si>
  <si>
    <t>weighted mean</t>
  </si>
  <si>
    <t>hardlevel</t>
  </si>
  <si>
    <t>grades</t>
  </si>
  <si>
    <t>A</t>
  </si>
  <si>
    <t>B</t>
  </si>
  <si>
    <t>C</t>
  </si>
  <si>
    <t>D</t>
  </si>
  <si>
    <t>WEIGHTS</t>
  </si>
  <si>
    <t>F</t>
  </si>
  <si>
    <t>mean of ad</t>
  </si>
  <si>
    <t>mean of sal</t>
  </si>
  <si>
    <t>adv-mean</t>
  </si>
  <si>
    <t>sales-mean</t>
  </si>
  <si>
    <t>H0</t>
  </si>
  <si>
    <t>all mean scores are same</t>
  </si>
  <si>
    <t>Ha</t>
  </si>
  <si>
    <t xml:space="preserve">all mean scores are not the same 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</si>
  <si>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</si>
  <si>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</si>
  <si>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</si>
  <si>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</si>
  <si>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</si>
  <si>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</si>
  <si>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</si>
  <si>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</si>
  <si>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</si>
  <si>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</si>
  <si>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</si>
  <si>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</si>
  <si>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</si>
  <si>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</si>
  <si>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</si>
  <si>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</si>
  <si>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</si>
  <si>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since pvalue&lt;apha we reject the null</t>
  </si>
  <si>
    <t>therefore allthe mean values are not same</t>
  </si>
  <si>
    <t>Daily stockprice</t>
  </si>
  <si>
    <t>average(3days)</t>
  </si>
  <si>
    <t>3 day average</t>
  </si>
  <si>
    <t>There is slight increase in sales in the ssecond half of the year as compaired to the first half of the year</t>
  </si>
  <si>
    <t>sum of sales in Quadrant</t>
  </si>
  <si>
    <t>Q2</t>
  </si>
  <si>
    <t>Q4</t>
  </si>
  <si>
    <t>totalsale</t>
  </si>
  <si>
    <t>expected sales per quadrant</t>
  </si>
  <si>
    <t>chi-square component</t>
  </si>
  <si>
    <t>pvalue</t>
  </si>
  <si>
    <t>H0- there is a significant differnce</t>
  </si>
  <si>
    <t>ha tthere is no significant difference</t>
  </si>
  <si>
    <t>sum</t>
  </si>
  <si>
    <t>Alpha</t>
  </si>
  <si>
    <t>Weights</t>
  </si>
  <si>
    <t>H0-The mean weight is equal to 70kg</t>
  </si>
  <si>
    <t>Ha-The mean weight is not equal to 70kg</t>
  </si>
  <si>
    <t>mean of sample</t>
  </si>
  <si>
    <t>population mean</t>
  </si>
  <si>
    <t>error</t>
  </si>
  <si>
    <t>dof</t>
  </si>
  <si>
    <t>T value</t>
  </si>
  <si>
    <t>crtical value</t>
  </si>
  <si>
    <t>Tvalue&lt;critical value, so reject the null</t>
  </si>
  <si>
    <t>The mean weight is not equal to 70kg</t>
  </si>
  <si>
    <t>z-score</t>
  </si>
  <si>
    <t>Annual salary</t>
  </si>
  <si>
    <t>Z-score</t>
  </si>
  <si>
    <t>xbar</t>
  </si>
  <si>
    <t>scores</t>
  </si>
  <si>
    <t>Bin</t>
  </si>
  <si>
    <t>More</t>
  </si>
  <si>
    <t>Frequency</t>
  </si>
  <si>
    <t>minimum</t>
  </si>
  <si>
    <t>maximum</t>
  </si>
  <si>
    <t>bins</t>
  </si>
  <si>
    <t>(range/no of bins(5))</t>
  </si>
  <si>
    <t>mean</t>
  </si>
  <si>
    <t>z score</t>
  </si>
  <si>
    <t>p value</t>
  </si>
  <si>
    <t>Column 1</t>
  </si>
  <si>
    <t>weight</t>
  </si>
  <si>
    <t>histogram</t>
  </si>
  <si>
    <t>blood pressure</t>
  </si>
  <si>
    <t>t test</t>
  </si>
  <si>
    <t>apha</t>
  </si>
  <si>
    <t>critical value</t>
  </si>
  <si>
    <t>since t value&gt;critical value we reject the null</t>
  </si>
  <si>
    <t>there is a effect in blood pressure</t>
  </si>
  <si>
    <t>since the p value is very small we reject the null.</t>
  </si>
  <si>
    <t>The 95% confidence interval for the mean blood pressure reduction is 13.1113.1113.11 to 17.6917.6917.69 mmHg.</t>
  </si>
  <si>
    <t>This means we are 95% confident that the true mean blood pressure reduction due to the drug lies within this interval.</t>
  </si>
  <si>
    <t>Income</t>
  </si>
  <si>
    <t>Margin of error (ME)</t>
  </si>
  <si>
    <t>ME</t>
  </si>
  <si>
    <t>ci</t>
  </si>
  <si>
    <t>Box Plot</t>
  </si>
  <si>
    <t>There are no outliers</t>
  </si>
  <si>
    <t>temperature</t>
  </si>
  <si>
    <t>q1</t>
  </si>
  <si>
    <t>q3</t>
  </si>
  <si>
    <t>there are no outliers</t>
  </si>
  <si>
    <t>spending</t>
  </si>
  <si>
    <t>exponential smoothing</t>
  </si>
  <si>
    <t>monthly sale</t>
  </si>
  <si>
    <t>Exponential smothening</t>
  </si>
  <si>
    <t>multiple regression</t>
  </si>
  <si>
    <t>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</si>
  <si>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</si>
  <si>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</si>
  <si>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</si>
  <si>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</si>
  <si>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</si>
  <si>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</si>
  <si>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</si>
  <si>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</si>
  <si>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</si>
  <si>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</si>
  <si>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</si>
  <si>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</si>
  <si>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</si>
  <si>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</si>
  <si>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</si>
  <si>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</si>
  <si>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</si>
  <si>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</si>
  <si>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X Variable 2</t>
  </si>
  <si>
    <t>advertising</t>
  </si>
  <si>
    <t>x1</t>
  </si>
  <si>
    <t>x2</t>
  </si>
  <si>
    <t>y</t>
  </si>
  <si>
    <t>ho-The mean petrol consumption of the new car is 9.5 km per litre</t>
  </si>
  <si>
    <t>ha-The mean petrol consumption of the new car is less than 9.5 km per litre</t>
  </si>
  <si>
    <t>alpha</t>
  </si>
  <si>
    <t>x bar</t>
  </si>
  <si>
    <t>neu</t>
  </si>
  <si>
    <t>t value</t>
  </si>
  <si>
    <t>Since 1.01 is greater than 1.676, we fail to reject the null hypothesis.</t>
  </si>
  <si>
    <t>the mean consuption of new car is 9.5km per litre</t>
  </si>
  <si>
    <t xml:space="preserve">H0-The mean writing life of the pens is 400 pages </t>
  </si>
  <si>
    <t xml:space="preserve">Ha-The mean writing life of the pens is not 400 pages </t>
  </si>
  <si>
    <t>alpa</t>
  </si>
  <si>
    <t>two tail</t>
  </si>
  <si>
    <t>Since -5 is less than -2.660, we reject the null hypothesis.</t>
  </si>
  <si>
    <t>the mean writing life of the pen is not 400 pages</t>
  </si>
  <si>
    <t>H0-The advertising campaign had no effect on mean weekly sales</t>
  </si>
  <si>
    <t>Ha-The advertising campaign had effect on mean weekly sales</t>
  </si>
  <si>
    <t>Since 8.60 is greater than 1.645, we reject the null hypothesis.</t>
  </si>
  <si>
    <t>the advertising had no effect</t>
  </si>
  <si>
    <t xml:space="preserve">                                                                                                                                                                              </t>
  </si>
  <si>
    <t>square sum</t>
  </si>
  <si>
    <t>sum(x,y)</t>
  </si>
  <si>
    <t>x*y</t>
  </si>
  <si>
    <t>r(corelation)</t>
  </si>
  <si>
    <t>the data shows a postive strong linear relation</t>
  </si>
  <si>
    <t>for regression analysis ned additional data</t>
  </si>
  <si>
    <t>regression</t>
  </si>
  <si>
    <r>
      <t>F-statistic:</t>
    </r>
    <r>
      <rPr>
        <sz val="11"/>
        <color theme="1"/>
        <rFont val="Calibri"/>
        <family val="2"/>
        <scheme val="minor"/>
      </rPr>
      <t xml:space="preserve"> Indicates that the model is a good fit.</t>
    </r>
  </si>
  <si>
    <r>
      <t>P-value:</t>
    </r>
    <r>
      <rPr>
        <sz val="11"/>
        <color theme="1"/>
        <rFont val="Calibri"/>
        <family val="2"/>
        <scheme val="minor"/>
      </rPr>
      <t xml:space="preserve"> Since the p-value is less than 0.05, the relationship between advertising spending and sales is statistically significant.</t>
    </r>
  </si>
  <si>
    <t>chi square test</t>
  </si>
  <si>
    <t>col total</t>
  </si>
  <si>
    <t>row total</t>
  </si>
  <si>
    <t>E</t>
  </si>
  <si>
    <t>chi square ststistics</t>
  </si>
  <si>
    <t>chi square</t>
  </si>
  <si>
    <t>Accept the null hypothesis</t>
  </si>
  <si>
    <t>since chi squre&lt;critical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</si>
</sst>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3" fillId="0" borderId="0" xfId="0" applyFont="1" applyAlignment="1">
      <alignment horizontal="center"/>
    </xf>
    <xf numFmtId="0" fontId="0" fillId="5" borderId="0" xfId="0" applyFill="1"/>
    <xf numFmtId="0" fontId="3" fillId="0" borderId="6" xfId="0" applyFont="1" applyBorder="1" applyAlignment="1">
      <alignment horizontal="centerContinuous"/>
    </xf>
    <xf numFmtId="0" fontId="0" fillId="6" borderId="0" xfId="0" applyFill="1"/>
    <xf numFmtId="0" fontId="0" fillId="0" borderId="0" xfId="0" applyAlignment="1">
      <alignment wrapText="1"/>
    </xf>
    <xf numFmtId="0" fontId="0" fillId="5" borderId="17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Sheet1!$C$265</c:f>
              <c:strCache>
                <c:ptCount val="1"/>
                <c:pt idx="0">
                  <c:v>Daily stockprice</c:v>
                </c:pt>
              </c:strCache>
            </c:strRef>
          </c:tx>
          <c:invertIfNegative val="0"/>
          <c:val>
            <c:numRef>
              <c:f>Sheet1!$C$266:$C$275</c:f>
              <c:numCache>
                <c:formatCode>General</c:formatCode>
                <c:ptCount val="10"/>
                <c:pt idx="0">
                  <c:v>100</c:v>
                </c:pt>
                <c:pt idx="1">
                  <c:v>102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110</c:v>
                </c:pt>
                <c:pt idx="8">
                  <c:v>108</c:v>
                </c:pt>
                <c:pt idx="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8-4E53-941A-1C8423F10C53}"/>
            </c:ext>
          </c:extLst>
        </c:ser>
        <c:ser>
          <c:idx val="1"/>
          <c:order val="1"/>
          <c:tx>
            <c:strRef>
              <c:f>Sheet1!$D$265</c:f>
              <c:strCache>
                <c:ptCount val="1"/>
                <c:pt idx="0">
                  <c:v>3 day average</c:v>
                </c:pt>
              </c:strCache>
            </c:strRef>
          </c:tx>
          <c:invertIfNegative val="0"/>
          <c:val>
            <c:numRef>
              <c:f>Sheet1!$D$266:$D$275</c:f>
              <c:numCache>
                <c:formatCode>General</c:formatCode>
                <c:ptCount val="10"/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105</c:v>
                </c:pt>
                <c:pt idx="6">
                  <c:v>107</c:v>
                </c:pt>
                <c:pt idx="7">
                  <c:v>108.66666666666667</c:v>
                </c:pt>
                <c:pt idx="8">
                  <c:v>109</c:v>
                </c:pt>
                <c:pt idx="9">
                  <c:v>108.33333333333333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8-4E53-941A-1C8423F1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32128"/>
        <c:axId val="156833664"/>
      </c:barChart>
      <c:catAx>
        <c:axId val="156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33664"/>
        <c:crosses val="autoZero"/>
        <c:auto val="1"/>
        <c:lblAlgn val="ctr"/>
        <c:lblOffset val="100"/>
        <c:noMultiLvlLbl val="0"/>
      </c:catAx>
      <c:valAx>
        <c:axId val="1568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daily stock price</c:v>
          </c:tx>
          <c:cat>
            <c:numRef>
              <c:f>Sheet1!$D$266:$D$275</c:f>
              <c:numCache>
                <c:formatCode>General</c:formatCode>
                <c:ptCount val="10"/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105</c:v>
                </c:pt>
                <c:pt idx="6">
                  <c:v>107</c:v>
                </c:pt>
                <c:pt idx="7">
                  <c:v>108.66666666666667</c:v>
                </c:pt>
                <c:pt idx="8">
                  <c:v>109</c:v>
                </c:pt>
                <c:pt idx="9">
                  <c:v>108.33333333333333</c:v>
                </c:pt>
              </c:numCache>
            </c:numRef>
          </c:cat>
          <c:val>
            <c:numRef>
              <c:f>Sheet1!$C$266:$C$275</c:f>
              <c:numCache>
                <c:formatCode>General</c:formatCode>
                <c:ptCount val="10"/>
                <c:pt idx="0">
                  <c:v>100</c:v>
                </c:pt>
                <c:pt idx="1">
                  <c:v>102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110</c:v>
                </c:pt>
                <c:pt idx="8">
                  <c:v>108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9-4239-828D-6ABD80601BA3}"/>
            </c:ext>
          </c:extLst>
        </c:ser>
        <c:ser>
          <c:idx val="1"/>
          <c:order val="1"/>
          <c:tx>
            <c:v>3 days average</c:v>
          </c:tx>
          <c:val>
            <c:numRef>
              <c:f>Sheet1!$D$266:$D$275</c:f>
              <c:numCache>
                <c:formatCode>General</c:formatCode>
                <c:ptCount val="10"/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105</c:v>
                </c:pt>
                <c:pt idx="6">
                  <c:v>107</c:v>
                </c:pt>
                <c:pt idx="7">
                  <c:v>108.66666666666667</c:v>
                </c:pt>
                <c:pt idx="8">
                  <c:v>109</c:v>
                </c:pt>
                <c:pt idx="9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9-4239-828D-6ABD80601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2336"/>
        <c:axId val="156863872"/>
      </c:lineChart>
      <c:catAx>
        <c:axId val="1568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63872"/>
        <c:crosses val="autoZero"/>
        <c:auto val="1"/>
        <c:lblAlgn val="ctr"/>
        <c:lblOffset val="100"/>
        <c:noMultiLvlLbl val="0"/>
      </c:catAx>
      <c:valAx>
        <c:axId val="1568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Sheet1!$C$303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val>
            <c:numRef>
              <c:f>Sheet1!$C$304:$C$315</c:f>
              <c:numCache>
                <c:formatCode>General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1350</c:v>
                </c:pt>
                <c:pt idx="5">
                  <c:v>1500</c:v>
                </c:pt>
                <c:pt idx="6">
                  <c:v>1600</c:v>
                </c:pt>
                <c:pt idx="7">
                  <c:v>1550</c:v>
                </c:pt>
                <c:pt idx="8">
                  <c:v>1700</c:v>
                </c:pt>
                <c:pt idx="9">
                  <c:v>1650</c:v>
                </c:pt>
                <c:pt idx="10">
                  <c:v>1800</c:v>
                </c:pt>
                <c:pt idx="11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4-45AE-9015-C5A7BDD2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37120"/>
        <c:axId val="156451200"/>
      </c:lineChart>
      <c:catAx>
        <c:axId val="1564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451200"/>
        <c:crosses val="autoZero"/>
        <c:auto val="1"/>
        <c:lblAlgn val="ctr"/>
        <c:lblOffset val="100"/>
        <c:noMultiLvlLbl val="0"/>
      </c:catAx>
      <c:valAx>
        <c:axId val="1564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37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Sheet1!$B$471:$B$477</c:f>
              <c:strCache>
                <c:ptCount val="7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More</c:v>
                </c:pt>
              </c:strCache>
            </c:strRef>
          </c:cat>
          <c:val>
            <c:numRef>
              <c:f>Sheet1!$C$471:$C$477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0-4C0A-81F0-D97A7D5D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27200"/>
        <c:axId val="157429120"/>
      </c:barChart>
      <c:catAx>
        <c:axId val="1574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7429120"/>
        <c:crosses val="autoZero"/>
        <c:auto val="1"/>
        <c:lblAlgn val="ctr"/>
        <c:lblOffset val="100"/>
        <c:noMultiLvlLbl val="0"/>
      </c:catAx>
      <c:valAx>
        <c:axId val="15742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Sheet1!$B$531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8-4ADB-905A-53F7288BBF13}"/>
            </c:ext>
          </c:extLst>
        </c:ser>
        <c:ser>
          <c:idx val="1"/>
          <c:order val="1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8-4ADB-905A-53F7288BBF13}"/>
            </c:ext>
          </c:extLst>
        </c:ser>
        <c:ser>
          <c:idx val="2"/>
          <c:order val="2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Sheet1!$B$533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8-4ADB-905A-53F7288BBF13}"/>
            </c:ext>
          </c:extLst>
        </c:ser>
        <c:ser>
          <c:idx val="3"/>
          <c:order val="3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Sheet1!$B$534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8-4ADB-905A-53F7288BBF13}"/>
            </c:ext>
          </c:extLst>
        </c:ser>
        <c:ser>
          <c:idx val="4"/>
          <c:order val="4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Sheet1!$B$535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8-4ADB-905A-53F7288BBF13}"/>
            </c:ext>
          </c:extLst>
        </c:ser>
        <c:ser>
          <c:idx val="5"/>
          <c:order val="5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08-4ADB-905A-53F7288BBF13}"/>
            </c:ext>
          </c:extLst>
        </c:ser>
        <c:ser>
          <c:idx val="6"/>
          <c:order val="6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Sheet1!$B$537</c:f>
              <c:numCache>
                <c:formatCode>General</c:formatCode>
                <c:ptCount val="1"/>
                <c:pt idx="0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08-4ADB-905A-53F7288BBF13}"/>
            </c:ext>
          </c:extLst>
        </c:ser>
        <c:ser>
          <c:idx val="7"/>
          <c:order val="7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Sheet1!$B$538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08-4ADB-905A-53F7288BBF13}"/>
            </c:ext>
          </c:extLst>
        </c:ser>
        <c:ser>
          <c:idx val="8"/>
          <c:order val="8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Sheet1!$B$539</c:f>
              <c:numCache>
                <c:formatCode>General</c:formatCode>
                <c:ptCount val="1"/>
                <c:pt idx="0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8-4ADB-905A-53F7288BBF13}"/>
            </c:ext>
          </c:extLst>
        </c:ser>
        <c:ser>
          <c:idx val="9"/>
          <c:order val="9"/>
          <c:invertIfNegative val="0"/>
          <c:cat>
            <c:strRef>
              <c:f>Sheet1!$B$530</c:f>
              <c:strCache>
                <c:ptCount val="1"/>
                <c:pt idx="0">
                  <c:v>Income</c:v>
                </c:pt>
              </c:strCache>
            </c:strRef>
          </c:cat>
          <c:val>
            <c:numRef>
              <c:f>Sheet1!$B$540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08-4ADB-905A-53F7288B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06944"/>
        <c:axId val="157512832"/>
      </c:barChart>
      <c:catAx>
        <c:axId val="1575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512832"/>
        <c:crosses val="autoZero"/>
        <c:auto val="1"/>
        <c:lblAlgn val="ctr"/>
        <c:lblOffset val="100"/>
        <c:noMultiLvlLbl val="0"/>
      </c:catAx>
      <c:valAx>
        <c:axId val="1575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C-4B2B-B4D9-5F74C7999A92}"/>
            </c:ext>
          </c:extLst>
        </c:ser>
        <c:ser>
          <c:idx val="1"/>
          <c:order val="1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C-4B2B-B4D9-5F74C7999A92}"/>
            </c:ext>
          </c:extLst>
        </c:ser>
        <c:ser>
          <c:idx val="2"/>
          <c:order val="2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Sheet1!$B$577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C-4B2B-B4D9-5F74C7999A92}"/>
            </c:ext>
          </c:extLst>
        </c:ser>
        <c:ser>
          <c:idx val="3"/>
          <c:order val="3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C-4B2B-B4D9-5F74C7999A92}"/>
            </c:ext>
          </c:extLst>
        </c:ser>
        <c:ser>
          <c:idx val="4"/>
          <c:order val="4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Sheet1!$B$579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EC-4B2B-B4D9-5F74C7999A92}"/>
            </c:ext>
          </c:extLst>
        </c:ser>
        <c:ser>
          <c:idx val="5"/>
          <c:order val="5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EC-4B2B-B4D9-5F74C7999A92}"/>
            </c:ext>
          </c:extLst>
        </c:ser>
        <c:ser>
          <c:idx val="6"/>
          <c:order val="6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EC-4B2B-B4D9-5F74C7999A92}"/>
            </c:ext>
          </c:extLst>
        </c:ser>
        <c:ser>
          <c:idx val="7"/>
          <c:order val="7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EC-4B2B-B4D9-5F74C7999A92}"/>
            </c:ext>
          </c:extLst>
        </c:ser>
        <c:ser>
          <c:idx val="8"/>
          <c:order val="8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EC-4B2B-B4D9-5F74C7999A92}"/>
            </c:ext>
          </c:extLst>
        </c:ser>
        <c:ser>
          <c:idx val="9"/>
          <c:order val="9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Sheet1!$B$584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EC-4B2B-B4D9-5F74C7999A92}"/>
            </c:ext>
          </c:extLst>
        </c:ser>
        <c:ser>
          <c:idx val="10"/>
          <c:order val="10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EC-4B2B-B4D9-5F74C7999A92}"/>
            </c:ext>
          </c:extLst>
        </c:ser>
        <c:ser>
          <c:idx val="11"/>
          <c:order val="11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EC-4B2B-B4D9-5F74C7999A92}"/>
            </c:ext>
          </c:extLst>
        </c:ser>
        <c:ser>
          <c:idx val="12"/>
          <c:order val="12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EC-4B2B-B4D9-5F74C7999A92}"/>
            </c:ext>
          </c:extLst>
        </c:ser>
        <c:ser>
          <c:idx val="13"/>
          <c:order val="13"/>
          <c:invertIfNegative val="0"/>
          <c:cat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Sheet1!$B$588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EC-4B2B-B4D9-5F74C799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96288"/>
        <c:axId val="157610368"/>
      </c:barChart>
      <c:catAx>
        <c:axId val="1575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10368"/>
        <c:crosses val="autoZero"/>
        <c:auto val="1"/>
        <c:lblAlgn val="ctr"/>
        <c:lblOffset val="100"/>
        <c:noMultiLvlLbl val="0"/>
      </c:catAx>
      <c:valAx>
        <c:axId val="1576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Sheet1!$B$574</c:f>
              <c:strCache>
                <c:ptCount val="1"/>
                <c:pt idx="0">
                  <c:v>temperature</c:v>
                </c:pt>
              </c:strCache>
            </c:strRef>
          </c:tx>
          <c:yVal>
            <c:numRef>
              <c:f>Sheet1!$B$575:$B$588</c:f>
              <c:numCache>
                <c:formatCode>General</c:formatCode>
                <c:ptCount val="1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7-4935-93BE-9669264C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4704"/>
        <c:axId val="157386240"/>
      </c:scatterChart>
      <c:valAx>
        <c:axId val="1573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86240"/>
        <c:crosses val="autoZero"/>
        <c:crossBetween val="midCat"/>
      </c:valAx>
      <c:valAx>
        <c:axId val="1573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8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spending</a:t>
            </a:r>
            <a:r>
              <a:rPr lang="en-US" baseline="0"/>
              <a:t> vs sales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Sheet1!$C$621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Sheet1!$B$622:$B$626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Sheet1!$C$622:$C$626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B-40D8-99C0-47369D0BE58D}"/>
            </c:ext>
          </c:extLst>
        </c:ser>
        <c:ser>
          <c:idx val="1"/>
          <c:order val="1"/>
          <c:tx>
            <c:strRef>
              <c:f>Sheet1!$D$621</c:f>
              <c:strCache>
                <c:ptCount val="1"/>
                <c:pt idx="0">
                  <c:v>exponential smoothing</c:v>
                </c:pt>
              </c:strCache>
            </c:strRef>
          </c:tx>
          <c:xVal>
            <c:numRef>
              <c:f>Sheet1!$B$622:$B$626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Sheet1!$D$622:$D$626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162.5</c:v>
                </c:pt>
                <c:pt idx="3">
                  <c:v>206.25</c:v>
                </c:pt>
                <c:pt idx="4">
                  <c:v>253.125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B-40D8-99C0-47369D0B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7104"/>
        <c:axId val="157408640"/>
      </c:scatterChart>
      <c:valAx>
        <c:axId val="1574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408640"/>
        <c:crosses val="autoZero"/>
        <c:crossBetween val="midCat"/>
      </c:valAx>
      <c:valAx>
        <c:axId val="15740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Sheet1!$B$653</c:f>
              <c:strCache>
                <c:ptCount val="1"/>
                <c:pt idx="0">
                  <c:v>monthly sale</c:v>
                </c:pt>
              </c:strCache>
            </c:strRef>
          </c:tx>
          <c:invertIfNegative val="0"/>
          <c:val>
            <c:numRef>
              <c:f>Sheet1!$B$654:$B$665</c:f>
              <c:numCache>
                <c:formatCode>General</c:formatCode>
                <c:ptCount val="12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A1E-9F49-17FAFCFB8DF3}"/>
            </c:ext>
          </c:extLst>
        </c:ser>
        <c:ser>
          <c:idx val="1"/>
          <c:order val="1"/>
          <c:tx>
            <c:strRef>
              <c:f>Sheet1!$C$653</c:f>
              <c:strCache>
                <c:ptCount val="1"/>
                <c:pt idx="0">
                  <c:v>Exponential smothening</c:v>
                </c:pt>
              </c:strCache>
            </c:strRef>
          </c:tx>
          <c:invertIfNegative val="0"/>
          <c:val>
            <c:numRef>
              <c:f>Sheet1!$C$654:$C$665</c:f>
              <c:numCache>
                <c:formatCode>General</c:formatCode>
                <c:ptCount val="12"/>
                <c:pt idx="0">
                  <c:v>150</c:v>
                </c:pt>
                <c:pt idx="1">
                  <c:v>155</c:v>
                </c:pt>
                <c:pt idx="2">
                  <c:v>162.5</c:v>
                </c:pt>
                <c:pt idx="3">
                  <c:v>171.25</c:v>
                </c:pt>
                <c:pt idx="4">
                  <c:v>180.625</c:v>
                </c:pt>
                <c:pt idx="5">
                  <c:v>190.3125</c:v>
                </c:pt>
                <c:pt idx="6">
                  <c:v>200.15625</c:v>
                </c:pt>
                <c:pt idx="7">
                  <c:v>210.078125</c:v>
                </c:pt>
                <c:pt idx="8">
                  <c:v>220.0390625</c:v>
                </c:pt>
                <c:pt idx="9">
                  <c:v>230.01953125</c:v>
                </c:pt>
                <c:pt idx="10">
                  <c:v>240.009765625</c:v>
                </c:pt>
                <c:pt idx="11">
                  <c:v>250.0048828125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2-4A1E-9F49-17FAFCFB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23648"/>
        <c:axId val="157725440"/>
      </c:barChart>
      <c:catAx>
        <c:axId val="1577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25440"/>
        <c:crosses val="autoZero"/>
        <c:auto val="1"/>
        <c:lblAlgn val="ctr"/>
        <c:lblOffset val="100"/>
        <c:noMultiLvlLbl val="0"/>
      </c:catAx>
      <c:valAx>
        <c:axId val="1577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.xml"/><Relationship Id="rId18" Type="http://schemas.openxmlformats.org/officeDocument/2006/relationships/image" Target="../media/image15.png"/><Relationship Id="rId26" Type="http://schemas.openxmlformats.org/officeDocument/2006/relationships/image" Target="../media/image22.png"/><Relationship Id="rId39" Type="http://schemas.openxmlformats.org/officeDocument/2006/relationships/chart" Target="../charts/chart9.xml"/><Relationship Id="rId21" Type="http://schemas.openxmlformats.org/officeDocument/2006/relationships/image" Target="../media/image18.png"/><Relationship Id="rId34" Type="http://schemas.openxmlformats.org/officeDocument/2006/relationships/chart" Target="../charts/chart7.xml"/><Relationship Id="rId42" Type="http://schemas.openxmlformats.org/officeDocument/2006/relationships/image" Target="../media/image3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29" Type="http://schemas.openxmlformats.org/officeDocument/2006/relationships/image" Target="../media/image2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1.png"/><Relationship Id="rId32" Type="http://schemas.openxmlformats.org/officeDocument/2006/relationships/image" Target="../media/image27.png"/><Relationship Id="rId37" Type="http://schemas.openxmlformats.org/officeDocument/2006/relationships/image" Target="../media/image29.png"/><Relationship Id="rId40" Type="http://schemas.openxmlformats.org/officeDocument/2006/relationships/image" Target="../media/image31.png"/><Relationship Id="rId45" Type="http://schemas.openxmlformats.org/officeDocument/2006/relationships/image" Target="../media/image36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4.png"/><Relationship Id="rId36" Type="http://schemas.openxmlformats.org/officeDocument/2006/relationships/chart" Target="../charts/chart8.xml"/><Relationship Id="rId10" Type="http://schemas.openxmlformats.org/officeDocument/2006/relationships/image" Target="../media/image10.png"/><Relationship Id="rId19" Type="http://schemas.openxmlformats.org/officeDocument/2006/relationships/image" Target="../media/image16.png"/><Relationship Id="rId31" Type="http://schemas.openxmlformats.org/officeDocument/2006/relationships/chart" Target="../charts/chart5.xml"/><Relationship Id="rId44" Type="http://schemas.openxmlformats.org/officeDocument/2006/relationships/image" Target="../media/image3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2.xml"/><Relationship Id="rId22" Type="http://schemas.openxmlformats.org/officeDocument/2006/relationships/image" Target="../media/image19.png"/><Relationship Id="rId27" Type="http://schemas.openxmlformats.org/officeDocument/2006/relationships/image" Target="../media/image23.png"/><Relationship Id="rId30" Type="http://schemas.openxmlformats.org/officeDocument/2006/relationships/image" Target="../media/image26.png"/><Relationship Id="rId35" Type="http://schemas.openxmlformats.org/officeDocument/2006/relationships/image" Target="../media/image28.png"/><Relationship Id="rId43" Type="http://schemas.openxmlformats.org/officeDocument/2006/relationships/image" Target="../media/image34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4.png"/><Relationship Id="rId25" Type="http://schemas.openxmlformats.org/officeDocument/2006/relationships/chart" Target="../charts/chart4.xml"/><Relationship Id="rId33" Type="http://schemas.openxmlformats.org/officeDocument/2006/relationships/chart" Target="../charts/chart6.xml"/><Relationship Id="rId38" Type="http://schemas.openxmlformats.org/officeDocument/2006/relationships/image" Target="../media/image30.png"/><Relationship Id="rId46" Type="http://schemas.openxmlformats.org/officeDocument/2006/relationships/image" Target="../media/image37.png"/><Relationship Id="rId20" Type="http://schemas.openxmlformats.org/officeDocument/2006/relationships/image" Target="../media/image17.png"/><Relationship Id="rId4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133350</xdr:rowOff>
    </xdr:from>
    <xdr:to>
      <xdr:col>8</xdr:col>
      <xdr:colOff>180975</xdr:colOff>
      <xdr:row>12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514350"/>
          <a:ext cx="6648450" cy="1847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581025</xdr:colOff>
      <xdr:row>27</xdr:row>
      <xdr:rowOff>38100</xdr:rowOff>
    </xdr:from>
    <xdr:to>
      <xdr:col>7</xdr:col>
      <xdr:colOff>219075</xdr:colOff>
      <xdr:row>34</xdr:row>
      <xdr:rowOff>180975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1025" y="5181600"/>
          <a:ext cx="5829300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6</xdr:col>
      <xdr:colOff>552450</xdr:colOff>
      <xdr:row>54</xdr:row>
      <xdr:rowOff>38100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8763000"/>
          <a:ext cx="555307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8</xdr:col>
      <xdr:colOff>19050</xdr:colOff>
      <xdr:row>72</xdr:row>
      <xdr:rowOff>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2192000"/>
          <a:ext cx="634365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7</xdr:col>
      <xdr:colOff>704850</xdr:colOff>
      <xdr:row>85</xdr:row>
      <xdr:rowOff>95250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15430500"/>
          <a:ext cx="6315075" cy="857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180975</xdr:colOff>
      <xdr:row>84</xdr:row>
      <xdr:rowOff>57150</xdr:rowOff>
    </xdr:from>
    <xdr:to>
      <xdr:col>7</xdr:col>
      <xdr:colOff>361950</xdr:colOff>
      <xdr:row>88</xdr:row>
      <xdr:rowOff>152400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90575" y="16059150"/>
          <a:ext cx="5791200" cy="857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7</xdr:col>
      <xdr:colOff>390525</xdr:colOff>
      <xdr:row>114</xdr:row>
      <xdr:rowOff>57150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18669000"/>
          <a:ext cx="6000750" cy="139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7</xdr:col>
      <xdr:colOff>428625</xdr:colOff>
      <xdr:row>135</xdr:row>
      <xdr:rowOff>95250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9600" y="22669500"/>
          <a:ext cx="6038850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7</xdr:col>
      <xdr:colOff>666750</xdr:colOff>
      <xdr:row>158</xdr:row>
      <xdr:rowOff>104775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9600" y="27051000"/>
          <a:ext cx="627697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8</xdr:col>
      <xdr:colOff>247650</xdr:colOff>
      <xdr:row>182</xdr:row>
      <xdr:rowOff>19050</xdr:rowOff>
    </xdr:to>
    <xdr:pic>
      <xdr:nvPicPr>
        <xdr:cNvPr id="1047" name="Picture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09600" y="31070550"/>
          <a:ext cx="6572250" cy="1924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8</xdr:col>
      <xdr:colOff>590550</xdr:colOff>
      <xdr:row>229</xdr:row>
      <xdr:rowOff>171450</xdr:rowOff>
    </xdr:to>
    <xdr:pic>
      <xdr:nvPicPr>
        <xdr:cNvPr id="1048" name="Picture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9600" y="35833050"/>
          <a:ext cx="6915150" cy="226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7</xdr:col>
      <xdr:colOff>685800</xdr:colOff>
      <xdr:row>263</xdr:row>
      <xdr:rowOff>28575</xdr:rowOff>
    </xdr:to>
    <xdr:pic>
      <xdr:nvPicPr>
        <xdr:cNvPr id="1049" name="Picture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09600" y="43300650"/>
          <a:ext cx="6296025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371474</xdr:colOff>
      <xdr:row>266</xdr:row>
      <xdr:rowOff>66675</xdr:rowOff>
    </xdr:from>
    <xdr:to>
      <xdr:col>11</xdr:col>
      <xdr:colOff>504824</xdr:colOff>
      <xdr:row>276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400050</xdr:colOff>
      <xdr:row>277</xdr:row>
      <xdr:rowOff>57150</xdr:rowOff>
    </xdr:from>
    <xdr:to>
      <xdr:col>8</xdr:col>
      <xdr:colOff>104775</xdr:colOff>
      <xdr:row>291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8</xdr:col>
      <xdr:colOff>38100</xdr:colOff>
      <xdr:row>301</xdr:row>
      <xdr:rowOff>57150</xdr:rowOff>
    </xdr:to>
    <xdr:pic>
      <xdr:nvPicPr>
        <xdr:cNvPr id="1050" name="Picture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09600" y="50158650"/>
          <a:ext cx="6362700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19050</xdr:colOff>
      <xdr:row>302</xdr:row>
      <xdr:rowOff>19050</xdr:rowOff>
    </xdr:from>
    <xdr:to>
      <xdr:col>11</xdr:col>
      <xdr:colOff>104775</xdr:colOff>
      <xdr:row>319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0</xdr:colOff>
      <xdr:row>334</xdr:row>
      <xdr:rowOff>0</xdr:rowOff>
    </xdr:from>
    <xdr:to>
      <xdr:col>7</xdr:col>
      <xdr:colOff>561975</xdr:colOff>
      <xdr:row>341</xdr:row>
      <xdr:rowOff>133350</xdr:rowOff>
    </xdr:to>
    <xdr:pic>
      <xdr:nvPicPr>
        <xdr:cNvPr id="1051" name="Picture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09600" y="57969150"/>
          <a:ext cx="6172200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161924</xdr:colOff>
      <xdr:row>341</xdr:row>
      <xdr:rowOff>76200</xdr:rowOff>
    </xdr:from>
    <xdr:to>
      <xdr:col>8</xdr:col>
      <xdr:colOff>57149</xdr:colOff>
      <xdr:row>346</xdr:row>
      <xdr:rowOff>19050</xdr:rowOff>
    </xdr:to>
    <xdr:pic>
      <xdr:nvPicPr>
        <xdr:cNvPr id="1052" name="Picture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771524" y="59378850"/>
          <a:ext cx="6219825" cy="895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371</xdr:row>
      <xdr:rowOff>95250</xdr:rowOff>
    </xdr:from>
    <xdr:to>
      <xdr:col>7</xdr:col>
      <xdr:colOff>304800</xdr:colOff>
      <xdr:row>379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0" y="68808600"/>
          <a:ext cx="6429375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161925</xdr:colOff>
      <xdr:row>405</xdr:row>
      <xdr:rowOff>142875</xdr:rowOff>
    </xdr:from>
    <xdr:to>
      <xdr:col>7</xdr:col>
      <xdr:colOff>600075</xdr:colOff>
      <xdr:row>413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61925" y="75333225"/>
          <a:ext cx="656272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78105</xdr:colOff>
      <xdr:row>392</xdr:row>
      <xdr:rowOff>34290</xdr:rowOff>
    </xdr:from>
    <xdr:to>
      <xdr:col>12</xdr:col>
      <xdr:colOff>49530</xdr:colOff>
      <xdr:row>396</xdr:row>
      <xdr:rowOff>13335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8315325" y="72012810"/>
          <a:ext cx="1190625" cy="7105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361950</xdr:colOff>
      <xdr:row>387</xdr:row>
      <xdr:rowOff>0</xdr:rowOff>
    </xdr:from>
    <xdr:to>
      <xdr:col>9</xdr:col>
      <xdr:colOff>104775</xdr:colOff>
      <xdr:row>390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5543550" y="65589150"/>
          <a:ext cx="1066800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76201</xdr:colOff>
      <xdr:row>382</xdr:row>
      <xdr:rowOff>114300</xdr:rowOff>
    </xdr:from>
    <xdr:to>
      <xdr:col>7</xdr:col>
      <xdr:colOff>361951</xdr:colOff>
      <xdr:row>388</xdr:row>
      <xdr:rowOff>166688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5" idx="1"/>
        </xdr:cNvCxnSpPr>
      </xdr:nvCxnSpPr>
      <xdr:spPr>
        <a:xfrm rot="10800000">
          <a:off x="2409826" y="64750950"/>
          <a:ext cx="3133725" cy="1195388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418</xdr:row>
      <xdr:rowOff>66675</xdr:rowOff>
    </xdr:from>
    <xdr:to>
      <xdr:col>8</xdr:col>
      <xdr:colOff>495300</xdr:colOff>
      <xdr:row>426</xdr:row>
      <xdr:rowOff>161925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152775" y="71942325"/>
          <a:ext cx="3648075" cy="16192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/>
            <a:t>A </a:t>
          </a:r>
          <a:r>
            <a:rPr lang="en-US">
              <a:solidFill>
                <a:schemeClr val="tx1"/>
              </a:solidFill>
            </a:rPr>
            <a:t>z-score of -1.54 for the salary of $40,000 means it is 1.54 standard deviations below the mean salary.</a:t>
          </a:r>
        </a:p>
        <a:p>
          <a:pPr algn="ctr"/>
          <a:r>
            <a:rPr lang="en-US">
              <a:solidFill>
                <a:schemeClr val="tx1"/>
              </a:solidFill>
            </a:rPr>
            <a:t>A z-score of 1.54 for the salary of $62,000 means it is 1.54 standard deviations above the mean salary.</a:t>
          </a:r>
        </a:p>
        <a:p>
          <a:pPr algn="ctr"/>
          <a:r>
            <a:rPr lang="en-US">
              <a:solidFill>
                <a:schemeClr val="tx1"/>
              </a:solidFill>
            </a:rPr>
            <a:t>A z-score of 0 for the salary of $51,000 means it is exactly at the mean salary.</a:t>
          </a:r>
        </a:p>
      </xdr:txBody>
    </xdr:sp>
    <xdr:clientData/>
  </xdr:twoCellAnchor>
  <xdr:twoCellAnchor>
    <xdr:from>
      <xdr:col>1</xdr:col>
      <xdr:colOff>152400</xdr:colOff>
      <xdr:row>430</xdr:row>
      <xdr:rowOff>19050</xdr:rowOff>
    </xdr:from>
    <xdr:to>
      <xdr:col>6</xdr:col>
      <xdr:colOff>295275</xdr:colOff>
      <xdr:row>435</xdr:row>
      <xdr:rowOff>57150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42925" y="74180700"/>
          <a:ext cx="4838700" cy="99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>
              <a:solidFill>
                <a:schemeClr val="tx1"/>
              </a:solidFill>
            </a:rPr>
            <a:t>Most salaries are within one standard deviation of the mean, which indicates that the salaries are fairly close to each other, suggesting a relatively normal distribution around the mean.The z-scores span from -1.54 to 1.54, indicating the dataset is moderately dispersed around the mean.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437</xdr:row>
      <xdr:rowOff>0</xdr:rowOff>
    </xdr:from>
    <xdr:to>
      <xdr:col>7</xdr:col>
      <xdr:colOff>457200</xdr:colOff>
      <xdr:row>445</xdr:row>
      <xdr:rowOff>114300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90525" y="75495150"/>
          <a:ext cx="6191250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465</xdr:row>
      <xdr:rowOff>1</xdr:rowOff>
    </xdr:from>
    <xdr:to>
      <xdr:col>3</xdr:col>
      <xdr:colOff>152400</xdr:colOff>
      <xdr:row>468</xdr:row>
      <xdr:rowOff>38101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419225" y="80848201"/>
          <a:ext cx="1581150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0</xdr:colOff>
      <xdr:row>469</xdr:row>
      <xdr:rowOff>0</xdr:rowOff>
    </xdr:from>
    <xdr:to>
      <xdr:col>10</xdr:col>
      <xdr:colOff>0</xdr:colOff>
      <xdr:row>479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</xdr:col>
      <xdr:colOff>0</xdr:colOff>
      <xdr:row>481</xdr:row>
      <xdr:rowOff>0</xdr:rowOff>
    </xdr:from>
    <xdr:to>
      <xdr:col>8</xdr:col>
      <xdr:colOff>209550</xdr:colOff>
      <xdr:row>490</xdr:row>
      <xdr:rowOff>28575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90525" y="83915250"/>
          <a:ext cx="665797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333375</xdr:colOff>
      <xdr:row>489</xdr:row>
      <xdr:rowOff>57150</xdr:rowOff>
    </xdr:from>
    <xdr:to>
      <xdr:col>2</xdr:col>
      <xdr:colOff>1333500</xdr:colOff>
      <xdr:row>492</xdr:row>
      <xdr:rowOff>66675</xdr:rowOff>
    </xdr:to>
    <xdr:pic>
      <xdr:nvPicPr>
        <xdr:cNvPr id="10" name="Pictur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723900" y="85496400"/>
          <a:ext cx="20288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257176</xdr:colOff>
      <xdr:row>492</xdr:row>
      <xdr:rowOff>28575</xdr:rowOff>
    </xdr:from>
    <xdr:to>
      <xdr:col>8</xdr:col>
      <xdr:colOff>9526</xdr:colOff>
      <xdr:row>495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24301" y="86039325"/>
          <a:ext cx="2743200" cy="723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H0</a:t>
          </a:r>
          <a:r>
            <a:rPr lang="en-US" sz="1100" baseline="0">
              <a:solidFill>
                <a:sysClr val="windowText" lastClr="000000"/>
              </a:solidFill>
            </a:rPr>
            <a:t>- no effect in the blood pressure.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Ha- there is  a effect in the blood pressure.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521</xdr:row>
      <xdr:rowOff>0</xdr:rowOff>
    </xdr:from>
    <xdr:to>
      <xdr:col>7</xdr:col>
      <xdr:colOff>504825</xdr:colOff>
      <xdr:row>528</xdr:row>
      <xdr:rowOff>114300</xdr:rowOff>
    </xdr:to>
    <xdr:pic>
      <xdr:nvPicPr>
        <xdr:cNvPr id="11" name="Picture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90525" y="91535250"/>
          <a:ext cx="62388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66675</xdr:colOff>
      <xdr:row>541</xdr:row>
      <xdr:rowOff>28575</xdr:rowOff>
    </xdr:from>
    <xdr:to>
      <xdr:col>7</xdr:col>
      <xdr:colOff>0</xdr:colOff>
      <xdr:row>543</xdr:row>
      <xdr:rowOff>123825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914650" y="95373825"/>
          <a:ext cx="30289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540</xdr:row>
      <xdr:rowOff>190499</xdr:rowOff>
    </xdr:from>
    <xdr:to>
      <xdr:col>7</xdr:col>
      <xdr:colOff>47625</xdr:colOff>
      <xdr:row>544</xdr:row>
      <xdr:rowOff>76200</xdr:rowOff>
    </xdr:to>
    <xdr:sp macro="" textlink="">
      <xdr:nvSpPr>
        <xdr:cNvPr id="13" name="Text Box 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2847975" y="95345249"/>
          <a:ext cx="3143250" cy="6477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For a 95% confidence level, the critical value 𝑧∗ x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(from the standard normal distribution) is approximately 1.96.</a:t>
          </a:r>
        </a:p>
      </xdr:txBody>
    </xdr:sp>
    <xdr:clientData/>
  </xdr:twoCellAnchor>
  <xdr:twoCellAnchor editAs="oneCell">
    <xdr:from>
      <xdr:col>3</xdr:col>
      <xdr:colOff>342900</xdr:colOff>
      <xdr:row>544</xdr:row>
      <xdr:rowOff>123825</xdr:rowOff>
    </xdr:from>
    <xdr:to>
      <xdr:col>4</xdr:col>
      <xdr:colOff>857250</xdr:colOff>
      <xdr:row>546</xdr:row>
      <xdr:rowOff>180975</xdr:rowOff>
    </xdr:to>
    <xdr:pic>
      <xdr:nvPicPr>
        <xdr:cNvPr id="14" name="Pictur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90875" y="96040575"/>
          <a:ext cx="1333500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133351</xdr:colOff>
      <xdr:row>545</xdr:row>
      <xdr:rowOff>180975</xdr:rowOff>
    </xdr:from>
    <xdr:to>
      <xdr:col>2</xdr:col>
      <xdr:colOff>838201</xdr:colOff>
      <xdr:row>548</xdr:row>
      <xdr:rowOff>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523876" y="96288225"/>
          <a:ext cx="1733550" cy="39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57150</xdr:colOff>
      <xdr:row>549</xdr:row>
      <xdr:rowOff>133350</xdr:rowOff>
    </xdr:from>
    <xdr:to>
      <xdr:col>8</xdr:col>
      <xdr:colOff>247650</xdr:colOff>
      <xdr:row>562</xdr:row>
      <xdr:rowOff>123825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</xdr:col>
      <xdr:colOff>0</xdr:colOff>
      <xdr:row>564</xdr:row>
      <xdr:rowOff>0</xdr:rowOff>
    </xdr:from>
    <xdr:to>
      <xdr:col>8</xdr:col>
      <xdr:colOff>19050</xdr:colOff>
      <xdr:row>571</xdr:row>
      <xdr:rowOff>133350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90525" y="99726750"/>
          <a:ext cx="646747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619125</xdr:colOff>
      <xdr:row>573</xdr:row>
      <xdr:rowOff>28575</xdr:rowOff>
    </xdr:from>
    <xdr:to>
      <xdr:col>7</xdr:col>
      <xdr:colOff>666750</xdr:colOff>
      <xdr:row>587</xdr:row>
      <xdr:rowOff>104775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597</xdr:row>
      <xdr:rowOff>19050</xdr:rowOff>
    </xdr:from>
    <xdr:to>
      <xdr:col>4</xdr:col>
      <xdr:colOff>276225</xdr:colOff>
      <xdr:row>607</xdr:row>
      <xdr:rowOff>9525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609</xdr:row>
      <xdr:rowOff>0</xdr:rowOff>
    </xdr:from>
    <xdr:to>
      <xdr:col>7</xdr:col>
      <xdr:colOff>371475</xdr:colOff>
      <xdr:row>617</xdr:row>
      <xdr:rowOff>95250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90525" y="108299250"/>
          <a:ext cx="6105525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133350</xdr:colOff>
      <xdr:row>626</xdr:row>
      <xdr:rowOff>66675</xdr:rowOff>
    </xdr:from>
    <xdr:to>
      <xdr:col>5</xdr:col>
      <xdr:colOff>600075</xdr:colOff>
      <xdr:row>640</xdr:row>
      <xdr:rowOff>142875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4</xdr:col>
      <xdr:colOff>133351</xdr:colOff>
      <xdr:row>621</xdr:row>
      <xdr:rowOff>0</xdr:rowOff>
    </xdr:from>
    <xdr:to>
      <xdr:col>8</xdr:col>
      <xdr:colOff>219076</xdr:colOff>
      <xdr:row>624</xdr:row>
      <xdr:rowOff>152400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800476" y="110394750"/>
          <a:ext cx="325755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7</xdr:col>
      <xdr:colOff>504825</xdr:colOff>
      <xdr:row>651</xdr:row>
      <xdr:rowOff>47625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90525" y="114395250"/>
          <a:ext cx="6238875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114300</xdr:colOff>
      <xdr:row>665</xdr:row>
      <xdr:rowOff>114300</xdr:rowOff>
    </xdr:from>
    <xdr:to>
      <xdr:col>5</xdr:col>
      <xdr:colOff>581025</xdr:colOff>
      <xdr:row>680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0</xdr:col>
      <xdr:colOff>247650</xdr:colOff>
      <xdr:row>711</xdr:row>
      <xdr:rowOff>114300</xdr:rowOff>
    </xdr:from>
    <xdr:to>
      <xdr:col>7</xdr:col>
      <xdr:colOff>409575</xdr:colOff>
      <xdr:row>719</xdr:row>
      <xdr:rowOff>152400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247650" y="135988425"/>
          <a:ext cx="628650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7</xdr:col>
      <xdr:colOff>390525</xdr:colOff>
      <xdr:row>756</xdr:row>
      <xdr:rowOff>114300</xdr:rowOff>
    </xdr:to>
    <xdr:pic>
      <xdr:nvPicPr>
        <xdr:cNvPr id="15" name="Picture 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90525" y="135302625"/>
          <a:ext cx="6124575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7</xdr:col>
      <xdr:colOff>381000</xdr:colOff>
      <xdr:row>779</xdr:row>
      <xdr:rowOff>76200</xdr:rowOff>
    </xdr:to>
    <xdr:pic>
      <xdr:nvPicPr>
        <xdr:cNvPr id="16" name="Picture 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90525" y="139874625"/>
          <a:ext cx="6115050" cy="83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7</xdr:col>
      <xdr:colOff>0</xdr:colOff>
      <xdr:row>802</xdr:row>
      <xdr:rowOff>9525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90525" y="144065625"/>
          <a:ext cx="5734050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19051</xdr:colOff>
      <xdr:row>92</xdr:row>
      <xdr:rowOff>28575</xdr:rowOff>
    </xdr:from>
    <xdr:to>
      <xdr:col>9</xdr:col>
      <xdr:colOff>95250</xdr:colOff>
      <xdr:row>96</xdr:row>
      <xdr:rowOff>180975</xdr:rowOff>
    </xdr:to>
    <xdr:pic>
      <xdr:nvPicPr>
        <xdr:cNvPr id="20" name="Picture 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4695826" y="17573625"/>
          <a:ext cx="2847974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428625</xdr:colOff>
      <xdr:row>350</xdr:row>
      <xdr:rowOff>142875</xdr:rowOff>
    </xdr:from>
    <xdr:to>
      <xdr:col>8</xdr:col>
      <xdr:colOff>514350</xdr:colOff>
      <xdr:row>352</xdr:row>
      <xdr:rowOff>161925</xdr:rowOff>
    </xdr:to>
    <xdr:pic>
      <xdr:nvPicPr>
        <xdr:cNvPr id="21" name="Picture 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5105400" y="66951225"/>
          <a:ext cx="2247900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600076</xdr:colOff>
      <xdr:row>355</xdr:row>
      <xdr:rowOff>38101</xdr:rowOff>
    </xdr:from>
    <xdr:to>
      <xdr:col>7</xdr:col>
      <xdr:colOff>504826</xdr:colOff>
      <xdr:row>357</xdr:row>
      <xdr:rowOff>19051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5276851" y="67798951"/>
          <a:ext cx="13525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66676</xdr:colOff>
      <xdr:row>357</xdr:row>
      <xdr:rowOff>19050</xdr:rowOff>
    </xdr:from>
    <xdr:to>
      <xdr:col>5</xdr:col>
      <xdr:colOff>800101</xdr:colOff>
      <xdr:row>358</xdr:row>
      <xdr:rowOff>38100</xdr:rowOff>
    </xdr:to>
    <xdr:cxnSp macro="">
      <xdr:nvCxnSpPr>
        <xdr:cNvPr id="55" name="Curved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rot="10800000" flipV="1">
          <a:off x="4743451" y="68160900"/>
          <a:ext cx="733425" cy="209550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5461.504519328701" createdVersion="3" refreshedVersion="3" minRefreshableVersion="3" recordCount="12" xr:uid="{00000000-000A-0000-FFFF-FFFF00000000}">
  <cacheSource type="worksheet">
    <worksheetSource name="Table12"/>
  </cacheSource>
  <cacheFields count="1">
    <cacheField name="sales" numFmtId="0">
      <sharedItems containsSemiMixedTypes="0" containsString="0" containsNumber="1" containsInteger="1" minValue="1200" maxValue="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200"/>
  </r>
  <r>
    <n v="1300"/>
  </r>
  <r>
    <n v="1250"/>
  </r>
  <r>
    <n v="1400"/>
  </r>
  <r>
    <n v="1350"/>
  </r>
  <r>
    <n v="1500"/>
  </r>
  <r>
    <n v="1600"/>
  </r>
  <r>
    <n v="1550"/>
  </r>
  <r>
    <n v="1700"/>
  </r>
  <r>
    <n v="1650"/>
  </r>
  <r>
    <n v="1800"/>
  </r>
  <r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03:G3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14:C26" totalsRowShown="0">
  <autoFilter ref="C14:C26" xr:uid="{00000000-0009-0000-0100-000001000000}"/>
  <sortState xmlns:xlrd2="http://schemas.microsoft.com/office/spreadsheetml/2017/richdata2" ref="C15:C26">
    <sortCondition ref="C14:C26"/>
  </sortState>
  <tableColumns count="1">
    <tableColumn id="1" xr3:uid="{00000000-0010-0000-0000-000001000000}" name="Temperatur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C232:E237" totalsRowShown="0">
  <autoFilter ref="C232:E237" xr:uid="{00000000-0009-0000-0100-00000A000000}"/>
  <tableColumns count="3">
    <tableColumn id="1" xr3:uid="{00000000-0010-0000-0900-000001000000}" name="A"/>
    <tableColumn id="2" xr3:uid="{00000000-0010-0000-0900-000002000000}" name="B"/>
    <tableColumn id="3" xr3:uid="{00000000-0010-0000-0900-000003000000}" name="C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C265:D275" totalsRowShown="0">
  <autoFilter ref="C265:D275" xr:uid="{00000000-0009-0000-0100-00000B000000}"/>
  <tableColumns count="2">
    <tableColumn id="1" xr3:uid="{00000000-0010-0000-0A00-000001000000}" name="Daily stockprice"/>
    <tableColumn id="2" xr3:uid="{00000000-0010-0000-0A00-000002000000}" name="3 day average">
      <calculatedColumnFormula>AVERAGE(C264:C266)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C303:C315" totalsRowShown="0">
  <autoFilter ref="C303:C315" xr:uid="{00000000-0009-0000-0100-00000C000000}"/>
  <tableColumns count="1">
    <tableColumn id="1" xr3:uid="{00000000-0010-0000-0B00-000001000000}" name="sales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B383:C393" totalsRowShown="0">
  <autoFilter ref="B383:C393" xr:uid="{00000000-0009-0000-0100-00000D000000}"/>
  <tableColumns count="2">
    <tableColumn id="1" xr3:uid="{00000000-0010-0000-0C00-000001000000}" name="Weights"/>
    <tableColumn id="2" xr3:uid="{00000000-0010-0000-0C00-000002000000}" name="z-score">
      <calculatedColumnFormula>(Table13[[#This Row],[Weights]]-71)/1.825741858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B416:C426" totalsRowShown="0">
  <autoFilter ref="B416:C426" xr:uid="{00000000-0009-0000-0100-00000E000000}"/>
  <tableColumns count="2">
    <tableColumn id="1" xr3:uid="{00000000-0010-0000-0D00-000001000000}" name="Annual salary"/>
    <tableColumn id="2" xr3:uid="{00000000-0010-0000-0D00-000002000000}" name="Z-score">
      <calculatedColumnFormula>(Table14[[#This Row],[Annual salary]]-51)/7.527726527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B448:E458" totalsRowShown="0">
  <autoFilter ref="B448:E458" xr:uid="{00000000-0009-0000-0100-00000F000000}"/>
  <tableColumns count="4">
    <tableColumn id="1" xr3:uid="{00000000-0010-0000-0E00-000001000000}" name="scores"/>
    <tableColumn id="2" xr3:uid="{00000000-0010-0000-0E00-000002000000}" name="bins"/>
    <tableColumn id="3" xr3:uid="{00000000-0010-0000-0E00-000003000000}" name="z score">
      <calculatedColumnFormula>(Table15[[#This Row],[scores]]-96)/7.5277</calculatedColumnFormula>
    </tableColumn>
    <tableColumn id="4" xr3:uid="{00000000-0010-0000-0E00-000004000000}" name="pvalue">
      <calculatedColumnFormula>NORMDIST(Table15[[#This Row],[scores]],96,7.527726527,TRUE)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B494:B504" totalsRowShown="0">
  <autoFilter ref="B494:B504" xr:uid="{00000000-0009-0000-0100-000010000000}"/>
  <tableColumns count="1">
    <tableColumn id="1" xr3:uid="{00000000-0010-0000-0F00-000001000000}" name="blood pressur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B530:B540" totalsRowShown="0">
  <autoFilter ref="B530:B540" xr:uid="{00000000-0009-0000-0100-000011000000}"/>
  <tableColumns count="1">
    <tableColumn id="1" xr3:uid="{00000000-0010-0000-1000-000001000000}" name="Income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B574:B588" totalsRowShown="0">
  <autoFilter ref="B574:B588" xr:uid="{00000000-0009-0000-0100-000012000000}"/>
  <tableColumns count="1">
    <tableColumn id="1" xr3:uid="{00000000-0010-0000-1100-000001000000}" name="temperatur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B621:D626" totalsRowShown="0">
  <autoFilter ref="B621:D626" xr:uid="{00000000-0009-0000-0100-000013000000}"/>
  <tableColumns count="3">
    <tableColumn id="1" xr3:uid="{00000000-0010-0000-1200-000001000000}" name="spending"/>
    <tableColumn id="2" xr3:uid="{00000000-0010-0000-1200-000002000000}" name="sales"/>
    <tableColumn id="3" xr3:uid="{00000000-0010-0000-1200-000003000000}" name="exponential smoothin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7:C45" totalsRowShown="0">
  <autoFilter ref="C37:C45" xr:uid="{00000000-0009-0000-0100-000002000000}"/>
  <sortState xmlns:xlrd2="http://schemas.microsoft.com/office/spreadsheetml/2017/richdata2" ref="C38:C45">
    <sortCondition ref="C37:C45"/>
  </sortState>
  <tableColumns count="1">
    <tableColumn id="1" xr3:uid="{00000000-0010-0000-0100-000001000000}" name="Height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B653:C665" totalsRowShown="0">
  <autoFilter ref="B653:C665" xr:uid="{00000000-0009-0000-0100-000014000000}"/>
  <tableColumns count="2">
    <tableColumn id="1" xr3:uid="{00000000-0010-0000-1300-000001000000}" name="monthly sale"/>
    <tableColumn id="2" xr3:uid="{00000000-0010-0000-1300-000002000000}" name="Exponential smothening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B722:D727" totalsRowShown="0">
  <autoFilter ref="B722:D727" xr:uid="{00000000-0009-0000-0100-000015000000}"/>
  <tableColumns count="3">
    <tableColumn id="1" xr3:uid="{00000000-0010-0000-1400-000001000000}" name="advertising"/>
    <tableColumn id="2" xr3:uid="{00000000-0010-0000-1400-000002000000}" name="sales"/>
    <tableColumn id="3" xr3:uid="{00000000-0010-0000-1400-000003000000}" name="spending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56:C63" totalsRowShown="0">
  <autoFilter ref="C56:C63" xr:uid="{00000000-0009-0000-0100-000003000000}"/>
  <tableColumns count="1">
    <tableColumn id="1" xr3:uid="{00000000-0010-0000-0200-000001000000}" name="Weekly expen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C75:D80" totalsRowShown="0">
  <autoFilter ref="C75:D80" xr:uid="{00000000-0009-0000-0100-000004000000}"/>
  <tableColumns count="2">
    <tableColumn id="1" xr3:uid="{00000000-0010-0000-0300-000001000000}" name="advertising spending"/>
    <tableColumn id="2" xr3:uid="{00000000-0010-0000-0300-000002000000}" name="sal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C91:E97" totalsRowCount="1">
  <autoFilter ref="C91:E96" xr:uid="{00000000-0009-0000-0100-000005000000}"/>
  <tableColumns count="3">
    <tableColumn id="1" xr3:uid="{00000000-0010-0000-0400-000001000000}" name="study hour" totalsRowFunction="custom" totalsRowDxfId="3">
      <totalsRowFormula>SUM(Table5[study hour])</totalsRowFormula>
    </tableColumn>
    <tableColumn id="2" xr3:uid="{00000000-0010-0000-0400-000002000000}" name="exam scores" totalsRowFunction="custom" totalsRowDxfId="2">
      <totalsRowFormula>SUM(Table5[exam scores])</totalsRowFormula>
    </tableColumn>
    <tableColumn id="3" xr3:uid="{00000000-0010-0000-0400-000003000000}" name="x*y" totalsRowFunction="custom" totalsRowDxfId="1">
      <calculatedColumnFormula>Table5[[#This Row],[study hour]]*Table5[[#This Row],[exam scores]]</calculatedColumnFormula>
      <totalsRowFormula>SUM(Table5[x*y])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C117:C127" totalsRowShown="0">
  <autoFilter ref="C117:C127" xr:uid="{00000000-0009-0000-0100-000006000000}"/>
  <tableColumns count="1">
    <tableColumn id="1" xr3:uid="{00000000-0010-0000-0500-000001000000}" name="monthly saving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C138:C148" totalsRowShown="0">
  <autoFilter ref="C138:C148" xr:uid="{00000000-0009-0000-0100-000007000000}"/>
  <tableColumns count="1">
    <tableColumn id="1" xr3:uid="{00000000-0010-0000-0600-000001000000}" name="age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C161:D171" totalsRowShown="0">
  <autoFilter ref="C161:D171" xr:uid="{00000000-0009-0000-0100-000008000000}"/>
  <tableColumns count="2">
    <tableColumn id="1" xr3:uid="{00000000-0010-0000-0700-000001000000}" name="grades"/>
    <tableColumn id="4" xr3:uid="{00000000-0010-0000-0700-000004000000}" name="weight" dataDxfId="0">
      <calculatedColumnFormula>VLOOKUP(Table8[[#This Row],[grades]],G163:H167,2,FALSE)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C184:F189" totalsRowShown="0">
  <autoFilter ref="C184:F189" xr:uid="{00000000-0009-0000-0100-000009000000}"/>
  <tableColumns count="4">
    <tableColumn id="1" xr3:uid="{00000000-0010-0000-0800-000001000000}" name="advertising spending"/>
    <tableColumn id="2" xr3:uid="{00000000-0010-0000-0800-000002000000}" name="sales"/>
    <tableColumn id="3" xr3:uid="{00000000-0010-0000-0800-000003000000}" name="adv-mean">
      <calculatedColumnFormula>Table9[[#This Row],[advertising spending]]-20</calculatedColumnFormula>
    </tableColumn>
    <tableColumn id="4" xr3:uid="{00000000-0010-0000-0800-000004000000}" name="sales-mean">
      <calculatedColumnFormula>Table9[[#This Row],[sales]]-150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drawing" Target="../drawings/drawing1.xml"/><Relationship Id="rId21" Type="http://schemas.openxmlformats.org/officeDocument/2006/relationships/table" Target="../tables/table18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13.xml"/><Relationship Id="rId20" Type="http://schemas.openxmlformats.org/officeDocument/2006/relationships/table" Target="../tables/table17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24" Type="http://schemas.openxmlformats.org/officeDocument/2006/relationships/table" Target="../tables/table21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23" Type="http://schemas.openxmlformats.org/officeDocument/2006/relationships/table" Target="../tables/table20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Relationship Id="rId22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L818"/>
  <sheetViews>
    <sheetView tabSelected="1" topLeftCell="B379" workbookViewId="0">
      <selection activeCell="D387" sqref="D387"/>
    </sheetView>
  </sheetViews>
  <sheetFormatPr defaultRowHeight="14.4" x14ac:dyDescent="0.3"/>
  <cols>
    <col min="1" max="1" width="5.88671875" customWidth="1"/>
    <col min="2" max="2" width="15.44140625" customWidth="1"/>
    <col min="3" max="3" width="21.44140625" customWidth="1"/>
    <col min="4" max="4" width="12.33203125" bestFit="1" customWidth="1"/>
    <col min="5" max="5" width="15.109375" customWidth="1"/>
    <col min="6" max="6" width="12.5546875" customWidth="1"/>
    <col min="8" max="8" width="10.6640625" customWidth="1"/>
  </cols>
  <sheetData>
    <row r="14" spans="3:6" x14ac:dyDescent="0.3">
      <c r="C14" t="s">
        <v>1</v>
      </c>
      <c r="E14" t="s">
        <v>3</v>
      </c>
      <c r="F14">
        <v>12</v>
      </c>
    </row>
    <row r="15" spans="3:6" x14ac:dyDescent="0.3">
      <c r="C15">
        <v>10</v>
      </c>
      <c r="E15" t="s">
        <v>2</v>
      </c>
      <c r="F15">
        <f>SUM(Table1[Temperature])/F14</f>
        <v>15.916666666666666</v>
      </c>
    </row>
    <row r="16" spans="3:6" x14ac:dyDescent="0.3">
      <c r="C16">
        <v>12</v>
      </c>
      <c r="E16" t="s">
        <v>4</v>
      </c>
      <c r="F16">
        <f>MEDIAN(Table1[Temperature])</f>
        <v>15.5</v>
      </c>
    </row>
    <row r="17" spans="3:6" x14ac:dyDescent="0.3">
      <c r="C17">
        <v>13</v>
      </c>
      <c r="E17" t="s">
        <v>5</v>
      </c>
      <c r="F17">
        <f>MODE(Table1[Temperature])</f>
        <v>15</v>
      </c>
    </row>
    <row r="18" spans="3:6" x14ac:dyDescent="0.3">
      <c r="C18">
        <v>14</v>
      </c>
      <c r="E18" t="s">
        <v>6</v>
      </c>
      <c r="F18">
        <f>(C26-C15)</f>
        <v>12</v>
      </c>
    </row>
    <row r="19" spans="3:6" x14ac:dyDescent="0.3">
      <c r="C19">
        <v>15</v>
      </c>
      <c r="E19" t="s">
        <v>7</v>
      </c>
      <c r="F19">
        <f>VAR(Table1[Temperature])</f>
        <v>12.08333333333332</v>
      </c>
    </row>
    <row r="20" spans="3:6" x14ac:dyDescent="0.3">
      <c r="C20">
        <v>15</v>
      </c>
    </row>
    <row r="21" spans="3:6" x14ac:dyDescent="0.3">
      <c r="C21">
        <v>16</v>
      </c>
    </row>
    <row r="22" spans="3:6" x14ac:dyDescent="0.3">
      <c r="C22">
        <v>17</v>
      </c>
    </row>
    <row r="23" spans="3:6" x14ac:dyDescent="0.3">
      <c r="C23">
        <v>18</v>
      </c>
    </row>
    <row r="24" spans="3:6" x14ac:dyDescent="0.3">
      <c r="C24">
        <v>19</v>
      </c>
    </row>
    <row r="25" spans="3:6" x14ac:dyDescent="0.3">
      <c r="C25">
        <v>20</v>
      </c>
    </row>
    <row r="26" spans="3:6" x14ac:dyDescent="0.3">
      <c r="C26">
        <v>22</v>
      </c>
    </row>
    <row r="37" spans="3:6" x14ac:dyDescent="0.3">
      <c r="C37" t="s">
        <v>8</v>
      </c>
    </row>
    <row r="38" spans="3:6" x14ac:dyDescent="0.3">
      <c r="C38">
        <v>150</v>
      </c>
      <c r="E38" t="s">
        <v>3</v>
      </c>
      <c r="F38">
        <v>8</v>
      </c>
    </row>
    <row r="39" spans="3:6" x14ac:dyDescent="0.3">
      <c r="C39">
        <v>155</v>
      </c>
      <c r="E39" t="s">
        <v>9</v>
      </c>
      <c r="F39">
        <f>(C45-C38)</f>
        <v>20</v>
      </c>
    </row>
    <row r="40" spans="3:6" x14ac:dyDescent="0.3">
      <c r="C40">
        <v>160</v>
      </c>
      <c r="E40" t="s">
        <v>7</v>
      </c>
      <c r="F40">
        <f>VAR(Table2[Height])</f>
        <v>43.642857142857146</v>
      </c>
    </row>
    <row r="41" spans="3:6" x14ac:dyDescent="0.3">
      <c r="C41">
        <v>160</v>
      </c>
      <c r="E41" t="s">
        <v>10</v>
      </c>
      <c r="F41">
        <f>STDEV(Table2[Height])</f>
        <v>6.6062740741553512</v>
      </c>
    </row>
    <row r="42" spans="3:6" x14ac:dyDescent="0.3">
      <c r="C42">
        <v>162</v>
      </c>
    </row>
    <row r="43" spans="3:6" x14ac:dyDescent="0.3">
      <c r="C43">
        <v>165</v>
      </c>
    </row>
    <row r="44" spans="3:6" x14ac:dyDescent="0.3">
      <c r="C44">
        <v>168</v>
      </c>
    </row>
    <row r="45" spans="3:6" x14ac:dyDescent="0.3">
      <c r="C45">
        <v>170</v>
      </c>
    </row>
    <row r="56" spans="3:9" x14ac:dyDescent="0.3">
      <c r="C56" t="s">
        <v>11</v>
      </c>
    </row>
    <row r="57" spans="3:9" x14ac:dyDescent="0.3">
      <c r="C57">
        <v>200</v>
      </c>
      <c r="E57" t="s">
        <v>3</v>
      </c>
      <c r="F57">
        <v>7</v>
      </c>
    </row>
    <row r="58" spans="3:9" x14ac:dyDescent="0.3">
      <c r="C58">
        <v>250</v>
      </c>
      <c r="E58" t="s">
        <v>12</v>
      </c>
      <c r="F58">
        <f>STDEV(Table3[Weekly expense])</f>
        <v>41.518785191880632</v>
      </c>
    </row>
    <row r="59" spans="3:9" ht="15" thickBot="1" x14ac:dyDescent="0.35">
      <c r="C59">
        <v>300</v>
      </c>
      <c r="E59" t="s">
        <v>13</v>
      </c>
      <c r="F59">
        <f>MEDIAN(Table3[Weekly expense])</f>
        <v>270</v>
      </c>
    </row>
    <row r="60" spans="3:9" x14ac:dyDescent="0.3">
      <c r="C60">
        <v>220</v>
      </c>
      <c r="E60" t="s">
        <v>14</v>
      </c>
      <c r="F60" s="9"/>
      <c r="G60" s="9" t="s">
        <v>108</v>
      </c>
    </row>
    <row r="61" spans="3:9" ht="15" thickBot="1" x14ac:dyDescent="0.35">
      <c r="C61">
        <v>270</v>
      </c>
      <c r="F61" s="8" t="s">
        <v>108</v>
      </c>
      <c r="G61" s="8">
        <f>VARP(Sheet1!$C$57:$C$63)</f>
        <v>1477.5510204081634</v>
      </c>
    </row>
    <row r="62" spans="3:9" x14ac:dyDescent="0.3">
      <c r="C62">
        <v>290</v>
      </c>
      <c r="H62" s="22"/>
      <c r="I62" s="22"/>
    </row>
    <row r="63" spans="3:9" x14ac:dyDescent="0.3">
      <c r="C63">
        <v>310</v>
      </c>
    </row>
    <row r="75" spans="3:7" x14ac:dyDescent="0.3">
      <c r="C75" t="s">
        <v>15</v>
      </c>
      <c r="D75" t="s">
        <v>16</v>
      </c>
      <c r="F75" t="s">
        <v>14</v>
      </c>
      <c r="G75">
        <f>COVAR(Table4[advertising spending],Table4[sales])</f>
        <v>260</v>
      </c>
    </row>
    <row r="76" spans="3:7" x14ac:dyDescent="0.3">
      <c r="C76">
        <v>10</v>
      </c>
      <c r="D76">
        <v>100</v>
      </c>
      <c r="F76" t="s">
        <v>17</v>
      </c>
      <c r="G76">
        <f>CORREL(Table4[advertising spending],Table4[sales])</f>
        <v>0.9970544855015816</v>
      </c>
    </row>
    <row r="77" spans="3:7" x14ac:dyDescent="0.3">
      <c r="C77">
        <v>20</v>
      </c>
      <c r="D77">
        <v>150</v>
      </c>
    </row>
    <row r="78" spans="3:7" x14ac:dyDescent="0.3">
      <c r="C78">
        <v>15</v>
      </c>
      <c r="D78">
        <v>120</v>
      </c>
    </row>
    <row r="79" spans="3:7" x14ac:dyDescent="0.3">
      <c r="C79">
        <v>25</v>
      </c>
      <c r="D79">
        <v>180</v>
      </c>
    </row>
    <row r="80" spans="3:7" x14ac:dyDescent="0.3">
      <c r="C80">
        <v>30</v>
      </c>
      <c r="D80">
        <v>200</v>
      </c>
    </row>
    <row r="91" spans="3:7" x14ac:dyDescent="0.3">
      <c r="C91" t="s">
        <v>18</v>
      </c>
      <c r="D91" t="s">
        <v>19</v>
      </c>
      <c r="E91" t="s">
        <v>180</v>
      </c>
      <c r="F91" s="1" t="s">
        <v>20</v>
      </c>
      <c r="G91">
        <f>CORREL(Table5[study hour],Table5[exam scores])</f>
        <v>0.99999999999999978</v>
      </c>
    </row>
    <row r="92" spans="3:7" x14ac:dyDescent="0.3">
      <c r="C92">
        <v>2</v>
      </c>
      <c r="D92">
        <v>55</v>
      </c>
      <c r="E92">
        <f>Table5[[#This Row],[study hour]]*Table5[[#This Row],[exam scores]]</f>
        <v>110</v>
      </c>
      <c r="F92" s="1"/>
    </row>
    <row r="93" spans="3:7" x14ac:dyDescent="0.3">
      <c r="C93">
        <v>4</v>
      </c>
      <c r="D93">
        <v>60</v>
      </c>
      <c r="E93">
        <f>Table5[[#This Row],[study hour]]*Table5[[#This Row],[exam scores]]</f>
        <v>240</v>
      </c>
      <c r="F93" s="1" t="s">
        <v>21</v>
      </c>
    </row>
    <row r="94" spans="3:7" x14ac:dyDescent="0.3">
      <c r="C94">
        <v>6</v>
      </c>
      <c r="D94">
        <v>65</v>
      </c>
      <c r="E94">
        <f>Table5[[#This Row],[study hour]]*Table5[[#This Row],[exam scores]]</f>
        <v>390</v>
      </c>
      <c r="F94" s="1"/>
      <c r="G94" t="s">
        <v>177</v>
      </c>
    </row>
    <row r="95" spans="3:7" x14ac:dyDescent="0.3">
      <c r="C95">
        <v>8</v>
      </c>
      <c r="D95">
        <v>70</v>
      </c>
      <c r="E95">
        <f>Table5[[#This Row],[study hour]]*Table5[[#This Row],[exam scores]]</f>
        <v>560</v>
      </c>
    </row>
    <row r="96" spans="3:7" x14ac:dyDescent="0.3">
      <c r="C96">
        <v>10</v>
      </c>
      <c r="D96">
        <v>75</v>
      </c>
      <c r="E96">
        <f>Table5[[#This Row],[study hour]]*Table5[[#This Row],[exam scores]]</f>
        <v>750</v>
      </c>
      <c r="F96" s="1"/>
    </row>
    <row r="97" spans="2:7" x14ac:dyDescent="0.3">
      <c r="B97" t="s">
        <v>80</v>
      </c>
      <c r="C97">
        <f>SUM(Table5[study hour])</f>
        <v>30</v>
      </c>
      <c r="D97">
        <f>SUM(Table5[exam scores])</f>
        <v>325</v>
      </c>
      <c r="E97">
        <f>SUM(Table5[x*y])</f>
        <v>2050</v>
      </c>
      <c r="F97" s="1"/>
    </row>
    <row r="98" spans="2:7" x14ac:dyDescent="0.3">
      <c r="B98" t="s">
        <v>178</v>
      </c>
      <c r="C98">
        <f>(C92^2)+(C93^2)+(C94^2)+(C95^2)+(C96^2)</f>
        <v>220</v>
      </c>
      <c r="D98">
        <f>(D92^2)+(D93^2)+(D94^2)+(D95^2)+(D96^2)</f>
        <v>21375</v>
      </c>
      <c r="F98" s="1"/>
    </row>
    <row r="99" spans="2:7" x14ac:dyDescent="0.3">
      <c r="B99" t="s">
        <v>3</v>
      </c>
      <c r="C99">
        <v>5</v>
      </c>
      <c r="F99" s="1" t="s">
        <v>181</v>
      </c>
      <c r="G99">
        <f>CORREL(Table5[study hour],Table5[exam scores])</f>
        <v>0.99999999999999978</v>
      </c>
    </row>
    <row r="100" spans="2:7" x14ac:dyDescent="0.3">
      <c r="B100" t="s">
        <v>179</v>
      </c>
      <c r="C100">
        <f>Table5[[#Totals],[study hour]]+Table5[[#Totals],[exam scores]]</f>
        <v>355</v>
      </c>
      <c r="F100" s="1"/>
    </row>
    <row r="101" spans="2:7" x14ac:dyDescent="0.3">
      <c r="B101" s="25" t="s">
        <v>127</v>
      </c>
      <c r="C101" s="25">
        <f>QUARTILE(Table5[study hour],1)</f>
        <v>4</v>
      </c>
      <c r="D101" s="25">
        <f>QUARTILE(Table5[exam scores],1)</f>
        <v>60</v>
      </c>
      <c r="E101" s="1" t="s">
        <v>182</v>
      </c>
      <c r="F101" s="1"/>
    </row>
    <row r="102" spans="2:7" x14ac:dyDescent="0.3">
      <c r="B102" s="25" t="s">
        <v>128</v>
      </c>
      <c r="C102" s="25">
        <f>QUARTILE(Table5[study hour],3)</f>
        <v>8</v>
      </c>
      <c r="D102" s="25">
        <f>QUARTILE(Table5[exam scores],3)</f>
        <v>70</v>
      </c>
      <c r="F102" s="1"/>
    </row>
    <row r="103" spans="2:7" x14ac:dyDescent="0.3">
      <c r="B103" t="s">
        <v>22</v>
      </c>
      <c r="C103">
        <f>C102-C101</f>
        <v>4</v>
      </c>
      <c r="D103">
        <f>D102-D101</f>
        <v>10</v>
      </c>
      <c r="F103" s="1"/>
    </row>
    <row r="104" spans="2:7" x14ac:dyDescent="0.3">
      <c r="F104" s="1"/>
    </row>
    <row r="105" spans="2:7" x14ac:dyDescent="0.3">
      <c r="F105" s="1"/>
    </row>
    <row r="117" spans="3:6" x14ac:dyDescent="0.3">
      <c r="C117" t="s">
        <v>23</v>
      </c>
      <c r="E117" t="s">
        <v>3</v>
      </c>
      <c r="F117">
        <f>COUNT(Table6[monthly savings])</f>
        <v>10</v>
      </c>
    </row>
    <row r="118" spans="3:6" x14ac:dyDescent="0.3">
      <c r="C118">
        <v>200</v>
      </c>
      <c r="E118" t="s">
        <v>24</v>
      </c>
      <c r="F118">
        <f>QUARTILE(Table6[monthly savings],1)</f>
        <v>425</v>
      </c>
    </row>
    <row r="119" spans="3:6" x14ac:dyDescent="0.3">
      <c r="C119">
        <v>300</v>
      </c>
      <c r="E119" t="s">
        <v>25</v>
      </c>
      <c r="F119">
        <f>QUARTILE(Table6[monthly savings],3)</f>
        <v>875</v>
      </c>
    </row>
    <row r="120" spans="3:6" x14ac:dyDescent="0.3">
      <c r="C120">
        <v>400</v>
      </c>
    </row>
    <row r="121" spans="3:6" x14ac:dyDescent="0.3">
      <c r="C121">
        <v>500</v>
      </c>
      <c r="E121" t="s">
        <v>22</v>
      </c>
      <c r="F121">
        <f>F119-F118</f>
        <v>450</v>
      </c>
    </row>
    <row r="122" spans="3:6" x14ac:dyDescent="0.3">
      <c r="C122">
        <v>600</v>
      </c>
      <c r="E122" t="s">
        <v>26</v>
      </c>
      <c r="F122">
        <f>F118-(1.5*F121)</f>
        <v>-250</v>
      </c>
    </row>
    <row r="123" spans="3:6" x14ac:dyDescent="0.3">
      <c r="C123">
        <v>700</v>
      </c>
      <c r="E123" t="s">
        <v>27</v>
      </c>
      <c r="F123">
        <f>F119+(1.5*F121)</f>
        <v>1550</v>
      </c>
    </row>
    <row r="124" spans="3:6" x14ac:dyDescent="0.3">
      <c r="C124">
        <v>800</v>
      </c>
    </row>
    <row r="125" spans="3:6" x14ac:dyDescent="0.3">
      <c r="C125">
        <v>900</v>
      </c>
      <c r="E125" s="1" t="s">
        <v>28</v>
      </c>
    </row>
    <row r="126" spans="3:6" x14ac:dyDescent="0.3">
      <c r="C126">
        <v>1000</v>
      </c>
    </row>
    <row r="127" spans="3:6" x14ac:dyDescent="0.3">
      <c r="C127">
        <v>1100</v>
      </c>
    </row>
    <row r="138" spans="3:9" x14ac:dyDescent="0.3">
      <c r="C138" t="s">
        <v>29</v>
      </c>
      <c r="E138" t="s">
        <v>24</v>
      </c>
      <c r="F138">
        <f>QUARTILE(Table7[ages],1)</f>
        <v>28.5</v>
      </c>
    </row>
    <row r="139" spans="3:9" x14ac:dyDescent="0.3">
      <c r="C139">
        <v>22</v>
      </c>
      <c r="E139" t="s">
        <v>25</v>
      </c>
      <c r="F139">
        <f>QUARTILE(Table7[ages],3)</f>
        <v>48.75</v>
      </c>
    </row>
    <row r="140" spans="3:9" x14ac:dyDescent="0.3">
      <c r="C140">
        <v>25</v>
      </c>
    </row>
    <row r="141" spans="3:9" x14ac:dyDescent="0.3">
      <c r="C141">
        <v>28</v>
      </c>
      <c r="E141" s="1" t="s">
        <v>22</v>
      </c>
      <c r="F141">
        <f>F139-F138</f>
        <v>20.25</v>
      </c>
    </row>
    <row r="142" spans="3:9" x14ac:dyDescent="0.3">
      <c r="C142">
        <v>30</v>
      </c>
    </row>
    <row r="143" spans="3:9" x14ac:dyDescent="0.3">
      <c r="C143">
        <v>35</v>
      </c>
      <c r="E143" t="s">
        <v>26</v>
      </c>
      <c r="F143">
        <f>F138-1.5*F141</f>
        <v>-1.875</v>
      </c>
      <c r="I143">
        <f xml:space="preserve"> 25 - 1.5 * 20</f>
        <v>-5</v>
      </c>
    </row>
    <row r="144" spans="3:9" x14ac:dyDescent="0.3">
      <c r="C144">
        <v>40</v>
      </c>
      <c r="E144" t="s">
        <v>27</v>
      </c>
      <c r="F144">
        <f>F139+1.5*F141</f>
        <v>79.125</v>
      </c>
    </row>
    <row r="145" spans="3:6" x14ac:dyDescent="0.3">
      <c r="C145">
        <v>45</v>
      </c>
    </row>
    <row r="146" spans="3:6" x14ac:dyDescent="0.3">
      <c r="C146">
        <v>50</v>
      </c>
      <c r="E146" s="1" t="s">
        <v>30</v>
      </c>
    </row>
    <row r="147" spans="3:6" x14ac:dyDescent="0.3">
      <c r="C147">
        <v>55</v>
      </c>
      <c r="E147" s="1" t="s">
        <v>32</v>
      </c>
    </row>
    <row r="148" spans="3:6" x14ac:dyDescent="0.3">
      <c r="C148">
        <v>100</v>
      </c>
      <c r="E148" s="1" t="s">
        <v>31</v>
      </c>
      <c r="F148">
        <f>SUM(Table7[ages])/COUNT(Table7[ages])</f>
        <v>43</v>
      </c>
    </row>
    <row r="161" spans="3:8" x14ac:dyDescent="0.3">
      <c r="C161" t="s">
        <v>33</v>
      </c>
      <c r="D161" t="s">
        <v>109</v>
      </c>
    </row>
    <row r="162" spans="3:8" ht="15" thickBot="1" x14ac:dyDescent="0.35">
      <c r="C162" t="s">
        <v>34</v>
      </c>
      <c r="D162">
        <f>VLOOKUP(Table8[[#This Row],[grades]],G163:H167,2,FALSE)</f>
        <v>4</v>
      </c>
      <c r="G162" s="2" t="s">
        <v>38</v>
      </c>
      <c r="H162" s="3" t="s">
        <v>0</v>
      </c>
    </row>
    <row r="163" spans="3:8" ht="15" thickTop="1" x14ac:dyDescent="0.3">
      <c r="C163" t="s">
        <v>35</v>
      </c>
      <c r="D163">
        <f>VLOOKUP(Table8[[#This Row],[grades]],G164:H168,2,FALSE)</f>
        <v>3</v>
      </c>
      <c r="G163" s="4" t="s">
        <v>34</v>
      </c>
      <c r="H163" s="5">
        <v>4</v>
      </c>
    </row>
    <row r="164" spans="3:8" x14ac:dyDescent="0.3">
      <c r="C164" t="s">
        <v>34</v>
      </c>
      <c r="D164">
        <f>VLOOKUP(Table8[[#This Row],[grades]],G162:H167,2,FALSE)</f>
        <v>4</v>
      </c>
      <c r="G164" s="6" t="s">
        <v>35</v>
      </c>
      <c r="H164" s="7">
        <v>3</v>
      </c>
    </row>
    <row r="165" spans="3:8" x14ac:dyDescent="0.3">
      <c r="C165" t="s">
        <v>36</v>
      </c>
      <c r="D165">
        <f>VLOOKUP(Table8[[#This Row],[grades]],G163:H168,2,FALSE)</f>
        <v>2</v>
      </c>
      <c r="G165" s="4" t="s">
        <v>36</v>
      </c>
      <c r="H165" s="5">
        <v>2</v>
      </c>
    </row>
    <row r="166" spans="3:8" x14ac:dyDescent="0.3">
      <c r="C166" t="s">
        <v>35</v>
      </c>
      <c r="D166">
        <f>VLOOKUP(Table8[[#This Row],[grades]],G164:H169,2,FALSE)</f>
        <v>3</v>
      </c>
      <c r="G166" s="6" t="s">
        <v>37</v>
      </c>
      <c r="H166" s="7">
        <v>1</v>
      </c>
    </row>
    <row r="167" spans="3:8" x14ac:dyDescent="0.3">
      <c r="C167" t="s">
        <v>34</v>
      </c>
      <c r="D167">
        <f>VLOOKUP(Table8[[#This Row],[grades]],G162:H167,2,FALSE)</f>
        <v>4</v>
      </c>
      <c r="G167" s="4" t="s">
        <v>39</v>
      </c>
      <c r="H167" s="5">
        <v>0</v>
      </c>
    </row>
    <row r="168" spans="3:8" x14ac:dyDescent="0.3">
      <c r="C168" t="s">
        <v>37</v>
      </c>
      <c r="D168">
        <f>VLOOKUP(Table8[[#This Row],[grades]],G166:H171,2,FALSE)</f>
        <v>1</v>
      </c>
    </row>
    <row r="169" spans="3:8" x14ac:dyDescent="0.3">
      <c r="C169" t="s">
        <v>35</v>
      </c>
      <c r="D169">
        <f>VLOOKUP(Table8[[#This Row],[grades]],G162:H167,2,FALSE)</f>
        <v>3</v>
      </c>
    </row>
    <row r="170" spans="3:8" x14ac:dyDescent="0.3">
      <c r="C170" t="s">
        <v>36</v>
      </c>
      <c r="D170">
        <f>VLOOKUP(Table8[[#This Row],[grades]],G162:H167,2,FALSE)</f>
        <v>2</v>
      </c>
      <c r="F170" s="1" t="s">
        <v>31</v>
      </c>
      <c r="G170">
        <f>SUM(Table8[weight])/COUNT(Table8[weight])</f>
        <v>3</v>
      </c>
    </row>
    <row r="171" spans="3:8" x14ac:dyDescent="0.3">
      <c r="C171" t="s">
        <v>34</v>
      </c>
      <c r="D171">
        <f>VLOOKUP(Table8[[#This Row],[grades]],G162:H167,2,FALSE)</f>
        <v>4</v>
      </c>
      <c r="F171" s="1" t="s">
        <v>183</v>
      </c>
    </row>
    <row r="184" spans="3:9" x14ac:dyDescent="0.3">
      <c r="C184" t="s">
        <v>15</v>
      </c>
      <c r="D184" t="s">
        <v>16</v>
      </c>
      <c r="E184" t="s">
        <v>42</v>
      </c>
      <c r="F184" t="s">
        <v>43</v>
      </c>
      <c r="H184" t="s">
        <v>40</v>
      </c>
      <c r="I184">
        <f>SUM(Table9[advertising spending])/COUNT(Table9[advertising spending])</f>
        <v>20</v>
      </c>
    </row>
    <row r="185" spans="3:9" x14ac:dyDescent="0.3">
      <c r="C185">
        <v>10</v>
      </c>
      <c r="D185">
        <v>100</v>
      </c>
      <c r="E185">
        <f>Table9[[#This Row],[advertising spending]]-20</f>
        <v>-10</v>
      </c>
      <c r="F185">
        <f>Table9[[#This Row],[sales]]-150</f>
        <v>-50</v>
      </c>
      <c r="H185" t="s">
        <v>41</v>
      </c>
      <c r="I185">
        <f>SUM(Table9[sales])/COUNT(Table9[sales])</f>
        <v>150</v>
      </c>
    </row>
    <row r="186" spans="3:9" x14ac:dyDescent="0.3">
      <c r="C186">
        <v>20</v>
      </c>
      <c r="D186">
        <v>150</v>
      </c>
      <c r="E186">
        <f>Table9[[#This Row],[advertising spending]]-20</f>
        <v>0</v>
      </c>
      <c r="F186">
        <f>Table9[[#This Row],[sales]]-150</f>
        <v>0</v>
      </c>
    </row>
    <row r="187" spans="3:9" x14ac:dyDescent="0.3">
      <c r="C187">
        <v>15</v>
      </c>
      <c r="D187">
        <v>120</v>
      </c>
      <c r="E187">
        <f>Table9[[#This Row],[advertising spending]]-20</f>
        <v>-5</v>
      </c>
      <c r="F187">
        <f>Table9[[#This Row],[sales]]-150</f>
        <v>-30</v>
      </c>
    </row>
    <row r="188" spans="3:9" x14ac:dyDescent="0.3">
      <c r="C188">
        <v>25</v>
      </c>
      <c r="D188">
        <v>180</v>
      </c>
      <c r="E188">
        <f>Table9[[#This Row],[advertising spending]]-20</f>
        <v>5</v>
      </c>
      <c r="F188">
        <f>Table9[[#This Row],[sales]]-150</f>
        <v>30</v>
      </c>
    </row>
    <row r="189" spans="3:9" x14ac:dyDescent="0.3">
      <c r="C189">
        <v>30</v>
      </c>
      <c r="D189">
        <v>200</v>
      </c>
      <c r="E189">
        <f>Table9[[#This Row],[advertising spending]]-20</f>
        <v>10</v>
      </c>
      <c r="F189">
        <f>Table9[[#This Row],[sales]]-150</f>
        <v>50</v>
      </c>
    </row>
    <row r="191" spans="3:9" x14ac:dyDescent="0.3">
      <c r="C191" t="s">
        <v>184</v>
      </c>
      <c r="D191" t="s">
        <v>136</v>
      </c>
    </row>
    <row r="192" spans="3:9" ht="15" thickBot="1" x14ac:dyDescent="0.35"/>
    <row r="193" spans="4:12" x14ac:dyDescent="0.3">
      <c r="D193" s="24" t="s">
        <v>137</v>
      </c>
      <c r="E193" s="24"/>
    </row>
    <row r="194" spans="4:12" x14ac:dyDescent="0.3">
      <c r="D194" t="s">
        <v>138</v>
      </c>
      <c r="E194">
        <v>0.99591000331047863</v>
      </c>
    </row>
    <row r="195" spans="4:12" x14ac:dyDescent="0.3">
      <c r="D195" t="s">
        <v>139</v>
      </c>
      <c r="E195">
        <v>0.99183673469387756</v>
      </c>
    </row>
    <row r="196" spans="4:12" x14ac:dyDescent="0.3">
      <c r="D196" t="s">
        <v>140</v>
      </c>
      <c r="E196">
        <v>0.9877551020408164</v>
      </c>
    </row>
    <row r="197" spans="4:12" x14ac:dyDescent="0.3">
      <c r="D197" t="s">
        <v>141</v>
      </c>
      <c r="E197">
        <v>3.8729833462074175</v>
      </c>
    </row>
    <row r="198" spans="4:12" ht="15" thickBot="1" x14ac:dyDescent="0.35">
      <c r="D198" s="8" t="s">
        <v>142</v>
      </c>
      <c r="E198" s="8">
        <v>4</v>
      </c>
    </row>
    <row r="200" spans="4:12" ht="15" thickBot="1" x14ac:dyDescent="0.35">
      <c r="D200" t="s">
        <v>55</v>
      </c>
    </row>
    <row r="201" spans="4:12" x14ac:dyDescent="0.3">
      <c r="D201" s="9"/>
      <c r="E201" s="9" t="s">
        <v>58</v>
      </c>
      <c r="F201" s="9" t="s">
        <v>57</v>
      </c>
      <c r="G201" s="9" t="s">
        <v>59</v>
      </c>
      <c r="H201" s="9" t="s">
        <v>39</v>
      </c>
      <c r="I201" s="9" t="s">
        <v>146</v>
      </c>
    </row>
    <row r="202" spans="4:12" x14ac:dyDescent="0.3">
      <c r="D202" t="s">
        <v>143</v>
      </c>
      <c r="E202">
        <v>1</v>
      </c>
      <c r="F202">
        <v>3645</v>
      </c>
      <c r="G202">
        <v>3645</v>
      </c>
      <c r="H202">
        <v>242.99999999999994</v>
      </c>
      <c r="I202">
        <v>4.0899966891613012E-3</v>
      </c>
    </row>
    <row r="203" spans="4:12" x14ac:dyDescent="0.3">
      <c r="D203" t="s">
        <v>144</v>
      </c>
      <c r="E203">
        <v>2</v>
      </c>
      <c r="F203">
        <v>30.000000000000007</v>
      </c>
      <c r="G203">
        <v>15.000000000000004</v>
      </c>
    </row>
    <row r="204" spans="4:12" ht="15" thickBot="1" x14ac:dyDescent="0.35">
      <c r="D204" s="8" t="s">
        <v>64</v>
      </c>
      <c r="E204" s="8">
        <v>3</v>
      </c>
      <c r="F204" s="8">
        <v>3675</v>
      </c>
      <c r="G204" s="8"/>
      <c r="H204" s="8"/>
      <c r="I204" s="8"/>
    </row>
    <row r="205" spans="4:12" ht="15" thickBot="1" x14ac:dyDescent="0.35"/>
    <row r="206" spans="4:12" x14ac:dyDescent="0.3">
      <c r="D206" s="9"/>
      <c r="E206" s="9" t="s">
        <v>147</v>
      </c>
      <c r="F206" s="9" t="s">
        <v>141</v>
      </c>
      <c r="G206" s="9" t="s">
        <v>148</v>
      </c>
      <c r="H206" s="9" t="s">
        <v>60</v>
      </c>
      <c r="I206" s="9" t="s">
        <v>149</v>
      </c>
      <c r="J206" s="9" t="s">
        <v>150</v>
      </c>
      <c r="K206" s="9" t="s">
        <v>151</v>
      </c>
      <c r="L206" s="9" t="s">
        <v>152</v>
      </c>
    </row>
    <row r="207" spans="4:12" x14ac:dyDescent="0.3">
      <c r="D207" t="s">
        <v>145</v>
      </c>
      <c r="E207">
        <v>40.999999999999986</v>
      </c>
      <c r="F207">
        <v>8.0311892021045068</v>
      </c>
      <c r="G207">
        <v>5.1050970121904582</v>
      </c>
      <c r="H207">
        <v>3.6293985814680997E-2</v>
      </c>
      <c r="I207">
        <v>6.4445818580763756</v>
      </c>
      <c r="J207">
        <v>75.555418141923596</v>
      </c>
      <c r="K207">
        <v>6.4445818580763756</v>
      </c>
      <c r="L207">
        <v>75.555418141923596</v>
      </c>
    </row>
    <row r="208" spans="4:12" ht="15" thickBot="1" x14ac:dyDescent="0.35">
      <c r="D208" s="8">
        <v>10</v>
      </c>
      <c r="E208" s="8">
        <v>5.4</v>
      </c>
      <c r="F208" s="8">
        <v>0.34641016151377552</v>
      </c>
      <c r="G208" s="8">
        <v>15.588457268119894</v>
      </c>
      <c r="H208" s="8">
        <v>4.0899966891612969E-3</v>
      </c>
      <c r="I208" s="8">
        <v>3.9095173730207886</v>
      </c>
      <c r="J208" s="8">
        <v>6.8904826269792121</v>
      </c>
      <c r="K208" s="8">
        <v>3.9095173730207886</v>
      </c>
      <c r="L208" s="8">
        <v>6.8904826269792121</v>
      </c>
    </row>
    <row r="210" spans="2:5" x14ac:dyDescent="0.3">
      <c r="B210" s="1" t="s">
        <v>185</v>
      </c>
      <c r="C210" s="26"/>
      <c r="D210" s="26"/>
      <c r="E210" s="26"/>
    </row>
    <row r="211" spans="2:5" x14ac:dyDescent="0.3">
      <c r="B211" s="1" t="s">
        <v>186</v>
      </c>
      <c r="C211" s="26"/>
      <c r="D211" s="26"/>
      <c r="E211" s="26"/>
    </row>
    <row r="212" spans="2:5" x14ac:dyDescent="0.3">
      <c r="B212" s="26"/>
      <c r="C212" s="26"/>
      <c r="D212" s="26"/>
      <c r="E212" s="26"/>
    </row>
    <row r="232" spans="3:8" x14ac:dyDescent="0.3">
      <c r="C232" t="s">
        <v>34</v>
      </c>
      <c r="D232" t="s">
        <v>35</v>
      </c>
      <c r="E232" t="s">
        <v>36</v>
      </c>
    </row>
    <row r="233" spans="3:8" x14ac:dyDescent="0.3">
      <c r="C233">
        <v>85</v>
      </c>
      <c r="D233">
        <v>78</v>
      </c>
      <c r="E233">
        <v>92</v>
      </c>
      <c r="G233" t="s">
        <v>44</v>
      </c>
      <c r="H233" t="s">
        <v>45</v>
      </c>
    </row>
    <row r="234" spans="3:8" x14ac:dyDescent="0.3">
      <c r="C234">
        <v>88</v>
      </c>
      <c r="D234">
        <v>82</v>
      </c>
      <c r="E234">
        <v>95</v>
      </c>
      <c r="G234" t="s">
        <v>46</v>
      </c>
      <c r="H234" t="s">
        <v>47</v>
      </c>
    </row>
    <row r="235" spans="3:8" x14ac:dyDescent="0.3">
      <c r="C235">
        <v>90</v>
      </c>
      <c r="D235">
        <v>85</v>
      </c>
      <c r="E235">
        <v>98</v>
      </c>
    </row>
    <row r="236" spans="3:8" x14ac:dyDescent="0.3">
      <c r="C236">
        <v>92</v>
      </c>
      <c r="D236">
        <v>88</v>
      </c>
      <c r="E236">
        <v>100</v>
      </c>
    </row>
    <row r="237" spans="3:8" x14ac:dyDescent="0.3">
      <c r="C237">
        <v>95</v>
      </c>
      <c r="D237">
        <v>90</v>
      </c>
      <c r="E237">
        <v>105</v>
      </c>
    </row>
    <row r="239" spans="3:8" x14ac:dyDescent="0.3">
      <c r="C239" t="s">
        <v>48</v>
      </c>
    </row>
    <row r="241" spans="3:9" ht="15" thickBot="1" x14ac:dyDescent="0.35">
      <c r="C241" t="s">
        <v>49</v>
      </c>
    </row>
    <row r="242" spans="3:9" x14ac:dyDescent="0.3">
      <c r="C242" s="9" t="s">
        <v>50</v>
      </c>
      <c r="D242" s="9" t="s">
        <v>51</v>
      </c>
      <c r="E242" s="9" t="s">
        <v>52</v>
      </c>
      <c r="F242" s="9" t="s">
        <v>53</v>
      </c>
      <c r="G242" s="9" t="s">
        <v>54</v>
      </c>
    </row>
    <row r="243" spans="3:9" x14ac:dyDescent="0.3">
      <c r="C243" t="s">
        <v>34</v>
      </c>
      <c r="D243">
        <v>5</v>
      </c>
      <c r="E243">
        <v>450</v>
      </c>
      <c r="F243">
        <v>90</v>
      </c>
      <c r="G243">
        <v>14.5</v>
      </c>
    </row>
    <row r="244" spans="3:9" x14ac:dyDescent="0.3">
      <c r="C244" t="s">
        <v>35</v>
      </c>
      <c r="D244">
        <v>5</v>
      </c>
      <c r="E244">
        <v>423</v>
      </c>
      <c r="F244">
        <v>84.6</v>
      </c>
      <c r="G244">
        <v>22.799999999999272</v>
      </c>
    </row>
    <row r="245" spans="3:9" ht="15" thickBot="1" x14ac:dyDescent="0.35">
      <c r="C245" s="8" t="s">
        <v>36</v>
      </c>
      <c r="D245" s="8">
        <v>5</v>
      </c>
      <c r="E245" s="8">
        <v>490</v>
      </c>
      <c r="F245" s="8">
        <v>98</v>
      </c>
      <c r="G245" s="8">
        <v>24.5</v>
      </c>
    </row>
    <row r="248" spans="3:9" ht="15" thickBot="1" x14ac:dyDescent="0.35">
      <c r="C248" t="s">
        <v>55</v>
      </c>
    </row>
    <row r="249" spans="3:9" x14ac:dyDescent="0.3">
      <c r="C249" s="9" t="s">
        <v>56</v>
      </c>
      <c r="D249" s="9" t="s">
        <v>57</v>
      </c>
      <c r="E249" s="9" t="s">
        <v>58</v>
      </c>
      <c r="F249" s="9" t="s">
        <v>59</v>
      </c>
      <c r="G249" s="9" t="s">
        <v>39</v>
      </c>
      <c r="H249" s="9" t="s">
        <v>60</v>
      </c>
      <c r="I249" s="9" t="s">
        <v>61</v>
      </c>
    </row>
    <row r="250" spans="3:9" x14ac:dyDescent="0.3">
      <c r="C250" t="s">
        <v>62</v>
      </c>
      <c r="D250">
        <v>454.53333333333336</v>
      </c>
      <c r="E250">
        <v>2</v>
      </c>
      <c r="F250">
        <v>227.26666666666668</v>
      </c>
      <c r="G250">
        <v>11.032362459546928</v>
      </c>
      <c r="H250">
        <v>1.9109888749300873E-3</v>
      </c>
      <c r="I250">
        <v>3.8852938347033836</v>
      </c>
    </row>
    <row r="251" spans="3:9" x14ac:dyDescent="0.3">
      <c r="C251" t="s">
        <v>63</v>
      </c>
      <c r="D251">
        <v>247.2</v>
      </c>
      <c r="E251">
        <v>12</v>
      </c>
      <c r="F251">
        <v>20.599999999999998</v>
      </c>
    </row>
    <row r="253" spans="3:9" ht="15" thickBot="1" x14ac:dyDescent="0.35">
      <c r="C253" s="8" t="s">
        <v>64</v>
      </c>
      <c r="D253" s="8">
        <v>701.73333333333335</v>
      </c>
      <c r="E253" s="8">
        <v>14</v>
      </c>
      <c r="F253" s="8"/>
      <c r="G253" s="8"/>
      <c r="H253" s="8"/>
      <c r="I253" s="8"/>
    </row>
    <row r="255" spans="3:9" x14ac:dyDescent="0.3">
      <c r="D255" s="1" t="s">
        <v>65</v>
      </c>
    </row>
    <row r="256" spans="3:9" x14ac:dyDescent="0.3">
      <c r="D256" s="1" t="s">
        <v>66</v>
      </c>
    </row>
    <row r="265" spans="3:9" x14ac:dyDescent="0.3">
      <c r="C265" t="s">
        <v>67</v>
      </c>
      <c r="D265" t="s">
        <v>69</v>
      </c>
    </row>
    <row r="266" spans="3:9" x14ac:dyDescent="0.3">
      <c r="C266">
        <v>100</v>
      </c>
      <c r="G266" s="11"/>
      <c r="H266" s="11" t="s">
        <v>68</v>
      </c>
      <c r="I266" s="10"/>
    </row>
    <row r="267" spans="3:9" x14ac:dyDescent="0.3">
      <c r="C267">
        <v>102</v>
      </c>
    </row>
    <row r="268" spans="3:9" x14ac:dyDescent="0.3">
      <c r="C268">
        <v>101</v>
      </c>
      <c r="D268">
        <f t="shared" ref="D268:D275" si="0">AVERAGE(C266:C268)</f>
        <v>101</v>
      </c>
    </row>
    <row r="269" spans="3:9" x14ac:dyDescent="0.3">
      <c r="C269">
        <v>103</v>
      </c>
      <c r="D269">
        <f t="shared" si="0"/>
        <v>102</v>
      </c>
    </row>
    <row r="270" spans="3:9" x14ac:dyDescent="0.3">
      <c r="C270">
        <v>105</v>
      </c>
      <c r="D270">
        <f t="shared" si="0"/>
        <v>103</v>
      </c>
    </row>
    <row r="271" spans="3:9" x14ac:dyDescent="0.3">
      <c r="C271">
        <v>107</v>
      </c>
      <c r="D271">
        <f t="shared" si="0"/>
        <v>105</v>
      </c>
    </row>
    <row r="272" spans="3:9" x14ac:dyDescent="0.3">
      <c r="C272">
        <v>109</v>
      </c>
      <c r="D272">
        <f t="shared" si="0"/>
        <v>107</v>
      </c>
    </row>
    <row r="273" spans="3:4" x14ac:dyDescent="0.3">
      <c r="C273">
        <v>110</v>
      </c>
      <c r="D273">
        <f t="shared" si="0"/>
        <v>108.66666666666667</v>
      </c>
    </row>
    <row r="274" spans="3:4" x14ac:dyDescent="0.3">
      <c r="C274">
        <v>108</v>
      </c>
      <c r="D274">
        <f t="shared" si="0"/>
        <v>109</v>
      </c>
    </row>
    <row r="275" spans="3:4" x14ac:dyDescent="0.3">
      <c r="C275">
        <v>107</v>
      </c>
      <c r="D275">
        <f t="shared" si="0"/>
        <v>108.33333333333333</v>
      </c>
    </row>
    <row r="303" spans="3:7" x14ac:dyDescent="0.3">
      <c r="C303" t="s">
        <v>16</v>
      </c>
      <c r="E303" s="12"/>
      <c r="F303" s="13"/>
      <c r="G303" s="14"/>
    </row>
    <row r="304" spans="3:7" x14ac:dyDescent="0.3">
      <c r="C304">
        <v>1200</v>
      </c>
      <c r="E304" s="15"/>
      <c r="F304" s="16"/>
      <c r="G304" s="17"/>
    </row>
    <row r="305" spans="3:7" x14ac:dyDescent="0.3">
      <c r="C305">
        <v>1300</v>
      </c>
      <c r="E305" s="15"/>
      <c r="F305" s="16"/>
      <c r="G305" s="17"/>
    </row>
    <row r="306" spans="3:7" x14ac:dyDescent="0.3">
      <c r="C306">
        <v>1250</v>
      </c>
      <c r="E306" s="15"/>
      <c r="F306" s="16"/>
      <c r="G306" s="17"/>
    </row>
    <row r="307" spans="3:7" x14ac:dyDescent="0.3">
      <c r="C307">
        <v>1400</v>
      </c>
      <c r="E307" s="15"/>
      <c r="F307" s="16"/>
      <c r="G307" s="17"/>
    </row>
    <row r="308" spans="3:7" x14ac:dyDescent="0.3">
      <c r="C308">
        <v>1350</v>
      </c>
      <c r="E308" s="15"/>
      <c r="F308" s="16"/>
      <c r="G308" s="17"/>
    </row>
    <row r="309" spans="3:7" x14ac:dyDescent="0.3">
      <c r="C309">
        <v>1500</v>
      </c>
      <c r="E309" s="15"/>
      <c r="F309" s="16"/>
      <c r="G309" s="17"/>
    </row>
    <row r="310" spans="3:7" x14ac:dyDescent="0.3">
      <c r="C310">
        <v>1600</v>
      </c>
      <c r="E310" s="15"/>
      <c r="F310" s="16"/>
      <c r="G310" s="17"/>
    </row>
    <row r="311" spans="3:7" x14ac:dyDescent="0.3">
      <c r="C311">
        <v>1550</v>
      </c>
      <c r="E311" s="15"/>
      <c r="F311" s="16"/>
      <c r="G311" s="17"/>
    </row>
    <row r="312" spans="3:7" x14ac:dyDescent="0.3">
      <c r="C312">
        <v>1700</v>
      </c>
      <c r="E312" s="15"/>
      <c r="F312" s="16"/>
      <c r="G312" s="17"/>
    </row>
    <row r="313" spans="3:7" x14ac:dyDescent="0.3">
      <c r="C313">
        <v>1650</v>
      </c>
      <c r="E313" s="15"/>
      <c r="F313" s="16"/>
      <c r="G313" s="17"/>
    </row>
    <row r="314" spans="3:7" x14ac:dyDescent="0.3">
      <c r="C314">
        <v>1800</v>
      </c>
      <c r="E314" s="15"/>
      <c r="F314" s="16"/>
      <c r="G314" s="17"/>
    </row>
    <row r="315" spans="3:7" x14ac:dyDescent="0.3">
      <c r="C315">
        <v>1750</v>
      </c>
      <c r="E315" s="15"/>
      <c r="F315" s="16"/>
      <c r="G315" s="17"/>
    </row>
    <row r="316" spans="3:7" x14ac:dyDescent="0.3">
      <c r="E316" s="15"/>
      <c r="F316" s="16"/>
      <c r="G316" s="17"/>
    </row>
    <row r="317" spans="3:7" x14ac:dyDescent="0.3">
      <c r="E317" s="15"/>
      <c r="F317" s="16"/>
      <c r="G317" s="17"/>
    </row>
    <row r="318" spans="3:7" x14ac:dyDescent="0.3">
      <c r="E318" s="15"/>
      <c r="F318" s="16"/>
      <c r="G318" s="17"/>
    </row>
    <row r="319" spans="3:7" x14ac:dyDescent="0.3">
      <c r="E319" s="15"/>
      <c r="F319" s="16"/>
      <c r="G319" s="17"/>
    </row>
    <row r="320" spans="3:7" x14ac:dyDescent="0.3">
      <c r="E320" s="18"/>
      <c r="F320" s="19"/>
      <c r="G320" s="20"/>
    </row>
    <row r="322" spans="3:9" x14ac:dyDescent="0.3">
      <c r="C322" t="s">
        <v>70</v>
      </c>
    </row>
    <row r="324" spans="3:9" x14ac:dyDescent="0.3">
      <c r="C324" t="s">
        <v>71</v>
      </c>
      <c r="F324" s="33" t="s">
        <v>76</v>
      </c>
      <c r="G324" s="33"/>
      <c r="H324" s="33"/>
      <c r="I324" s="33"/>
    </row>
    <row r="325" spans="3:9" x14ac:dyDescent="0.3">
      <c r="C325" t="s">
        <v>24</v>
      </c>
      <c r="E325">
        <f>SUM(C304:C306)</f>
        <v>3750</v>
      </c>
      <c r="F325" s="33">
        <f>(E325-4512.5)^2/4512.5</f>
        <v>128.84349030470915</v>
      </c>
      <c r="G325" s="33"/>
      <c r="H325" s="33"/>
      <c r="I325" s="33"/>
    </row>
    <row r="326" spans="3:9" x14ac:dyDescent="0.3">
      <c r="C326" t="s">
        <v>72</v>
      </c>
      <c r="E326">
        <f>SUM(C307:C309)</f>
        <v>4250</v>
      </c>
      <c r="F326" s="33">
        <f>(E326-4512.5)^2/4512.5</f>
        <v>15.270083102493075</v>
      </c>
      <c r="G326" s="33"/>
      <c r="H326" s="33"/>
      <c r="I326" s="33"/>
    </row>
    <row r="327" spans="3:9" x14ac:dyDescent="0.3">
      <c r="C327" t="s">
        <v>25</v>
      </c>
      <c r="E327">
        <f>SUM(C310:C312)</f>
        <v>4850</v>
      </c>
      <c r="F327" s="33">
        <f>(E327-4512.5)^2/4512.5</f>
        <v>25.242382271468145</v>
      </c>
      <c r="G327" s="33"/>
      <c r="H327" s="33"/>
      <c r="I327" s="33"/>
    </row>
    <row r="328" spans="3:9" x14ac:dyDescent="0.3">
      <c r="C328" t="s">
        <v>73</v>
      </c>
      <c r="E328">
        <f>SUM(C313:C315)</f>
        <v>5200</v>
      </c>
      <c r="F328" s="33">
        <f>(E328-4512.5)^2/4512.5</f>
        <v>104.74376731301939</v>
      </c>
      <c r="G328" s="33"/>
      <c r="H328" s="33"/>
      <c r="I328" s="33"/>
    </row>
    <row r="329" spans="3:9" x14ac:dyDescent="0.3">
      <c r="C329" t="s">
        <v>74</v>
      </c>
      <c r="E329">
        <f>SUM(E325:E328)</f>
        <v>18050</v>
      </c>
      <c r="F329" s="33"/>
      <c r="G329" s="33"/>
      <c r="H329" s="33"/>
      <c r="I329" s="33"/>
    </row>
    <row r="330" spans="3:9" x14ac:dyDescent="0.3">
      <c r="C330" t="s">
        <v>75</v>
      </c>
      <c r="E330">
        <f>SUM(E325:E328)/4</f>
        <v>4512.5</v>
      </c>
      <c r="G330">
        <f>SUM(F325:I328)</f>
        <v>274.09972299168976</v>
      </c>
    </row>
    <row r="331" spans="3:9" x14ac:dyDescent="0.3">
      <c r="C331" t="s">
        <v>58</v>
      </c>
      <c r="E331">
        <v>3</v>
      </c>
    </row>
    <row r="333" spans="3:9" x14ac:dyDescent="0.3">
      <c r="C333" t="s">
        <v>77</v>
      </c>
      <c r="D333">
        <f>CHIDIST(G330,3)</f>
        <v>4.0037930869084914E-59</v>
      </c>
    </row>
    <row r="348" spans="1:8" x14ac:dyDescent="0.3">
      <c r="B348" s="21" t="s">
        <v>34</v>
      </c>
      <c r="C348" s="21" t="s">
        <v>35</v>
      </c>
      <c r="D348" s="21" t="s">
        <v>36</v>
      </c>
      <c r="E348" s="27" t="s">
        <v>189</v>
      </c>
    </row>
    <row r="349" spans="1:8" x14ac:dyDescent="0.3">
      <c r="B349" s="21">
        <v>50</v>
      </c>
      <c r="C349" s="21">
        <v>30</v>
      </c>
      <c r="D349" s="21">
        <v>20</v>
      </c>
      <c r="E349" s="28">
        <f>B349+C349+D349</f>
        <v>100</v>
      </c>
      <c r="H349" t="s">
        <v>78</v>
      </c>
    </row>
    <row r="350" spans="1:8" x14ac:dyDescent="0.3">
      <c r="B350" s="21">
        <v>55</v>
      </c>
      <c r="C350" s="21">
        <v>25</v>
      </c>
      <c r="D350" s="21">
        <v>20</v>
      </c>
      <c r="E350" s="28">
        <f t="shared" ref="E350:E351" si="1">B350+C350+D350</f>
        <v>100</v>
      </c>
      <c r="H350" t="s">
        <v>79</v>
      </c>
    </row>
    <row r="351" spans="1:8" x14ac:dyDescent="0.3">
      <c r="B351" s="21">
        <v>60</v>
      </c>
      <c r="C351" s="21">
        <v>35</v>
      </c>
      <c r="D351" s="21">
        <v>25</v>
      </c>
      <c r="E351" s="28">
        <f t="shared" si="1"/>
        <v>120</v>
      </c>
    </row>
    <row r="352" spans="1:8" x14ac:dyDescent="0.3">
      <c r="A352" t="s">
        <v>188</v>
      </c>
      <c r="B352" s="29">
        <f>SUM(B349:B351)</f>
        <v>165</v>
      </c>
      <c r="C352" s="29">
        <f>SUM(C349:C351)</f>
        <v>90</v>
      </c>
      <c r="D352" s="29">
        <f>SUM(D349:D351)</f>
        <v>65</v>
      </c>
      <c r="E352" s="30">
        <f>SUM(B352:D352)</f>
        <v>320</v>
      </c>
    </row>
    <row r="354" spans="1:6" x14ac:dyDescent="0.3">
      <c r="B354" t="s">
        <v>187</v>
      </c>
      <c r="C354" s="10" t="s">
        <v>34</v>
      </c>
      <c r="D354" s="10" t="s">
        <v>35</v>
      </c>
      <c r="E354" s="10" t="s">
        <v>36</v>
      </c>
    </row>
    <row r="355" spans="1:6" x14ac:dyDescent="0.3">
      <c r="A355" t="s">
        <v>190</v>
      </c>
      <c r="B355" s="31">
        <f>(E349*B352)/E352</f>
        <v>51.5625</v>
      </c>
      <c r="C355" s="26">
        <v>51.56</v>
      </c>
      <c r="D355" s="26">
        <v>51.56</v>
      </c>
      <c r="E355" s="26">
        <v>61.88</v>
      </c>
      <c r="F355" t="s">
        <v>191</v>
      </c>
    </row>
    <row r="356" spans="1:6" x14ac:dyDescent="0.3">
      <c r="B356" s="31">
        <f>(E350*C352)/E352</f>
        <v>28.125</v>
      </c>
      <c r="C356" s="26">
        <v>28.13</v>
      </c>
      <c r="D356" s="26">
        <v>28.13</v>
      </c>
      <c r="E356" s="26">
        <v>33.75</v>
      </c>
    </row>
    <row r="357" spans="1:6" x14ac:dyDescent="0.3">
      <c r="B357" s="31">
        <f>(E351*D352)/E352</f>
        <v>24.375</v>
      </c>
      <c r="C357" s="26">
        <v>20.309999999999999</v>
      </c>
      <c r="D357" s="26">
        <v>20.309999999999999</v>
      </c>
      <c r="E357" s="26">
        <v>24.38</v>
      </c>
    </row>
    <row r="359" spans="1:6" x14ac:dyDescent="0.3">
      <c r="C359" s="10" t="s">
        <v>34</v>
      </c>
      <c r="D359" s="10" t="s">
        <v>35</v>
      </c>
      <c r="E359" s="10" t="s">
        <v>36</v>
      </c>
    </row>
    <row r="360" spans="1:6" x14ac:dyDescent="0.3">
      <c r="B360" s="26"/>
      <c r="C360" s="26">
        <f>(B349-C355)^2/C355</f>
        <v>4.7199379363848083E-2</v>
      </c>
      <c r="D360" s="26">
        <f t="shared" ref="D360:E360" si="2">(C349-D355)^2/D355</f>
        <v>9.0153917765709863</v>
      </c>
      <c r="E360" s="26">
        <f t="shared" si="2"/>
        <v>28.344124111182939</v>
      </c>
    </row>
    <row r="361" spans="1:6" x14ac:dyDescent="0.3">
      <c r="B361" s="26"/>
      <c r="C361" s="26">
        <f t="shared" ref="C361:E362" si="3">(B350-C356)^2/C356</f>
        <v>25.666437966583722</v>
      </c>
      <c r="D361" s="26">
        <f t="shared" si="3"/>
        <v>0.34827230714539614</v>
      </c>
      <c r="E361" s="26">
        <f t="shared" si="3"/>
        <v>5.6018518518518521</v>
      </c>
    </row>
    <row r="362" spans="1:6" x14ac:dyDescent="0.3">
      <c r="B362" s="26"/>
      <c r="C362" s="26">
        <f t="shared" si="3"/>
        <v>77.562584933530275</v>
      </c>
      <c r="D362" s="26">
        <f t="shared" si="3"/>
        <v>10.625115706548501</v>
      </c>
      <c r="E362" s="26">
        <f t="shared" si="3"/>
        <v>1.576702214930276E-2</v>
      </c>
    </row>
    <row r="363" spans="1:6" x14ac:dyDescent="0.3">
      <c r="B363" s="26" t="s">
        <v>80</v>
      </c>
      <c r="C363" s="26">
        <f>SUM(C360:C362,D360:D362,E360:E362)</f>
        <v>157.22674505492682</v>
      </c>
      <c r="D363" s="26"/>
      <c r="E363" s="26"/>
    </row>
    <row r="364" spans="1:6" x14ac:dyDescent="0.3">
      <c r="B364" s="26" t="s">
        <v>88</v>
      </c>
      <c r="C364" s="26">
        <f>(3-1)*(3-1)</f>
        <v>4</v>
      </c>
      <c r="D364" s="26"/>
      <c r="E364" s="26"/>
    </row>
    <row r="365" spans="1:6" x14ac:dyDescent="0.3">
      <c r="B365" s="26"/>
      <c r="C365" s="26"/>
      <c r="D365" s="26"/>
      <c r="E365" s="26"/>
    </row>
    <row r="366" spans="1:6" x14ac:dyDescent="0.3">
      <c r="B366" s="26" t="s">
        <v>192</v>
      </c>
      <c r="C366" s="26">
        <f>CHITEST(B349:D351,C355:E357)</f>
        <v>5.7495271500665077E-33</v>
      </c>
      <c r="D366" s="26"/>
      <c r="E366" s="26"/>
    </row>
    <row r="367" spans="1:6" x14ac:dyDescent="0.3">
      <c r="B367" s="26" t="s">
        <v>114</v>
      </c>
      <c r="C367">
        <v>9.4879999999999995</v>
      </c>
      <c r="D367" s="26"/>
      <c r="E367" s="26"/>
    </row>
    <row r="368" spans="1:6" ht="28.8" x14ac:dyDescent="0.3">
      <c r="B368" s="26"/>
      <c r="C368" s="32" t="s">
        <v>194</v>
      </c>
      <c r="D368" s="26"/>
      <c r="E368" s="26"/>
    </row>
    <row r="369" spans="2:3" x14ac:dyDescent="0.3">
      <c r="B369" s="1" t="s">
        <v>193</v>
      </c>
    </row>
    <row r="381" spans="2:3" x14ac:dyDescent="0.3">
      <c r="B381" t="s">
        <v>81</v>
      </c>
      <c r="C381">
        <v>0.05</v>
      </c>
    </row>
    <row r="383" spans="2:3" x14ac:dyDescent="0.3">
      <c r="B383" t="s">
        <v>82</v>
      </c>
      <c r="C383" t="s">
        <v>93</v>
      </c>
    </row>
    <row r="384" spans="2:3" x14ac:dyDescent="0.3">
      <c r="B384">
        <v>70</v>
      </c>
      <c r="C384">
        <f>(Table13[[#This Row],[Weights]]-71)/1.825741858</f>
        <v>-0.54772255761033228</v>
      </c>
    </row>
    <row r="385" spans="2:10" x14ac:dyDescent="0.3">
      <c r="B385">
        <v>68</v>
      </c>
      <c r="C385">
        <f>(Table13[[#This Row],[Weights]]-71)/1.825741858</f>
        <v>-1.6431676728309967</v>
      </c>
      <c r="G385" s="33" t="s">
        <v>83</v>
      </c>
      <c r="H385" s="33"/>
      <c r="I385" s="33"/>
      <c r="J385" s="33"/>
    </row>
    <row r="386" spans="2:10" x14ac:dyDescent="0.3">
      <c r="B386">
        <v>72</v>
      </c>
      <c r="C386">
        <f>(Table13[[#This Row],[Weights]]-71)/1.825741858</f>
        <v>0.54772255761033228</v>
      </c>
      <c r="G386" s="33" t="s">
        <v>84</v>
      </c>
      <c r="H386" s="33"/>
      <c r="I386" s="33"/>
      <c r="J386" s="33"/>
    </row>
    <row r="387" spans="2:10" x14ac:dyDescent="0.3">
      <c r="B387">
        <v>71</v>
      </c>
      <c r="C387">
        <f>(Table13[[#This Row],[Weights]]-71)/1.825741858</f>
        <v>0</v>
      </c>
    </row>
    <row r="388" spans="2:10" x14ac:dyDescent="0.3">
      <c r="B388">
        <v>69</v>
      </c>
      <c r="C388">
        <f>(Table13[[#This Row],[Weights]]-71)/1.825741858</f>
        <v>-1.0954451152206646</v>
      </c>
    </row>
    <row r="389" spans="2:10" x14ac:dyDescent="0.3">
      <c r="B389">
        <v>73</v>
      </c>
      <c r="C389">
        <f>(Table13[[#This Row],[Weights]]-71)/1.825741858</f>
        <v>1.0954451152206646</v>
      </c>
    </row>
    <row r="390" spans="2:10" x14ac:dyDescent="0.3">
      <c r="B390">
        <v>72</v>
      </c>
      <c r="C390">
        <f>(Table13[[#This Row],[Weights]]-71)/1.825741858</f>
        <v>0.54772255761033228</v>
      </c>
    </row>
    <row r="391" spans="2:10" x14ac:dyDescent="0.3">
      <c r="B391">
        <v>74</v>
      </c>
      <c r="C391">
        <f>(Table13[[#This Row],[Weights]]-71)/1.825741858</f>
        <v>1.6431676728309967</v>
      </c>
    </row>
    <row r="392" spans="2:10" x14ac:dyDescent="0.3">
      <c r="B392">
        <v>70</v>
      </c>
      <c r="C392">
        <f>(Table13[[#This Row],[Weights]]-71)/1.825741858</f>
        <v>-0.54772255761033228</v>
      </c>
    </row>
    <row r="393" spans="2:10" x14ac:dyDescent="0.3">
      <c r="B393">
        <v>71</v>
      </c>
      <c r="C393">
        <f>(Table13[[#This Row],[Weights]]-71)/1.825741858</f>
        <v>0</v>
      </c>
    </row>
    <row r="395" spans="2:10" x14ac:dyDescent="0.3">
      <c r="B395" t="s">
        <v>3</v>
      </c>
      <c r="C395">
        <f>COUNT(Table13[Weights])</f>
        <v>10</v>
      </c>
    </row>
    <row r="396" spans="2:10" x14ac:dyDescent="0.3">
      <c r="B396" t="s">
        <v>85</v>
      </c>
      <c r="C396">
        <f>SUM(Table13[Weights])/C395</f>
        <v>71</v>
      </c>
    </row>
    <row r="397" spans="2:10" x14ac:dyDescent="0.3">
      <c r="B397" t="s">
        <v>86</v>
      </c>
      <c r="C397">
        <v>70</v>
      </c>
    </row>
    <row r="398" spans="2:10" x14ac:dyDescent="0.3">
      <c r="B398" t="s">
        <v>12</v>
      </c>
      <c r="C398">
        <f>STDEV(Table13[Weights])</f>
        <v>1.8257418583505538</v>
      </c>
      <c r="G398" s="33"/>
      <c r="H398" s="33"/>
    </row>
    <row r="399" spans="2:10" x14ac:dyDescent="0.3">
      <c r="B399" t="s">
        <v>87</v>
      </c>
      <c r="C399">
        <f>C398/SQRT(C395)</f>
        <v>0.57735026918962573</v>
      </c>
      <c r="E399" s="34" t="s">
        <v>91</v>
      </c>
      <c r="F399" s="34"/>
      <c r="G399" s="34"/>
    </row>
    <row r="400" spans="2:10" x14ac:dyDescent="0.3">
      <c r="B400" t="s">
        <v>88</v>
      </c>
      <c r="C400">
        <f>C395-1</f>
        <v>9</v>
      </c>
      <c r="E400" s="34" t="s">
        <v>92</v>
      </c>
      <c r="F400" s="34"/>
      <c r="G400" s="34"/>
    </row>
    <row r="401" spans="2:7" x14ac:dyDescent="0.3">
      <c r="B401" t="s">
        <v>89</v>
      </c>
      <c r="C401">
        <f>(C396-C397)/C399</f>
        <v>1.7320508075688774</v>
      </c>
    </row>
    <row r="402" spans="2:7" x14ac:dyDescent="0.3">
      <c r="B402" t="s">
        <v>90</v>
      </c>
      <c r="C402">
        <v>2.262</v>
      </c>
    </row>
    <row r="416" spans="2:7" x14ac:dyDescent="0.3">
      <c r="B416" t="s">
        <v>94</v>
      </c>
      <c r="C416" t="s">
        <v>95</v>
      </c>
      <c r="F416" s="33"/>
      <c r="G416" s="33"/>
    </row>
    <row r="417" spans="2:9" x14ac:dyDescent="0.3">
      <c r="B417">
        <v>40</v>
      </c>
      <c r="C417">
        <f>(Table14[[#This Row],[Annual salary]]-51)/7.527726527</f>
        <v>-1.4612645611587851</v>
      </c>
      <c r="E417" s="33"/>
      <c r="F417" s="33"/>
      <c r="G417" s="33"/>
      <c r="H417" s="33"/>
      <c r="I417" s="33"/>
    </row>
    <row r="418" spans="2:9" x14ac:dyDescent="0.3">
      <c r="B418">
        <v>42</v>
      </c>
      <c r="C418">
        <f>(Table14[[#This Row],[Annual salary]]-51)/7.527726527</f>
        <v>-1.1955800954935514</v>
      </c>
      <c r="E418" s="33"/>
      <c r="F418" s="33"/>
      <c r="G418" s="33"/>
      <c r="H418" s="33"/>
      <c r="I418" s="33"/>
    </row>
    <row r="419" spans="2:9" x14ac:dyDescent="0.3">
      <c r="B419">
        <v>45</v>
      </c>
      <c r="C419">
        <f>(Table14[[#This Row],[Annual salary]]-51)/7.527726527</f>
        <v>-0.79705339699570099</v>
      </c>
      <c r="E419" s="33"/>
      <c r="F419" s="33"/>
      <c r="G419" s="33"/>
      <c r="H419" s="33"/>
      <c r="I419" s="33"/>
    </row>
    <row r="420" spans="2:9" x14ac:dyDescent="0.3">
      <c r="B420">
        <v>47</v>
      </c>
      <c r="C420">
        <f>(Table14[[#This Row],[Annual salary]]-51)/7.527726527</f>
        <v>-0.53136893133046736</v>
      </c>
      <c r="E420" s="33"/>
      <c r="F420" s="33"/>
      <c r="G420" s="33"/>
      <c r="H420" s="33"/>
      <c r="I420" s="33"/>
    </row>
    <row r="421" spans="2:9" x14ac:dyDescent="0.3">
      <c r="B421">
        <v>50</v>
      </c>
      <c r="C421">
        <f>(Table14[[#This Row],[Annual salary]]-51)/7.527726527</f>
        <v>-0.13284223283261684</v>
      </c>
      <c r="E421" s="33"/>
      <c r="F421" s="33"/>
      <c r="G421" s="33"/>
      <c r="H421" s="33"/>
      <c r="I421" s="33"/>
    </row>
    <row r="422" spans="2:9" x14ac:dyDescent="0.3">
      <c r="B422">
        <v>52</v>
      </c>
      <c r="C422">
        <f>(Table14[[#This Row],[Annual salary]]-51)/7.527726527</f>
        <v>0.13284223283261684</v>
      </c>
      <c r="E422" s="33"/>
      <c r="F422" s="33"/>
      <c r="G422" s="33"/>
      <c r="H422" s="33"/>
      <c r="I422" s="33"/>
    </row>
    <row r="423" spans="2:9" x14ac:dyDescent="0.3">
      <c r="B423">
        <v>55</v>
      </c>
      <c r="C423">
        <f>(Table14[[#This Row],[Annual salary]]-51)/7.527726527</f>
        <v>0.53136893133046736</v>
      </c>
      <c r="E423" s="33"/>
      <c r="F423" s="33"/>
      <c r="G423" s="33"/>
      <c r="H423" s="33"/>
      <c r="I423" s="33"/>
    </row>
    <row r="424" spans="2:9" x14ac:dyDescent="0.3">
      <c r="B424">
        <v>57</v>
      </c>
      <c r="C424">
        <f>(Table14[[#This Row],[Annual salary]]-51)/7.527726527</f>
        <v>0.79705339699570099</v>
      </c>
      <c r="E424" s="33"/>
      <c r="F424" s="33"/>
      <c r="G424" s="33"/>
      <c r="H424" s="33"/>
      <c r="I424" s="33"/>
    </row>
    <row r="425" spans="2:9" x14ac:dyDescent="0.3">
      <c r="B425">
        <v>60</v>
      </c>
      <c r="C425">
        <f>(Table14[[#This Row],[Annual salary]]-51)/7.527726527</f>
        <v>1.1955800954935514</v>
      </c>
      <c r="E425" s="33"/>
      <c r="F425" s="33"/>
      <c r="G425" s="33"/>
      <c r="H425" s="33"/>
      <c r="I425" s="33"/>
    </row>
    <row r="426" spans="2:9" x14ac:dyDescent="0.3">
      <c r="B426">
        <v>62</v>
      </c>
      <c r="C426">
        <f>(Table14[[#This Row],[Annual salary]]-51)/7.527726527</f>
        <v>1.4612645611587851</v>
      </c>
      <c r="E426" s="33"/>
      <c r="F426" s="33"/>
      <c r="G426" s="33"/>
      <c r="H426" s="33"/>
      <c r="I426" s="33"/>
    </row>
    <row r="428" spans="2:9" x14ac:dyDescent="0.3">
      <c r="B428" t="s">
        <v>96</v>
      </c>
      <c r="C428">
        <f>SUM(Table14[Annual salary])/COUNT(Table14[Annual salary])</f>
        <v>51</v>
      </c>
    </row>
    <row r="429" spans="2:9" x14ac:dyDescent="0.3">
      <c r="B429" t="s">
        <v>12</v>
      </c>
      <c r="C429">
        <f>STDEV(Table14[Annual salary])</f>
        <v>7.5277265270908096</v>
      </c>
    </row>
    <row r="448" spans="2:5" x14ac:dyDescent="0.3">
      <c r="B448" t="s">
        <v>97</v>
      </c>
      <c r="C448" t="s">
        <v>103</v>
      </c>
      <c r="D448" t="s">
        <v>106</v>
      </c>
      <c r="E448" t="s">
        <v>77</v>
      </c>
    </row>
    <row r="449" spans="2:5" x14ac:dyDescent="0.3">
      <c r="B449">
        <v>85</v>
      </c>
      <c r="D449" s="10">
        <f>(Table15[[#This Row],[scores]]-96)/7.5277</f>
        <v>-1.4612697105357546</v>
      </c>
      <c r="E449" s="22">
        <f>NORMDIST(Table15[[#This Row],[scores]],96,7.527726527,TRUE)</f>
        <v>7.1971425709048201E-2</v>
      </c>
    </row>
    <row r="450" spans="2:5" x14ac:dyDescent="0.3">
      <c r="B450">
        <v>87</v>
      </c>
      <c r="C450">
        <v>85</v>
      </c>
      <c r="D450" s="10">
        <f>(Table15[[#This Row],[scores]]-96)/7.5277</f>
        <v>-1.1955843086201627</v>
      </c>
      <c r="E450" s="22">
        <f>NORMDIST(Table15[[#This Row],[scores]],96,7.527726527,TRUE)</f>
        <v>0.11593023138452459</v>
      </c>
    </row>
    <row r="451" spans="2:5" x14ac:dyDescent="0.3">
      <c r="B451">
        <v>90</v>
      </c>
      <c r="C451">
        <v>90</v>
      </c>
      <c r="D451" s="10">
        <f>(Table15[[#This Row],[scores]]-96)/7.5277</f>
        <v>-0.79705620574677516</v>
      </c>
      <c r="E451" s="22">
        <f>NORMDIST(Table15[[#This Row],[scores]],96,7.527726527,TRUE)</f>
        <v>0.21271001023188232</v>
      </c>
    </row>
    <row r="452" spans="2:5" x14ac:dyDescent="0.3">
      <c r="B452">
        <v>92</v>
      </c>
      <c r="C452">
        <v>95</v>
      </c>
      <c r="D452" s="10">
        <f>(Table15[[#This Row],[scores]]-96)/7.5277</f>
        <v>-0.53137080383118351</v>
      </c>
      <c r="E452" s="22">
        <f>NORMDIST(Table15[[#This Row],[scores]],96,7.527726527,TRUE)</f>
        <v>0.29758157335256558</v>
      </c>
    </row>
    <row r="453" spans="2:5" x14ac:dyDescent="0.3">
      <c r="B453">
        <v>95</v>
      </c>
      <c r="C453">
        <v>100</v>
      </c>
      <c r="D453" s="10">
        <f>(Table15[[#This Row],[scores]]-96)/7.5277</f>
        <v>-0.13284270095779588</v>
      </c>
      <c r="E453" s="22">
        <f>NORMDIST(Table15[[#This Row],[scores]],96,7.527726527,TRUE)</f>
        <v>0.44715907667945431</v>
      </c>
    </row>
    <row r="454" spans="2:5" x14ac:dyDescent="0.3">
      <c r="B454">
        <v>97</v>
      </c>
      <c r="C454">
        <v>105</v>
      </c>
      <c r="D454" s="10">
        <f>(Table15[[#This Row],[scores]]-96)/7.5277</f>
        <v>0.13284270095779588</v>
      </c>
      <c r="E454" s="22">
        <f>NORMDIST(Table15[[#This Row],[scores]],96,7.527726527,TRUE)</f>
        <v>0.55284092332054569</v>
      </c>
    </row>
    <row r="455" spans="2:5" x14ac:dyDescent="0.3">
      <c r="B455">
        <v>100</v>
      </c>
      <c r="C455">
        <v>110</v>
      </c>
      <c r="D455" s="10">
        <f>(Table15[[#This Row],[scores]]-96)/7.5277</f>
        <v>0.53137080383118351</v>
      </c>
      <c r="E455" s="22">
        <f>NORMDIST(Table15[[#This Row],[scores]],96,7.527726527,TRUE)</f>
        <v>0.70241842664743448</v>
      </c>
    </row>
    <row r="456" spans="2:5" x14ac:dyDescent="0.3">
      <c r="B456">
        <v>102</v>
      </c>
      <c r="D456" s="10">
        <f>(Table15[[#This Row],[scores]]-96)/7.5277</f>
        <v>0.79705620574677516</v>
      </c>
      <c r="E456" s="22">
        <f>NORMDIST(Table15[[#This Row],[scores]],96,7.527726527,TRUE)</f>
        <v>0.7872899897681177</v>
      </c>
    </row>
    <row r="457" spans="2:5" x14ac:dyDescent="0.3">
      <c r="B457">
        <v>105</v>
      </c>
      <c r="D457" s="10">
        <f>(Table15[[#This Row],[scores]]-96)/7.5277</f>
        <v>1.1955843086201627</v>
      </c>
      <c r="E457" s="22">
        <f>NORMDIST(Table15[[#This Row],[scores]],96,7.527726527,TRUE)</f>
        <v>0.88406976861547537</v>
      </c>
    </row>
    <row r="458" spans="2:5" x14ac:dyDescent="0.3">
      <c r="B458">
        <v>107</v>
      </c>
      <c r="D458" s="10">
        <f>(Table15[[#This Row],[scores]]-96)/7.5277</f>
        <v>1.4612697105357546</v>
      </c>
      <c r="E458" s="22">
        <f>NORMDIST(Table15[[#This Row],[scores]],96,7.527726527,TRUE)</f>
        <v>0.92802857429095176</v>
      </c>
    </row>
    <row r="460" spans="2:5" x14ac:dyDescent="0.3">
      <c r="B460" t="s">
        <v>101</v>
      </c>
      <c r="C460">
        <v>85</v>
      </c>
    </row>
    <row r="461" spans="2:5" x14ac:dyDescent="0.3">
      <c r="B461" t="s">
        <v>102</v>
      </c>
      <c r="C461">
        <v>107</v>
      </c>
    </row>
    <row r="462" spans="2:5" x14ac:dyDescent="0.3">
      <c r="B462" t="s">
        <v>103</v>
      </c>
      <c r="C462">
        <f>(C461-C460)/5</f>
        <v>4.4000000000000004</v>
      </c>
      <c r="D462" t="s">
        <v>104</v>
      </c>
    </row>
    <row r="463" spans="2:5" x14ac:dyDescent="0.3">
      <c r="B463" t="s">
        <v>105</v>
      </c>
      <c r="C463">
        <f>SUM(Table15[scores])/COUNT(Table15[scores])</f>
        <v>96</v>
      </c>
    </row>
    <row r="464" spans="2:5" x14ac:dyDescent="0.3">
      <c r="B464" t="s">
        <v>12</v>
      </c>
      <c r="C464">
        <f>STDEV(Table15[scores])</f>
        <v>7.5277265270908096</v>
      </c>
    </row>
    <row r="469" spans="2:3" ht="15" thickBot="1" x14ac:dyDescent="0.35">
      <c r="B469" t="s">
        <v>110</v>
      </c>
    </row>
    <row r="470" spans="2:3" x14ac:dyDescent="0.3">
      <c r="B470" s="9" t="s">
        <v>98</v>
      </c>
      <c r="C470" s="9" t="s">
        <v>100</v>
      </c>
    </row>
    <row r="471" spans="2:3" x14ac:dyDescent="0.3">
      <c r="B471">
        <v>85</v>
      </c>
      <c r="C471">
        <v>1</v>
      </c>
    </row>
    <row r="472" spans="2:3" x14ac:dyDescent="0.3">
      <c r="B472">
        <v>90</v>
      </c>
      <c r="C472">
        <v>2</v>
      </c>
    </row>
    <row r="473" spans="2:3" x14ac:dyDescent="0.3">
      <c r="B473">
        <v>95</v>
      </c>
      <c r="C473">
        <v>2</v>
      </c>
    </row>
    <row r="474" spans="2:3" x14ac:dyDescent="0.3">
      <c r="B474">
        <v>100</v>
      </c>
      <c r="C474">
        <v>2</v>
      </c>
    </row>
    <row r="475" spans="2:3" x14ac:dyDescent="0.3">
      <c r="B475">
        <v>105</v>
      </c>
      <c r="C475">
        <v>2</v>
      </c>
    </row>
    <row r="476" spans="2:3" x14ac:dyDescent="0.3">
      <c r="B476">
        <v>110</v>
      </c>
      <c r="C476">
        <v>1</v>
      </c>
    </row>
    <row r="477" spans="2:3" ht="15" thickBot="1" x14ac:dyDescent="0.35">
      <c r="B477" s="8" t="s">
        <v>99</v>
      </c>
      <c r="C477" s="8">
        <v>0</v>
      </c>
    </row>
    <row r="494" spans="2:2" x14ac:dyDescent="0.3">
      <c r="B494" t="s">
        <v>111</v>
      </c>
    </row>
    <row r="495" spans="2:2" x14ac:dyDescent="0.3">
      <c r="B495">
        <v>10</v>
      </c>
    </row>
    <row r="496" spans="2:2" x14ac:dyDescent="0.3">
      <c r="B496">
        <v>12</v>
      </c>
    </row>
    <row r="497" spans="2:5" x14ac:dyDescent="0.3">
      <c r="B497">
        <v>14</v>
      </c>
    </row>
    <row r="498" spans="2:5" x14ac:dyDescent="0.3">
      <c r="B498">
        <v>15</v>
      </c>
      <c r="D498" s="1" t="s">
        <v>113</v>
      </c>
      <c r="E498">
        <v>0.05</v>
      </c>
    </row>
    <row r="499" spans="2:5" x14ac:dyDescent="0.3">
      <c r="B499">
        <v>13</v>
      </c>
      <c r="D499" t="s">
        <v>87</v>
      </c>
      <c r="E499">
        <f>C507/SQRT(10)</f>
        <v>1.0132456102380447</v>
      </c>
    </row>
    <row r="500" spans="2:5" x14ac:dyDescent="0.3">
      <c r="B500">
        <v>16</v>
      </c>
    </row>
    <row r="501" spans="2:5" x14ac:dyDescent="0.3">
      <c r="B501">
        <v>18</v>
      </c>
    </row>
    <row r="502" spans="2:5" x14ac:dyDescent="0.3">
      <c r="B502">
        <v>17</v>
      </c>
    </row>
    <row r="503" spans="2:5" x14ac:dyDescent="0.3">
      <c r="B503">
        <v>19</v>
      </c>
    </row>
    <row r="504" spans="2:5" x14ac:dyDescent="0.3">
      <c r="B504">
        <v>20</v>
      </c>
    </row>
    <row r="505" spans="2:5" x14ac:dyDescent="0.3">
      <c r="B505" s="1" t="s">
        <v>86</v>
      </c>
      <c r="C505">
        <v>0</v>
      </c>
    </row>
    <row r="506" spans="2:5" x14ac:dyDescent="0.3">
      <c r="B506" s="1" t="s">
        <v>105</v>
      </c>
      <c r="C506">
        <f>AVERAGE(Table16[blood pressure])</f>
        <v>15.4</v>
      </c>
    </row>
    <row r="507" spans="2:5" x14ac:dyDescent="0.3">
      <c r="B507" s="1" t="s">
        <v>12</v>
      </c>
      <c r="C507">
        <f>STDEV(Table16[blood pressure])</f>
        <v>3.2041639575194458</v>
      </c>
    </row>
    <row r="508" spans="2:5" x14ac:dyDescent="0.3">
      <c r="B508" s="1" t="s">
        <v>88</v>
      </c>
      <c r="C508">
        <f>COUNT(Table16[blood pressure])-1</f>
        <v>9</v>
      </c>
    </row>
    <row r="509" spans="2:5" x14ac:dyDescent="0.3">
      <c r="B509" s="1" t="s">
        <v>112</v>
      </c>
      <c r="C509">
        <f>(C506-C505)/E499</f>
        <v>15.198684153570657</v>
      </c>
    </row>
    <row r="510" spans="2:5" x14ac:dyDescent="0.3">
      <c r="B510" s="1" t="s">
        <v>114</v>
      </c>
      <c r="C510">
        <v>2.262</v>
      </c>
    </row>
    <row r="512" spans="2:5" x14ac:dyDescent="0.3">
      <c r="B512" s="1" t="s">
        <v>115</v>
      </c>
    </row>
    <row r="513" spans="2:3" x14ac:dyDescent="0.3">
      <c r="B513" s="1" t="s">
        <v>116</v>
      </c>
    </row>
    <row r="515" spans="2:3" x14ac:dyDescent="0.3">
      <c r="B515" s="1" t="s">
        <v>107</v>
      </c>
      <c r="C515">
        <f>TDIST(C509,C508,2)</f>
        <v>1.0062192292419587E-7</v>
      </c>
    </row>
    <row r="516" spans="2:3" x14ac:dyDescent="0.3">
      <c r="B516" s="1" t="s">
        <v>117</v>
      </c>
    </row>
    <row r="518" spans="2:3" x14ac:dyDescent="0.3">
      <c r="B518" s="1" t="s">
        <v>118</v>
      </c>
    </row>
    <row r="519" spans="2:3" x14ac:dyDescent="0.3">
      <c r="B519" s="1" t="s">
        <v>119</v>
      </c>
    </row>
    <row r="530" spans="2:4" x14ac:dyDescent="0.3">
      <c r="B530" t="s">
        <v>120</v>
      </c>
    </row>
    <row r="531" spans="2:4" x14ac:dyDescent="0.3">
      <c r="B531">
        <v>3.5</v>
      </c>
    </row>
    <row r="532" spans="2:4" x14ac:dyDescent="0.3">
      <c r="B532">
        <v>4</v>
      </c>
    </row>
    <row r="533" spans="2:4" x14ac:dyDescent="0.3">
      <c r="B533">
        <v>4.2</v>
      </c>
    </row>
    <row r="534" spans="2:4" x14ac:dyDescent="0.3">
      <c r="B534">
        <v>4.5</v>
      </c>
    </row>
    <row r="535" spans="2:4" x14ac:dyDescent="0.3">
      <c r="B535">
        <v>4.7</v>
      </c>
    </row>
    <row r="536" spans="2:4" x14ac:dyDescent="0.3">
      <c r="B536">
        <v>5</v>
      </c>
    </row>
    <row r="537" spans="2:4" x14ac:dyDescent="0.3">
      <c r="B537">
        <v>5.3</v>
      </c>
    </row>
    <row r="538" spans="2:4" x14ac:dyDescent="0.3">
      <c r="B538">
        <v>5.5</v>
      </c>
    </row>
    <row r="539" spans="2:4" x14ac:dyDescent="0.3">
      <c r="B539">
        <v>5.7</v>
      </c>
    </row>
    <row r="540" spans="2:4" x14ac:dyDescent="0.3">
      <c r="B540">
        <v>6</v>
      </c>
    </row>
    <row r="541" spans="2:4" x14ac:dyDescent="0.3">
      <c r="D541" t="s">
        <v>121</v>
      </c>
    </row>
    <row r="542" spans="2:4" x14ac:dyDescent="0.3">
      <c r="B542" t="s">
        <v>105</v>
      </c>
      <c r="C542">
        <f>AVERAGE(Table17[Income])</f>
        <v>4.8400000000000007</v>
      </c>
    </row>
    <row r="543" spans="2:4" x14ac:dyDescent="0.3">
      <c r="B543" t="s">
        <v>12</v>
      </c>
      <c r="C543">
        <f>STDEV(Table17[Income])</f>
        <v>0.80304974247482697</v>
      </c>
    </row>
    <row r="544" spans="2:4" x14ac:dyDescent="0.3">
      <c r="B544" t="s">
        <v>87</v>
      </c>
      <c r="C544">
        <f>C543/SQRT(10)</f>
        <v>0.2539466260632115</v>
      </c>
    </row>
    <row r="545" spans="2:4" x14ac:dyDescent="0.3">
      <c r="B545" t="s">
        <v>122</v>
      </c>
      <c r="C545">
        <f>1.96*C544</f>
        <v>0.49773538708389453</v>
      </c>
    </row>
    <row r="549" spans="2:4" x14ac:dyDescent="0.3">
      <c r="B549" s="23" t="s">
        <v>123</v>
      </c>
      <c r="C549" s="23">
        <f>C542-C545</f>
        <v>4.3422646129161064</v>
      </c>
      <c r="D549" s="23">
        <f>C542+C545</f>
        <v>5.3377353870838951</v>
      </c>
    </row>
    <row r="550" spans="2:4" x14ac:dyDescent="0.3">
      <c r="B550" t="s">
        <v>124</v>
      </c>
    </row>
    <row r="551" spans="2:4" x14ac:dyDescent="0.3">
      <c r="B551" t="s">
        <v>24</v>
      </c>
      <c r="C551">
        <f>QUARTILE(Table17[Income],1)</f>
        <v>4.2750000000000004</v>
      </c>
    </row>
    <row r="552" spans="2:4" x14ac:dyDescent="0.3">
      <c r="B552" t="s">
        <v>25</v>
      </c>
      <c r="C552">
        <f>QUARTILE(Table17[Income],3)</f>
        <v>5.45</v>
      </c>
    </row>
    <row r="553" spans="2:4" x14ac:dyDescent="0.3">
      <c r="B553" t="s">
        <v>22</v>
      </c>
      <c r="C553">
        <f>C552-C551</f>
        <v>1.1749999999999998</v>
      </c>
    </row>
    <row r="554" spans="2:4" x14ac:dyDescent="0.3">
      <c r="B554" t="s">
        <v>26</v>
      </c>
      <c r="C554">
        <f>C551-1.5*C553</f>
        <v>2.5125000000000006</v>
      </c>
    </row>
    <row r="555" spans="2:4" x14ac:dyDescent="0.3">
      <c r="B555" t="s">
        <v>27</v>
      </c>
      <c r="C555">
        <f>C552+1.5*C553</f>
        <v>7.2125000000000004</v>
      </c>
    </row>
    <row r="557" spans="2:4" x14ac:dyDescent="0.3">
      <c r="B557" t="s">
        <v>125</v>
      </c>
    </row>
    <row r="574" spans="2:2" x14ac:dyDescent="0.3">
      <c r="B574" t="s">
        <v>126</v>
      </c>
    </row>
    <row r="575" spans="2:2" x14ac:dyDescent="0.3">
      <c r="B575">
        <v>25</v>
      </c>
    </row>
    <row r="576" spans="2:2" x14ac:dyDescent="0.3">
      <c r="B576">
        <v>26</v>
      </c>
    </row>
    <row r="577" spans="2:3" x14ac:dyDescent="0.3">
      <c r="B577">
        <v>27</v>
      </c>
    </row>
    <row r="578" spans="2:3" x14ac:dyDescent="0.3">
      <c r="B578">
        <v>28</v>
      </c>
    </row>
    <row r="579" spans="2:3" x14ac:dyDescent="0.3">
      <c r="B579">
        <v>29</v>
      </c>
    </row>
    <row r="580" spans="2:3" x14ac:dyDescent="0.3">
      <c r="B580">
        <v>30</v>
      </c>
    </row>
    <row r="581" spans="2:3" x14ac:dyDescent="0.3">
      <c r="B581">
        <v>31</v>
      </c>
    </row>
    <row r="582" spans="2:3" x14ac:dyDescent="0.3">
      <c r="B582">
        <v>32</v>
      </c>
    </row>
    <row r="583" spans="2:3" x14ac:dyDescent="0.3">
      <c r="B583">
        <v>33</v>
      </c>
    </row>
    <row r="584" spans="2:3" x14ac:dyDescent="0.3">
      <c r="B584">
        <v>34</v>
      </c>
    </row>
    <row r="585" spans="2:3" x14ac:dyDescent="0.3">
      <c r="B585">
        <v>35</v>
      </c>
    </row>
    <row r="586" spans="2:3" x14ac:dyDescent="0.3">
      <c r="B586">
        <v>36</v>
      </c>
    </row>
    <row r="587" spans="2:3" x14ac:dyDescent="0.3">
      <c r="B587">
        <v>37</v>
      </c>
    </row>
    <row r="588" spans="2:3" x14ac:dyDescent="0.3">
      <c r="B588">
        <v>38</v>
      </c>
    </row>
    <row r="590" spans="2:3" x14ac:dyDescent="0.3">
      <c r="B590" t="s">
        <v>127</v>
      </c>
      <c r="C590">
        <f>QUARTILE(Table18[temperature],1)</f>
        <v>28.25</v>
      </c>
    </row>
    <row r="591" spans="2:3" x14ac:dyDescent="0.3">
      <c r="B591" t="s">
        <v>128</v>
      </c>
      <c r="C591">
        <f>QUARTILE(Table18[temperature],3)</f>
        <v>34.75</v>
      </c>
    </row>
    <row r="592" spans="2:3" x14ac:dyDescent="0.3">
      <c r="B592" t="s">
        <v>22</v>
      </c>
      <c r="C592">
        <f>C591-C590</f>
        <v>6.5</v>
      </c>
    </row>
    <row r="593" spans="2:3" x14ac:dyDescent="0.3">
      <c r="B593" t="s">
        <v>26</v>
      </c>
      <c r="C593">
        <f>C590-1.5*C592</f>
        <v>18.5</v>
      </c>
    </row>
    <row r="594" spans="2:3" x14ac:dyDescent="0.3">
      <c r="B594" t="s">
        <v>27</v>
      </c>
      <c r="C594">
        <f>C591+1.5*C592</f>
        <v>44.5</v>
      </c>
    </row>
    <row r="596" spans="2:3" x14ac:dyDescent="0.3">
      <c r="B596" t="s">
        <v>129</v>
      </c>
    </row>
    <row r="621" spans="2:4" x14ac:dyDescent="0.3">
      <c r="B621" t="s">
        <v>130</v>
      </c>
      <c r="C621" t="s">
        <v>16</v>
      </c>
      <c r="D621" t="s">
        <v>131</v>
      </c>
    </row>
    <row r="622" spans="2:4" x14ac:dyDescent="0.3">
      <c r="B622">
        <v>10</v>
      </c>
      <c r="C622">
        <v>100</v>
      </c>
      <c r="D622">
        <v>100</v>
      </c>
    </row>
    <row r="623" spans="2:4" x14ac:dyDescent="0.3">
      <c r="B623">
        <v>20</v>
      </c>
      <c r="C623">
        <v>150</v>
      </c>
      <c r="D623">
        <f>0.5*Table19[[#This Row],[sales]]+(1-0.5)*D622</f>
        <v>125</v>
      </c>
    </row>
    <row r="624" spans="2:4" x14ac:dyDescent="0.3">
      <c r="B624">
        <v>30</v>
      </c>
      <c r="C624">
        <v>200</v>
      </c>
      <c r="D624">
        <f>0.5*Table19[[#This Row],[sales]]+(1-0.5)*D623</f>
        <v>162.5</v>
      </c>
    </row>
    <row r="625" spans="2:4" x14ac:dyDescent="0.3">
      <c r="B625">
        <v>40</v>
      </c>
      <c r="C625">
        <v>250</v>
      </c>
      <c r="D625">
        <f>0.5*Table19[[#This Row],[sales]]+(1-0.5)*D624</f>
        <v>206.25</v>
      </c>
    </row>
    <row r="626" spans="2:4" x14ac:dyDescent="0.3">
      <c r="B626">
        <v>50</v>
      </c>
      <c r="C626">
        <v>300</v>
      </c>
      <c r="D626">
        <f>0.5*Table19[[#This Row],[sales]]+(1-0.5)*D625</f>
        <v>253.125</v>
      </c>
    </row>
    <row r="653" spans="1:3" x14ac:dyDescent="0.3">
      <c r="A653" t="s">
        <v>135</v>
      </c>
      <c r="B653" t="s">
        <v>132</v>
      </c>
      <c r="C653" t="s">
        <v>133</v>
      </c>
    </row>
    <row r="654" spans="1:3" x14ac:dyDescent="0.3">
      <c r="A654">
        <v>1</v>
      </c>
      <c r="B654">
        <v>150</v>
      </c>
      <c r="C654">
        <v>150</v>
      </c>
    </row>
    <row r="655" spans="1:3" x14ac:dyDescent="0.3">
      <c r="A655">
        <v>2</v>
      </c>
      <c r="B655">
        <v>160</v>
      </c>
      <c r="C655">
        <f>0.5*Table20[[#This Row],[monthly sale]]+(1-0.5)*C654</f>
        <v>155</v>
      </c>
    </row>
    <row r="656" spans="1:3" x14ac:dyDescent="0.3">
      <c r="A656">
        <v>3</v>
      </c>
      <c r="B656">
        <v>170</v>
      </c>
      <c r="C656">
        <f>0.5*Table20[[#This Row],[monthly sale]]+(1-0.5)*C655</f>
        <v>162.5</v>
      </c>
    </row>
    <row r="657" spans="1:3" x14ac:dyDescent="0.3">
      <c r="A657">
        <v>4</v>
      </c>
      <c r="B657">
        <v>180</v>
      </c>
      <c r="C657">
        <f>0.5*Table20[[#This Row],[monthly sale]]+(1-0.5)*C656</f>
        <v>171.25</v>
      </c>
    </row>
    <row r="658" spans="1:3" x14ac:dyDescent="0.3">
      <c r="A658">
        <v>5</v>
      </c>
      <c r="B658">
        <v>190</v>
      </c>
      <c r="C658">
        <f>0.5*Table20[[#This Row],[monthly sale]]+(1-0.5)*C657</f>
        <v>180.625</v>
      </c>
    </row>
    <row r="659" spans="1:3" x14ac:dyDescent="0.3">
      <c r="A659">
        <v>6</v>
      </c>
      <c r="B659">
        <v>200</v>
      </c>
      <c r="C659">
        <f>0.5*Table20[[#This Row],[monthly sale]]+(1-0.5)*C658</f>
        <v>190.3125</v>
      </c>
    </row>
    <row r="660" spans="1:3" x14ac:dyDescent="0.3">
      <c r="A660">
        <v>7</v>
      </c>
      <c r="B660">
        <v>210</v>
      </c>
      <c r="C660">
        <f>0.5*Table20[[#This Row],[monthly sale]]+(1-0.5)*C659</f>
        <v>200.15625</v>
      </c>
    </row>
    <row r="661" spans="1:3" x14ac:dyDescent="0.3">
      <c r="A661">
        <v>8</v>
      </c>
      <c r="B661">
        <v>220</v>
      </c>
      <c r="C661">
        <f>0.5*Table20[[#This Row],[monthly sale]]+(1-0.5)*C660</f>
        <v>210.078125</v>
      </c>
    </row>
    <row r="662" spans="1:3" x14ac:dyDescent="0.3">
      <c r="A662">
        <v>9</v>
      </c>
      <c r="B662">
        <v>230</v>
      </c>
      <c r="C662">
        <f>0.5*Table20[[#This Row],[monthly sale]]+(1-0.5)*C661</f>
        <v>220.0390625</v>
      </c>
    </row>
    <row r="663" spans="1:3" x14ac:dyDescent="0.3">
      <c r="A663">
        <v>10</v>
      </c>
      <c r="B663">
        <v>240</v>
      </c>
      <c r="C663">
        <f>0.5*Table20[[#This Row],[monthly sale]]+(1-0.5)*C662</f>
        <v>230.01953125</v>
      </c>
    </row>
    <row r="664" spans="1:3" x14ac:dyDescent="0.3">
      <c r="A664">
        <v>11</v>
      </c>
      <c r="B664">
        <v>250</v>
      </c>
      <c r="C664">
        <f>0.5*Table20[[#This Row],[monthly sale]]+(1-0.5)*C663</f>
        <v>240.009765625</v>
      </c>
    </row>
    <row r="665" spans="1:3" x14ac:dyDescent="0.3">
      <c r="A665">
        <v>12</v>
      </c>
      <c r="B665">
        <v>260</v>
      </c>
      <c r="C665">
        <f>0.5*Table20[[#This Row],[monthly sale]]+(1-0.5)*C664</f>
        <v>250.0048828125</v>
      </c>
    </row>
    <row r="682" spans="2:11" x14ac:dyDescent="0.3">
      <c r="B682" t="s">
        <v>134</v>
      </c>
    </row>
    <row r="684" spans="2:11" x14ac:dyDescent="0.3">
      <c r="B684" t="s">
        <v>136</v>
      </c>
      <c r="K684" t="s">
        <v>136</v>
      </c>
    </row>
    <row r="685" spans="2:11" ht="15" thickBot="1" x14ac:dyDescent="0.35"/>
    <row r="686" spans="2:11" x14ac:dyDescent="0.3">
      <c r="B686" s="24" t="s">
        <v>137</v>
      </c>
      <c r="C686" s="24"/>
      <c r="K686" s="24" t="s">
        <v>137</v>
      </c>
    </row>
    <row r="687" spans="2:11" x14ac:dyDescent="0.3">
      <c r="B687" t="s">
        <v>138</v>
      </c>
      <c r="C687">
        <v>1</v>
      </c>
      <c r="K687" t="s">
        <v>138</v>
      </c>
    </row>
    <row r="688" spans="2:11" x14ac:dyDescent="0.3">
      <c r="B688" t="s">
        <v>139</v>
      </c>
      <c r="C688">
        <v>1</v>
      </c>
      <c r="K688" t="s">
        <v>139</v>
      </c>
    </row>
    <row r="689" spans="2:11" x14ac:dyDescent="0.3">
      <c r="B689" t="s">
        <v>140</v>
      </c>
      <c r="C689">
        <v>1</v>
      </c>
      <c r="K689" t="s">
        <v>140</v>
      </c>
    </row>
    <row r="690" spans="2:11" x14ac:dyDescent="0.3">
      <c r="B690" t="s">
        <v>141</v>
      </c>
      <c r="C690">
        <v>0</v>
      </c>
      <c r="K690" t="s">
        <v>141</v>
      </c>
    </row>
    <row r="691" spans="2:11" ht="15" thickBot="1" x14ac:dyDescent="0.35">
      <c r="B691" t="s">
        <v>136</v>
      </c>
      <c r="K691" s="8" t="s">
        <v>142</v>
      </c>
    </row>
    <row r="692" spans="2:11" ht="15" thickBot="1" x14ac:dyDescent="0.35"/>
    <row r="693" spans="2:11" ht="15" thickBot="1" x14ac:dyDescent="0.35">
      <c r="B693" s="24" t="s">
        <v>137</v>
      </c>
      <c r="C693" s="24"/>
      <c r="K693" t="s">
        <v>55</v>
      </c>
    </row>
    <row r="694" spans="2:11" x14ac:dyDescent="0.3">
      <c r="B694" t="s">
        <v>138</v>
      </c>
      <c r="C694">
        <v>1</v>
      </c>
      <c r="K694" s="9"/>
    </row>
    <row r="695" spans="2:11" x14ac:dyDescent="0.3">
      <c r="B695" t="s">
        <v>139</v>
      </c>
      <c r="C695">
        <v>1</v>
      </c>
      <c r="K695" t="s">
        <v>143</v>
      </c>
    </row>
    <row r="696" spans="2:11" x14ac:dyDescent="0.3">
      <c r="B696" t="s">
        <v>140</v>
      </c>
      <c r="C696">
        <v>0.66666666666666663</v>
      </c>
      <c r="K696" t="s">
        <v>144</v>
      </c>
    </row>
    <row r="697" spans="2:11" ht="15" thickBot="1" x14ac:dyDescent="0.35">
      <c r="B697" t="s">
        <v>141</v>
      </c>
      <c r="C697">
        <v>0</v>
      </c>
      <c r="K697" s="8" t="s">
        <v>64</v>
      </c>
    </row>
    <row r="698" spans="2:11" ht="15" thickBot="1" x14ac:dyDescent="0.35">
      <c r="B698" s="8" t="s">
        <v>142</v>
      </c>
      <c r="C698" s="8">
        <v>5</v>
      </c>
    </row>
    <row r="699" spans="2:11" x14ac:dyDescent="0.3">
      <c r="K699" s="9"/>
    </row>
    <row r="700" spans="2:11" ht="15" thickBot="1" x14ac:dyDescent="0.35">
      <c r="B700" t="s">
        <v>55</v>
      </c>
      <c r="K700" t="s">
        <v>145</v>
      </c>
    </row>
    <row r="701" spans="2:11" ht="15" thickBot="1" x14ac:dyDescent="0.35">
      <c r="B701" s="9"/>
      <c r="C701" s="9" t="s">
        <v>58</v>
      </c>
      <c r="D701" s="9" t="s">
        <v>57</v>
      </c>
      <c r="E701" s="9" t="s">
        <v>59</v>
      </c>
      <c r="F701" s="9" t="s">
        <v>39</v>
      </c>
      <c r="G701" s="9" t="s">
        <v>146</v>
      </c>
      <c r="K701" s="8" t="s">
        <v>154</v>
      </c>
    </row>
    <row r="702" spans="2:11" x14ac:dyDescent="0.3">
      <c r="B702" t="s">
        <v>143</v>
      </c>
      <c r="C702">
        <v>2</v>
      </c>
      <c r="D702">
        <v>250</v>
      </c>
      <c r="E702">
        <v>125</v>
      </c>
      <c r="F702" t="e">
        <v>#NUM!</v>
      </c>
      <c r="G702" t="e">
        <v>#NUM!</v>
      </c>
    </row>
    <row r="703" spans="2:11" x14ac:dyDescent="0.3">
      <c r="B703" t="s">
        <v>144</v>
      </c>
      <c r="C703">
        <v>3</v>
      </c>
      <c r="D703">
        <v>0</v>
      </c>
      <c r="E703">
        <v>0</v>
      </c>
    </row>
    <row r="704" spans="2:11" ht="15" thickBot="1" x14ac:dyDescent="0.35">
      <c r="B704" s="8" t="s">
        <v>64</v>
      </c>
      <c r="C704" s="8">
        <v>5</v>
      </c>
      <c r="D704" s="8">
        <v>250</v>
      </c>
      <c r="E704" s="8"/>
      <c r="F704" s="8"/>
      <c r="G704" s="8"/>
    </row>
    <row r="706" spans="2:10" x14ac:dyDescent="0.3">
      <c r="C706" t="s">
        <v>147</v>
      </c>
      <c r="D706" t="s">
        <v>141</v>
      </c>
      <c r="E706" t="s">
        <v>148</v>
      </c>
      <c r="F706" t="s">
        <v>60</v>
      </c>
      <c r="G706" t="s">
        <v>149</v>
      </c>
      <c r="H706" t="s">
        <v>150</v>
      </c>
      <c r="I706" t="s">
        <v>151</v>
      </c>
      <c r="J706" t="s">
        <v>152</v>
      </c>
    </row>
    <row r="707" spans="2:10" x14ac:dyDescent="0.3">
      <c r="B707" t="s">
        <v>145</v>
      </c>
      <c r="C707">
        <v>-5</v>
      </c>
      <c r="D707">
        <v>0</v>
      </c>
      <c r="E707">
        <v>65535</v>
      </c>
      <c r="F707" t="e">
        <v>#NUM!</v>
      </c>
      <c r="G707">
        <v>-5</v>
      </c>
      <c r="H707">
        <v>-5</v>
      </c>
      <c r="I707">
        <v>-5</v>
      </c>
      <c r="J707">
        <v>-5</v>
      </c>
    </row>
    <row r="708" spans="2:10" x14ac:dyDescent="0.3">
      <c r="B708" t="s">
        <v>153</v>
      </c>
      <c r="C708">
        <v>0</v>
      </c>
      <c r="D708">
        <v>0</v>
      </c>
      <c r="E708">
        <v>65535</v>
      </c>
      <c r="F708" t="e">
        <v>#NUM!</v>
      </c>
      <c r="G708">
        <v>0</v>
      </c>
      <c r="H708">
        <v>0</v>
      </c>
      <c r="I708">
        <v>0</v>
      </c>
      <c r="J708">
        <v>0</v>
      </c>
    </row>
    <row r="709" spans="2:10" x14ac:dyDescent="0.3">
      <c r="B709" t="s">
        <v>154</v>
      </c>
      <c r="C709">
        <v>0.1</v>
      </c>
      <c r="D709">
        <v>0</v>
      </c>
      <c r="E709">
        <v>65535</v>
      </c>
      <c r="F709" t="e">
        <v>#NUM!</v>
      </c>
      <c r="G709">
        <v>0.1</v>
      </c>
      <c r="H709">
        <v>0.1</v>
      </c>
      <c r="I709">
        <v>0.1</v>
      </c>
      <c r="J709">
        <v>0.1</v>
      </c>
    </row>
    <row r="722" spans="2:4" x14ac:dyDescent="0.3">
      <c r="B722" t="s">
        <v>155</v>
      </c>
      <c r="C722" t="s">
        <v>16</v>
      </c>
      <c r="D722" t="s">
        <v>130</v>
      </c>
    </row>
    <row r="723" spans="2:4" x14ac:dyDescent="0.3">
      <c r="B723">
        <v>10</v>
      </c>
      <c r="C723">
        <v>100</v>
      </c>
      <c r="D723">
        <v>5</v>
      </c>
    </row>
    <row r="724" spans="2:4" x14ac:dyDescent="0.3">
      <c r="B724">
        <v>20</v>
      </c>
      <c r="C724">
        <v>150</v>
      </c>
      <c r="D724">
        <v>10</v>
      </c>
    </row>
    <row r="725" spans="2:4" x14ac:dyDescent="0.3">
      <c r="B725">
        <v>30</v>
      </c>
      <c r="C725">
        <v>200</v>
      </c>
      <c r="D725">
        <v>15</v>
      </c>
    </row>
    <row r="726" spans="2:4" x14ac:dyDescent="0.3">
      <c r="B726">
        <v>40</v>
      </c>
      <c r="C726">
        <v>250</v>
      </c>
      <c r="D726">
        <v>20</v>
      </c>
    </row>
    <row r="727" spans="2:4" x14ac:dyDescent="0.3">
      <c r="B727">
        <v>50</v>
      </c>
      <c r="C727">
        <v>300</v>
      </c>
      <c r="D727">
        <v>25</v>
      </c>
    </row>
    <row r="729" spans="2:4" x14ac:dyDescent="0.3">
      <c r="B729" t="s">
        <v>156</v>
      </c>
      <c r="C729" t="s">
        <v>157</v>
      </c>
      <c r="D729" t="s">
        <v>158</v>
      </c>
    </row>
    <row r="731" spans="2:4" x14ac:dyDescent="0.3">
      <c r="B731" t="s">
        <v>136</v>
      </c>
    </row>
    <row r="732" spans="2:4" ht="15" thickBot="1" x14ac:dyDescent="0.35"/>
    <row r="733" spans="2:4" x14ac:dyDescent="0.3">
      <c r="B733" s="24" t="s">
        <v>137</v>
      </c>
      <c r="C733" s="24"/>
    </row>
    <row r="734" spans="2:4" x14ac:dyDescent="0.3">
      <c r="B734" t="s">
        <v>138</v>
      </c>
      <c r="C734">
        <v>1</v>
      </c>
    </row>
    <row r="735" spans="2:4" x14ac:dyDescent="0.3">
      <c r="B735" t="s">
        <v>139</v>
      </c>
      <c r="C735">
        <v>1</v>
      </c>
    </row>
    <row r="736" spans="2:4" x14ac:dyDescent="0.3">
      <c r="B736" t="s">
        <v>140</v>
      </c>
      <c r="C736">
        <v>0.5</v>
      </c>
    </row>
    <row r="737" spans="2:10" x14ac:dyDescent="0.3">
      <c r="B737" t="s">
        <v>141</v>
      </c>
      <c r="C737">
        <v>0</v>
      </c>
    </row>
    <row r="738" spans="2:10" ht="15" thickBot="1" x14ac:dyDescent="0.35">
      <c r="B738" s="8" t="s">
        <v>142</v>
      </c>
      <c r="C738" s="8">
        <v>4</v>
      </c>
    </row>
    <row r="740" spans="2:10" ht="15" thickBot="1" x14ac:dyDescent="0.35">
      <c r="B740" t="s">
        <v>55</v>
      </c>
    </row>
    <row r="741" spans="2:10" x14ac:dyDescent="0.3">
      <c r="B741" s="9"/>
      <c r="C741" s="9" t="s">
        <v>58</v>
      </c>
      <c r="D741" s="9" t="s">
        <v>57</v>
      </c>
      <c r="E741" s="9" t="s">
        <v>59</v>
      </c>
      <c r="F741" s="9" t="s">
        <v>39</v>
      </c>
      <c r="G741" s="9" t="s">
        <v>146</v>
      </c>
    </row>
    <row r="742" spans="2:10" x14ac:dyDescent="0.3">
      <c r="B742" t="s">
        <v>143</v>
      </c>
      <c r="C742">
        <v>2</v>
      </c>
      <c r="D742">
        <v>125</v>
      </c>
      <c r="E742">
        <v>62.5</v>
      </c>
      <c r="F742" t="e">
        <v>#NUM!</v>
      </c>
      <c r="G742" t="e">
        <v>#NUM!</v>
      </c>
    </row>
    <row r="743" spans="2:10" x14ac:dyDescent="0.3">
      <c r="B743" t="s">
        <v>144</v>
      </c>
      <c r="C743">
        <v>2</v>
      </c>
      <c r="D743">
        <v>0</v>
      </c>
      <c r="E743">
        <v>0</v>
      </c>
    </row>
    <row r="744" spans="2:10" ht="15" thickBot="1" x14ac:dyDescent="0.35">
      <c r="B744" s="8" t="s">
        <v>64</v>
      </c>
      <c r="C744" s="8">
        <v>4</v>
      </c>
      <c r="D744" s="8">
        <v>125</v>
      </c>
      <c r="E744" s="8"/>
      <c r="F744" s="8"/>
      <c r="G744" s="8"/>
    </row>
    <row r="745" spans="2:10" ht="15" thickBot="1" x14ac:dyDescent="0.35"/>
    <row r="746" spans="2:10" x14ac:dyDescent="0.3">
      <c r="B746" s="9"/>
      <c r="C746" s="9" t="s">
        <v>147</v>
      </c>
      <c r="D746" s="9" t="s">
        <v>141</v>
      </c>
      <c r="E746" s="9" t="s">
        <v>148</v>
      </c>
      <c r="F746" s="9" t="s">
        <v>60</v>
      </c>
      <c r="G746" s="9" t="s">
        <v>149</v>
      </c>
      <c r="H746" s="9" t="s">
        <v>150</v>
      </c>
      <c r="I746" s="9" t="s">
        <v>151</v>
      </c>
      <c r="J746" s="9" t="s">
        <v>152</v>
      </c>
    </row>
    <row r="747" spans="2:10" x14ac:dyDescent="0.3">
      <c r="B747" t="s">
        <v>145</v>
      </c>
      <c r="C747">
        <v>-5</v>
      </c>
      <c r="D747">
        <v>0</v>
      </c>
      <c r="E747">
        <v>65535</v>
      </c>
      <c r="F747" t="e">
        <v>#NUM!</v>
      </c>
      <c r="G747">
        <v>-5</v>
      </c>
      <c r="H747">
        <v>-5</v>
      </c>
      <c r="I747">
        <v>-5</v>
      </c>
      <c r="J747">
        <v>-5</v>
      </c>
    </row>
    <row r="748" spans="2:10" x14ac:dyDescent="0.3">
      <c r="B748">
        <v>10</v>
      </c>
      <c r="C748">
        <v>0</v>
      </c>
      <c r="D748">
        <v>0</v>
      </c>
      <c r="E748">
        <v>65535</v>
      </c>
      <c r="F748" t="e">
        <v>#NUM!</v>
      </c>
      <c r="G748">
        <v>0</v>
      </c>
      <c r="H748">
        <v>0</v>
      </c>
      <c r="I748">
        <v>0</v>
      </c>
      <c r="J748">
        <v>0</v>
      </c>
    </row>
    <row r="749" spans="2:10" ht="15" thickBot="1" x14ac:dyDescent="0.35">
      <c r="B749" s="8">
        <v>100</v>
      </c>
      <c r="C749" s="8">
        <v>0.1</v>
      </c>
      <c r="D749" s="8">
        <v>0</v>
      </c>
      <c r="E749" s="8">
        <v>65535</v>
      </c>
      <c r="F749" s="8" t="e">
        <v>#NUM!</v>
      </c>
      <c r="G749" s="8">
        <v>0.1</v>
      </c>
      <c r="H749" s="8">
        <v>0.1</v>
      </c>
      <c r="I749" s="8">
        <v>0.1</v>
      </c>
      <c r="J749" s="8">
        <v>0.1</v>
      </c>
    </row>
    <row r="759" spans="2:3" x14ac:dyDescent="0.3">
      <c r="B759" t="s">
        <v>159</v>
      </c>
    </row>
    <row r="760" spans="2:3" x14ac:dyDescent="0.3">
      <c r="B760" t="s">
        <v>160</v>
      </c>
    </row>
    <row r="762" spans="2:3" x14ac:dyDescent="0.3">
      <c r="B762" t="s">
        <v>161</v>
      </c>
      <c r="C762">
        <v>0.05</v>
      </c>
    </row>
    <row r="763" spans="2:3" x14ac:dyDescent="0.3">
      <c r="B763" t="s">
        <v>3</v>
      </c>
      <c r="C763">
        <v>50</v>
      </c>
    </row>
    <row r="764" spans="2:3" x14ac:dyDescent="0.3">
      <c r="B764" t="s">
        <v>12</v>
      </c>
      <c r="C764">
        <v>3.5</v>
      </c>
    </row>
    <row r="765" spans="2:3" x14ac:dyDescent="0.3">
      <c r="B765" t="s">
        <v>162</v>
      </c>
      <c r="C765">
        <v>10</v>
      </c>
    </row>
    <row r="766" spans="2:3" x14ac:dyDescent="0.3">
      <c r="B766" t="s">
        <v>163</v>
      </c>
      <c r="C766">
        <v>9.5</v>
      </c>
    </row>
    <row r="767" spans="2:3" x14ac:dyDescent="0.3">
      <c r="B767" t="s">
        <v>87</v>
      </c>
      <c r="C767">
        <f>C764/SQRT(C763)</f>
        <v>0.49497474683058323</v>
      </c>
    </row>
    <row r="768" spans="2:3" x14ac:dyDescent="0.3">
      <c r="B768" t="s">
        <v>164</v>
      </c>
      <c r="C768">
        <f>(C765-C766)/C767</f>
        <v>1.0101525445522108</v>
      </c>
    </row>
    <row r="769" spans="2:3" x14ac:dyDescent="0.3">
      <c r="B769" t="s">
        <v>88</v>
      </c>
      <c r="C769">
        <v>49</v>
      </c>
    </row>
    <row r="770" spans="2:3" x14ac:dyDescent="0.3">
      <c r="B770" t="s">
        <v>114</v>
      </c>
      <c r="C770">
        <v>1.671</v>
      </c>
    </row>
    <row r="772" spans="2:3" x14ac:dyDescent="0.3">
      <c r="B772" t="s">
        <v>165</v>
      </c>
    </row>
    <row r="773" spans="2:3" x14ac:dyDescent="0.3">
      <c r="B773" t="s">
        <v>166</v>
      </c>
    </row>
    <row r="782" spans="2:3" x14ac:dyDescent="0.3">
      <c r="B782" t="s">
        <v>167</v>
      </c>
    </row>
    <row r="783" spans="2:3" x14ac:dyDescent="0.3">
      <c r="B783" t="s">
        <v>168</v>
      </c>
    </row>
    <row r="785" spans="2:6" x14ac:dyDescent="0.3">
      <c r="B785" t="s">
        <v>3</v>
      </c>
      <c r="C785">
        <v>100</v>
      </c>
    </row>
    <row r="786" spans="2:6" x14ac:dyDescent="0.3">
      <c r="B786" t="s">
        <v>162</v>
      </c>
      <c r="C786">
        <v>390</v>
      </c>
      <c r="E786" t="s">
        <v>169</v>
      </c>
      <c r="F786">
        <v>0.01</v>
      </c>
    </row>
    <row r="787" spans="2:6" x14ac:dyDescent="0.3">
      <c r="B787" t="s">
        <v>163</v>
      </c>
      <c r="C787">
        <v>400</v>
      </c>
      <c r="F787" t="s">
        <v>170</v>
      </c>
    </row>
    <row r="788" spans="2:6" x14ac:dyDescent="0.3">
      <c r="B788" t="s">
        <v>12</v>
      </c>
      <c r="C788">
        <v>20</v>
      </c>
    </row>
    <row r="789" spans="2:6" x14ac:dyDescent="0.3">
      <c r="B789" t="s">
        <v>87</v>
      </c>
      <c r="C789">
        <f>C788/SQRT(C785)</f>
        <v>2</v>
      </c>
    </row>
    <row r="790" spans="2:6" x14ac:dyDescent="0.3">
      <c r="B790" t="s">
        <v>164</v>
      </c>
      <c r="C790">
        <f>(C786-C787)/C789</f>
        <v>-5</v>
      </c>
    </row>
    <row r="791" spans="2:6" x14ac:dyDescent="0.3">
      <c r="B791" t="s">
        <v>114</v>
      </c>
      <c r="C791">
        <v>2.66</v>
      </c>
    </row>
    <row r="793" spans="2:6" x14ac:dyDescent="0.3">
      <c r="B793" t="s">
        <v>171</v>
      </c>
    </row>
    <row r="795" spans="2:6" x14ac:dyDescent="0.3">
      <c r="B795" t="s">
        <v>172</v>
      </c>
    </row>
    <row r="804" spans="2:6" x14ac:dyDescent="0.3">
      <c r="B804" t="s">
        <v>173</v>
      </c>
    </row>
    <row r="805" spans="2:6" x14ac:dyDescent="0.3">
      <c r="B805" t="s">
        <v>174</v>
      </c>
    </row>
    <row r="808" spans="2:6" x14ac:dyDescent="0.3">
      <c r="B808" t="s">
        <v>3</v>
      </c>
      <c r="C808">
        <v>400</v>
      </c>
      <c r="E808" t="s">
        <v>161</v>
      </c>
      <c r="F808">
        <v>0.05</v>
      </c>
    </row>
    <row r="809" spans="2:6" x14ac:dyDescent="0.3">
      <c r="B809" t="s">
        <v>162</v>
      </c>
      <c r="C809">
        <v>153.69999999999999</v>
      </c>
      <c r="E809" t="s">
        <v>170</v>
      </c>
    </row>
    <row r="810" spans="2:6" x14ac:dyDescent="0.3">
      <c r="B810" t="s">
        <v>163</v>
      </c>
      <c r="C810">
        <v>146.30000000000001</v>
      </c>
    </row>
    <row r="811" spans="2:6" x14ac:dyDescent="0.3">
      <c r="B811" t="s">
        <v>12</v>
      </c>
      <c r="C811">
        <v>17.2</v>
      </c>
    </row>
    <row r="812" spans="2:6" x14ac:dyDescent="0.3">
      <c r="B812" t="s">
        <v>87</v>
      </c>
      <c r="C812">
        <f>C811/SQRT(C808)</f>
        <v>0.86</v>
      </c>
    </row>
    <row r="813" spans="2:6" x14ac:dyDescent="0.3">
      <c r="B813" t="s">
        <v>164</v>
      </c>
      <c r="C813">
        <f>(C809-C810)/C812</f>
        <v>8.6046511627906721</v>
      </c>
    </row>
    <row r="814" spans="2:6" x14ac:dyDescent="0.3">
      <c r="B814" t="s">
        <v>114</v>
      </c>
      <c r="C814">
        <v>1.962</v>
      </c>
    </row>
    <row r="816" spans="2:6" x14ac:dyDescent="0.3">
      <c r="B816" t="s">
        <v>175</v>
      </c>
    </row>
    <row r="818" spans="2:2" x14ac:dyDescent="0.3">
      <c r="B818" t="s">
        <v>176</v>
      </c>
    </row>
  </sheetData>
  <sortState xmlns:xlrd2="http://schemas.microsoft.com/office/spreadsheetml/2017/richdata2" ref="B430:B435">
    <sortCondition ref="B430"/>
  </sortState>
  <mergeCells count="22">
    <mergeCell ref="F324:I324"/>
    <mergeCell ref="F325:I325"/>
    <mergeCell ref="F326:I326"/>
    <mergeCell ref="F327:I327"/>
    <mergeCell ref="F328:I328"/>
    <mergeCell ref="E400:G400"/>
    <mergeCell ref="F416:G416"/>
    <mergeCell ref="F329:I329"/>
    <mergeCell ref="G385:J385"/>
    <mergeCell ref="G386:J386"/>
    <mergeCell ref="E399:G399"/>
    <mergeCell ref="G398:H398"/>
    <mergeCell ref="E422:I422"/>
    <mergeCell ref="E423:I423"/>
    <mergeCell ref="E424:I424"/>
    <mergeCell ref="E425:I425"/>
    <mergeCell ref="E426:I426"/>
    <mergeCell ref="E417:I417"/>
    <mergeCell ref="E418:I418"/>
    <mergeCell ref="E419:I419"/>
    <mergeCell ref="E420:I420"/>
    <mergeCell ref="E421:I421"/>
  </mergeCells>
  <pageMargins left="0.70866141732283472" right="0.70866141732283472" top="0.74803149606299213" bottom="0.74803149606299213" header="0.31496062992125984" footer="0.31496062992125984"/>
  <pageSetup paperSize="8" orientation="landscape" r:id="rId2"/>
  <drawing r:id="rId3"/>
  <tableParts count="2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Haritha T H</cp:lastModifiedBy>
  <cp:lastPrinted>2024-06-24T07:35:04Z</cp:lastPrinted>
  <dcterms:created xsi:type="dcterms:W3CDTF">2024-06-18T04:15:56Z</dcterms:created>
  <dcterms:modified xsi:type="dcterms:W3CDTF">2024-06-25T04:47:04Z</dcterms:modified>
</cp:coreProperties>
</file>