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har\Downloads\"/>
    </mc:Choice>
  </mc:AlternateContent>
  <xr:revisionPtr revIDLastSave="0" documentId="13_ncr:1_{9DA38D5A-DD1C-43EC-8F74-436BE4DBE428}" xr6:coauthVersionLast="47" xr6:coauthVersionMax="47" xr10:uidLastSave="{00000000-0000-0000-0000-000000000000}"/>
  <bookViews>
    <workbookView minimized="1" xWindow="10992" yWindow="1188" windowWidth="12108" windowHeight="8880" xr2:uid="{3380AD6F-B362-4FDB-89EA-96197AA299E9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Sheet1!$A$158:$A$162</definedName>
    <definedName name="_xlchart.v1.0" hidden="1">Sheet1!$A$471</definedName>
    <definedName name="_xlchart.v1.1" hidden="1">Sheet1!$A$472:$A$481</definedName>
    <definedName name="_xlchart.v1.2" hidden="1">Sheet1!$A$495</definedName>
    <definedName name="_xlchart.v1.3" hidden="1">Sheet1!$A$496:$A$509</definedName>
    <definedName name="_xlchart.v1.4" hidden="1">Sheet1!$A$495</definedName>
    <definedName name="_xlchart.v1.5" hidden="1">Sheet1!$A$496:$A$509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3" i="1" l="1"/>
  <c r="B724" i="1" s="1"/>
  <c r="B701" i="1"/>
  <c r="B702" i="1" s="1"/>
  <c r="B680" i="1"/>
  <c r="B681" i="1" s="1"/>
  <c r="C543" i="1" l="1"/>
  <c r="C544" i="1" s="1"/>
  <c r="C545" i="1" s="1"/>
  <c r="C546" i="1" s="1"/>
  <c r="B511" i="1"/>
  <c r="B510" i="1"/>
  <c r="D481" i="1"/>
  <c r="D482" i="1" s="1"/>
  <c r="D484" i="1" s="1"/>
  <c r="D480" i="1"/>
  <c r="D479" i="1"/>
  <c r="D478" i="1"/>
  <c r="C472" i="1"/>
  <c r="C473" i="1" s="1"/>
  <c r="C474" i="1" s="1"/>
  <c r="C478" i="1" s="1"/>
  <c r="C471" i="1"/>
  <c r="C450" i="1"/>
  <c r="C453" i="1" s="1"/>
  <c r="C454" i="1" s="1"/>
  <c r="B459" i="1" s="1"/>
  <c r="C448" i="1"/>
  <c r="B425" i="1"/>
  <c r="B424" i="1"/>
  <c r="C416" i="1" s="1"/>
  <c r="D416" i="1" s="1"/>
  <c r="D483" i="1" l="1"/>
  <c r="C414" i="1"/>
  <c r="D414" i="1" s="1"/>
  <c r="B415" i="1"/>
  <c r="C419" i="1"/>
  <c r="D419" i="1" s="1"/>
  <c r="B512" i="1"/>
  <c r="B514" i="1" s="1"/>
  <c r="B419" i="1"/>
  <c r="C418" i="1"/>
  <c r="D418" i="1" s="1"/>
  <c r="B421" i="1"/>
  <c r="C417" i="1"/>
  <c r="D417" i="1" s="1"/>
  <c r="B420" i="1"/>
  <c r="C413" i="1"/>
  <c r="D413" i="1" s="1"/>
  <c r="B414" i="1"/>
  <c r="B416" i="1"/>
  <c r="B417" i="1"/>
  <c r="C415" i="1"/>
  <c r="D415" i="1" s="1"/>
  <c r="B412" i="1"/>
  <c r="B413" i="1"/>
  <c r="C420" i="1"/>
  <c r="D420" i="1" s="1"/>
  <c r="C412" i="1"/>
  <c r="D412" i="1" s="1"/>
  <c r="C421" i="1"/>
  <c r="D421" i="1" s="1"/>
  <c r="B418" i="1"/>
  <c r="B513" i="1" l="1"/>
  <c r="D384" i="1"/>
  <c r="D383" i="1"/>
  <c r="B390" i="1" s="1"/>
  <c r="D368" i="1"/>
  <c r="B369" i="1" s="1"/>
  <c r="D366" i="1"/>
  <c r="B372" i="1" l="1"/>
  <c r="D370" i="1"/>
  <c r="D371" i="1" s="1"/>
  <c r="B365" i="1"/>
  <c r="B364" i="1"/>
  <c r="B383" i="1"/>
  <c r="B366" i="1"/>
  <c r="B384" i="1"/>
  <c r="B371" i="1"/>
  <c r="B363" i="1"/>
  <c r="B385" i="1"/>
  <c r="B368" i="1"/>
  <c r="B370" i="1"/>
  <c r="B386" i="1"/>
  <c r="B387" i="1"/>
  <c r="B388" i="1"/>
  <c r="B367" i="1"/>
  <c r="B381" i="1"/>
  <c r="B389" i="1"/>
  <c r="B382" i="1"/>
  <c r="B349" i="1"/>
  <c r="D346" i="1"/>
  <c r="B346" i="1"/>
  <c r="F343" i="1" s="1"/>
  <c r="C346" i="1"/>
  <c r="A346" i="1"/>
  <c r="D343" i="1"/>
  <c r="D344" i="1"/>
  <c r="D342" i="1"/>
  <c r="A328" i="1"/>
  <c r="A318" i="1"/>
  <c r="A319" i="1"/>
  <c r="A320" i="1"/>
  <c r="A321" i="1"/>
  <c r="A322" i="1"/>
  <c r="A323" i="1"/>
  <c r="A324" i="1"/>
  <c r="A325" i="1"/>
  <c r="A326" i="1"/>
  <c r="A327" i="1"/>
  <c r="B300" i="1"/>
  <c r="A317" i="1" s="1"/>
  <c r="C320" i="1"/>
  <c r="D275" i="1"/>
  <c r="D274" i="1"/>
  <c r="D273" i="1"/>
  <c r="D272" i="1"/>
  <c r="B282" i="1"/>
  <c r="B281" i="1"/>
  <c r="B280" i="1"/>
  <c r="B279" i="1"/>
  <c r="B278" i="1"/>
  <c r="B277" i="1"/>
  <c r="B276" i="1"/>
  <c r="B275" i="1"/>
  <c r="E342" i="1" l="1"/>
  <c r="F344" i="1"/>
  <c r="E343" i="1"/>
  <c r="E344" i="1"/>
  <c r="C321" i="1"/>
  <c r="A330" i="1"/>
  <c r="G344" i="1"/>
  <c r="G342" i="1"/>
  <c r="B348" i="1" s="1"/>
  <c r="F342" i="1"/>
  <c r="G343" i="1"/>
  <c r="G345" i="1" l="1"/>
  <c r="D192" i="1" l="1"/>
  <c r="B181" i="1"/>
  <c r="B156" i="1"/>
  <c r="A163" i="1" s="1"/>
  <c r="C148" i="1"/>
  <c r="C149" i="1" s="1"/>
  <c r="D128" i="1"/>
  <c r="C131" i="1" s="1"/>
  <c r="B105" i="1"/>
  <c r="D112" i="1"/>
  <c r="D106" i="1"/>
  <c r="B92" i="1"/>
  <c r="B75" i="1"/>
  <c r="B74" i="1"/>
  <c r="D54" i="1"/>
  <c r="D53" i="1"/>
  <c r="C37" i="1"/>
  <c r="C38" i="1" s="1"/>
  <c r="C36" i="1"/>
  <c r="C20" i="1"/>
  <c r="C19" i="1"/>
  <c r="C17" i="1"/>
  <c r="C16" i="1"/>
  <c r="C132" i="1" l="1"/>
  <c r="C150" i="1"/>
  <c r="A164" i="1"/>
  <c r="A165" i="1"/>
  <c r="A166" i="1"/>
  <c r="A167" i="1"/>
  <c r="B168" i="1" l="1"/>
  <c r="A176" i="1" s="1"/>
  <c r="A174" i="1" l="1"/>
  <c r="A173" i="1"/>
  <c r="A172" i="1"/>
  <c r="A171" i="1"/>
  <c r="A170" i="1"/>
  <c r="A175" i="1"/>
  <c r="A177" i="1"/>
  <c r="A179" i="1"/>
  <c r="A178" i="1"/>
</calcChain>
</file>

<file path=xl/sharedStrings.xml><?xml version="1.0" encoding="utf-8"?>
<sst xmlns="http://schemas.openxmlformats.org/spreadsheetml/2006/main" count="401" uniqueCount="259">
  <si>
    <t>CASE STUDY- STATISTICS</t>
  </si>
  <si>
    <t xml:space="preserve"> </t>
  </si>
  <si>
    <t>1.  MEAN TEMP</t>
  </si>
  <si>
    <t>2. MEDIAN</t>
  </si>
  <si>
    <t>3. MODE</t>
  </si>
  <si>
    <t>4.a)RANGE</t>
  </si>
  <si>
    <t>b)varience(sigma^2)</t>
  </si>
  <si>
    <t>1. range(max-min)</t>
  </si>
  <si>
    <t>2. varience</t>
  </si>
  <si>
    <t>3. sd(sigma)</t>
  </si>
  <si>
    <t>weekly expense</t>
  </si>
  <si>
    <t>1. sd(sigma)</t>
  </si>
  <si>
    <t>2.median</t>
  </si>
  <si>
    <t xml:space="preserve">  TEMP IN A CITY</t>
  </si>
  <si>
    <t xml:space="preserve"> height of students(cm)</t>
  </si>
  <si>
    <t>3.covarience</t>
  </si>
  <si>
    <t>no</t>
  </si>
  <si>
    <t>Adv spending($)</t>
  </si>
  <si>
    <t>sales</t>
  </si>
  <si>
    <t>1.  covarience</t>
  </si>
  <si>
    <t>2.correlation</t>
  </si>
  <si>
    <t>study hours</t>
  </si>
  <si>
    <t>exam scores</t>
  </si>
  <si>
    <t>1.correlation</t>
  </si>
  <si>
    <t>2. interpret result</t>
  </si>
  <si>
    <t>3.quartiles and IQR</t>
  </si>
  <si>
    <t>Q2 (Second Quartile): The median of the dataset (50th percentile).</t>
  </si>
  <si>
    <t>Q3 (Third Quartile): The median of the upper half of the dataset (75th percentile).</t>
  </si>
  <si>
    <t>Q1 (First Quartile):     The median of the lower half of the dataset (25th percentile).</t>
  </si>
  <si>
    <t>IQR=Q3−Q1</t>
  </si>
  <si>
    <t>Study Hours Dataset: 2, 4, 6, 8, 10</t>
  </si>
  <si>
    <t>Exam Scores Dataset: 55, 60, 65, 70, 75</t>
  </si>
  <si>
    <t>Q1: Median of {55, 60, 65} is 60</t>
  </si>
  <si>
    <t>Q2: Median of {55, 60, 65, 70, 75} is 65</t>
  </si>
  <si>
    <t>IQR=</t>
  </si>
  <si>
    <t xml:space="preserve">Q1: Median of {2, 4, 6} is </t>
  </si>
  <si>
    <t xml:space="preserve">Q2: Median of {2, 4, 6, 8, 10} is </t>
  </si>
  <si>
    <t xml:space="preserve">Q3: Median of {6, 8, 10} is </t>
  </si>
  <si>
    <t xml:space="preserve">Q3: Median of {65, 70, 75} is </t>
  </si>
  <si>
    <t>monthly savings</t>
  </si>
  <si>
    <t>1. Q1(median of 200,300,400,500,600)</t>
  </si>
  <si>
    <t xml:space="preserve">  Q3(median of 700,800,900,1000,1100)</t>
  </si>
  <si>
    <t>2.IQR(Q3-Q1)</t>
  </si>
  <si>
    <t>Lower Bound = Q1 - 1.5 * IQR</t>
  </si>
  <si>
    <t>Upper Bound = Q3 + 1.5 * IQR</t>
  </si>
  <si>
    <t>3. DETECT OUTLIERS</t>
  </si>
  <si>
    <t>LOWER(MIN)</t>
  </si>
  <si>
    <t>UPPER(MAX)</t>
  </si>
  <si>
    <t>Since all the data points  fall within this range(-350 and 1650), there are no outliers.</t>
  </si>
  <si>
    <t>no outliers</t>
  </si>
  <si>
    <t>ages</t>
  </si>
  <si>
    <t>1.Identify outliers</t>
  </si>
  <si>
    <t xml:space="preserve">          Q1</t>
  </si>
  <si>
    <t xml:space="preserve">          Q3</t>
  </si>
  <si>
    <t xml:space="preserve">          IQR</t>
  </si>
  <si>
    <t>Lower(min)</t>
  </si>
  <si>
    <t>upper(max)</t>
  </si>
  <si>
    <t>Using the IQR method,  value below -5 or above 83 is  an outlier. Here 100 is there which is out of this range. So it is an outlier</t>
  </si>
  <si>
    <t>outlier</t>
  </si>
  <si>
    <t>2. hard level(modified z score method)</t>
  </si>
  <si>
    <t>median</t>
  </si>
  <si>
    <t>MAD(mean of absolutedeviation from median)</t>
  </si>
  <si>
    <t>deviations</t>
  </si>
  <si>
    <t>modified z score</t>
  </si>
  <si>
    <t>Using a threshold of 3.5,   100 has a modified Z-score of 3.83, which is greater than 3.5. Therefore, 100 is an outlier.</t>
  </si>
  <si>
    <t>3. weighted mean</t>
  </si>
  <si>
    <t>take equal wieghts as not given</t>
  </si>
  <si>
    <t>grades</t>
  </si>
  <si>
    <t>wights</t>
  </si>
  <si>
    <t>A</t>
  </si>
  <si>
    <t>B</t>
  </si>
  <si>
    <t>C</t>
  </si>
  <si>
    <t>D</t>
  </si>
  <si>
    <t>1. WEIGHTED MEAN</t>
  </si>
  <si>
    <t>2. REGRESSION ANALYSIS</t>
  </si>
  <si>
    <t>Need more data for analysis</t>
  </si>
  <si>
    <t>adv spending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</si>
  <si>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</si>
  <si>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</si>
  <si>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</si>
  <si>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</si>
  <si>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</si>
  <si>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</si>
  <si>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</si>
  <si>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</si>
  <si>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</si>
  <si>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</si>
  <si>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</si>
  <si>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</si>
  <si>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</si>
  <si>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</si>
  <si>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</si>
  <si>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</si>
  <si>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</si>
  <si>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</si>
  <si>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</si>
  <si>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</si>
  <si>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</si>
  <si>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</si>
  <si>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</si>
  <si>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</si>
  <si>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</si>
  <si>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1. here the coefficients ate positive. So it indicates that the value of indipendent variable increases and the mean of dependent variable also increses.</t>
  </si>
  <si>
    <t>It is a positive regresive</t>
  </si>
  <si>
    <t>2.slope:</t>
  </si>
  <si>
    <t>intercept</t>
  </si>
  <si>
    <t>The slope is 5.2, for each additional $1000 spent on advertising, sales increase by $5200.</t>
  </si>
  <si>
    <t>The intercept  is 46, that if no money is spent on advertising, the expected sales would be $46,000.</t>
  </si>
  <si>
    <t>3. anova analysis</t>
  </si>
  <si>
    <t>class A</t>
  </si>
  <si>
    <t>class B</t>
  </si>
  <si>
    <t>class C</t>
  </si>
  <si>
    <t>f-stat value is 507 .it indicates high f value.</t>
  </si>
  <si>
    <t>A high F-stat value (507) shows a significant relationship between adv spending and sales, suggesting that the regression model is a good fit for the data.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</si>
  <si>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</si>
  <si>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</si>
  <si>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</si>
  <si>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</si>
  <si>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</si>
  <si>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</si>
  <si>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</si>
  <si>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</si>
  <si>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</si>
  <si>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</si>
  <si>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Source of Variation</t>
  </si>
  <si>
    <t>F crit</t>
  </si>
  <si>
    <t>Between Groups</t>
  </si>
  <si>
    <t>Within Groups</t>
  </si>
  <si>
    <t>alpha</t>
  </si>
  <si>
    <t>f value</t>
  </si>
  <si>
    <t>f critic</t>
  </si>
  <si>
    <t>to do an anova test find the significance of f value.</t>
  </si>
  <si>
    <t>To show if F-stat is significant, we compare it with critical value from the F-dist table with DFbetween=2 and DFwithin=12 at alpha 0.05</t>
  </si>
  <si>
    <t>Since F=11.0739&gt;Fcritical=3.89F , we reject the null hypothesis.</t>
  </si>
  <si>
    <t>h0</t>
  </si>
  <si>
    <t>all mean scores are same</t>
  </si>
  <si>
    <t>ha</t>
  </si>
  <si>
    <t>all mean scores not same</t>
  </si>
  <si>
    <t>so we can conclude that there is a significant difference between the means of at least two of the classes (A, B, and C) based on the ANOVA test results.</t>
  </si>
  <si>
    <t>Price</t>
  </si>
  <si>
    <t>a) 3 day average</t>
  </si>
  <si>
    <t>Time series dayta</t>
  </si>
  <si>
    <t>mean</t>
  </si>
  <si>
    <t>sd</t>
  </si>
  <si>
    <t>range</t>
  </si>
  <si>
    <t>Trend analysis</t>
  </si>
  <si>
    <t>This plot shows clear view of how  prices have evolved over the 10-day period, in the data</t>
  </si>
  <si>
    <t>a)</t>
  </si>
  <si>
    <t>b)trends    There is an increase and decrease alternatively in each month and shows a slight increase in sales in second half of the year.</t>
  </si>
  <si>
    <t xml:space="preserve">H0-The observed sales data follows the expected distribution </t>
  </si>
  <si>
    <t>Ha-The observed sales data does not follow the expected distribution</t>
  </si>
  <si>
    <t>dof</t>
  </si>
  <si>
    <t>expected value(e)</t>
  </si>
  <si>
    <t>chi- square(x^2)</t>
  </si>
  <si>
    <t>chi-sq critical</t>
  </si>
  <si>
    <t>Since χ2(300.69) is greater than χ^2critic​ (19.675), we reject the null hypothesis at the 0.05 significance level.</t>
  </si>
  <si>
    <t>This suggests that there are significant differences in the monthly sales data compared to  expected under a uniform distribution assumption.</t>
  </si>
  <si>
    <t xml:space="preserve">                                                            (oi-e)^2/e</t>
  </si>
  <si>
    <r>
      <t xml:space="preserve">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sum</t>
    </r>
  </si>
  <si>
    <t>c)chi square test</t>
  </si>
  <si>
    <t>product A</t>
  </si>
  <si>
    <t>product B</t>
  </si>
  <si>
    <t>product C</t>
  </si>
  <si>
    <t>column sum</t>
  </si>
  <si>
    <t>row sum</t>
  </si>
  <si>
    <t>total</t>
  </si>
  <si>
    <t>expected freq</t>
  </si>
  <si>
    <t>chi sq value</t>
  </si>
  <si>
    <t>df=(r−1)×(c−1)</t>
  </si>
  <si>
    <t>critical chi sq value</t>
  </si>
  <si>
    <t>a)chi sq value&lt;chi critical</t>
  </si>
  <si>
    <t>b) hypothesis testing</t>
  </si>
  <si>
    <t>h0:There is no significant difference in customer preferences among the three products.</t>
  </si>
  <si>
    <t>ha:There is a significant difference in customer preferences among the three products.</t>
  </si>
  <si>
    <t>Since χ2=0.927767 is less than the critical value 9.488, we fail to reject the null hypothesis.</t>
  </si>
  <si>
    <t>so we accept the null. That is there is no significant difference in cust pref among there 3 products.</t>
  </si>
  <si>
    <t>weight</t>
  </si>
  <si>
    <t>Ha-The mean weight is not equal to 70kg</t>
  </si>
  <si>
    <t>n</t>
  </si>
  <si>
    <t>pop mean</t>
  </si>
  <si>
    <t>error</t>
  </si>
  <si>
    <t>t value</t>
  </si>
  <si>
    <t>t critical value</t>
  </si>
  <si>
    <t>Tvalue&lt;critical value, so reject the null</t>
  </si>
  <si>
    <t>The mean weight is not equal to 70kg</t>
  </si>
  <si>
    <t>b) z scores</t>
  </si>
  <si>
    <t>a)       H0-The mean weight is equal to 70kg</t>
  </si>
  <si>
    <t>Annual salary</t>
  </si>
  <si>
    <t>a)z score</t>
  </si>
  <si>
    <t>40 is 1.54 standard deviations below the mean.</t>
  </si>
  <si>
    <t>42 is 1.26 standard deviations below the mean.</t>
  </si>
  <si>
    <t>45 is 0.840standard deviations below the mean.</t>
  </si>
  <si>
    <t>47 is 0.560standard deviations below the mean.</t>
  </si>
  <si>
    <t>50 is 0.140 standard deviations below the mean.</t>
  </si>
  <si>
    <t>52 is 0.140 standard deviations above the mean.</t>
  </si>
  <si>
    <t>55 is 0.560 standard deviations above the mean.</t>
  </si>
  <si>
    <t>57 is 0.840 standard deviations above the mean.</t>
  </si>
  <si>
    <t>60 is 1.261 standard deviations above the mean.</t>
  </si>
  <si>
    <t>62 is 1.541standard deviations above the mean.</t>
  </si>
  <si>
    <t>A z-score of 0 means the data point is exactly at the mean.</t>
  </si>
  <si>
    <t>Negative z-scores indicate data points below the mean.</t>
  </si>
  <si>
    <t>Positive z-scores indicate data points above the mean.</t>
  </si>
  <si>
    <t>Interpretation</t>
  </si>
  <si>
    <t>c)normal distribution</t>
  </si>
  <si>
    <t>scores</t>
  </si>
  <si>
    <t>b)</t>
  </si>
  <si>
    <t>b)norm dist</t>
  </si>
  <si>
    <t>z scores</t>
  </si>
  <si>
    <t>c) p value</t>
  </si>
  <si>
    <t>blood pressure</t>
  </si>
  <si>
    <t>t test</t>
  </si>
  <si>
    <t>critical value</t>
  </si>
  <si>
    <t>since t value&gt;critical value we reject the null</t>
  </si>
  <si>
    <t>there is a effect in blood pressure</t>
  </si>
  <si>
    <t>since the p value is very small we reject the null.</t>
  </si>
  <si>
    <t>The 95% confidence interval for the mean blood pressure reduction is 13.1113.1113.11 to 17.6917.6917.69 mmHg.</t>
  </si>
  <si>
    <t>This means we are 95% confident that the true mean blood pressure reduction due to the drug lies within this interval.</t>
  </si>
  <si>
    <t>c)</t>
  </si>
  <si>
    <t>b)p value</t>
  </si>
  <si>
    <t>income</t>
  </si>
  <si>
    <t>Margin of error (ME)</t>
  </si>
  <si>
    <t>ME</t>
  </si>
  <si>
    <t>ci</t>
  </si>
  <si>
    <t>box plot</t>
  </si>
  <si>
    <t>q1</t>
  </si>
  <si>
    <t>q2</t>
  </si>
  <si>
    <t>q3</t>
  </si>
  <si>
    <t>iqr</t>
  </si>
  <si>
    <t>min</t>
  </si>
  <si>
    <t>max</t>
  </si>
  <si>
    <t>there is no outliers</t>
  </si>
  <si>
    <t>temp</t>
  </si>
  <si>
    <t>exponential</t>
  </si>
  <si>
    <t>month</t>
  </si>
  <si>
    <t>monthly sales</t>
  </si>
  <si>
    <t>exp smoothening</t>
  </si>
  <si>
    <t>X Variable 2</t>
  </si>
  <si>
    <t>multiple regression</t>
  </si>
  <si>
    <t>advertising</t>
  </si>
  <si>
    <t>spending</t>
  </si>
  <si>
    <t>x1</t>
  </si>
  <si>
    <t>x2</t>
  </si>
  <si>
    <t>y</t>
  </si>
  <si>
    <t>ho-The mean petrol consumption of the new car is 9.5 km per litre</t>
  </si>
  <si>
    <t>ha-The mean petrol consumption of the new car is less than 9.5 km per litre</t>
  </si>
  <si>
    <t>x bar</t>
  </si>
  <si>
    <t>neu</t>
  </si>
  <si>
    <t>Since 1.01 is greater than 1.676, we fail to reject the null hypothesis.</t>
  </si>
  <si>
    <t>the mean consuption of new car is 9.5km per litre</t>
  </si>
  <si>
    <t xml:space="preserve">H0-The mean writing life of the pens is 400 pages </t>
  </si>
  <si>
    <t xml:space="preserve">Ha-The mean writing life of the pens is not 400 pages </t>
  </si>
  <si>
    <t>alpa</t>
  </si>
  <si>
    <t>two tail</t>
  </si>
  <si>
    <t>Since -5 is less than -2.660, we reject the null hypothesis.</t>
  </si>
  <si>
    <t>the mean writing life of the pen is not 400 pages</t>
  </si>
  <si>
    <t>H0-The advertising campaign had no effect on mean weekly sales</t>
  </si>
  <si>
    <t>Ha-The advertising campaign had effect on mean weekly sales</t>
  </si>
  <si>
    <t>Since 8.60 is greater than 1.645, we reject the null hypothesis.</t>
  </si>
  <si>
    <t>the advertising had no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</si>
</sst>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/>
    <xf numFmtId="0" fontId="0" fillId="0" borderId="1" xfId="0" applyBorder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Continuous"/>
    </xf>
    <xf numFmtId="0" fontId="0" fillId="5" borderId="0" xfId="0" applyFill="1"/>
    <xf numFmtId="0" fontId="1" fillId="4" borderId="0" xfId="0" applyFont="1" applyFill="1"/>
    <xf numFmtId="0" fontId="1" fillId="6" borderId="0" xfId="0" applyFont="1" applyFill="1"/>
    <xf numFmtId="0" fontId="0" fillId="6" borderId="0" xfId="0" applyFill="1"/>
    <xf numFmtId="0" fontId="0" fillId="6" borderId="0" xfId="0" quotePrefix="1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3" xfId="0" applyFill="1" applyBorder="1"/>
    <xf numFmtId="0" fontId="0" fillId="9" borderId="3" xfId="0" applyFill="1" applyBorder="1"/>
    <xf numFmtId="0" fontId="0" fillId="9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9" borderId="5" xfId="0" applyFill="1" applyBorder="1"/>
    <xf numFmtId="0" fontId="0" fillId="9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4" xfId="0" applyFill="1" applyBorder="1"/>
  </cellXfs>
  <cellStyles count="1">
    <cellStyle name="Normal" xfId="0" builtinId="0"/>
  </cellStyles>
  <dxfs count="15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Sheet1!$A$273:$A$282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A-4030-825C-2664D88B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690143"/>
        <c:axId val="816691583"/>
      </c:barChart>
      <c:catAx>
        <c:axId val="81669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1583"/>
        <c:crosses val="autoZero"/>
        <c:auto val="1"/>
        <c:lblAlgn val="ctr"/>
        <c:lblOffset val="100"/>
        <c:noMultiLvlLbl val="0"/>
      </c:catAx>
      <c:valAx>
        <c:axId val="816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Sheet1!$A$273:$A$282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3-4C66-8F53-B8C7937D85FD}"/>
            </c:ext>
          </c:extLst>
        </c:ser>
        <c:ser>
          <c:idx val="1"/>
          <c:order val="1"/>
          <c:tx>
            <c:strRef>
              <c:f>Sheet1!$B$272</c:f>
              <c:strCache>
                <c:ptCount val="1"/>
                <c:pt idx="0">
                  <c:v>a) 3 day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Sheet1!$B$273:$B$282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3-4C66-8F53-B8C7937D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21967"/>
        <c:axId val="826522927"/>
      </c:lineChart>
      <c:catAx>
        <c:axId val="8265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22927"/>
        <c:crosses val="autoZero"/>
        <c:auto val="1"/>
        <c:lblAlgn val="ctr"/>
        <c:lblOffset val="100"/>
        <c:noMultiLvlLbl val="0"/>
      </c:catAx>
      <c:valAx>
        <c:axId val="8265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Sheet1!$A$300:$A$311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1350</c:v>
                </c:pt>
                <c:pt idx="5">
                  <c:v>1500</c:v>
                </c:pt>
                <c:pt idx="6">
                  <c:v>1600</c:v>
                </c:pt>
                <c:pt idx="7">
                  <c:v>1550</c:v>
                </c:pt>
                <c:pt idx="8">
                  <c:v>1700</c:v>
                </c:pt>
                <c:pt idx="9">
                  <c:v>1650</c:v>
                </c:pt>
                <c:pt idx="10">
                  <c:v>1800</c:v>
                </c:pt>
                <c:pt idx="1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638-BA64-B1F453A05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8101711"/>
        <c:axId val="818098351"/>
      </c:lineChart>
      <c:catAx>
        <c:axId val="8181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98351"/>
        <c:crosses val="autoZero"/>
        <c:auto val="1"/>
        <c:lblAlgn val="ctr"/>
        <c:lblOffset val="100"/>
        <c:noMultiLvlLbl val="0"/>
      </c:catAx>
      <c:valAx>
        <c:axId val="8180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0927384077009E-2"/>
          <c:y val="8.8888888888888892E-2"/>
          <c:w val="0.82834514435695539"/>
          <c:h val="0.81000962379702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Sheet1!$A$412:$A$421</c:f>
              <c:numCache>
                <c:formatCode>General</c:formatCode>
                <c:ptCount val="10"/>
                <c:pt idx="0">
                  <c:v>85</c:v>
                </c:pt>
                <c:pt idx="1">
                  <c:v>87</c:v>
                </c:pt>
                <c:pt idx="2">
                  <c:v>90</c:v>
                </c:pt>
                <c:pt idx="3">
                  <c:v>92</c:v>
                </c:pt>
                <c:pt idx="4">
                  <c:v>95</c:v>
                </c:pt>
                <c:pt idx="5">
                  <c:v>97</c:v>
                </c:pt>
                <c:pt idx="6">
                  <c:v>100</c:v>
                </c:pt>
                <c:pt idx="7">
                  <c:v>102</c:v>
                </c:pt>
                <c:pt idx="8">
                  <c:v>105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40D-BB15-E6AE2355CE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56815"/>
        <c:axId val="1702257295"/>
      </c:barChart>
      <c:catAx>
        <c:axId val="170225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7295"/>
        <c:crosses val="autoZero"/>
        <c:auto val="1"/>
        <c:lblAlgn val="ctr"/>
        <c:lblOffset val="100"/>
        <c:noMultiLvlLbl val="0"/>
      </c:catAx>
      <c:valAx>
        <c:axId val="17022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2607174103242"/>
          <c:y val="0.41001130067074948"/>
          <c:w val="0.11740726159230096"/>
          <c:h val="0.129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Sheet1!$A$495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Sheet1!$A$496:$A$509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3B7-842E-24924F7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18879"/>
        <c:axId val="1832511199"/>
      </c:scatterChart>
      <c:valAx>
        <c:axId val="183251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11199"/>
        <c:crosses val="autoZero"/>
        <c:crossBetween val="midCat"/>
      </c:valAx>
      <c:valAx>
        <c:axId val="18325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</a:t>
            </a:r>
            <a:r>
              <a:rPr lang="en-US" baseline="0"/>
              <a:t> vs sales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[1]Sheet1!$C$621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[1]Sheet1!$B$622:$B$626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[1]Sheet1!$C$622:$C$626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1E2-B68B-5F085FF08FE1}"/>
            </c:ext>
          </c:extLst>
        </c:ser>
        <c:ser>
          <c:idx val="1"/>
          <c:order val="1"/>
          <c:tx>
            <c:strRef>
              <c:f>[1]Sheet1!$D$621</c:f>
              <c:strCache>
                <c:ptCount val="1"/>
                <c:pt idx="0">
                  <c:v>exponential smoothing</c:v>
                </c:pt>
              </c:strCache>
            </c:strRef>
          </c:tx>
          <c:xVal>
            <c:numRef>
              <c:f>[1]Sheet1!$B$622:$B$626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[1]Sheet1!$D$622:$D$626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162.5</c:v>
                </c:pt>
                <c:pt idx="3">
                  <c:v>206.25</c:v>
                </c:pt>
                <c:pt idx="4">
                  <c:v>253.125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6-41E2-B68B-5F085FF0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7104"/>
        <c:axId val="157408640"/>
      </c:scatterChart>
      <c:valAx>
        <c:axId val="1574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08640"/>
        <c:crosses val="autoZero"/>
        <c:crossBetween val="midCat"/>
      </c:valAx>
      <c:valAx>
        <c:axId val="1574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Sheet1!$B$571</c:f>
              <c:strCache>
                <c:ptCount val="1"/>
                <c:pt idx="0">
                  <c:v>monthly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Sheet1!$B$572:$B$583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A-4962-8596-07D8570B3186}"/>
            </c:ext>
          </c:extLst>
        </c:ser>
        <c:ser>
          <c:idx val="1"/>
          <c:order val="1"/>
          <c:tx>
            <c:strRef>
              <c:f>Sheet1!$C$571</c:f>
              <c:strCache>
                <c:ptCount val="1"/>
                <c:pt idx="0">
                  <c:v>exp smoothening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Sheet1!$C$572:$C$583</c:f>
              <c:numCache>
                <c:formatCode>General</c:formatCode>
                <c:ptCount val="12"/>
                <c:pt idx="0">
                  <c:v>150</c:v>
                </c:pt>
                <c:pt idx="1">
                  <c:v>155</c:v>
                </c:pt>
                <c:pt idx="2">
                  <c:v>162.5</c:v>
                </c:pt>
                <c:pt idx="3">
                  <c:v>171.25</c:v>
                </c:pt>
                <c:pt idx="4">
                  <c:v>180.625</c:v>
                </c:pt>
                <c:pt idx="5">
                  <c:v>190.3125</c:v>
                </c:pt>
                <c:pt idx="6">
                  <c:v>200.15625</c:v>
                </c:pt>
                <c:pt idx="7">
                  <c:v>210.078125</c:v>
                </c:pt>
                <c:pt idx="8">
                  <c:v>220.0390625</c:v>
                </c:pt>
                <c:pt idx="9">
                  <c:v>230.01953130000001</c:v>
                </c:pt>
                <c:pt idx="10">
                  <c:v>240.00976560000001</c:v>
                </c:pt>
                <c:pt idx="11">
                  <c:v>250.00488279999999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A-4962-8596-07D8570B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612959"/>
        <c:axId val="1832616319"/>
      </c:barChart>
      <c:catAx>
        <c:axId val="183261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16319"/>
        <c:crosses val="autoZero"/>
        <c:auto val="1"/>
        <c:lblAlgn val="ctr"/>
        <c:lblOffset val="100"/>
        <c:noMultiLvlLbl val="0"/>
      </c:catAx>
      <c:valAx>
        <c:axId val="18326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9940BC48-694C-427E-8394-E55623F15F86}">
          <cx:tx>
            <cx:txData>
              <cx:f>_xlchart.v1.0</cx:f>
              <cx:v>income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B29575BA-4D99-43C5-963B-B10C4C2E6184}">
          <cx:tx>
            <cx:txData>
              <cx:f>_xlchart.v1.4</cx:f>
              <cx:v>temp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png"/><Relationship Id="rId18" Type="http://schemas.microsoft.com/office/2014/relationships/chartEx" Target="../charts/chartEx2.xml"/><Relationship Id="rId26" Type="http://schemas.openxmlformats.org/officeDocument/2006/relationships/image" Target="../media/image17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9.png"/><Relationship Id="rId17" Type="http://schemas.microsoft.com/office/2014/relationships/chartEx" Target="../charts/chartEx1.xml"/><Relationship Id="rId25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24" Type="http://schemas.openxmlformats.org/officeDocument/2006/relationships/image" Target="../media/image15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23" Type="http://schemas.openxmlformats.org/officeDocument/2006/relationships/image" Target="../media/image14.png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4.xml"/><Relationship Id="rId2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30480</xdr:rowOff>
    </xdr:from>
    <xdr:to>
      <xdr:col>8</xdr:col>
      <xdr:colOff>137160</xdr:colOff>
      <xdr:row>10</xdr:row>
      <xdr:rowOff>30480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010C00F-EDAE-1B7E-E3C7-86919FB0874A}"/>
            </a:ext>
          </a:extLst>
        </xdr:cNvPr>
        <xdr:cNvSpPr txBox="1">
          <a:spLocks noChangeArrowheads="1"/>
        </xdr:cNvSpPr>
      </xdr:nvSpPr>
      <xdr:spPr bwMode="auto">
        <a:xfrm>
          <a:off x="289560" y="906780"/>
          <a:ext cx="5440680" cy="111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1. Dataset: Monthly temperatures in a city (in °C): 12, 15, 14, 16, 18, 20, 22, 19, 17, 15, 13,10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mean temperature.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Calculate the median temperature.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Find the mode of the temperature data.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d) Range and Variance</a:t>
          </a:r>
        </a:p>
      </xdr:txBody>
    </xdr:sp>
    <xdr:clientData/>
  </xdr:twoCellAnchor>
  <xdr:twoCellAnchor editAs="oneCell">
    <xdr:from>
      <xdr:col>3</xdr:col>
      <xdr:colOff>60960</xdr:colOff>
      <xdr:row>14</xdr:row>
      <xdr:rowOff>45720</xdr:rowOff>
    </xdr:from>
    <xdr:to>
      <xdr:col>7</xdr:col>
      <xdr:colOff>259328</xdr:colOff>
      <xdr:row>16</xdr:row>
      <xdr:rowOff>160062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18B428-D621-09F1-8BC0-79C095FDD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1420" y="2766060"/>
          <a:ext cx="2865368" cy="480102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27</xdr:row>
      <xdr:rowOff>30480</xdr:rowOff>
    </xdr:from>
    <xdr:to>
      <xdr:col>5</xdr:col>
      <xdr:colOff>60960</xdr:colOff>
      <xdr:row>32</xdr:row>
      <xdr:rowOff>160020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05F74527-D72E-2972-18CD-B1797C4E6F8C}"/>
            </a:ext>
          </a:extLst>
        </xdr:cNvPr>
        <xdr:cNvSpPr txBox="1">
          <a:spLocks noChangeArrowheads="1"/>
        </xdr:cNvSpPr>
      </xdr:nvSpPr>
      <xdr:spPr bwMode="auto">
        <a:xfrm>
          <a:off x="388620" y="5128260"/>
          <a:ext cx="4572000" cy="1043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2. Dataset: Heights of students (in cm): 150, 160, 165, 170, 155, 160, 162, 168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range of the heights.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Calculate the variance of the heights.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Standard Deviation</a:t>
          </a:r>
        </a:p>
      </xdr:txBody>
    </xdr:sp>
    <xdr:clientData/>
  </xdr:twoCellAnchor>
  <xdr:twoCellAnchor>
    <xdr:from>
      <xdr:col>0</xdr:col>
      <xdr:colOff>243840</xdr:colOff>
      <xdr:row>43</xdr:row>
      <xdr:rowOff>53340</xdr:rowOff>
    </xdr:from>
    <xdr:to>
      <xdr:col>5</xdr:col>
      <xdr:colOff>563880</xdr:colOff>
      <xdr:row>48</xdr:row>
      <xdr:rowOff>152400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5F5B2277-4851-F5A3-E93C-E3C625216ECC}"/>
            </a:ext>
          </a:extLst>
        </xdr:cNvPr>
        <xdr:cNvSpPr txBox="1">
          <a:spLocks noChangeArrowheads="1"/>
        </xdr:cNvSpPr>
      </xdr:nvSpPr>
      <xdr:spPr bwMode="auto">
        <a:xfrm>
          <a:off x="243840" y="8260080"/>
          <a:ext cx="4328160" cy="10134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3. Dataset: Weekly expenses (in $): 200, 250, 300, 220, 270, 290, 310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standard deviation of the weekly expenses.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Medium Level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Covariance</a:t>
          </a:r>
        </a:p>
      </xdr:txBody>
    </xdr:sp>
    <xdr:clientData/>
  </xdr:twoCellAnchor>
  <xdr:twoCellAnchor>
    <xdr:from>
      <xdr:col>0</xdr:col>
      <xdr:colOff>220980</xdr:colOff>
      <xdr:row>59</xdr:row>
      <xdr:rowOff>68580</xdr:rowOff>
    </xdr:from>
    <xdr:to>
      <xdr:col>5</xdr:col>
      <xdr:colOff>83820</xdr:colOff>
      <xdr:row>64</xdr:row>
      <xdr:rowOff>91440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3CCAF049-AB45-9910-5348-623FFE35452B}"/>
            </a:ext>
          </a:extLst>
        </xdr:cNvPr>
        <xdr:cNvSpPr txBox="1">
          <a:spLocks noChangeArrowheads="1"/>
        </xdr:cNvSpPr>
      </xdr:nvSpPr>
      <xdr:spPr bwMode="auto">
        <a:xfrm>
          <a:off x="220980" y="11201400"/>
          <a:ext cx="4762500" cy="937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4. Dataset: Advertising Spending (in $1000s): 10, 20, 15, 25, 30; 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Sales (in $1000s): 100,150, 120, 180, 200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covariance between advertising spending and sales.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Correlation</a:t>
          </a:r>
        </a:p>
      </xdr:txBody>
    </xdr:sp>
    <xdr:clientData/>
  </xdr:twoCellAnchor>
  <xdr:twoCellAnchor>
    <xdr:from>
      <xdr:col>0</xdr:col>
      <xdr:colOff>335280</xdr:colOff>
      <xdr:row>76</xdr:row>
      <xdr:rowOff>22860</xdr:rowOff>
    </xdr:from>
    <xdr:to>
      <xdr:col>3</xdr:col>
      <xdr:colOff>480060</xdr:colOff>
      <xdr:row>83</xdr:row>
      <xdr:rowOff>7620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F973164B-E312-F3A4-CFE1-E3729DA856FE}"/>
            </a:ext>
          </a:extLst>
        </xdr:cNvPr>
        <xdr:cNvSpPr txBox="1">
          <a:spLocks noChangeArrowheads="1"/>
        </xdr:cNvSpPr>
      </xdr:nvSpPr>
      <xdr:spPr bwMode="auto">
        <a:xfrm>
          <a:off x="335280" y="14264640"/>
          <a:ext cx="3863340" cy="1264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5. Dataset: Study Hours: 2, 4, 6, 8, 10; 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Exam Scores: 55, 60, 65, 70, 75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correlation coefficient between study hours and exam scores.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Interpret the result.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Quartiles and IQR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1165861</xdr:colOff>
      <xdr:row>92</xdr:row>
      <xdr:rowOff>0</xdr:rowOff>
    </xdr:from>
    <xdr:to>
      <xdr:col>7</xdr:col>
      <xdr:colOff>22861</xdr:colOff>
      <xdr:row>96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42A13A-4003-BD08-81DB-904AD9314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1" y="17167860"/>
          <a:ext cx="6583680" cy="731520"/>
        </a:xfrm>
        <a:prstGeom prst="rect">
          <a:avLst/>
        </a:prstGeom>
      </xdr:spPr>
    </xdr:pic>
    <xdr:clientData/>
  </xdr:twoCellAnchor>
  <xdr:twoCellAnchor>
    <xdr:from>
      <xdr:col>0</xdr:col>
      <xdr:colOff>281940</xdr:colOff>
      <xdr:row>114</xdr:row>
      <xdr:rowOff>91440</xdr:rowOff>
    </xdr:from>
    <xdr:to>
      <xdr:col>4</xdr:col>
      <xdr:colOff>182880</xdr:colOff>
      <xdr:row>120</xdr:row>
      <xdr:rowOff>160020</xdr:rowOff>
    </xdr:to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3B9710DC-8DFB-EA33-7798-C3D951FCEEA4}"/>
            </a:ext>
          </a:extLst>
        </xdr:cNvPr>
        <xdr:cNvSpPr txBox="1">
          <a:spLocks noChangeArrowheads="1"/>
        </xdr:cNvSpPr>
      </xdr:nvSpPr>
      <xdr:spPr bwMode="auto">
        <a:xfrm>
          <a:off x="281940" y="21457920"/>
          <a:ext cx="4785360" cy="11658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6. Dataset: Monthly savings (in $): 200, 300, 400, 500, 600, 700, 800, 900, 1000, 1100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first quartile (Q1) and third quartile (Q3).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Calculate the interquartile range (IQR).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Detecting Outliers</a:t>
          </a:r>
        </a:p>
      </xdr:txBody>
    </xdr:sp>
    <xdr:clientData/>
  </xdr:twoCellAnchor>
  <xdr:twoCellAnchor>
    <xdr:from>
      <xdr:col>0</xdr:col>
      <xdr:colOff>304800</xdr:colOff>
      <xdr:row>134</xdr:row>
      <xdr:rowOff>76200</xdr:rowOff>
    </xdr:from>
    <xdr:to>
      <xdr:col>2</xdr:col>
      <xdr:colOff>914400</xdr:colOff>
      <xdr:row>140</xdr:row>
      <xdr:rowOff>68580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F3FA442-FB3C-6B17-4D47-40DACC6A18F1}"/>
            </a:ext>
          </a:extLst>
        </xdr:cNvPr>
        <xdr:cNvSpPr txBox="1">
          <a:spLocks noChangeArrowheads="1"/>
        </xdr:cNvSpPr>
      </xdr:nvSpPr>
      <xdr:spPr bwMode="auto">
        <a:xfrm>
          <a:off x="304800" y="25176480"/>
          <a:ext cx="3817620" cy="10896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7.Dataset: Ages of employees: 22, 25, 28, 30, 35, 40, 45, 50, 55, 100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Identify any outliers using the IQR method.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Hard Level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Weighted Mean</a:t>
          </a:r>
        </a:p>
      </xdr:txBody>
    </xdr:sp>
    <xdr:clientData/>
  </xdr:twoCellAnchor>
  <xdr:twoCellAnchor editAs="oneCell">
    <xdr:from>
      <xdr:col>2</xdr:col>
      <xdr:colOff>472440</xdr:colOff>
      <xdr:row>153</xdr:row>
      <xdr:rowOff>68580</xdr:rowOff>
    </xdr:from>
    <xdr:to>
      <xdr:col>8</xdr:col>
      <xdr:colOff>731955</xdr:colOff>
      <xdr:row>156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5D17EE-0563-70F6-4E14-37066EE3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0460" y="28643580"/>
          <a:ext cx="5014395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1104900</xdr:colOff>
      <xdr:row>156</xdr:row>
      <xdr:rowOff>99060</xdr:rowOff>
    </xdr:from>
    <xdr:to>
      <xdr:col>7</xdr:col>
      <xdr:colOff>533400</xdr:colOff>
      <xdr:row>158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87534A-48FF-C542-AB5A-9E48E31E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2920" y="29222700"/>
          <a:ext cx="3291840" cy="403860"/>
        </a:xfrm>
        <a:prstGeom prst="rect">
          <a:avLst/>
        </a:prstGeom>
      </xdr:spPr>
    </xdr:pic>
    <xdr:clientData/>
  </xdr:twoCellAnchor>
  <xdr:twoCellAnchor>
    <xdr:from>
      <xdr:col>0</xdr:col>
      <xdr:colOff>335280</xdr:colOff>
      <xdr:row>183</xdr:row>
      <xdr:rowOff>7620</xdr:rowOff>
    </xdr:from>
    <xdr:to>
      <xdr:col>3</xdr:col>
      <xdr:colOff>381000</xdr:colOff>
      <xdr:row>188</xdr:row>
      <xdr:rowOff>68580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F2B84131-2588-6B5C-54EC-BA82D70E7392}"/>
            </a:ext>
          </a:extLst>
        </xdr:cNvPr>
        <xdr:cNvSpPr txBox="1">
          <a:spLocks noChangeArrowheads="1"/>
        </xdr:cNvSpPr>
      </xdr:nvSpPr>
      <xdr:spPr bwMode="auto">
        <a:xfrm>
          <a:off x="335280" y="34069020"/>
          <a:ext cx="5067300" cy="975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8. Dataset: Grades (A, B, C, D, F) with corresponding weights: A=4, B=3, C=2, D=1, F=0.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Student grades: A, B, A, C, B, A, D, B, C, A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weighted mean of the student grades.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Regression Analysis</a:t>
          </a:r>
        </a:p>
      </xdr:txBody>
    </xdr:sp>
    <xdr:clientData/>
  </xdr:twoCellAnchor>
  <xdr:twoCellAnchor editAs="oneCell">
    <xdr:from>
      <xdr:col>2</xdr:col>
      <xdr:colOff>160020</xdr:colOff>
      <xdr:row>194</xdr:row>
      <xdr:rowOff>137160</xdr:rowOff>
    </xdr:from>
    <xdr:to>
      <xdr:col>6</xdr:col>
      <xdr:colOff>122199</xdr:colOff>
      <xdr:row>198</xdr:row>
      <xdr:rowOff>137160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D38EE17-3FDF-F8FA-64EF-040B579F2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3360" y="36210240"/>
          <a:ext cx="3215919" cy="731520"/>
        </a:xfrm>
        <a:prstGeom prst="rect">
          <a:avLst/>
        </a:prstGeom>
      </xdr:spPr>
    </xdr:pic>
    <xdr:clientData/>
  </xdr:twoCellAnchor>
  <xdr:twoCellAnchor>
    <xdr:from>
      <xdr:col>0</xdr:col>
      <xdr:colOff>205740</xdr:colOff>
      <xdr:row>200</xdr:row>
      <xdr:rowOff>167640</xdr:rowOff>
    </xdr:from>
    <xdr:to>
      <xdr:col>2</xdr:col>
      <xdr:colOff>990600</xdr:colOff>
      <xdr:row>208</xdr:row>
      <xdr:rowOff>7620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5DEC0B9-BC63-91AE-BEA8-02DC2CFF0AC1}"/>
            </a:ext>
          </a:extLst>
        </xdr:cNvPr>
        <xdr:cNvSpPr txBox="1">
          <a:spLocks noChangeArrowheads="1"/>
        </xdr:cNvSpPr>
      </xdr:nvSpPr>
      <xdr:spPr bwMode="auto">
        <a:xfrm>
          <a:off x="205740" y="37338000"/>
          <a:ext cx="4648200" cy="1303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9. Dataset: Advertising Spending (in $1000s): 10, 20, 15, 25, 30; 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Sales (in $1000s): 100,150, 120, 180, 200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Perform a simple linear regression analysis to find the relationship between advertising spending and sales.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Interpret the slope and intercept of the regression line.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ANOVA (Analysis of Variance)</a:t>
          </a:r>
        </a:p>
      </xdr:txBody>
    </xdr:sp>
    <xdr:clientData/>
  </xdr:twoCellAnchor>
  <xdr:twoCellAnchor editAs="oneCell">
    <xdr:from>
      <xdr:col>5</xdr:col>
      <xdr:colOff>83820</xdr:colOff>
      <xdr:row>215</xdr:row>
      <xdr:rowOff>121920</xdr:rowOff>
    </xdr:from>
    <xdr:to>
      <xdr:col>15</xdr:col>
      <xdr:colOff>205740</xdr:colOff>
      <xdr:row>221</xdr:row>
      <xdr:rowOff>76200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6C9CCE-E159-2A55-70E6-73D92F7CD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40035480"/>
          <a:ext cx="6926580" cy="1059180"/>
        </a:xfrm>
        <a:prstGeom prst="rect">
          <a:avLst/>
        </a:prstGeom>
      </xdr:spPr>
    </xdr:pic>
    <xdr:clientData/>
  </xdr:twoCellAnchor>
  <xdr:oneCellAnchor>
    <xdr:from>
      <xdr:col>0</xdr:col>
      <xdr:colOff>182880</xdr:colOff>
      <xdr:row>234</xdr:row>
      <xdr:rowOff>30480</xdr:rowOff>
    </xdr:from>
    <xdr:ext cx="4114800" cy="123444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9D0CB32-4B2E-3F3A-CD83-09D944FBCDDE}"/>
            </a:ext>
          </a:extLst>
        </xdr:cNvPr>
        <xdr:cNvSpPr txBox="1"/>
      </xdr:nvSpPr>
      <xdr:spPr>
        <a:xfrm>
          <a:off x="182880" y="43464480"/>
          <a:ext cx="4114800" cy="12344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b="1"/>
            <a:t>10. Dataset: Test scores of students from three different classes: Class A: 85, 88, 90, 92, 95 </a:t>
          </a:r>
        </a:p>
        <a:p>
          <a:r>
            <a:rPr lang="en-IN" b="1"/>
            <a:t>Class B: 78, 82, 85, 88, 90</a:t>
          </a:r>
        </a:p>
        <a:p>
          <a:r>
            <a:rPr lang="en-IN" b="1"/>
            <a:t> Class C: 92, 95, 98, 100, 105 </a:t>
          </a:r>
        </a:p>
        <a:p>
          <a:r>
            <a:rPr lang="en-IN" b="1"/>
            <a:t>Questions: a) Perform an ANOVA test to determine if there are any significant differences between the mean scores of the three</a:t>
          </a:r>
          <a:r>
            <a:rPr lang="en-IN" b="1" baseline="0"/>
            <a:t> </a:t>
          </a:r>
          <a:r>
            <a:rPr lang="en-IN" b="1"/>
            <a:t>classes.</a:t>
          </a:r>
          <a:endParaRPr lang="en-IN" sz="1100" b="1"/>
        </a:p>
      </xdr:txBody>
    </xdr:sp>
    <xdr:clientData/>
  </xdr:oneCellAnchor>
  <xdr:twoCellAnchor>
    <xdr:from>
      <xdr:col>0</xdr:col>
      <xdr:colOff>243840</xdr:colOff>
      <xdr:row>265</xdr:row>
      <xdr:rowOff>22860</xdr:rowOff>
    </xdr:from>
    <xdr:to>
      <xdr:col>3</xdr:col>
      <xdr:colOff>601980</xdr:colOff>
      <xdr:row>269</xdr:row>
      <xdr:rowOff>106680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4613CF5C-47E5-5C86-362B-EEC0C52AEAA2}"/>
            </a:ext>
          </a:extLst>
        </xdr:cNvPr>
        <xdr:cNvSpPr txBox="1">
          <a:spLocks noChangeArrowheads="1"/>
        </xdr:cNvSpPr>
      </xdr:nvSpPr>
      <xdr:spPr bwMode="auto">
        <a:xfrm>
          <a:off x="243840" y="49156620"/>
          <a:ext cx="5379720" cy="8153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11. Dataset: Daily stock prices for 10 days: 100, 102, 101, 103, 105, 107, 109, 110, 108, 107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3-day moving average for the stock prices.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Time Series Analysis</a:t>
          </a:r>
        </a:p>
      </xdr:txBody>
    </xdr:sp>
    <xdr:clientData/>
  </xdr:twoCellAnchor>
  <xdr:twoCellAnchor>
    <xdr:from>
      <xdr:col>4</xdr:col>
      <xdr:colOff>198120</xdr:colOff>
      <xdr:row>266</xdr:row>
      <xdr:rowOff>22860</xdr:rowOff>
    </xdr:from>
    <xdr:to>
      <xdr:col>10</xdr:col>
      <xdr:colOff>419100</xdr:colOff>
      <xdr:row>278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5EE12B-B4F4-1E54-9FC2-E4754443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</xdr:colOff>
      <xdr:row>279</xdr:row>
      <xdr:rowOff>175260</xdr:rowOff>
    </xdr:from>
    <xdr:to>
      <xdr:col>10</xdr:col>
      <xdr:colOff>365760</xdr:colOff>
      <xdr:row>294</xdr:row>
      <xdr:rowOff>129540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C56015-ED81-9F1A-1564-7DF7EFE5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291</xdr:row>
      <xdr:rowOff>22860</xdr:rowOff>
    </xdr:from>
    <xdr:to>
      <xdr:col>2</xdr:col>
      <xdr:colOff>906780</xdr:colOff>
      <xdr:row>297</xdr:row>
      <xdr:rowOff>83820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834E9E2D-7AA3-6844-78BE-6C5D5DDA3F64}"/>
            </a:ext>
          </a:extLst>
        </xdr:cNvPr>
        <xdr:cNvSpPr txBox="1">
          <a:spLocks noChangeArrowheads="1"/>
        </xdr:cNvSpPr>
      </xdr:nvSpPr>
      <xdr:spPr bwMode="auto">
        <a:xfrm>
          <a:off x="76200" y="53911500"/>
          <a:ext cx="4693920" cy="1158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12. Dataset: Monthly sales data for a year: 1200, 1300, 1250, 1400, 1350, 1500, 1600, 1550,1700, 1650, 1800, 1750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Plot the sales data on a line chart.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Identify any trends or seasonality in the data.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Chi-Square Test</a:t>
          </a:r>
        </a:p>
      </xdr:txBody>
    </xdr:sp>
    <xdr:clientData/>
  </xdr:twoCellAnchor>
  <xdr:twoCellAnchor>
    <xdr:from>
      <xdr:col>2</xdr:col>
      <xdr:colOff>525780</xdr:colOff>
      <xdr:row>297</xdr:row>
      <xdr:rowOff>160020</xdr:rowOff>
    </xdr:from>
    <xdr:to>
      <xdr:col>8</xdr:col>
      <xdr:colOff>381000</xdr:colOff>
      <xdr:row>311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70BF773-E206-60CF-00F8-3E9661DE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0</xdr:colOff>
      <xdr:row>319</xdr:row>
      <xdr:rowOff>0</xdr:rowOff>
    </xdr:from>
    <xdr:to>
      <xdr:col>5</xdr:col>
      <xdr:colOff>327741</xdr:colOff>
      <xdr:row>321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FB1AFE8-0D3D-BE3D-2740-B71C43D9B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31180" y="59009280"/>
          <a:ext cx="937341" cy="388620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318</xdr:row>
      <xdr:rowOff>83821</xdr:rowOff>
    </xdr:from>
    <xdr:to>
      <xdr:col>8</xdr:col>
      <xdr:colOff>190647</xdr:colOff>
      <xdr:row>321</xdr:row>
      <xdr:rowOff>53341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8E9F30-B2E8-80D0-B300-2EAAAF7DD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19900" y="58910221"/>
          <a:ext cx="1950867" cy="518160"/>
        </a:xfrm>
        <a:prstGeom prst="rect">
          <a:avLst/>
        </a:prstGeom>
      </xdr:spPr>
    </xdr:pic>
    <xdr:clientData/>
  </xdr:twoCellAnchor>
  <xdr:twoCellAnchor>
    <xdr:from>
      <xdr:col>0</xdr:col>
      <xdr:colOff>274320</xdr:colOff>
      <xdr:row>330</xdr:row>
      <xdr:rowOff>114300</xdr:rowOff>
    </xdr:from>
    <xdr:to>
      <xdr:col>3</xdr:col>
      <xdr:colOff>510540</xdr:colOff>
      <xdr:row>339</xdr:row>
      <xdr:rowOff>7620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5131FE3D-7DDE-DDC7-E23F-5A416ED61FD7}"/>
            </a:ext>
          </a:extLst>
        </xdr:cNvPr>
        <xdr:cNvSpPr txBox="1">
          <a:spLocks noChangeArrowheads="1"/>
        </xdr:cNvSpPr>
      </xdr:nvSpPr>
      <xdr:spPr bwMode="auto">
        <a:xfrm>
          <a:off x="274320" y="61135260"/>
          <a:ext cx="5257800" cy="1539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13. Dataset: Observed frequencies of customer preferences for three products: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Product A: 50, 55, 60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Product B: 30, 25, 35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Product C: 20, 20, 25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Perform a chi-square test to determine if there is a significant difference in customer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preferences among the three products.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Hypothesis Testing</a:t>
          </a:r>
        </a:p>
      </xdr:txBody>
    </xdr:sp>
    <xdr:clientData/>
  </xdr:twoCellAnchor>
  <xdr:twoCellAnchor editAs="oneCell">
    <xdr:from>
      <xdr:col>4</xdr:col>
      <xdr:colOff>541020</xdr:colOff>
      <xdr:row>330</xdr:row>
      <xdr:rowOff>137160</xdr:rowOff>
    </xdr:from>
    <xdr:to>
      <xdr:col>7</xdr:col>
      <xdr:colOff>434487</xdr:colOff>
      <xdr:row>333</xdr:row>
      <xdr:rowOff>129540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3FBF74B-88CE-4997-AA34-8BA59AB76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72200" y="61158120"/>
          <a:ext cx="1950867" cy="54102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354</xdr:row>
      <xdr:rowOff>160020</xdr:rowOff>
    </xdr:from>
    <xdr:to>
      <xdr:col>3</xdr:col>
      <xdr:colOff>510540</xdr:colOff>
      <xdr:row>360</xdr:row>
      <xdr:rowOff>152400</xdr:rowOff>
    </xdr:to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557B9E11-6C68-BC71-1DE8-32EA0C634296}"/>
            </a:ext>
          </a:extLst>
        </xdr:cNvPr>
        <xdr:cNvSpPr txBox="1">
          <a:spLocks noChangeArrowheads="1"/>
        </xdr:cNvSpPr>
      </xdr:nvSpPr>
      <xdr:spPr bwMode="auto">
        <a:xfrm>
          <a:off x="152400" y="65570100"/>
          <a:ext cx="5379720" cy="10896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14. Dataset: Sample weights (in kg) of a new diet program: 70, 68, 72, 71, 69, 73, 72, 74, 70,71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Test the hypothesis that the mean weight after the diet program is equal to 70 kg at a 5%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significance level.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Z-Scores</a:t>
          </a:r>
        </a:p>
      </xdr:txBody>
    </xdr:sp>
    <xdr:clientData/>
  </xdr:twoCellAnchor>
  <xdr:twoCellAnchor editAs="oneCell">
    <xdr:from>
      <xdr:col>4</xdr:col>
      <xdr:colOff>228600</xdr:colOff>
      <xdr:row>354</xdr:row>
      <xdr:rowOff>114300</xdr:rowOff>
    </xdr:from>
    <xdr:to>
      <xdr:col>5</xdr:col>
      <xdr:colOff>809625</xdr:colOff>
      <xdr:row>358</xdr:row>
      <xdr:rowOff>123825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D1EF92F-431F-4EFB-B461-0AC2954FC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59780" y="65524380"/>
          <a:ext cx="1190625" cy="741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45720</xdr:colOff>
      <xdr:row>354</xdr:row>
      <xdr:rowOff>137160</xdr:rowOff>
    </xdr:from>
    <xdr:to>
      <xdr:col>7</xdr:col>
      <xdr:colOff>520065</xdr:colOff>
      <xdr:row>358</xdr:row>
      <xdr:rowOff>97155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DB18567-71D7-4EB7-BAC9-DC132C62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124700" y="65547240"/>
          <a:ext cx="1083945" cy="691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152400</xdr:colOff>
      <xdr:row>372</xdr:row>
      <xdr:rowOff>175260</xdr:rowOff>
    </xdr:from>
    <xdr:to>
      <xdr:col>3</xdr:col>
      <xdr:colOff>441960</xdr:colOff>
      <xdr:row>378</xdr:row>
      <xdr:rowOff>60960</xdr:rowOff>
    </xdr:to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8480EDEF-8B43-E361-1FDC-28123A53C808}"/>
            </a:ext>
          </a:extLst>
        </xdr:cNvPr>
        <xdr:cNvSpPr txBox="1">
          <a:spLocks noChangeArrowheads="1"/>
        </xdr:cNvSpPr>
      </xdr:nvSpPr>
      <xdr:spPr bwMode="auto">
        <a:xfrm>
          <a:off x="152400" y="68877180"/>
          <a:ext cx="5311140" cy="982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15. Dataset: Annual salaries of employees (in $1000s): 40, 42, 45, 47, 50, 52, 55, 57, 60, 62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z-scores for each salary.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Interpret the z-scores.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Normal Distribution</a:t>
          </a:r>
        </a:p>
      </xdr:txBody>
    </xdr:sp>
    <xdr:clientData/>
  </xdr:twoCellAnchor>
  <xdr:twoCellAnchor editAs="oneCell">
    <xdr:from>
      <xdr:col>4</xdr:col>
      <xdr:colOff>137160</xdr:colOff>
      <xdr:row>376</xdr:row>
      <xdr:rowOff>152400</xdr:rowOff>
    </xdr:from>
    <xdr:to>
      <xdr:col>5</xdr:col>
      <xdr:colOff>693420</xdr:colOff>
      <xdr:row>380</xdr:row>
      <xdr:rowOff>164654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A4ACD-F2AC-49D7-9573-7D974503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768340" y="69585840"/>
          <a:ext cx="1165860" cy="743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548640</xdr:colOff>
      <xdr:row>389</xdr:row>
      <xdr:rowOff>0</xdr:rowOff>
    </xdr:from>
    <xdr:to>
      <xdr:col>2</xdr:col>
      <xdr:colOff>297180</xdr:colOff>
      <xdr:row>392</xdr:row>
      <xdr:rowOff>83820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81691A6-23BA-8801-4DF6-C303D1E7FD23}"/>
            </a:ext>
          </a:extLst>
        </xdr:cNvPr>
        <xdr:cNvCxnSpPr/>
      </xdr:nvCxnSpPr>
      <xdr:spPr>
        <a:xfrm flipV="1">
          <a:off x="3177540" y="71848980"/>
          <a:ext cx="982980" cy="63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393</xdr:row>
      <xdr:rowOff>22860</xdr:rowOff>
    </xdr:from>
    <xdr:to>
      <xdr:col>1</xdr:col>
      <xdr:colOff>1188720</xdr:colOff>
      <xdr:row>393</xdr:row>
      <xdr:rowOff>129540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41034EF-32F3-2841-2F5F-F74E556287A0}"/>
            </a:ext>
          </a:extLst>
        </xdr:cNvPr>
        <xdr:cNvCxnSpPr/>
      </xdr:nvCxnSpPr>
      <xdr:spPr>
        <a:xfrm flipV="1">
          <a:off x="3162300" y="72603360"/>
          <a:ext cx="655320" cy="106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236220</xdr:colOff>
      <xdr:row>396</xdr:row>
      <xdr:rowOff>144780</xdr:rowOff>
    </xdr:from>
    <xdr:to>
      <xdr:col>4</xdr:col>
      <xdr:colOff>20955</xdr:colOff>
      <xdr:row>402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0141D41-B987-4F27-8099-1E2B501841E9}"/>
            </a:ext>
          </a:extLst>
        </xdr:cNvPr>
        <xdr:cNvSpPr/>
      </xdr:nvSpPr>
      <xdr:spPr>
        <a:xfrm>
          <a:off x="236220" y="73273920"/>
          <a:ext cx="5415915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>
              <a:solidFill>
                <a:schemeClr val="tx1"/>
              </a:solidFill>
            </a:rPr>
            <a:t>Most salaries are within one standard deviation of the mean, which indicates that the salaries are fairly close to each other, suggesting a relatively normal distribution around the mean.The z-scores span from -1.54 to 1.54, indicating the dataset is moderately dispersed around the mean.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281940</xdr:colOff>
      <xdr:row>403</xdr:row>
      <xdr:rowOff>167640</xdr:rowOff>
    </xdr:from>
    <xdr:to>
      <xdr:col>4</xdr:col>
      <xdr:colOff>220980</xdr:colOff>
      <xdr:row>409</xdr:row>
      <xdr:rowOff>15240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93CB473B-721C-77F0-E522-9DEE30B8AC5C}"/>
            </a:ext>
          </a:extLst>
        </xdr:cNvPr>
        <xdr:cNvSpPr txBox="1">
          <a:spLocks noChangeArrowheads="1"/>
        </xdr:cNvSpPr>
      </xdr:nvSpPr>
      <xdr:spPr bwMode="auto">
        <a:xfrm>
          <a:off x="281940" y="74576940"/>
          <a:ext cx="5570220" cy="944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16. Dataset: Scores of students in a standardized test: 85, 87, 90, 92, 95, 97, 100, 102,105,107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Create a histogram of the test scores.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Fit a normal distribution to the data and calculate the mean and standard deviation.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P-Values</a:t>
          </a:r>
        </a:p>
        <a:p>
          <a:pPr algn="l" rtl="0">
            <a:defRPr sz="1000"/>
          </a:pPr>
          <a:endParaRPr lang="en-IN" sz="11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60960</xdr:colOff>
      <xdr:row>425</xdr:row>
      <xdr:rowOff>53340</xdr:rowOff>
    </xdr:from>
    <xdr:to>
      <xdr:col>2</xdr:col>
      <xdr:colOff>769620</xdr:colOff>
      <xdr:row>437</xdr:row>
      <xdr:rowOff>144780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B5DF0C4-95DB-BF1F-4764-330F0FB9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297180</xdr:colOff>
      <xdr:row>438</xdr:row>
      <xdr:rowOff>152400</xdr:rowOff>
    </xdr:from>
    <xdr:to>
      <xdr:col>3</xdr:col>
      <xdr:colOff>403860</xdr:colOff>
      <xdr:row>446</xdr:row>
      <xdr:rowOff>22860</xdr:rowOff>
    </xdr:to>
    <xdr:sp macro="" textlink="">
      <xdr:nvSpPr>
        <xdr:cNvPr id="34" name="Text Box 6">
          <a:extLst>
            <a:ext uri="{FF2B5EF4-FFF2-40B4-BE49-F238E27FC236}">
              <a16:creationId xmlns:a16="http://schemas.microsoft.com/office/drawing/2014/main" id="{58BB851B-F4E5-0BC0-4CBD-AF0BF9216439}"/>
            </a:ext>
          </a:extLst>
        </xdr:cNvPr>
        <xdr:cNvSpPr txBox="1">
          <a:spLocks noChangeArrowheads="1"/>
        </xdr:cNvSpPr>
      </xdr:nvSpPr>
      <xdr:spPr bwMode="auto">
        <a:xfrm>
          <a:off x="297180" y="80962500"/>
          <a:ext cx="5128260" cy="1333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17. Dataset: Sample data of a new drug's effect on blood pressure reduction (in mmHg): 10,12, 14, 15, 13, 16, 18, 17, 19, 20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Perform a t-test to determine if the new drug has a significant effect on blood pressure reduction.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Report the p-value and interpret the results.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Confidence Intervals</a:t>
          </a:r>
        </a:p>
      </xdr:txBody>
    </xdr:sp>
    <xdr:clientData/>
  </xdr:twoCellAnchor>
  <xdr:twoCellAnchor>
    <xdr:from>
      <xdr:col>3</xdr:col>
      <xdr:colOff>91440</xdr:colOff>
      <xdr:row>447</xdr:row>
      <xdr:rowOff>53340</xdr:rowOff>
    </xdr:from>
    <xdr:to>
      <xdr:col>7</xdr:col>
      <xdr:colOff>415290</xdr:colOff>
      <xdr:row>451</xdr:row>
      <xdr:rowOff>22860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ED36617-320F-4214-B4F4-2C75841C140D}"/>
            </a:ext>
          </a:extLst>
        </xdr:cNvPr>
        <xdr:cNvSpPr/>
      </xdr:nvSpPr>
      <xdr:spPr>
        <a:xfrm>
          <a:off x="5113020" y="82509360"/>
          <a:ext cx="2990850" cy="701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H0</a:t>
          </a:r>
          <a:r>
            <a:rPr lang="en-US" sz="1100" baseline="0">
              <a:solidFill>
                <a:sysClr val="windowText" lastClr="000000"/>
              </a:solidFill>
            </a:rPr>
            <a:t>- no effect in the blood pressure.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Ha- there is  a effect in the blood pressure.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266700</xdr:colOff>
      <xdr:row>463</xdr:row>
      <xdr:rowOff>152400</xdr:rowOff>
    </xdr:from>
    <xdr:to>
      <xdr:col>2</xdr:col>
      <xdr:colOff>685800</xdr:colOff>
      <xdr:row>469</xdr:row>
      <xdr:rowOff>22860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F86F89AE-7821-5E40-38C2-E9A046A78D3B}"/>
            </a:ext>
          </a:extLst>
        </xdr:cNvPr>
        <xdr:cNvSpPr txBox="1">
          <a:spLocks noChangeArrowheads="1"/>
        </xdr:cNvSpPr>
      </xdr:nvSpPr>
      <xdr:spPr bwMode="auto">
        <a:xfrm rot="10800000" flipV="1">
          <a:off x="266700" y="85534500"/>
          <a:ext cx="4282440" cy="9677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18. Dataset: Monthly income of individuals (in $1000s): 3.5, 4.0, 4.2, 4.5, 4.7, 5.0, 5.3, 5.5,5.7, 6.0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Calculate the 95% confidence interval for the mean monthly income.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Box Plot</a:t>
          </a:r>
        </a:p>
      </xdr:txBody>
    </xdr:sp>
    <xdr:clientData/>
  </xdr:twoCellAnchor>
  <xdr:twoCellAnchor>
    <xdr:from>
      <xdr:col>3</xdr:col>
      <xdr:colOff>76200</xdr:colOff>
      <xdr:row>471</xdr:row>
      <xdr:rowOff>60961</xdr:rowOff>
    </xdr:from>
    <xdr:to>
      <xdr:col>7</xdr:col>
      <xdr:colOff>809625</xdr:colOff>
      <xdr:row>474</xdr:row>
      <xdr:rowOff>99061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D2AC0EBE-B250-486B-B580-74849FD6747D}"/>
            </a:ext>
          </a:extLst>
        </xdr:cNvPr>
        <xdr:cNvSpPr txBox="1">
          <a:spLocks noChangeArrowheads="1"/>
        </xdr:cNvSpPr>
      </xdr:nvSpPr>
      <xdr:spPr bwMode="auto">
        <a:xfrm>
          <a:off x="5097780" y="86906101"/>
          <a:ext cx="3400425" cy="5867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For a 95% confidence level, the critical value 𝑧∗ x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(from the standard normal distribution) is approximately 1.96.</a:t>
          </a:r>
        </a:p>
      </xdr:txBody>
    </xdr:sp>
    <xdr:clientData/>
  </xdr:twoCellAnchor>
  <xdr:twoCellAnchor editAs="oneCell">
    <xdr:from>
      <xdr:col>7</xdr:col>
      <xdr:colOff>868680</xdr:colOff>
      <xdr:row>471</xdr:row>
      <xdr:rowOff>129540</xdr:rowOff>
    </xdr:from>
    <xdr:to>
      <xdr:col>9</xdr:col>
      <xdr:colOff>529590</xdr:colOff>
      <xdr:row>473</xdr:row>
      <xdr:rowOff>160020</xdr:rowOff>
    </xdr:to>
    <xdr:pic>
      <xdr:nvPicPr>
        <xdr:cNvPr id="44" name="Picture 10">
          <a:extLst>
            <a:ext uri="{FF2B5EF4-FFF2-40B4-BE49-F238E27FC236}">
              <a16:creationId xmlns:a16="http://schemas.microsoft.com/office/drawing/2014/main" id="{47DE78C0-00AC-4368-8DD6-9568F68FD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8557260" y="86974680"/>
          <a:ext cx="1360170" cy="396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114300</xdr:colOff>
      <xdr:row>475</xdr:row>
      <xdr:rowOff>0</xdr:rowOff>
    </xdr:from>
    <xdr:to>
      <xdr:col>2</xdr:col>
      <xdr:colOff>643890</xdr:colOff>
      <xdr:row>477</xdr:row>
      <xdr:rowOff>1905</xdr:rowOff>
    </xdr:to>
    <xdr:pic>
      <xdr:nvPicPr>
        <xdr:cNvPr id="45" name="Picture 11">
          <a:extLst>
            <a:ext uri="{FF2B5EF4-FFF2-40B4-BE49-F238E27FC236}">
              <a16:creationId xmlns:a16="http://schemas.microsoft.com/office/drawing/2014/main" id="{A0EE7F1F-236E-4ACC-A084-90181B03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743200" y="87576660"/>
          <a:ext cx="1764030" cy="3676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140970</xdr:colOff>
      <xdr:row>474</xdr:row>
      <xdr:rowOff>144780</xdr:rowOff>
    </xdr:from>
    <xdr:to>
      <xdr:col>10</xdr:col>
      <xdr:colOff>346710</xdr:colOff>
      <xdr:row>489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0EAC9267-6750-447A-1E15-9E5C7C24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87538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472440</xdr:colOff>
      <xdr:row>486</xdr:row>
      <xdr:rowOff>152400</xdr:rowOff>
    </xdr:from>
    <xdr:to>
      <xdr:col>1</xdr:col>
      <xdr:colOff>1150620</xdr:colOff>
      <xdr:row>492</xdr:row>
      <xdr:rowOff>137160</xdr:rowOff>
    </xdr:to>
    <xdr:sp macro="" textlink="">
      <xdr:nvSpPr>
        <xdr:cNvPr id="53" name="Text Box 17">
          <a:extLst>
            <a:ext uri="{FF2B5EF4-FFF2-40B4-BE49-F238E27FC236}">
              <a16:creationId xmlns:a16="http://schemas.microsoft.com/office/drawing/2014/main" id="{7DC5DC2E-B195-BF9A-9B8B-15E01CD7032A}"/>
            </a:ext>
          </a:extLst>
        </xdr:cNvPr>
        <xdr:cNvSpPr txBox="1">
          <a:spLocks noChangeArrowheads="1"/>
        </xdr:cNvSpPr>
      </xdr:nvSpPr>
      <xdr:spPr bwMode="auto">
        <a:xfrm>
          <a:off x="472440" y="89740740"/>
          <a:ext cx="3307080" cy="1082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19. Dataset: Daily temperatures (in °C) over two weeks: 25, 26, 27, 28, 29, 30, 31, 32, 33, 34,35, 36, 37, 38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Create a box plot of the daily temperatures.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Identify any outliers.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Scatter Plot and Trend Line</a:t>
          </a:r>
        </a:p>
      </xdr:txBody>
    </xdr:sp>
    <xdr:clientData/>
  </xdr:twoCellAnchor>
  <xdr:twoCellAnchor>
    <xdr:from>
      <xdr:col>1</xdr:col>
      <xdr:colOff>998220</xdr:colOff>
      <xdr:row>493</xdr:row>
      <xdr:rowOff>160020</xdr:rowOff>
    </xdr:from>
    <xdr:to>
      <xdr:col>7</xdr:col>
      <xdr:colOff>510540</xdr:colOff>
      <xdr:row>508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6A8DEE39-5541-7DB7-3736-B417B5281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7120" y="9102852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516</xdr:row>
      <xdr:rowOff>83820</xdr:rowOff>
    </xdr:from>
    <xdr:to>
      <xdr:col>2</xdr:col>
      <xdr:colOff>1127760</xdr:colOff>
      <xdr:row>531</xdr:row>
      <xdr:rowOff>83820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43396F-A053-D27A-B34F-41CD51933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373380</xdr:colOff>
      <xdr:row>533</xdr:row>
      <xdr:rowOff>38100</xdr:rowOff>
    </xdr:from>
    <xdr:to>
      <xdr:col>3</xdr:col>
      <xdr:colOff>388620</xdr:colOff>
      <xdr:row>539</xdr:row>
      <xdr:rowOff>53340</xdr:rowOff>
    </xdr:to>
    <xdr:sp macro="" textlink="">
      <xdr:nvSpPr>
        <xdr:cNvPr id="57" name="Text Box 18">
          <a:extLst>
            <a:ext uri="{FF2B5EF4-FFF2-40B4-BE49-F238E27FC236}">
              <a16:creationId xmlns:a16="http://schemas.microsoft.com/office/drawing/2014/main" id="{0C4B6377-3528-E320-1D4C-E44F1B4B7F46}"/>
            </a:ext>
          </a:extLst>
        </xdr:cNvPr>
        <xdr:cNvSpPr txBox="1">
          <a:spLocks noChangeArrowheads="1"/>
        </xdr:cNvSpPr>
      </xdr:nvSpPr>
      <xdr:spPr bwMode="auto">
        <a:xfrm>
          <a:off x="373380" y="98221800"/>
          <a:ext cx="5036820" cy="111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20. Dataset: Advertising Spending (in $1000s): 10, 20, 30, 40, 50; 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Sales (in $1000s): 100,150, 200, 250, 300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Create a scatter plot of advertising spending vs. sales.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Add a trend line and display the equation of the line.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Exponential Smoothing</a:t>
          </a:r>
        </a:p>
      </xdr:txBody>
    </xdr:sp>
    <xdr:clientData/>
  </xdr:twoCellAnchor>
  <xdr:twoCellAnchor>
    <xdr:from>
      <xdr:col>0</xdr:col>
      <xdr:colOff>243840</xdr:colOff>
      <xdr:row>547</xdr:row>
      <xdr:rowOff>7620</xdr:rowOff>
    </xdr:from>
    <xdr:to>
      <xdr:col>3</xdr:col>
      <xdr:colOff>100965</xdr:colOff>
      <xdr:row>561</xdr:row>
      <xdr:rowOff>83820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DB801F86-2177-4439-8E2B-228677C69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</xdr:col>
      <xdr:colOff>175260</xdr:colOff>
      <xdr:row>541</xdr:row>
      <xdr:rowOff>0</xdr:rowOff>
    </xdr:from>
    <xdr:to>
      <xdr:col>7</xdr:col>
      <xdr:colOff>832485</xdr:colOff>
      <xdr:row>544</xdr:row>
      <xdr:rowOff>152400</xdr:rowOff>
    </xdr:to>
    <xdr:pic>
      <xdr:nvPicPr>
        <xdr:cNvPr id="1046" name="Picture 1">
          <a:extLst>
            <a:ext uri="{FF2B5EF4-FFF2-40B4-BE49-F238E27FC236}">
              <a16:creationId xmlns:a16="http://schemas.microsoft.com/office/drawing/2014/main" id="{C100B57C-239B-4D2D-AC0D-6A2DBC4F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196840" y="99646740"/>
          <a:ext cx="3324225" cy="701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381000</xdr:colOff>
      <xdr:row>562</xdr:row>
      <xdr:rowOff>167640</xdr:rowOff>
    </xdr:from>
    <xdr:to>
      <xdr:col>3</xdr:col>
      <xdr:colOff>220980</xdr:colOff>
      <xdr:row>569</xdr:row>
      <xdr:rowOff>175260</xdr:rowOff>
    </xdr:to>
    <xdr:sp macro="" textlink="">
      <xdr:nvSpPr>
        <xdr:cNvPr id="1049" name="Text Box 20">
          <a:extLst>
            <a:ext uri="{FF2B5EF4-FFF2-40B4-BE49-F238E27FC236}">
              <a16:creationId xmlns:a16="http://schemas.microsoft.com/office/drawing/2014/main" id="{9DE20A62-345D-65C6-7076-255A7FC4173F}"/>
            </a:ext>
          </a:extLst>
        </xdr:cNvPr>
        <xdr:cNvSpPr txBox="1">
          <a:spLocks noChangeArrowheads="1"/>
        </xdr:cNvSpPr>
      </xdr:nvSpPr>
      <xdr:spPr bwMode="auto">
        <a:xfrm>
          <a:off x="381000" y="103654860"/>
          <a:ext cx="4861560" cy="1287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21. Dataset: Monthly sales data for a year: 150, 160, 170, 180, 190, 200, 210, 220, 230, 240,250, 260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Questions: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a) Apply exponential smoothing to the sales data.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b) Plot the original data and the smoothed data.</a:t>
          </a:r>
        </a:p>
        <a:p>
          <a:pPr algn="l" rtl="0">
            <a:defRPr sz="1000"/>
          </a:pPr>
          <a:r>
            <a:rPr lang="en-IN"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c) Multiple Regression</a:t>
          </a:r>
        </a:p>
      </xdr:txBody>
    </xdr:sp>
    <xdr:clientData/>
  </xdr:twoCellAnchor>
  <xdr:twoCellAnchor>
    <xdr:from>
      <xdr:col>0</xdr:col>
      <xdr:colOff>720090</xdr:colOff>
      <xdr:row>583</xdr:row>
      <xdr:rowOff>144780</xdr:rowOff>
    </xdr:from>
    <xdr:to>
      <xdr:col>3</xdr:col>
      <xdr:colOff>232410</xdr:colOff>
      <xdr:row>598</xdr:row>
      <xdr:rowOff>144780</xdr:rowOff>
    </xdr:to>
    <xdr:graphicFrame macro="">
      <xdr:nvGraphicFramePr>
        <xdr:cNvPr id="1050" name="Chart 1049">
          <a:extLst>
            <a:ext uri="{FF2B5EF4-FFF2-40B4-BE49-F238E27FC236}">
              <a16:creationId xmlns:a16="http://schemas.microsoft.com/office/drawing/2014/main" id="{AAABA122-04F0-9542-0644-685F02A4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220980</xdr:colOff>
      <xdr:row>626</xdr:row>
      <xdr:rowOff>91440</xdr:rowOff>
    </xdr:from>
    <xdr:to>
      <xdr:col>5</xdr:col>
      <xdr:colOff>390525</xdr:colOff>
      <xdr:row>634</xdr:row>
      <xdr:rowOff>129540</xdr:rowOff>
    </xdr:to>
    <xdr:pic>
      <xdr:nvPicPr>
        <xdr:cNvPr id="1051" name="Picture 3">
          <a:extLst>
            <a:ext uri="{FF2B5EF4-FFF2-40B4-BE49-F238E27FC236}">
              <a16:creationId xmlns:a16="http://schemas.microsoft.com/office/drawing/2014/main" id="{A782B641-65BD-49CF-9567-2BD373829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20980" y="115351560"/>
          <a:ext cx="6448425" cy="1501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236220</xdr:colOff>
      <xdr:row>663</xdr:row>
      <xdr:rowOff>160020</xdr:rowOff>
    </xdr:from>
    <xdr:to>
      <xdr:col>5</xdr:col>
      <xdr:colOff>230505</xdr:colOff>
      <xdr:row>669</xdr:row>
      <xdr:rowOff>91440</xdr:rowOff>
    </xdr:to>
    <xdr:pic>
      <xdr:nvPicPr>
        <xdr:cNvPr id="1053" name="Picture 4">
          <a:extLst>
            <a:ext uri="{FF2B5EF4-FFF2-40B4-BE49-F238E27FC236}">
              <a16:creationId xmlns:a16="http://schemas.microsoft.com/office/drawing/2014/main" id="{B34A9A43-3FD9-46A7-AF76-16B2BDF70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36220" y="122232420"/>
          <a:ext cx="627316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129540</xdr:colOff>
      <xdr:row>686</xdr:row>
      <xdr:rowOff>175260</xdr:rowOff>
    </xdr:from>
    <xdr:to>
      <xdr:col>5</xdr:col>
      <xdr:colOff>114300</xdr:colOff>
      <xdr:row>691</xdr:row>
      <xdr:rowOff>68580</xdr:rowOff>
    </xdr:to>
    <xdr:pic>
      <xdr:nvPicPr>
        <xdr:cNvPr id="1054" name="Picture 5">
          <a:extLst>
            <a:ext uri="{FF2B5EF4-FFF2-40B4-BE49-F238E27FC236}">
              <a16:creationId xmlns:a16="http://schemas.microsoft.com/office/drawing/2014/main" id="{8BB3C4FB-1DA4-4B7C-924E-164B682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29540" y="126453900"/>
          <a:ext cx="6263640" cy="807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220980</xdr:colOff>
      <xdr:row>708</xdr:row>
      <xdr:rowOff>15240</xdr:rowOff>
    </xdr:from>
    <xdr:to>
      <xdr:col>4</xdr:col>
      <xdr:colOff>434340</xdr:colOff>
      <xdr:row>713</xdr:row>
      <xdr:rowOff>24765</xdr:rowOff>
    </xdr:to>
    <xdr:pic>
      <xdr:nvPicPr>
        <xdr:cNvPr id="1056" name="Picture 6">
          <a:extLst>
            <a:ext uri="{FF2B5EF4-FFF2-40B4-BE49-F238E27FC236}">
              <a16:creationId xmlns:a16="http://schemas.microsoft.com/office/drawing/2014/main" id="{6F0DB150-DBDA-4A39-A641-2FBA044FB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20980" y="130317240"/>
          <a:ext cx="588264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har\Downloads\Case_Study.xlsx" TargetMode="External"/><Relationship Id="rId1" Type="http://schemas.openxmlformats.org/officeDocument/2006/relationships/externalLinkPath" Target="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549">
          <cell r="D549">
            <v>5.3377353870838951</v>
          </cell>
        </row>
        <row r="621">
          <cell r="C621" t="str">
            <v>sales</v>
          </cell>
          <cell r="D621" t="str">
            <v>exponential smoothing</v>
          </cell>
        </row>
        <row r="622">
          <cell r="B622">
            <v>10</v>
          </cell>
          <cell r="C622">
            <v>100</v>
          </cell>
          <cell r="D622">
            <v>100</v>
          </cell>
        </row>
        <row r="623">
          <cell r="B623">
            <v>20</v>
          </cell>
          <cell r="C623">
            <v>150</v>
          </cell>
          <cell r="D623">
            <v>125</v>
          </cell>
        </row>
        <row r="624">
          <cell r="B624">
            <v>30</v>
          </cell>
          <cell r="C624">
            <v>200</v>
          </cell>
          <cell r="D624">
            <v>162.5</v>
          </cell>
        </row>
        <row r="625">
          <cell r="B625">
            <v>40</v>
          </cell>
          <cell r="C625">
            <v>250</v>
          </cell>
          <cell r="D625">
            <v>206.25</v>
          </cell>
        </row>
        <row r="626">
          <cell r="B626">
            <v>50</v>
          </cell>
          <cell r="C626">
            <v>300</v>
          </cell>
          <cell r="D626">
            <v>253.125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50D6B-4EA7-4595-AE1A-54144F5DEDB0}" name="Table1" displayName="Table1" ref="A14:A27" totalsRowShown="0">
  <autoFilter ref="A14:A27" xr:uid="{2D850D6B-4EA7-4595-AE1A-54144F5DEDB0}"/>
  <tableColumns count="1">
    <tableColumn id="1" xr3:uid="{D6CB4BA8-1D41-458A-8BC5-13CC97B173A5}" name="  TEMP IN A CIT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F04D4E-0466-49C5-9B84-79AF74BDA335}" name="Table10" displayName="Table10" ref="A190:B200" totalsRowShown="0">
  <autoFilter ref="A190:B200" xr:uid="{50F04D4E-0466-49C5-9B84-79AF74BDA335}"/>
  <tableColumns count="2">
    <tableColumn id="1" xr3:uid="{FF8F5482-2A88-4902-A03D-08A559076745}" name="grades"/>
    <tableColumn id="2" xr3:uid="{BF88205D-63DF-4C22-B817-967960E9CD94}" name="wigh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0802DB-6130-48F5-AF05-51ADED211701}" name="Table11" displayName="Table11" ref="A243:C248" totalsRowShown="0" headerRowDxfId="7">
  <autoFilter ref="A243:C248" xr:uid="{1A0802DB-6130-48F5-AF05-51ADED211701}"/>
  <tableColumns count="3">
    <tableColumn id="1" xr3:uid="{EAE45833-0F6C-4879-886A-486752121B28}" name="class A"/>
    <tableColumn id="2" xr3:uid="{2D83FAD3-2DE8-43C6-9205-2F474E26312E}" name="class B"/>
    <tableColumn id="3" xr3:uid="{87F4BF7B-4FD3-4067-AE6C-CE0F4E3A9FDD}" name="class C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63E352-6754-4DCE-87AB-9CF71B2D4F65}" name="Table13" displayName="Table13" ref="A272:A282" totalsRowShown="0" headerRowDxfId="6">
  <autoFilter ref="A272:A282" xr:uid="{AC63E352-6754-4DCE-87AB-9CF71B2D4F65}"/>
  <tableColumns count="1">
    <tableColumn id="1" xr3:uid="{098FF579-F01A-465E-9E9F-5738E177FF24}" name="Pric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9E9987-7992-4304-8604-99DA15C0BB63}" name="Table14" displayName="Table14" ref="A341:C344" totalsRowShown="0" headerRowDxfId="5">
  <autoFilter ref="A341:C344" xr:uid="{0C9E9987-7992-4304-8604-99DA15C0BB63}"/>
  <tableColumns count="3">
    <tableColumn id="1" xr3:uid="{9649E781-A7EA-4D1A-9471-5FDB773F72CF}" name="product A"/>
    <tableColumn id="2" xr3:uid="{E1B1B3EA-1171-4731-BFC8-55AE014583B8}" name="product B"/>
    <tableColumn id="3" xr3:uid="{3FA2B83F-5AEB-4DA2-9378-37DC60897597}" name="product C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036A79-D6D1-45F8-B9B2-D22E42D0BF69}" name="Table15" displayName="Table15" ref="A362:A372" totalsRowShown="0">
  <autoFilter ref="A362:A372" xr:uid="{07036A79-D6D1-45F8-B9B2-D22E42D0BF69}"/>
  <tableColumns count="1">
    <tableColumn id="1" xr3:uid="{026FA5ED-F160-464D-85B6-4F7585E84335}" name="weigh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74F4CE-9770-4EFE-B5A0-0605A4179487}" name="Table12" displayName="Table12" ref="A380:A390" totalsRowShown="0">
  <autoFilter ref="A380:A390" xr:uid="{C174F4CE-9770-4EFE-B5A0-0605A4179487}"/>
  <tableColumns count="1">
    <tableColumn id="1" xr3:uid="{E12644D3-1FCC-4F18-B94D-563BDED257ED}" name="Annual salary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FBD8E2-5F38-47E8-BAB1-A516898E7580}" name="Table16" displayName="Table16" ref="A411:A421" totalsRowShown="0">
  <autoFilter ref="A411:A421" xr:uid="{49FBD8E2-5F38-47E8-BAB1-A516898E7580}"/>
  <tableColumns count="1">
    <tableColumn id="1" xr3:uid="{9F124636-B82B-4078-BF58-44EB3D388702}" name="scor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8FCE80-74F5-48D9-8E69-6AC42D9F5938}" name="Table17" displayName="Table17" ref="A448:A458" totalsRowShown="0">
  <autoFilter ref="A448:A458" xr:uid="{E38FCE80-74F5-48D9-8E69-6AC42D9F5938}"/>
  <tableColumns count="1">
    <tableColumn id="1" xr3:uid="{E4B2F8D6-EF0C-4ABE-A41E-74C2FB8095A2}" name="blood pressu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4DC1017-B57F-413F-85CA-BF8634D6B7C0}" name="Table18" displayName="Table18" ref="A471:A481" totalsRowShown="0">
  <autoFilter ref="A471:A481" xr:uid="{B4DC1017-B57F-413F-85CA-BF8634D6B7C0}"/>
  <tableColumns count="1">
    <tableColumn id="1" xr3:uid="{2D5AA04D-BA55-4E98-BA25-C5FDB79F7A48}" name="inco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1430C4-527B-4B07-9329-10A98DE79B25}" name="Table19" displayName="Table19" ref="A495:A509" totalsRowShown="0">
  <autoFilter ref="A495:A509" xr:uid="{7D1430C4-527B-4B07-9329-10A98DE79B25}"/>
  <tableColumns count="1">
    <tableColumn id="1" xr3:uid="{138130AA-844E-4582-84CB-CADD6CF0D1C4}" name="te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B1EBD-7DE2-42F6-97A8-15B3450BB71B}" name="Table2" displayName="Table2" ref="A34:A42" totalsRowShown="0" headerRowDxfId="14">
  <autoFilter ref="A34:A42" xr:uid="{419B1EBD-7DE2-42F6-97A8-15B3450BB71B}"/>
  <tableColumns count="1">
    <tableColumn id="1" xr3:uid="{FB74DD27-778E-4590-AD5E-5ABEDB9E6556}" name=" height of students(cm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0492D5D-32BA-4810-B1BB-FCA8E61E9A06}" name="Table20" displayName="Table20" ref="A541:B546" totalsRowShown="0">
  <autoFilter ref="A541:B546" xr:uid="{40492D5D-32BA-4810-B1BB-FCA8E61E9A06}"/>
  <tableColumns count="2">
    <tableColumn id="1" xr3:uid="{1BBDE047-F871-4533-8094-FCF48F576857}" name="adv spending"/>
    <tableColumn id="2" xr3:uid="{1529B982-C4C7-4F31-B2B4-6F95EB476F7D}" name="sal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F92A713-448F-46AA-848B-6AF9FC7746CB}" name="Table21" displayName="Table21" ref="C541:C546" totalsRowShown="0">
  <autoFilter ref="C541:C546" xr:uid="{BF92A713-448F-46AA-848B-6AF9FC7746CB}"/>
  <tableColumns count="1">
    <tableColumn id="1" xr3:uid="{3EEBEB2A-22FB-49AD-A37A-BA0A74C101FE}" name="exponential">
      <calculatedColumnFormula>0.5*Table20[[#This Row],[sales]]+(1-0.5)*C541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EC111F0-1DF9-4A17-B6CA-A3B859B0AA13}" name="Table22" displayName="Table22" ref="A571:C583" totalsRowShown="0">
  <autoFilter ref="A571:C583" xr:uid="{7EC111F0-1DF9-4A17-B6CA-A3B859B0AA13}"/>
  <tableColumns count="3">
    <tableColumn id="1" xr3:uid="{574CD7D8-F76C-45AC-9571-9E9D33426357}" name="month"/>
    <tableColumn id="2" xr3:uid="{E1F34F67-25E9-4F9D-9973-12F30D8E83E4}" name="monthly sales"/>
    <tableColumn id="3" xr3:uid="{02423A32-26F1-4CDA-A4D8-A3DBBABE8C83}" name="exp smoothening" dataDxf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C32DB75-D5BF-4B7F-99B1-56697C763056}" name="Table23" displayName="Table23" ref="A637:C642" totalsRowShown="0" headerRowDxfId="0">
  <autoFilter ref="A637:C642" xr:uid="{8C32DB75-D5BF-4B7F-99B1-56697C763056}"/>
  <tableColumns count="3">
    <tableColumn id="1" xr3:uid="{04B69DA0-AA42-43BC-9BE8-11D0745ABEE7}" name="advertising" dataDxfId="3"/>
    <tableColumn id="2" xr3:uid="{6118C011-1EC1-4A39-A18D-48AAA97C49E0}" name="sales" dataDxfId="2"/>
    <tableColumn id="3" xr3:uid="{C86BB519-DF0E-4025-9175-087B0673D380}" name="spending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03D6C-7174-46B0-A300-E68247DD80A3}" name="Table3" displayName="Table3" ref="B51:B58" totalsRowShown="0" headerRowDxfId="13">
  <autoFilter ref="B51:B58" xr:uid="{27C03D6C-7174-46B0-A300-E68247DD80A3}"/>
  <tableColumns count="1">
    <tableColumn id="1" xr3:uid="{F66844D3-0F47-4262-83EE-0B9006EBC377}" name="weekly expen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C57A8-ED95-49BC-8235-C19089D01B2A}" name="Table4" displayName="Table4" ref="B67:B72" totalsRowShown="0" headerRowDxfId="12">
  <autoFilter ref="B67:B72" xr:uid="{2E3C57A8-ED95-49BC-8235-C19089D01B2A}"/>
  <tableColumns count="1">
    <tableColumn id="1" xr3:uid="{980C99C4-1AD1-419B-80A8-50EF31D0D7D8}" name="Adv spending($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D26DED-8472-4190-983C-4EEB534BBB13}" name="Table5" displayName="Table5" ref="C67:C72" totalsRowShown="0" headerRowDxfId="11">
  <autoFilter ref="C67:C72" xr:uid="{DAD26DED-8472-4190-983C-4EEB534BBB13}"/>
  <tableColumns count="1">
    <tableColumn id="1" xr3:uid="{2B75C9DD-A8C7-4B3A-AD50-2A8BAB2ADD95}" name="sales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93479-5A0A-42F6-8F9B-B59E3DCF83EC}" name="Table6" displayName="Table6" ref="A85:A90" totalsRowShown="0">
  <autoFilter ref="A85:A90" xr:uid="{B0893479-5A0A-42F6-8F9B-B59E3DCF83EC}"/>
  <tableColumns count="1">
    <tableColumn id="1" xr3:uid="{C7914E59-01FE-4035-BFB0-AAC8811268BA}" name="study hour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36401-C532-4368-A061-108F884623AC}" name="Table7" displayName="Table7" ref="B85:B90" totalsRowShown="0" headerRowDxfId="10" dataDxfId="9">
  <autoFilter ref="B85:B90" xr:uid="{57636401-C532-4368-A061-108F884623AC}"/>
  <tableColumns count="1">
    <tableColumn id="1" xr3:uid="{2C4D3C19-B493-496C-B98E-6F3A666AE303}" name="exam scores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416528-3B8E-428C-B85C-B636F24CF569}" name="Table8" displayName="Table8" ref="A123:A133" totalsRowShown="0">
  <autoFilter ref="A123:A133" xr:uid="{D7416528-3B8E-428C-B85C-B636F24CF569}"/>
  <tableColumns count="1">
    <tableColumn id="1" xr3:uid="{CCD1F5F4-BD33-4B23-A82D-F3CA0BC885F3}" name="monthly saving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5DEE4F-935A-4B47-8471-1DD34768289D}" name="Table9" displayName="Table9" ref="A142:A152" totalsRowShown="0">
  <autoFilter ref="A142:A152" xr:uid="{C05DEE4F-935A-4B47-8471-1DD34768289D}"/>
  <tableColumns count="1">
    <tableColumn id="1" xr3:uid="{D89B39FC-3FE3-47AC-B301-FF1842B69777}" name="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1DDE-5879-442F-922B-E90ACAA5234C}">
  <dimension ref="A3:M729"/>
  <sheetViews>
    <sheetView tabSelected="1" topLeftCell="A418" workbookViewId="0">
      <selection activeCell="F465" sqref="F465"/>
    </sheetView>
  </sheetViews>
  <sheetFormatPr defaultRowHeight="14.4" x14ac:dyDescent="0.3"/>
  <cols>
    <col min="1" max="1" width="38.33203125" customWidth="1"/>
    <col min="2" max="2" width="18" customWidth="1"/>
    <col min="3" max="3" width="17.44140625" customWidth="1"/>
    <col min="6" max="6" width="12.21875" customWidth="1"/>
    <col min="7" max="7" width="8.88671875" customWidth="1"/>
    <col min="8" max="8" width="13" customWidth="1"/>
    <col min="9" max="9" width="11.77734375" customWidth="1"/>
  </cols>
  <sheetData>
    <row r="3" spans="1:13" ht="25.8" x14ac:dyDescent="0.5">
      <c r="B3" s="1" t="s">
        <v>0</v>
      </c>
    </row>
    <row r="8" spans="1:13" ht="15.6" customHeight="1" x14ac:dyDescent="0.45">
      <c r="L8" s="3"/>
      <c r="M8" s="3"/>
    </row>
    <row r="14" spans="1:13" x14ac:dyDescent="0.3">
      <c r="A14" s="2" t="s">
        <v>13</v>
      </c>
      <c r="B14" t="s">
        <v>1</v>
      </c>
    </row>
    <row r="15" spans="1:13" x14ac:dyDescent="0.3">
      <c r="A15">
        <v>10</v>
      </c>
    </row>
    <row r="16" spans="1:13" x14ac:dyDescent="0.3">
      <c r="A16">
        <v>12</v>
      </c>
      <c r="B16" t="s">
        <v>2</v>
      </c>
      <c r="C16">
        <f>(SUM(A15:A26)/12)</f>
        <v>15.916666666666666</v>
      </c>
    </row>
    <row r="17" spans="1:3" x14ac:dyDescent="0.3">
      <c r="A17">
        <v>13</v>
      </c>
      <c r="B17" t="s">
        <v>3</v>
      </c>
      <c r="C17">
        <f>MEDIAN(A15:A26)</f>
        <v>15.5</v>
      </c>
    </row>
    <row r="18" spans="1:3" x14ac:dyDescent="0.3">
      <c r="A18">
        <v>14</v>
      </c>
      <c r="B18" t="s">
        <v>4</v>
      </c>
      <c r="C18">
        <v>15</v>
      </c>
    </row>
    <row r="19" spans="1:3" x14ac:dyDescent="0.3">
      <c r="A19">
        <v>15</v>
      </c>
      <c r="B19" t="s">
        <v>5</v>
      </c>
      <c r="C19">
        <f>MAX(A15:A26)-MIN(A15:A26)</f>
        <v>12</v>
      </c>
    </row>
    <row r="20" spans="1:3" x14ac:dyDescent="0.3">
      <c r="A20">
        <v>15</v>
      </c>
      <c r="B20" t="s">
        <v>6</v>
      </c>
      <c r="C20">
        <f>VAR(A15:A26)</f>
        <v>12.08333333333332</v>
      </c>
    </row>
    <row r="21" spans="1:3" x14ac:dyDescent="0.3">
      <c r="A21">
        <v>16</v>
      </c>
    </row>
    <row r="22" spans="1:3" x14ac:dyDescent="0.3">
      <c r="A22">
        <v>17</v>
      </c>
    </row>
    <row r="23" spans="1:3" x14ac:dyDescent="0.3">
      <c r="A23">
        <v>18</v>
      </c>
    </row>
    <row r="24" spans="1:3" x14ac:dyDescent="0.3">
      <c r="A24">
        <v>19</v>
      </c>
    </row>
    <row r="25" spans="1:3" x14ac:dyDescent="0.3">
      <c r="A25">
        <v>20</v>
      </c>
    </row>
    <row r="26" spans="1:3" x14ac:dyDescent="0.3">
      <c r="A26">
        <v>22</v>
      </c>
    </row>
    <row r="34" spans="1:3" ht="28.8" customHeight="1" x14ac:dyDescent="0.3">
      <c r="A34" s="2" t="s">
        <v>14</v>
      </c>
    </row>
    <row r="35" spans="1:3" x14ac:dyDescent="0.3">
      <c r="A35">
        <v>150</v>
      </c>
    </row>
    <row r="36" spans="1:3" x14ac:dyDescent="0.3">
      <c r="A36">
        <v>155</v>
      </c>
      <c r="B36" t="s">
        <v>7</v>
      </c>
      <c r="C36">
        <f>MAX(A35:A42)-MIN(A35:A42)</f>
        <v>20</v>
      </c>
    </row>
    <row r="37" spans="1:3" x14ac:dyDescent="0.3">
      <c r="A37">
        <v>160</v>
      </c>
      <c r="B37" t="s">
        <v>8</v>
      </c>
      <c r="C37">
        <f>VAR(A35:A42)</f>
        <v>43.642857142857146</v>
      </c>
    </row>
    <row r="38" spans="1:3" x14ac:dyDescent="0.3">
      <c r="A38">
        <v>160</v>
      </c>
      <c r="B38" t="s">
        <v>9</v>
      </c>
      <c r="C38">
        <f>SQRT(C37)</f>
        <v>6.6062740741553512</v>
      </c>
    </row>
    <row r="39" spans="1:3" x14ac:dyDescent="0.3">
      <c r="A39">
        <v>162</v>
      </c>
    </row>
    <row r="40" spans="1:3" x14ac:dyDescent="0.3">
      <c r="A40">
        <v>165</v>
      </c>
    </row>
    <row r="41" spans="1:3" x14ac:dyDescent="0.3">
      <c r="A41">
        <v>168</v>
      </c>
    </row>
    <row r="42" spans="1:3" x14ac:dyDescent="0.3">
      <c r="A42">
        <v>170</v>
      </c>
    </row>
    <row r="51" spans="2:4" x14ac:dyDescent="0.3">
      <c r="B51" s="2" t="s">
        <v>10</v>
      </c>
    </row>
    <row r="52" spans="2:4" x14ac:dyDescent="0.3">
      <c r="B52">
        <v>200</v>
      </c>
    </row>
    <row r="53" spans="2:4" x14ac:dyDescent="0.3">
      <c r="B53">
        <v>220</v>
      </c>
      <c r="C53" t="s">
        <v>11</v>
      </c>
      <c r="D53">
        <f>SQRT(VAR(B52:B58))</f>
        <v>41.518785191880632</v>
      </c>
    </row>
    <row r="54" spans="2:4" x14ac:dyDescent="0.3">
      <c r="B54">
        <v>250</v>
      </c>
      <c r="C54" t="s">
        <v>12</v>
      </c>
      <c r="D54">
        <f>MEDIAN(B52:B58)</f>
        <v>270</v>
      </c>
    </row>
    <row r="55" spans="2:4" x14ac:dyDescent="0.3">
      <c r="B55">
        <v>270</v>
      </c>
      <c r="C55" t="s">
        <v>15</v>
      </c>
      <c r="D55" t="s">
        <v>16</v>
      </c>
    </row>
    <row r="56" spans="2:4" x14ac:dyDescent="0.3">
      <c r="B56">
        <v>290</v>
      </c>
    </row>
    <row r="57" spans="2:4" x14ac:dyDescent="0.3">
      <c r="B57">
        <v>300</v>
      </c>
    </row>
    <row r="58" spans="2:4" x14ac:dyDescent="0.3">
      <c r="B58">
        <v>310</v>
      </c>
    </row>
    <row r="67" spans="1:3" x14ac:dyDescent="0.3">
      <c r="B67" s="2" t="s">
        <v>17</v>
      </c>
      <c r="C67" s="2" t="s">
        <v>18</v>
      </c>
    </row>
    <row r="68" spans="1:3" x14ac:dyDescent="0.3">
      <c r="B68">
        <v>10</v>
      </c>
      <c r="C68">
        <v>100</v>
      </c>
    </row>
    <row r="69" spans="1:3" x14ac:dyDescent="0.3">
      <c r="B69">
        <v>15</v>
      </c>
      <c r="C69">
        <v>120</v>
      </c>
    </row>
    <row r="70" spans="1:3" x14ac:dyDescent="0.3">
      <c r="B70">
        <v>20</v>
      </c>
      <c r="C70">
        <v>150</v>
      </c>
    </row>
    <row r="71" spans="1:3" x14ac:dyDescent="0.3">
      <c r="B71">
        <v>25</v>
      </c>
      <c r="C71">
        <v>180</v>
      </c>
    </row>
    <row r="72" spans="1:3" x14ac:dyDescent="0.3">
      <c r="B72">
        <v>30</v>
      </c>
      <c r="C72">
        <v>200</v>
      </c>
    </row>
    <row r="74" spans="1:3" x14ac:dyDescent="0.3">
      <c r="A74" t="s">
        <v>19</v>
      </c>
      <c r="B74">
        <f>COVAR(Table4[Adv spending($)],Table5[sales])</f>
        <v>260</v>
      </c>
    </row>
    <row r="75" spans="1:3" x14ac:dyDescent="0.3">
      <c r="A75" t="s">
        <v>20</v>
      </c>
      <c r="B75">
        <f>CORREL(Table4[Adv spending($)],Table5[sales])</f>
        <v>0.9970544855015816</v>
      </c>
    </row>
    <row r="85" spans="1:2" x14ac:dyDescent="0.3">
      <c r="A85" t="s">
        <v>21</v>
      </c>
      <c r="B85" s="6" t="s">
        <v>22</v>
      </c>
    </row>
    <row r="86" spans="1:2" x14ac:dyDescent="0.3">
      <c r="A86">
        <v>2</v>
      </c>
      <c r="B86" s="4">
        <v>55</v>
      </c>
    </row>
    <row r="87" spans="1:2" x14ac:dyDescent="0.3">
      <c r="A87">
        <v>4</v>
      </c>
      <c r="B87" s="5">
        <v>60</v>
      </c>
    </row>
    <row r="88" spans="1:2" x14ac:dyDescent="0.3">
      <c r="A88">
        <v>6</v>
      </c>
      <c r="B88" s="4">
        <v>65</v>
      </c>
    </row>
    <row r="89" spans="1:2" x14ac:dyDescent="0.3">
      <c r="A89">
        <v>8</v>
      </c>
      <c r="B89" s="7">
        <v>70</v>
      </c>
    </row>
    <row r="90" spans="1:2" x14ac:dyDescent="0.3">
      <c r="A90">
        <v>10</v>
      </c>
      <c r="B90" s="4">
        <v>75</v>
      </c>
    </row>
    <row r="92" spans="1:2" x14ac:dyDescent="0.3">
      <c r="A92" t="s">
        <v>23</v>
      </c>
      <c r="B92">
        <f>CORREL(Table6[study hours],Table7[exam scores])</f>
        <v>0.99999999999999978</v>
      </c>
    </row>
    <row r="93" spans="1:2" x14ac:dyDescent="0.3">
      <c r="A93" t="s">
        <v>24</v>
      </c>
    </row>
    <row r="98" spans="1:4" x14ac:dyDescent="0.3">
      <c r="A98" t="s">
        <v>25</v>
      </c>
      <c r="B98" t="s">
        <v>28</v>
      </c>
    </row>
    <row r="99" spans="1:4" x14ac:dyDescent="0.3">
      <c r="B99" t="s">
        <v>26</v>
      </c>
    </row>
    <row r="100" spans="1:4" x14ac:dyDescent="0.3">
      <c r="B100" t="s">
        <v>27</v>
      </c>
    </row>
    <row r="102" spans="1:4" ht="23.4" x14ac:dyDescent="0.45">
      <c r="B102" s="3" t="s">
        <v>29</v>
      </c>
    </row>
    <row r="103" spans="1:4" ht="18" customHeight="1" x14ac:dyDescent="0.4">
      <c r="A103" s="9" t="s">
        <v>30</v>
      </c>
      <c r="B103" s="8"/>
    </row>
    <row r="104" spans="1:4" x14ac:dyDescent="0.3">
      <c r="A104" s="10"/>
    </row>
    <row r="105" spans="1:4" x14ac:dyDescent="0.3">
      <c r="A105" s="10" t="s">
        <v>35</v>
      </c>
      <c r="B105">
        <f>QUARTILE(Table6[study hours],1)</f>
        <v>4</v>
      </c>
    </row>
    <row r="106" spans="1:4" x14ac:dyDescent="0.3">
      <c r="A106" s="10" t="s">
        <v>36</v>
      </c>
      <c r="B106">
        <v>6</v>
      </c>
      <c r="C106" t="s">
        <v>34</v>
      </c>
      <c r="D106" s="2">
        <f>8-4</f>
        <v>4</v>
      </c>
    </row>
    <row r="107" spans="1:4" x14ac:dyDescent="0.3">
      <c r="A107" s="10" t="s">
        <v>37</v>
      </c>
      <c r="B107">
        <v>8</v>
      </c>
    </row>
    <row r="109" spans="1:4" ht="15.6" x14ac:dyDescent="0.3">
      <c r="A109" s="9" t="s">
        <v>31</v>
      </c>
    </row>
    <row r="110" spans="1:4" x14ac:dyDescent="0.3">
      <c r="A110" s="10"/>
    </row>
    <row r="111" spans="1:4" x14ac:dyDescent="0.3">
      <c r="A111" s="10" t="s">
        <v>32</v>
      </c>
      <c r="B111">
        <v>60</v>
      </c>
    </row>
    <row r="112" spans="1:4" x14ac:dyDescent="0.3">
      <c r="A112" s="10" t="s">
        <v>33</v>
      </c>
      <c r="B112">
        <v>65</v>
      </c>
      <c r="C112" t="s">
        <v>34</v>
      </c>
      <c r="D112" s="2">
        <f>70-60</f>
        <v>10</v>
      </c>
    </row>
    <row r="113" spans="1:4" x14ac:dyDescent="0.3">
      <c r="A113" s="10" t="s">
        <v>38</v>
      </c>
      <c r="B113">
        <v>70</v>
      </c>
    </row>
    <row r="123" spans="1:4" x14ac:dyDescent="0.3">
      <c r="A123" t="s">
        <v>39</v>
      </c>
    </row>
    <row r="124" spans="1:4" x14ac:dyDescent="0.3">
      <c r="A124">
        <v>200</v>
      </c>
    </row>
    <row r="125" spans="1:4" x14ac:dyDescent="0.3">
      <c r="A125">
        <v>300</v>
      </c>
      <c r="B125" t="s">
        <v>40</v>
      </c>
      <c r="D125">
        <v>400</v>
      </c>
    </row>
    <row r="126" spans="1:4" x14ac:dyDescent="0.3">
      <c r="A126">
        <v>400</v>
      </c>
      <c r="B126" t="s">
        <v>41</v>
      </c>
      <c r="D126">
        <v>900</v>
      </c>
    </row>
    <row r="127" spans="1:4" x14ac:dyDescent="0.3">
      <c r="A127">
        <v>500</v>
      </c>
    </row>
    <row r="128" spans="1:4" x14ac:dyDescent="0.3">
      <c r="A128">
        <v>600</v>
      </c>
      <c r="B128" t="s">
        <v>42</v>
      </c>
      <c r="D128">
        <f>D126-D125</f>
        <v>500</v>
      </c>
    </row>
    <row r="129" spans="1:12" x14ac:dyDescent="0.3">
      <c r="A129">
        <v>700</v>
      </c>
      <c r="B129" t="s">
        <v>45</v>
      </c>
      <c r="C129" s="2" t="s">
        <v>43</v>
      </c>
      <c r="D129" s="2"/>
    </row>
    <row r="130" spans="1:12" x14ac:dyDescent="0.3">
      <c r="A130">
        <v>800</v>
      </c>
      <c r="C130" s="2" t="s">
        <v>44</v>
      </c>
      <c r="D130" s="2"/>
    </row>
    <row r="131" spans="1:12" ht="16.8" customHeight="1" x14ac:dyDescent="0.3">
      <c r="A131">
        <v>900</v>
      </c>
      <c r="B131" t="s">
        <v>46</v>
      </c>
      <c r="C131">
        <f>D125-1.5*D128</f>
        <v>-350</v>
      </c>
      <c r="D131" s="2"/>
      <c r="E131" s="2" t="s">
        <v>48</v>
      </c>
      <c r="F131" s="2"/>
      <c r="G131" s="2"/>
      <c r="H131" s="2"/>
      <c r="I131" s="2"/>
      <c r="J131" s="2"/>
      <c r="K131" s="2"/>
      <c r="L131" s="2"/>
    </row>
    <row r="132" spans="1:12" x14ac:dyDescent="0.3">
      <c r="A132">
        <v>1000</v>
      </c>
      <c r="B132" t="s">
        <v>47</v>
      </c>
      <c r="C132">
        <f>D126+1.5*D128</f>
        <v>1650</v>
      </c>
    </row>
    <row r="133" spans="1:12" ht="18" x14ac:dyDescent="0.35">
      <c r="A133">
        <v>1100</v>
      </c>
      <c r="C133" s="11" t="s">
        <v>49</v>
      </c>
    </row>
    <row r="142" spans="1:12" x14ac:dyDescent="0.3">
      <c r="A142" t="s">
        <v>50</v>
      </c>
    </row>
    <row r="143" spans="1:12" x14ac:dyDescent="0.3">
      <c r="A143">
        <v>22</v>
      </c>
    </row>
    <row r="144" spans="1:12" x14ac:dyDescent="0.3">
      <c r="A144">
        <v>25</v>
      </c>
      <c r="B144" t="s">
        <v>51</v>
      </c>
      <c r="C144" s="2" t="s">
        <v>43</v>
      </c>
      <c r="D144" s="2"/>
    </row>
    <row r="145" spans="1:4" x14ac:dyDescent="0.3">
      <c r="A145">
        <v>28</v>
      </c>
      <c r="C145" s="2" t="s">
        <v>44</v>
      </c>
      <c r="D145" s="2"/>
    </row>
    <row r="146" spans="1:4" x14ac:dyDescent="0.3">
      <c r="A146">
        <v>30</v>
      </c>
      <c r="B146" t="s">
        <v>52</v>
      </c>
      <c r="C146">
        <v>28</v>
      </c>
    </row>
    <row r="147" spans="1:4" x14ac:dyDescent="0.3">
      <c r="A147">
        <v>35</v>
      </c>
      <c r="B147" t="s">
        <v>53</v>
      </c>
      <c r="C147">
        <v>50</v>
      </c>
    </row>
    <row r="148" spans="1:4" x14ac:dyDescent="0.3">
      <c r="A148">
        <v>40</v>
      </c>
      <c r="B148" t="s">
        <v>54</v>
      </c>
      <c r="C148">
        <f>C147-C146</f>
        <v>22</v>
      </c>
    </row>
    <row r="149" spans="1:4" x14ac:dyDescent="0.3">
      <c r="A149">
        <v>45</v>
      </c>
      <c r="B149" t="s">
        <v>55</v>
      </c>
      <c r="C149">
        <f>C146-1.5*C148</f>
        <v>-5</v>
      </c>
    </row>
    <row r="150" spans="1:4" x14ac:dyDescent="0.3">
      <c r="A150">
        <v>50</v>
      </c>
      <c r="B150" t="s">
        <v>56</v>
      </c>
      <c r="C150">
        <f>C147+1.5*C148</f>
        <v>83</v>
      </c>
    </row>
    <row r="151" spans="1:4" x14ac:dyDescent="0.3">
      <c r="A151">
        <v>55</v>
      </c>
      <c r="B151" t="s">
        <v>57</v>
      </c>
    </row>
    <row r="152" spans="1:4" x14ac:dyDescent="0.3">
      <c r="A152">
        <v>100</v>
      </c>
      <c r="B152" s="2" t="s">
        <v>58</v>
      </c>
      <c r="C152" s="2">
        <v>100</v>
      </c>
    </row>
    <row r="154" spans="1:4" x14ac:dyDescent="0.3">
      <c r="A154" t="s">
        <v>59</v>
      </c>
    </row>
    <row r="156" spans="1:4" x14ac:dyDescent="0.3">
      <c r="A156" t="s">
        <v>60</v>
      </c>
      <c r="B156">
        <f>MEDIAN(Table9[ages])</f>
        <v>37.5</v>
      </c>
    </row>
    <row r="157" spans="1:4" x14ac:dyDescent="0.3">
      <c r="A157" t="s">
        <v>62</v>
      </c>
    </row>
    <row r="158" spans="1:4" x14ac:dyDescent="0.3">
      <c r="A158">
        <v>15</v>
      </c>
    </row>
    <row r="159" spans="1:4" x14ac:dyDescent="0.3">
      <c r="A159">
        <v>12.5</v>
      </c>
    </row>
    <row r="160" spans="1:4" x14ac:dyDescent="0.3">
      <c r="A160">
        <v>9.5</v>
      </c>
    </row>
    <row r="161" spans="1:10" x14ac:dyDescent="0.3">
      <c r="A161">
        <v>7.5</v>
      </c>
    </row>
    <row r="162" spans="1:10" x14ac:dyDescent="0.3">
      <c r="A162">
        <v>2.5</v>
      </c>
    </row>
    <row r="163" spans="1:10" x14ac:dyDescent="0.3">
      <c r="A163">
        <f>A148-B156</f>
        <v>2.5</v>
      </c>
    </row>
    <row r="164" spans="1:10" x14ac:dyDescent="0.3">
      <c r="A164">
        <f>A149-B156</f>
        <v>7.5</v>
      </c>
      <c r="I164" t="s">
        <v>61</v>
      </c>
    </row>
    <row r="165" spans="1:10" x14ac:dyDescent="0.3">
      <c r="A165">
        <f>A150-B156</f>
        <v>12.5</v>
      </c>
    </row>
    <row r="166" spans="1:10" x14ac:dyDescent="0.3">
      <c r="A166">
        <f>A151-B156</f>
        <v>17.5</v>
      </c>
    </row>
    <row r="167" spans="1:10" x14ac:dyDescent="0.3">
      <c r="A167">
        <f>A152-B156</f>
        <v>62.5</v>
      </c>
    </row>
    <row r="168" spans="1:10" x14ac:dyDescent="0.3">
      <c r="A168" t="s">
        <v>61</v>
      </c>
      <c r="B168">
        <f>MEDIAN(A158:A167)</f>
        <v>11</v>
      </c>
    </row>
    <row r="169" spans="1:10" x14ac:dyDescent="0.3">
      <c r="A169" t="s">
        <v>63</v>
      </c>
    </row>
    <row r="170" spans="1:10" x14ac:dyDescent="0.3">
      <c r="A170">
        <f>0.6745*(-A158)/B168</f>
        <v>-0.9197727272727273</v>
      </c>
    </row>
    <row r="171" spans="1:10" x14ac:dyDescent="0.3">
      <c r="A171">
        <f>0.6745*(-A159)/B168</f>
        <v>-0.76647727272727273</v>
      </c>
    </row>
    <row r="172" spans="1:10" x14ac:dyDescent="0.3">
      <c r="A172">
        <f>0.6745*(-A160)/B168</f>
        <v>-0.58252272727272725</v>
      </c>
    </row>
    <row r="173" spans="1:10" x14ac:dyDescent="0.3">
      <c r="A173">
        <f>0.6745*(-A161)/B168</f>
        <v>-0.45988636363636365</v>
      </c>
      <c r="B173" s="2" t="s">
        <v>64</v>
      </c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>
        <f>0.6745*(-A162)/B168</f>
        <v>-0.15329545454545454</v>
      </c>
    </row>
    <row r="175" spans="1:10" x14ac:dyDescent="0.3">
      <c r="A175">
        <f>0.6745*(A163)/B168</f>
        <v>0.15329545454545454</v>
      </c>
    </row>
    <row r="176" spans="1:10" x14ac:dyDescent="0.3">
      <c r="A176">
        <f>0.6745*(A164)/B168</f>
        <v>0.45988636363636365</v>
      </c>
    </row>
    <row r="177" spans="1:4" x14ac:dyDescent="0.3">
      <c r="A177">
        <f>0.6745*(A165)/B168</f>
        <v>0.76647727272727273</v>
      </c>
    </row>
    <row r="178" spans="1:4" x14ac:dyDescent="0.3">
      <c r="A178">
        <f>0.6745*(A166)/B168</f>
        <v>1.0730681818181818</v>
      </c>
    </row>
    <row r="179" spans="1:4" x14ac:dyDescent="0.3">
      <c r="A179">
        <f>0.6745*(A167)/B168</f>
        <v>3.8323863636363638</v>
      </c>
    </row>
    <row r="181" spans="1:4" x14ac:dyDescent="0.3">
      <c r="A181" t="s">
        <v>65</v>
      </c>
      <c r="B181">
        <f>AVERAGE(Table9[ages])</f>
        <v>43</v>
      </c>
    </row>
    <row r="182" spans="1:4" x14ac:dyDescent="0.3">
      <c r="A182" t="s">
        <v>66</v>
      </c>
    </row>
    <row r="190" spans="1:4" x14ac:dyDescent="0.3">
      <c r="A190" t="s">
        <v>67</v>
      </c>
      <c r="B190" t="s">
        <v>68</v>
      </c>
    </row>
    <row r="191" spans="1:4" x14ac:dyDescent="0.3">
      <c r="A191" t="s">
        <v>69</v>
      </c>
      <c r="B191">
        <v>4</v>
      </c>
    </row>
    <row r="192" spans="1:4" x14ac:dyDescent="0.3">
      <c r="A192" t="s">
        <v>70</v>
      </c>
      <c r="B192">
        <v>3</v>
      </c>
      <c r="C192" t="s">
        <v>73</v>
      </c>
      <c r="D192">
        <f>AVERAGE(Table10[wights])</f>
        <v>3</v>
      </c>
    </row>
    <row r="193" spans="1:5" x14ac:dyDescent="0.3">
      <c r="A193" t="s">
        <v>69</v>
      </c>
      <c r="B193">
        <v>4</v>
      </c>
      <c r="C193" t="s">
        <v>74</v>
      </c>
      <c r="E193" t="s">
        <v>75</v>
      </c>
    </row>
    <row r="194" spans="1:5" x14ac:dyDescent="0.3">
      <c r="A194" t="s">
        <v>71</v>
      </c>
      <c r="B194">
        <v>2</v>
      </c>
    </row>
    <row r="195" spans="1:5" x14ac:dyDescent="0.3">
      <c r="A195" t="s">
        <v>70</v>
      </c>
      <c r="B195">
        <v>3</v>
      </c>
    </row>
    <row r="196" spans="1:5" x14ac:dyDescent="0.3">
      <c r="A196" t="s">
        <v>69</v>
      </c>
      <c r="B196">
        <v>4</v>
      </c>
    </row>
    <row r="197" spans="1:5" x14ac:dyDescent="0.3">
      <c r="A197" t="s">
        <v>72</v>
      </c>
      <c r="B197">
        <v>1</v>
      </c>
    </row>
    <row r="198" spans="1:5" x14ac:dyDescent="0.3">
      <c r="A198" t="s">
        <v>70</v>
      </c>
      <c r="B198">
        <v>3</v>
      </c>
    </row>
    <row r="199" spans="1:5" x14ac:dyDescent="0.3">
      <c r="A199" t="s">
        <v>71</v>
      </c>
      <c r="B199">
        <v>2</v>
      </c>
    </row>
    <row r="200" spans="1:5" x14ac:dyDescent="0.3">
      <c r="A200" t="s">
        <v>69</v>
      </c>
      <c r="B200">
        <v>4</v>
      </c>
    </row>
    <row r="210" spans="1:6" x14ac:dyDescent="0.3">
      <c r="A210" t="s">
        <v>76</v>
      </c>
      <c r="B210" t="s">
        <v>18</v>
      </c>
    </row>
    <row r="211" spans="1:6" x14ac:dyDescent="0.3">
      <c r="A211">
        <v>10</v>
      </c>
      <c r="B211">
        <v>100</v>
      </c>
    </row>
    <row r="212" spans="1:6" x14ac:dyDescent="0.3">
      <c r="A212">
        <v>20</v>
      </c>
      <c r="B212">
        <v>150</v>
      </c>
      <c r="C212" t="s">
        <v>102</v>
      </c>
    </row>
    <row r="213" spans="1:6" x14ac:dyDescent="0.3">
      <c r="A213">
        <v>15</v>
      </c>
      <c r="B213">
        <v>120</v>
      </c>
      <c r="C213" t="s">
        <v>103</v>
      </c>
    </row>
    <row r="214" spans="1:6" x14ac:dyDescent="0.3">
      <c r="A214">
        <v>25</v>
      </c>
      <c r="B214">
        <v>180</v>
      </c>
      <c r="C214" t="s">
        <v>104</v>
      </c>
      <c r="D214">
        <v>5.2</v>
      </c>
      <c r="F214" t="s">
        <v>106</v>
      </c>
    </row>
    <row r="215" spans="1:6" x14ac:dyDescent="0.3">
      <c r="A215">
        <v>30</v>
      </c>
      <c r="B215">
        <v>200</v>
      </c>
      <c r="C215" t="s">
        <v>105</v>
      </c>
      <c r="D215">
        <v>46</v>
      </c>
      <c r="F215" t="s">
        <v>107</v>
      </c>
    </row>
    <row r="216" spans="1:6" x14ac:dyDescent="0.3">
      <c r="A216" t="s">
        <v>77</v>
      </c>
    </row>
    <row r="217" spans="1:6" ht="15" thickBot="1" x14ac:dyDescent="0.35"/>
    <row r="218" spans="1:6" x14ac:dyDescent="0.3">
      <c r="A218" s="14" t="s">
        <v>78</v>
      </c>
      <c r="B218" s="14"/>
    </row>
    <row r="219" spans="1:6" x14ac:dyDescent="0.3">
      <c r="A219" t="s">
        <v>79</v>
      </c>
      <c r="B219">
        <v>0.9970544855015816</v>
      </c>
    </row>
    <row r="220" spans="1:6" x14ac:dyDescent="0.3">
      <c r="A220" t="s">
        <v>80</v>
      </c>
      <c r="B220">
        <v>0.99411764705882355</v>
      </c>
    </row>
    <row r="221" spans="1:6" x14ac:dyDescent="0.3">
      <c r="A221" t="s">
        <v>81</v>
      </c>
      <c r="B221">
        <v>0.99215686274509807</v>
      </c>
    </row>
    <row r="222" spans="1:6" x14ac:dyDescent="0.3">
      <c r="A222" t="s">
        <v>82</v>
      </c>
      <c r="B222">
        <v>3.6514837167011076</v>
      </c>
    </row>
    <row r="223" spans="1:6" ht="15" thickBot="1" x14ac:dyDescent="0.35">
      <c r="A223" s="12" t="s">
        <v>83</v>
      </c>
      <c r="B223" s="12">
        <v>5</v>
      </c>
      <c r="C223" t="s">
        <v>108</v>
      </c>
      <c r="D223" t="s">
        <v>112</v>
      </c>
    </row>
    <row r="224" spans="1:6" x14ac:dyDescent="0.3">
      <c r="C224" t="s">
        <v>113</v>
      </c>
    </row>
    <row r="225" spans="1:9" ht="15" thickBot="1" x14ac:dyDescent="0.35">
      <c r="A225" t="s">
        <v>84</v>
      </c>
    </row>
    <row r="226" spans="1:9" x14ac:dyDescent="0.3">
      <c r="A226" s="13"/>
      <c r="B226" s="13" t="s">
        <v>89</v>
      </c>
      <c r="C226" s="13" t="s">
        <v>90</v>
      </c>
      <c r="D226" s="13" t="s">
        <v>91</v>
      </c>
      <c r="E226" s="13" t="s">
        <v>92</v>
      </c>
      <c r="F226" s="13" t="s">
        <v>93</v>
      </c>
    </row>
    <row r="227" spans="1:9" x14ac:dyDescent="0.3">
      <c r="A227" t="s">
        <v>85</v>
      </c>
      <c r="B227">
        <v>1</v>
      </c>
      <c r="C227">
        <v>6760</v>
      </c>
      <c r="D227">
        <v>6760</v>
      </c>
      <c r="E227">
        <v>506.99999999999989</v>
      </c>
      <c r="F227">
        <v>1.9181546922681554E-4</v>
      </c>
    </row>
    <row r="228" spans="1:9" x14ac:dyDescent="0.3">
      <c r="A228" t="s">
        <v>86</v>
      </c>
      <c r="B228">
        <v>3</v>
      </c>
      <c r="C228">
        <v>40.000000000000007</v>
      </c>
      <c r="D228">
        <v>13.333333333333336</v>
      </c>
    </row>
    <row r="229" spans="1:9" ht="15" thickBot="1" x14ac:dyDescent="0.35">
      <c r="A229" s="12" t="s">
        <v>87</v>
      </c>
      <c r="B229" s="12">
        <v>4</v>
      </c>
      <c r="C229" s="12">
        <v>6800</v>
      </c>
      <c r="D229" s="12"/>
      <c r="E229" s="12"/>
      <c r="F229" s="12"/>
    </row>
    <row r="230" spans="1:9" ht="15" thickBot="1" x14ac:dyDescent="0.35"/>
    <row r="231" spans="1:9" x14ac:dyDescent="0.3">
      <c r="A231" s="13"/>
      <c r="B231" s="13" t="s">
        <v>94</v>
      </c>
      <c r="C231" s="13" t="s">
        <v>82</v>
      </c>
      <c r="D231" s="13" t="s">
        <v>95</v>
      </c>
      <c r="E231" s="13" t="s">
        <v>96</v>
      </c>
      <c r="F231" s="13" t="s">
        <v>97</v>
      </c>
      <c r="G231" s="13" t="s">
        <v>98</v>
      </c>
      <c r="H231" s="13" t="s">
        <v>99</v>
      </c>
      <c r="I231" s="13" t="s">
        <v>100</v>
      </c>
    </row>
    <row r="232" spans="1:9" x14ac:dyDescent="0.3">
      <c r="A232" t="s">
        <v>88</v>
      </c>
      <c r="B232">
        <v>46</v>
      </c>
      <c r="C232">
        <v>4.8989794855663567</v>
      </c>
      <c r="D232">
        <v>9.3897106806688484</v>
      </c>
      <c r="E232">
        <v>2.5589361245989214E-3</v>
      </c>
      <c r="F232">
        <v>30.40926083649866</v>
      </c>
      <c r="G232">
        <v>61.59073916350134</v>
      </c>
      <c r="H232">
        <v>30.40926083649866</v>
      </c>
      <c r="I232">
        <v>61.59073916350134</v>
      </c>
    </row>
    <row r="233" spans="1:9" ht="15" thickBot="1" x14ac:dyDescent="0.35">
      <c r="A233" s="12" t="s">
        <v>101</v>
      </c>
      <c r="B233" s="12">
        <v>5.2</v>
      </c>
      <c r="C233" s="12">
        <v>0.23094010767585033</v>
      </c>
      <c r="D233" s="12">
        <v>22.516660498395403</v>
      </c>
      <c r="E233" s="12">
        <v>1.9181546922681554E-4</v>
      </c>
      <c r="F233" s="12">
        <v>4.4650455075851685</v>
      </c>
      <c r="G233" s="12">
        <v>5.9349544924148319</v>
      </c>
      <c r="H233" s="12">
        <v>4.4650455075851685</v>
      </c>
      <c r="I233" s="12">
        <v>5.9349544924148319</v>
      </c>
    </row>
    <row r="243" spans="1:6" x14ac:dyDescent="0.3">
      <c r="A243" s="2" t="s">
        <v>109</v>
      </c>
      <c r="B243" s="2" t="s">
        <v>110</v>
      </c>
      <c r="C243" s="2" t="s">
        <v>111</v>
      </c>
    </row>
    <row r="244" spans="1:6" x14ac:dyDescent="0.3">
      <c r="A244">
        <v>85</v>
      </c>
      <c r="B244">
        <v>78</v>
      </c>
      <c r="C244">
        <v>92</v>
      </c>
    </row>
    <row r="245" spans="1:6" x14ac:dyDescent="0.3">
      <c r="A245">
        <v>88</v>
      </c>
      <c r="B245">
        <v>82</v>
      </c>
      <c r="C245">
        <v>95</v>
      </c>
      <c r="E245" t="s">
        <v>128</v>
      </c>
      <c r="F245">
        <v>0.05</v>
      </c>
    </row>
    <row r="246" spans="1:6" x14ac:dyDescent="0.3">
      <c r="A246">
        <v>90</v>
      </c>
      <c r="B246">
        <v>85</v>
      </c>
      <c r="C246">
        <v>98</v>
      </c>
      <c r="E246" t="s">
        <v>129</v>
      </c>
      <c r="F246">
        <v>11.032</v>
      </c>
    </row>
    <row r="247" spans="1:6" x14ac:dyDescent="0.3">
      <c r="A247">
        <v>92</v>
      </c>
      <c r="B247">
        <v>88</v>
      </c>
      <c r="C247">
        <v>100</v>
      </c>
      <c r="E247" t="s">
        <v>130</v>
      </c>
      <c r="F247">
        <v>3.88</v>
      </c>
    </row>
    <row r="248" spans="1:6" x14ac:dyDescent="0.3">
      <c r="A248">
        <v>95</v>
      </c>
      <c r="B248">
        <v>90</v>
      </c>
      <c r="C248">
        <v>105</v>
      </c>
      <c r="E248" t="s">
        <v>134</v>
      </c>
      <c r="F248" t="s">
        <v>135</v>
      </c>
    </row>
    <row r="249" spans="1:6" x14ac:dyDescent="0.3">
      <c r="E249" t="s">
        <v>136</v>
      </c>
      <c r="F249" t="s">
        <v>137</v>
      </c>
    </row>
    <row r="250" spans="1:6" x14ac:dyDescent="0.3">
      <c r="A250" t="s">
        <v>114</v>
      </c>
    </row>
    <row r="252" spans="1:6" ht="15" thickBot="1" x14ac:dyDescent="0.35">
      <c r="A252" t="s">
        <v>115</v>
      </c>
      <c r="F252" t="s">
        <v>131</v>
      </c>
    </row>
    <row r="253" spans="1:6" x14ac:dyDescent="0.3">
      <c r="A253" s="13" t="s">
        <v>116</v>
      </c>
      <c r="B253" s="13" t="s">
        <v>117</v>
      </c>
      <c r="C253" s="13" t="s">
        <v>118</v>
      </c>
      <c r="D253" s="13" t="s">
        <v>119</v>
      </c>
      <c r="E253" s="13" t="s">
        <v>120</v>
      </c>
      <c r="F253" t="s">
        <v>132</v>
      </c>
    </row>
    <row r="254" spans="1:6" x14ac:dyDescent="0.3">
      <c r="A254" t="s">
        <v>121</v>
      </c>
      <c r="B254">
        <v>5</v>
      </c>
      <c r="C254">
        <v>450</v>
      </c>
      <c r="D254">
        <v>90</v>
      </c>
      <c r="E254">
        <v>14.5</v>
      </c>
    </row>
    <row r="255" spans="1:6" x14ac:dyDescent="0.3">
      <c r="A255" t="s">
        <v>122</v>
      </c>
      <c r="B255">
        <v>5</v>
      </c>
      <c r="C255">
        <v>423</v>
      </c>
      <c r="D255">
        <v>84.6</v>
      </c>
      <c r="E255">
        <v>22.799999999999997</v>
      </c>
      <c r="F255" t="s">
        <v>133</v>
      </c>
    </row>
    <row r="256" spans="1:6" ht="15" thickBot="1" x14ac:dyDescent="0.35">
      <c r="A256" s="12" t="s">
        <v>123</v>
      </c>
      <c r="B256" s="12">
        <v>5</v>
      </c>
      <c r="C256" s="12">
        <v>490</v>
      </c>
      <c r="D256" s="12">
        <v>98</v>
      </c>
      <c r="E256" s="12">
        <v>24.5</v>
      </c>
    </row>
    <row r="257" spans="1:7" x14ac:dyDescent="0.3">
      <c r="F257" s="2" t="s">
        <v>138</v>
      </c>
    </row>
    <row r="259" spans="1:7" ht="15" thickBot="1" x14ac:dyDescent="0.35">
      <c r="A259" t="s">
        <v>84</v>
      </c>
    </row>
    <row r="260" spans="1:7" x14ac:dyDescent="0.3">
      <c r="A260" s="13" t="s">
        <v>124</v>
      </c>
      <c r="B260" s="13" t="s">
        <v>90</v>
      </c>
      <c r="C260" s="13" t="s">
        <v>89</v>
      </c>
      <c r="D260" s="13" t="s">
        <v>91</v>
      </c>
      <c r="E260" s="13" t="s">
        <v>92</v>
      </c>
      <c r="F260" s="13" t="s">
        <v>96</v>
      </c>
      <c r="G260" s="13" t="s">
        <v>125</v>
      </c>
    </row>
    <row r="261" spans="1:7" x14ac:dyDescent="0.3">
      <c r="A261" t="s">
        <v>126</v>
      </c>
      <c r="B261">
        <v>454.53333333333336</v>
      </c>
      <c r="C261">
        <v>2</v>
      </c>
      <c r="D261">
        <v>227.26666666666668</v>
      </c>
      <c r="E261">
        <v>11.032362459546928</v>
      </c>
      <c r="F261">
        <v>1.9109888748709454E-3</v>
      </c>
      <c r="G261">
        <v>3.8852938346523942</v>
      </c>
    </row>
    <row r="262" spans="1:7" x14ac:dyDescent="0.3">
      <c r="A262" t="s">
        <v>127</v>
      </c>
      <c r="B262">
        <v>247.2</v>
      </c>
      <c r="C262">
        <v>12</v>
      </c>
      <c r="D262">
        <v>20.599999999999998</v>
      </c>
    </row>
    <row r="264" spans="1:7" ht="15" thickBot="1" x14ac:dyDescent="0.35">
      <c r="A264" s="12" t="s">
        <v>87</v>
      </c>
      <c r="B264" s="12">
        <v>701.73333333333335</v>
      </c>
      <c r="C264" s="12">
        <v>14</v>
      </c>
      <c r="D264" s="12"/>
      <c r="E264" s="12"/>
      <c r="F264" s="12"/>
      <c r="G264" s="12"/>
    </row>
    <row r="266" spans="1:7" x14ac:dyDescent="0.3">
      <c r="F266" t="s">
        <v>141</v>
      </c>
    </row>
    <row r="272" spans="1:7" x14ac:dyDescent="0.3">
      <c r="A272" s="2" t="s">
        <v>139</v>
      </c>
      <c r="B272" s="16" t="s">
        <v>140</v>
      </c>
      <c r="C272" t="s">
        <v>142</v>
      </c>
      <c r="D272">
        <f>AVERAGE(Table13[Price])</f>
        <v>105.2</v>
      </c>
    </row>
    <row r="273" spans="1:4" x14ac:dyDescent="0.3">
      <c r="A273">
        <v>100</v>
      </c>
      <c r="B273" s="15"/>
      <c r="C273" t="s">
        <v>60</v>
      </c>
      <c r="D273">
        <f>MEDIAN(Table13[Price])</f>
        <v>106</v>
      </c>
    </row>
    <row r="274" spans="1:4" x14ac:dyDescent="0.3">
      <c r="A274">
        <v>102</v>
      </c>
      <c r="B274" s="15"/>
      <c r="C274" t="s">
        <v>143</v>
      </c>
      <c r="D274">
        <f>STDEV(Table13[Price])</f>
        <v>3.5213633723318019</v>
      </c>
    </row>
    <row r="275" spans="1:4" x14ac:dyDescent="0.3">
      <c r="A275">
        <v>101</v>
      </c>
      <c r="B275" s="15">
        <f t="shared" ref="B275:B282" si="0">AVERAGE(A273:A275)</f>
        <v>101</v>
      </c>
      <c r="C275" t="s">
        <v>144</v>
      </c>
      <c r="D275">
        <f>MAX(Table13[Price])-MIN(Table13[Price])</f>
        <v>10</v>
      </c>
    </row>
    <row r="276" spans="1:4" x14ac:dyDescent="0.3">
      <c r="A276">
        <v>103</v>
      </c>
      <c r="B276" s="15">
        <f t="shared" si="0"/>
        <v>102</v>
      </c>
    </row>
    <row r="277" spans="1:4" x14ac:dyDescent="0.3">
      <c r="A277">
        <v>105</v>
      </c>
      <c r="B277" s="15">
        <f t="shared" si="0"/>
        <v>103</v>
      </c>
    </row>
    <row r="278" spans="1:4" x14ac:dyDescent="0.3">
      <c r="A278">
        <v>107</v>
      </c>
      <c r="B278" s="15">
        <f t="shared" si="0"/>
        <v>105</v>
      </c>
    </row>
    <row r="279" spans="1:4" x14ac:dyDescent="0.3">
      <c r="A279">
        <v>109</v>
      </c>
      <c r="B279" s="15">
        <f t="shared" si="0"/>
        <v>107</v>
      </c>
    </row>
    <row r="280" spans="1:4" x14ac:dyDescent="0.3">
      <c r="A280">
        <v>110</v>
      </c>
      <c r="B280" s="15">
        <f t="shared" si="0"/>
        <v>108.66666666666667</v>
      </c>
      <c r="C280" t="s">
        <v>145</v>
      </c>
    </row>
    <row r="281" spans="1:4" x14ac:dyDescent="0.3">
      <c r="A281">
        <v>108</v>
      </c>
      <c r="B281" s="15">
        <f t="shared" si="0"/>
        <v>109</v>
      </c>
    </row>
    <row r="282" spans="1:4" x14ac:dyDescent="0.3">
      <c r="A282">
        <v>107</v>
      </c>
      <c r="B282" s="15">
        <f t="shared" si="0"/>
        <v>108.33333333333333</v>
      </c>
    </row>
    <row r="286" spans="1:4" x14ac:dyDescent="0.3">
      <c r="A286" t="s">
        <v>146</v>
      </c>
    </row>
    <row r="299" spans="1:3" x14ac:dyDescent="0.3">
      <c r="A299" t="s">
        <v>18</v>
      </c>
    </row>
    <row r="300" spans="1:3" x14ac:dyDescent="0.3">
      <c r="A300">
        <v>1200</v>
      </c>
      <c r="B300">
        <f>AVERAGE(A300:A311)</f>
        <v>1504.1666666666667</v>
      </c>
      <c r="C300" t="s">
        <v>147</v>
      </c>
    </row>
    <row r="301" spans="1:3" x14ac:dyDescent="0.3">
      <c r="A301">
        <v>1300</v>
      </c>
      <c r="B301">
        <v>1504.166667</v>
      </c>
    </row>
    <row r="302" spans="1:3" x14ac:dyDescent="0.3">
      <c r="A302">
        <v>1250</v>
      </c>
      <c r="B302">
        <v>1504.166667</v>
      </c>
    </row>
    <row r="303" spans="1:3" x14ac:dyDescent="0.3">
      <c r="A303">
        <v>1400</v>
      </c>
      <c r="B303">
        <v>1504.166667</v>
      </c>
    </row>
    <row r="304" spans="1:3" x14ac:dyDescent="0.3">
      <c r="A304">
        <v>1350</v>
      </c>
      <c r="B304">
        <v>1504.166667</v>
      </c>
    </row>
    <row r="305" spans="1:3" x14ac:dyDescent="0.3">
      <c r="A305">
        <v>1500</v>
      </c>
      <c r="B305">
        <v>1504.166667</v>
      </c>
    </row>
    <row r="306" spans="1:3" x14ac:dyDescent="0.3">
      <c r="A306">
        <v>1600</v>
      </c>
      <c r="B306">
        <v>1504.166667</v>
      </c>
    </row>
    <row r="307" spans="1:3" x14ac:dyDescent="0.3">
      <c r="A307">
        <v>1550</v>
      </c>
      <c r="B307">
        <v>1504.166667</v>
      </c>
    </row>
    <row r="308" spans="1:3" x14ac:dyDescent="0.3">
      <c r="A308">
        <v>1700</v>
      </c>
      <c r="B308">
        <v>1504.166667</v>
      </c>
    </row>
    <row r="309" spans="1:3" x14ac:dyDescent="0.3">
      <c r="A309">
        <v>1650</v>
      </c>
      <c r="B309">
        <v>1504.166667</v>
      </c>
    </row>
    <row r="310" spans="1:3" x14ac:dyDescent="0.3">
      <c r="A310">
        <v>1800</v>
      </c>
      <c r="B310">
        <v>1504.166667</v>
      </c>
    </row>
    <row r="311" spans="1:3" x14ac:dyDescent="0.3">
      <c r="A311">
        <v>1750</v>
      </c>
      <c r="B311">
        <v>1504.166667</v>
      </c>
    </row>
    <row r="314" spans="1:3" x14ac:dyDescent="0.3">
      <c r="A314" t="s">
        <v>148</v>
      </c>
    </row>
    <row r="315" spans="1:3" x14ac:dyDescent="0.3">
      <c r="A315" s="2" t="s">
        <v>159</v>
      </c>
    </row>
    <row r="316" spans="1:3" x14ac:dyDescent="0.3">
      <c r="A316" s="2" t="s">
        <v>157</v>
      </c>
      <c r="B316" t="s">
        <v>149</v>
      </c>
    </row>
    <row r="317" spans="1:3" x14ac:dyDescent="0.3">
      <c r="A317">
        <f t="shared" ref="A317:A328" si="1">(A300-B300)^2/B300</f>
        <v>61.507386888273338</v>
      </c>
      <c r="B317" t="s">
        <v>150</v>
      </c>
    </row>
    <row r="318" spans="1:3" x14ac:dyDescent="0.3">
      <c r="A318">
        <f t="shared" si="1"/>
        <v>27.712373122205928</v>
      </c>
      <c r="B318" t="s">
        <v>128</v>
      </c>
      <c r="C318">
        <v>0.05</v>
      </c>
    </row>
    <row r="319" spans="1:3" x14ac:dyDescent="0.3">
      <c r="A319">
        <f t="shared" si="1"/>
        <v>42.947830204702221</v>
      </c>
      <c r="B319" t="s">
        <v>151</v>
      </c>
      <c r="C319">
        <v>11</v>
      </c>
    </row>
    <row r="320" spans="1:3" x14ac:dyDescent="0.3">
      <c r="A320">
        <f t="shared" si="1"/>
        <v>7.2137581239784785</v>
      </c>
      <c r="B320" t="s">
        <v>152</v>
      </c>
      <c r="C320">
        <f>AVERAGE(A300:A311)</f>
        <v>1504.1666666666667</v>
      </c>
    </row>
    <row r="321" spans="1:3" x14ac:dyDescent="0.3">
      <c r="A321">
        <f t="shared" si="1"/>
        <v>15.801015761964681</v>
      </c>
      <c r="B321" t="s">
        <v>153</v>
      </c>
      <c r="C321">
        <f>SUM(A317:A328)</f>
        <v>300.69252058780751</v>
      </c>
    </row>
    <row r="322" spans="1:3" x14ac:dyDescent="0.3">
      <c r="A322">
        <f t="shared" si="1"/>
        <v>1.154201477121862E-2</v>
      </c>
      <c r="B322" t="s">
        <v>154</v>
      </c>
      <c r="C322">
        <v>19.675000000000001</v>
      </c>
    </row>
    <row r="323" spans="1:3" x14ac:dyDescent="0.3">
      <c r="A323">
        <f t="shared" si="1"/>
        <v>6.1057247945841473</v>
      </c>
    </row>
    <row r="324" spans="1:3" x14ac:dyDescent="0.3">
      <c r="A324">
        <f t="shared" si="1"/>
        <v>1.3965835435501595</v>
      </c>
    </row>
    <row r="325" spans="1:3" x14ac:dyDescent="0.3">
      <c r="A325">
        <f t="shared" si="1"/>
        <v>25.496306463417266</v>
      </c>
      <c r="B325" t="s">
        <v>155</v>
      </c>
    </row>
    <row r="326" spans="1:3" x14ac:dyDescent="0.3">
      <c r="A326">
        <f t="shared" si="1"/>
        <v>14.138965767873184</v>
      </c>
    </row>
    <row r="327" spans="1:3" x14ac:dyDescent="0.3">
      <c r="A327">
        <f t="shared" si="1"/>
        <v>58.183287021270573</v>
      </c>
      <c r="B327" t="s">
        <v>156</v>
      </c>
    </row>
    <row r="328" spans="1:3" x14ac:dyDescent="0.3">
      <c r="A328">
        <f t="shared" si="1"/>
        <v>40.177746881216393</v>
      </c>
    </row>
    <row r="329" spans="1:3" x14ac:dyDescent="0.3">
      <c r="A329" t="s">
        <v>158</v>
      </c>
    </row>
    <row r="330" spans="1:3" x14ac:dyDescent="0.3">
      <c r="A330">
        <f>SUM(A317:A328)</f>
        <v>300.69252058780751</v>
      </c>
    </row>
    <row r="337" spans="1:7" x14ac:dyDescent="0.3">
      <c r="F337" t="s">
        <v>168</v>
      </c>
    </row>
    <row r="340" spans="1:7" x14ac:dyDescent="0.3">
      <c r="C340" s="2"/>
    </row>
    <row r="341" spans="1:7" x14ac:dyDescent="0.3">
      <c r="A341" s="2" t="s">
        <v>160</v>
      </c>
      <c r="B341" s="2" t="s">
        <v>161</v>
      </c>
      <c r="C341" s="2" t="s">
        <v>162</v>
      </c>
      <c r="D341" s="20" t="s">
        <v>164</v>
      </c>
      <c r="E341" s="17" t="s">
        <v>166</v>
      </c>
      <c r="F341" s="18"/>
      <c r="G341" s="18"/>
    </row>
    <row r="342" spans="1:7" x14ac:dyDescent="0.3">
      <c r="A342">
        <v>50</v>
      </c>
      <c r="C342">
        <v>20</v>
      </c>
      <c r="D342" s="21">
        <f>SUM(A342:C342)</f>
        <v>70</v>
      </c>
      <c r="E342" s="19">
        <f>(A346*D342)/D346</f>
        <v>39.827586206896555</v>
      </c>
      <c r="F342" s="18">
        <f>(B346*D342)/D346</f>
        <v>14.482758620689655</v>
      </c>
      <c r="G342" s="18">
        <f>(C346*D342)/D346</f>
        <v>15.689655172413794</v>
      </c>
    </row>
    <row r="343" spans="1:7" x14ac:dyDescent="0.3">
      <c r="A343">
        <v>55</v>
      </c>
      <c r="B343">
        <v>25</v>
      </c>
      <c r="C343">
        <v>20</v>
      </c>
      <c r="D343" s="21">
        <f t="shared" ref="D343:D344" si="2">SUM(A343:C343)</f>
        <v>100</v>
      </c>
      <c r="E343" s="19">
        <f>(A346*D343)/D346</f>
        <v>56.896551724137929</v>
      </c>
      <c r="F343" s="18">
        <f>(B346*D343)/D346</f>
        <v>20.689655172413794</v>
      </c>
      <c r="G343" s="18">
        <f>(C346*D343)/D346</f>
        <v>22.413793103448278</v>
      </c>
    </row>
    <row r="344" spans="1:7" x14ac:dyDescent="0.3">
      <c r="A344">
        <v>60</v>
      </c>
      <c r="B344">
        <v>35</v>
      </c>
      <c r="C344">
        <v>25</v>
      </c>
      <c r="D344" s="21">
        <f t="shared" si="2"/>
        <v>120</v>
      </c>
      <c r="E344" s="19">
        <f>(A346*D344)/D346</f>
        <v>68.275862068965523</v>
      </c>
      <c r="F344" s="18">
        <f>(B346*D344)/D346</f>
        <v>24.827586206896552</v>
      </c>
      <c r="G344" s="18">
        <f>(C346*D344)/D346</f>
        <v>26.896551724137932</v>
      </c>
    </row>
    <row r="345" spans="1:7" x14ac:dyDescent="0.3">
      <c r="A345" s="21" t="s">
        <v>163</v>
      </c>
      <c r="B345" s="21"/>
      <c r="C345" s="21"/>
      <c r="D345" s="22" t="s">
        <v>165</v>
      </c>
      <c r="F345" t="s">
        <v>165</v>
      </c>
      <c r="G345">
        <f>SUM(E342:G344)</f>
        <v>290</v>
      </c>
    </row>
    <row r="346" spans="1:7" x14ac:dyDescent="0.3">
      <c r="A346" s="21">
        <f>SUM(A342:A344)</f>
        <v>165</v>
      </c>
      <c r="B346" s="21">
        <f t="shared" ref="B346:C346" si="3">SUM(B342:B344)</f>
        <v>60</v>
      </c>
      <c r="C346" s="21">
        <f t="shared" si="3"/>
        <v>65</v>
      </c>
      <c r="D346" s="22">
        <f>SUM(A342:C344)</f>
        <v>290</v>
      </c>
    </row>
    <row r="348" spans="1:7" x14ac:dyDescent="0.3">
      <c r="A348" t="s">
        <v>167</v>
      </c>
      <c r="B348">
        <f>CHITEST(Table14[],E342:G344)</f>
        <v>3.5544183721192155E-2</v>
      </c>
    </row>
    <row r="349" spans="1:7" x14ac:dyDescent="0.3">
      <c r="A349" t="s">
        <v>89</v>
      </c>
      <c r="B349">
        <f>(3-1)*(3-1)</f>
        <v>4</v>
      </c>
      <c r="C349" t="s">
        <v>170</v>
      </c>
    </row>
    <row r="350" spans="1:7" x14ac:dyDescent="0.3">
      <c r="A350" t="s">
        <v>128</v>
      </c>
      <c r="B350">
        <v>0.05</v>
      </c>
      <c r="C350" t="s">
        <v>171</v>
      </c>
    </row>
    <row r="351" spans="1:7" x14ac:dyDescent="0.3">
      <c r="A351" t="s">
        <v>169</v>
      </c>
      <c r="B351">
        <v>9.4879999999999995</v>
      </c>
      <c r="C351" t="s">
        <v>172</v>
      </c>
    </row>
    <row r="352" spans="1:7" x14ac:dyDescent="0.3">
      <c r="C352" t="s">
        <v>173</v>
      </c>
    </row>
    <row r="353" spans="1:7" x14ac:dyDescent="0.3">
      <c r="A353" t="s">
        <v>174</v>
      </c>
    </row>
    <row r="354" spans="1:7" x14ac:dyDescent="0.3">
      <c r="A354" t="s">
        <v>175</v>
      </c>
    </row>
    <row r="362" spans="1:7" x14ac:dyDescent="0.3">
      <c r="A362" t="s">
        <v>176</v>
      </c>
      <c r="B362" s="22" t="s">
        <v>185</v>
      </c>
      <c r="C362" s="23" t="s">
        <v>186</v>
      </c>
      <c r="D362" s="23"/>
      <c r="E362" s="23"/>
      <c r="F362" s="23"/>
    </row>
    <row r="363" spans="1:7" x14ac:dyDescent="0.3">
      <c r="A363">
        <v>70</v>
      </c>
      <c r="B363" s="22">
        <f>(Table15[[#This Row],[weight]]-D366)/D368</f>
        <v>-0.54772255750516607</v>
      </c>
      <c r="C363" s="23" t="s">
        <v>177</v>
      </c>
      <c r="D363" s="23"/>
      <c r="E363" s="23"/>
      <c r="F363" s="23"/>
    </row>
    <row r="364" spans="1:7" x14ac:dyDescent="0.3">
      <c r="A364">
        <v>68</v>
      </c>
      <c r="B364" s="22">
        <f>(Table15[[#This Row],[weight]]-D366)/D368</f>
        <v>-1.6431676725154982</v>
      </c>
      <c r="C364" t="s">
        <v>128</v>
      </c>
      <c r="D364">
        <v>0.05</v>
      </c>
    </row>
    <row r="365" spans="1:7" x14ac:dyDescent="0.3">
      <c r="A365">
        <v>72</v>
      </c>
      <c r="B365" s="22">
        <f>(Table15[[#This Row],[weight]]-D366)/D368</f>
        <v>0.54772255750516607</v>
      </c>
      <c r="C365" t="s">
        <v>178</v>
      </c>
      <c r="D365">
        <v>10</v>
      </c>
    </row>
    <row r="366" spans="1:7" x14ac:dyDescent="0.3">
      <c r="A366">
        <v>71</v>
      </c>
      <c r="B366" s="22">
        <f>(Table15[[#This Row],[weight]]-D366)/D368</f>
        <v>0</v>
      </c>
      <c r="C366" t="s">
        <v>142</v>
      </c>
      <c r="D366">
        <f>AVERAGE(Table15[weight])</f>
        <v>71</v>
      </c>
    </row>
    <row r="367" spans="1:7" x14ac:dyDescent="0.3">
      <c r="A367">
        <v>69</v>
      </c>
      <c r="B367" s="22">
        <f>(Table15[[#This Row],[weight]]-D366)/D368</f>
        <v>-1.0954451150103321</v>
      </c>
      <c r="C367" t="s">
        <v>179</v>
      </c>
      <c r="D367">
        <v>70</v>
      </c>
      <c r="E367" s="24" t="s">
        <v>183</v>
      </c>
      <c r="F367" s="24"/>
      <c r="G367" s="24"/>
    </row>
    <row r="368" spans="1:7" x14ac:dyDescent="0.3">
      <c r="A368">
        <v>73</v>
      </c>
      <c r="B368" s="22">
        <f>(Table15[[#This Row],[weight]]-D366)/D368</f>
        <v>1.0954451150103321</v>
      </c>
      <c r="C368" t="s">
        <v>143</v>
      </c>
      <c r="D368">
        <f>STDEV(Table15[weight])</f>
        <v>1.8257418583505538</v>
      </c>
      <c r="E368" s="24" t="s">
        <v>184</v>
      </c>
      <c r="F368" s="24"/>
      <c r="G368" s="24"/>
    </row>
    <row r="369" spans="1:4" x14ac:dyDescent="0.3">
      <c r="A369">
        <v>72</v>
      </c>
      <c r="B369" s="22">
        <f>(Table15[[#This Row],[weight]]-D366)/D368</f>
        <v>0.54772255750516607</v>
      </c>
      <c r="C369" t="s">
        <v>151</v>
      </c>
      <c r="D369">
        <v>9</v>
      </c>
    </row>
    <row r="370" spans="1:4" x14ac:dyDescent="0.3">
      <c r="A370">
        <v>74</v>
      </c>
      <c r="B370" s="22">
        <f>(Table15[[#This Row],[weight]]-D366)/D368</f>
        <v>1.6431676725154982</v>
      </c>
      <c r="C370" t="s">
        <v>180</v>
      </c>
      <c r="D370">
        <f>D368/SQRT(D365)</f>
        <v>0.57735026918962573</v>
      </c>
    </row>
    <row r="371" spans="1:4" x14ac:dyDescent="0.3">
      <c r="A371">
        <v>70</v>
      </c>
      <c r="B371" s="22">
        <f>(Table15[[#This Row],[weight]]-D366)/D368</f>
        <v>-0.54772255750516607</v>
      </c>
      <c r="C371" t="s">
        <v>181</v>
      </c>
      <c r="D371">
        <f>(D366-D367)/D370</f>
        <v>1.7320508075688774</v>
      </c>
    </row>
    <row r="372" spans="1:4" x14ac:dyDescent="0.3">
      <c r="A372">
        <v>71</v>
      </c>
      <c r="B372" s="22">
        <f>(Table15[[#This Row],[weight]]-D366)/D368</f>
        <v>0</v>
      </c>
      <c r="C372" t="s">
        <v>182</v>
      </c>
      <c r="D372">
        <v>2.262</v>
      </c>
    </row>
    <row r="380" spans="1:4" x14ac:dyDescent="0.3">
      <c r="A380" t="s">
        <v>187</v>
      </c>
      <c r="B380" s="25" t="s">
        <v>188</v>
      </c>
    </row>
    <row r="381" spans="1:4" x14ac:dyDescent="0.3">
      <c r="A381">
        <v>40</v>
      </c>
      <c r="B381" s="25">
        <f>(Table12[[#This Row],[Annual salary]]-D383)/D384</f>
        <v>-1.4612645611411572</v>
      </c>
    </row>
    <row r="382" spans="1:4" x14ac:dyDescent="0.3">
      <c r="A382">
        <v>42</v>
      </c>
      <c r="B382" s="25">
        <f>(Table12[[#This Row],[Annual salary]]-D383)/D384</f>
        <v>-1.1955800954791287</v>
      </c>
    </row>
    <row r="383" spans="1:4" x14ac:dyDescent="0.3">
      <c r="A383">
        <v>45</v>
      </c>
      <c r="B383" s="25">
        <f>(Table12[[#This Row],[Annual salary]]-D383)/D384</f>
        <v>-0.79705339698608579</v>
      </c>
      <c r="C383" t="s">
        <v>142</v>
      </c>
      <c r="D383">
        <f>AVERAGE(Table12[Annual salary])</f>
        <v>51</v>
      </c>
    </row>
    <row r="384" spans="1:4" x14ac:dyDescent="0.3">
      <c r="A384">
        <v>47</v>
      </c>
      <c r="B384" s="25">
        <f>(Table12[[#This Row],[Annual salary]]-D383)/D384</f>
        <v>-0.53136893132405716</v>
      </c>
      <c r="C384" t="s">
        <v>143</v>
      </c>
      <c r="D384">
        <f>STDEV(Table12[Annual salary])</f>
        <v>7.5277265270908096</v>
      </c>
    </row>
    <row r="385" spans="1:3" ht="17.399999999999999" customHeight="1" x14ac:dyDescent="0.3">
      <c r="A385">
        <v>50</v>
      </c>
      <c r="B385" s="25">
        <f>(Table12[[#This Row],[Annual salary]]-D383)/D384</f>
        <v>-0.13284223283101429</v>
      </c>
      <c r="C385" t="s">
        <v>189</v>
      </c>
    </row>
    <row r="386" spans="1:3" x14ac:dyDescent="0.3">
      <c r="A386">
        <v>52</v>
      </c>
      <c r="B386" s="25">
        <f>(Table12[[#This Row],[Annual salary]]-D383)/D384</f>
        <v>0.13284223283101429</v>
      </c>
      <c r="C386" t="s">
        <v>190</v>
      </c>
    </row>
    <row r="387" spans="1:3" x14ac:dyDescent="0.3">
      <c r="A387">
        <v>55</v>
      </c>
      <c r="B387" s="25">
        <f>(Table12[[#This Row],[Annual salary]]-D383)/D384</f>
        <v>0.53136893132405716</v>
      </c>
      <c r="C387" t="s">
        <v>191</v>
      </c>
    </row>
    <row r="388" spans="1:3" x14ac:dyDescent="0.3">
      <c r="A388">
        <v>57</v>
      </c>
      <c r="B388" s="25">
        <f>(Table12[[#This Row],[Annual salary]]-D383)/D384</f>
        <v>0.79705339698608579</v>
      </c>
      <c r="C388" t="s">
        <v>192</v>
      </c>
    </row>
    <row r="389" spans="1:3" x14ac:dyDescent="0.3">
      <c r="A389">
        <v>60</v>
      </c>
      <c r="B389" s="25">
        <f>(Table12[[#This Row],[Annual salary]]-D383)/D384</f>
        <v>1.1955800954791287</v>
      </c>
      <c r="C389" t="s">
        <v>193</v>
      </c>
    </row>
    <row r="390" spans="1:3" x14ac:dyDescent="0.3">
      <c r="A390">
        <v>62</v>
      </c>
      <c r="B390" s="25">
        <f>(Table12[[#This Row],[Annual salary]]-D383)/D384</f>
        <v>1.4612645611411572</v>
      </c>
    </row>
    <row r="391" spans="1:3" x14ac:dyDescent="0.3">
      <c r="A391" t="s">
        <v>202</v>
      </c>
      <c r="C391" t="s">
        <v>194</v>
      </c>
    </row>
    <row r="392" spans="1:3" x14ac:dyDescent="0.3">
      <c r="A392" s="2" t="s">
        <v>199</v>
      </c>
      <c r="B392" s="2"/>
      <c r="C392" t="s">
        <v>195</v>
      </c>
    </row>
    <row r="393" spans="1:3" x14ac:dyDescent="0.3">
      <c r="A393" s="2" t="s">
        <v>200</v>
      </c>
      <c r="B393" s="2"/>
      <c r="C393" t="s">
        <v>196</v>
      </c>
    </row>
    <row r="394" spans="1:3" x14ac:dyDescent="0.3">
      <c r="A394" s="2" t="s">
        <v>201</v>
      </c>
      <c r="B394" s="2"/>
      <c r="C394" t="s">
        <v>197</v>
      </c>
    </row>
    <row r="395" spans="1:3" x14ac:dyDescent="0.3">
      <c r="C395" t="s">
        <v>198</v>
      </c>
    </row>
    <row r="396" spans="1:3" x14ac:dyDescent="0.3">
      <c r="A396" s="2" t="s">
        <v>203</v>
      </c>
    </row>
    <row r="411" spans="1:4" x14ac:dyDescent="0.3">
      <c r="A411" t="s">
        <v>204</v>
      </c>
      <c r="B411" s="26" t="s">
        <v>206</v>
      </c>
      <c r="C411" t="s">
        <v>207</v>
      </c>
      <c r="D411" t="s">
        <v>208</v>
      </c>
    </row>
    <row r="412" spans="1:4" x14ac:dyDescent="0.3">
      <c r="A412">
        <v>85</v>
      </c>
      <c r="B412" s="26">
        <f>_xlfn.NORM.DIST(Table16[[#This Row],[scores]],B424,B425,TRUE)</f>
        <v>7.1971425711466058E-2</v>
      </c>
      <c r="C412">
        <f>(Table16[[#This Row],[scores]]-B424)/B425</f>
        <v>-1.4612645611411572</v>
      </c>
      <c r="D412">
        <f>_xlfn.NORM.S.DIST(C412,TRUE)</f>
        <v>7.1971425711466058E-2</v>
      </c>
    </row>
    <row r="413" spans="1:4" x14ac:dyDescent="0.3">
      <c r="A413">
        <v>87</v>
      </c>
      <c r="B413" s="26">
        <f>_xlfn.NORM.DIST(Table16[[#This Row],[scores]],B424,B425,TRUE)</f>
        <v>0.11593023138734014</v>
      </c>
      <c r="C413">
        <f>(Table16[[#This Row],[scores]]-B424)/B425</f>
        <v>-1.1955800954791287</v>
      </c>
      <c r="D413">
        <f t="shared" ref="D413:D421" si="4">_xlfn.NORM.S.DIST(C413,TRUE)</f>
        <v>0.11593023138734014</v>
      </c>
    </row>
    <row r="414" spans="1:4" x14ac:dyDescent="0.3">
      <c r="A414">
        <v>90</v>
      </c>
      <c r="B414" s="26">
        <f>_xlfn.NORM.DIST(Table16[[#This Row],[scores]],B424,B425,TRUE)</f>
        <v>0.21271001023467434</v>
      </c>
      <c r="C414">
        <f>(Table16[[#This Row],[scores]]-B424)/B425</f>
        <v>-0.79705339698608579</v>
      </c>
      <c r="D414">
        <f t="shared" si="4"/>
        <v>0.21271001023467434</v>
      </c>
    </row>
    <row r="415" spans="1:4" x14ac:dyDescent="0.3">
      <c r="A415">
        <v>92</v>
      </c>
      <c r="B415" s="26">
        <f>_xlfn.NORM.DIST(Table16[[#This Row],[scores]],B424,B425,TRUE)</f>
        <v>0.29758157335478619</v>
      </c>
      <c r="C415">
        <f>(Table16[[#This Row],[scores]]-B424)/B425</f>
        <v>-0.53136893132405716</v>
      </c>
      <c r="D415">
        <f t="shared" si="4"/>
        <v>0.29758157335478619</v>
      </c>
    </row>
    <row r="416" spans="1:4" x14ac:dyDescent="0.3">
      <c r="A416">
        <v>95</v>
      </c>
      <c r="B416" s="26">
        <f>_xlfn.NORM.DIST(Table16[[#This Row],[scores]],B424,B425,TRUE)</f>
        <v>0.44715907668008803</v>
      </c>
      <c r="C416">
        <f>(Table16[[#This Row],[scores]]-B424)/B425</f>
        <v>-0.13284223283101429</v>
      </c>
      <c r="D416">
        <f t="shared" si="4"/>
        <v>0.44715907668008803</v>
      </c>
    </row>
    <row r="417" spans="1:4" x14ac:dyDescent="0.3">
      <c r="A417">
        <v>97</v>
      </c>
      <c r="B417" s="26">
        <f>_xlfn.NORM.DIST(Table16[[#This Row],[scores]],B424,B425,TRUE)</f>
        <v>0.55284092331991197</v>
      </c>
      <c r="C417">
        <f>(Table16[[#This Row],[scores]]-B424)/B425</f>
        <v>0.13284223283101429</v>
      </c>
      <c r="D417">
        <f t="shared" si="4"/>
        <v>0.55284092331991197</v>
      </c>
    </row>
    <row r="418" spans="1:4" x14ac:dyDescent="0.3">
      <c r="A418">
        <v>100</v>
      </c>
      <c r="B418" s="26">
        <f>_xlfn.NORM.DIST(Table16[[#This Row],[scores]],B424,B425,TRUE)</f>
        <v>0.70241842664521381</v>
      </c>
      <c r="C418">
        <f>(Table16[[#This Row],[scores]]-B424)/B425</f>
        <v>0.53136893132405716</v>
      </c>
      <c r="D418">
        <f t="shared" si="4"/>
        <v>0.70241842664521381</v>
      </c>
    </row>
    <row r="419" spans="1:4" x14ac:dyDescent="0.3">
      <c r="A419">
        <v>102</v>
      </c>
      <c r="B419" s="26">
        <f>_xlfn.NORM.DIST(Table16[[#This Row],[scores]],B424,B425,TRUE)</f>
        <v>0.7872899897653256</v>
      </c>
      <c r="C419">
        <f>(Table16[[#This Row],[scores]]-B424)/B425</f>
        <v>0.79705339698608579</v>
      </c>
      <c r="D419">
        <f t="shared" si="4"/>
        <v>0.7872899897653256</v>
      </c>
    </row>
    <row r="420" spans="1:4" x14ac:dyDescent="0.3">
      <c r="A420">
        <v>105</v>
      </c>
      <c r="B420" s="26">
        <f>_xlfn.NORM.DIST(Table16[[#This Row],[scores]],B424,B425,TRUE)</f>
        <v>0.88406976861265985</v>
      </c>
      <c r="C420">
        <f>(Table16[[#This Row],[scores]]-B424)/B425</f>
        <v>1.1955800954791287</v>
      </c>
      <c r="D420">
        <f t="shared" si="4"/>
        <v>0.88406976861265985</v>
      </c>
    </row>
    <row r="421" spans="1:4" x14ac:dyDescent="0.3">
      <c r="A421">
        <v>107</v>
      </c>
      <c r="B421" s="26">
        <f>_xlfn.NORM.DIST(Table16[[#This Row],[scores]],B424,B425,TRUE)</f>
        <v>0.92802857428853391</v>
      </c>
      <c r="C421">
        <f>(Table16[[#This Row],[scores]]-B424)/B425</f>
        <v>1.4612645611411572</v>
      </c>
      <c r="D421">
        <f t="shared" si="4"/>
        <v>0.92802857428853391</v>
      </c>
    </row>
    <row r="423" spans="1:4" x14ac:dyDescent="0.3">
      <c r="A423" t="s">
        <v>205</v>
      </c>
    </row>
    <row r="424" spans="1:4" x14ac:dyDescent="0.3">
      <c r="A424" t="s">
        <v>142</v>
      </c>
      <c r="B424">
        <f>AVERAGE(Table16[scores])</f>
        <v>96</v>
      </c>
    </row>
    <row r="425" spans="1:4" x14ac:dyDescent="0.3">
      <c r="A425" t="s">
        <v>143</v>
      </c>
      <c r="B425">
        <f>STDEV(Table16[scores])</f>
        <v>7.5277265270908096</v>
      </c>
    </row>
    <row r="448" spans="1:3" x14ac:dyDescent="0.3">
      <c r="A448" t="s">
        <v>209</v>
      </c>
      <c r="B448" t="s">
        <v>142</v>
      </c>
      <c r="C448">
        <f>AVERAGE(Table17[blood pressure])</f>
        <v>15.4</v>
      </c>
    </row>
    <row r="449" spans="1:3" x14ac:dyDescent="0.3">
      <c r="A449">
        <v>10</v>
      </c>
      <c r="B449" t="s">
        <v>179</v>
      </c>
      <c r="C449">
        <v>0</v>
      </c>
    </row>
    <row r="450" spans="1:3" x14ac:dyDescent="0.3">
      <c r="A450">
        <v>12</v>
      </c>
      <c r="B450" t="s">
        <v>143</v>
      </c>
      <c r="C450">
        <f>STDEV(Table17[blood pressure])</f>
        <v>3.2041639575194458</v>
      </c>
    </row>
    <row r="451" spans="1:3" x14ac:dyDescent="0.3">
      <c r="A451">
        <v>14</v>
      </c>
      <c r="B451" t="s">
        <v>151</v>
      </c>
      <c r="C451">
        <v>9</v>
      </c>
    </row>
    <row r="452" spans="1:3" x14ac:dyDescent="0.3">
      <c r="A452">
        <v>15</v>
      </c>
      <c r="B452" t="s">
        <v>128</v>
      </c>
      <c r="C452">
        <v>0.05</v>
      </c>
    </row>
    <row r="453" spans="1:3" x14ac:dyDescent="0.3">
      <c r="A453">
        <v>13</v>
      </c>
      <c r="B453" t="s">
        <v>180</v>
      </c>
      <c r="C453">
        <f>C450/SQRT(10)</f>
        <v>1.0132456102380447</v>
      </c>
    </row>
    <row r="454" spans="1:3" x14ac:dyDescent="0.3">
      <c r="A454">
        <v>16</v>
      </c>
      <c r="B454" t="s">
        <v>210</v>
      </c>
      <c r="C454">
        <f>(C448-C449)/C453</f>
        <v>15.198684153570657</v>
      </c>
    </row>
    <row r="455" spans="1:3" x14ac:dyDescent="0.3">
      <c r="A455">
        <v>18</v>
      </c>
      <c r="B455" t="s">
        <v>211</v>
      </c>
      <c r="C455">
        <v>2.262</v>
      </c>
    </row>
    <row r="456" spans="1:3" x14ac:dyDescent="0.3">
      <c r="A456">
        <v>17</v>
      </c>
    </row>
    <row r="457" spans="1:3" x14ac:dyDescent="0.3">
      <c r="A457">
        <v>19</v>
      </c>
      <c r="B457" s="2" t="s">
        <v>212</v>
      </c>
    </row>
    <row r="458" spans="1:3" x14ac:dyDescent="0.3">
      <c r="A458">
        <v>20</v>
      </c>
      <c r="B458" s="2" t="s">
        <v>213</v>
      </c>
    </row>
    <row r="459" spans="1:3" x14ac:dyDescent="0.3">
      <c r="A459" t="s">
        <v>218</v>
      </c>
      <c r="B459">
        <f>TDIST(C454,C451,2)</f>
        <v>1.0062192292419587E-7</v>
      </c>
    </row>
    <row r="460" spans="1:3" x14ac:dyDescent="0.3">
      <c r="A460" s="2" t="s">
        <v>214</v>
      </c>
    </row>
    <row r="461" spans="1:3" x14ac:dyDescent="0.3">
      <c r="A461" t="s">
        <v>217</v>
      </c>
    </row>
    <row r="462" spans="1:3" x14ac:dyDescent="0.3">
      <c r="A462" s="2" t="s">
        <v>215</v>
      </c>
    </row>
    <row r="463" spans="1:3" x14ac:dyDescent="0.3">
      <c r="A463" s="2" t="s">
        <v>216</v>
      </c>
    </row>
    <row r="471" spans="1:4" x14ac:dyDescent="0.3">
      <c r="A471" t="s">
        <v>219</v>
      </c>
      <c r="B471" t="s">
        <v>142</v>
      </c>
      <c r="C471">
        <f>AVERAGE(Table18[income])</f>
        <v>4.8400000000000007</v>
      </c>
      <c r="D471" t="s">
        <v>220</v>
      </c>
    </row>
    <row r="472" spans="1:4" x14ac:dyDescent="0.3">
      <c r="A472">
        <v>3.5</v>
      </c>
      <c r="B472" t="s">
        <v>143</v>
      </c>
      <c r="C472">
        <f>STDEV(Table18[income])</f>
        <v>0.80304974247482697</v>
      </c>
    </row>
    <row r="473" spans="1:4" x14ac:dyDescent="0.3">
      <c r="A473">
        <v>4</v>
      </c>
      <c r="B473" t="s">
        <v>180</v>
      </c>
      <c r="C473">
        <f>C472/SQRT(10)</f>
        <v>0.2539466260632115</v>
      </c>
    </row>
    <row r="474" spans="1:4" x14ac:dyDescent="0.3">
      <c r="A474">
        <v>4.2</v>
      </c>
      <c r="B474" t="s">
        <v>221</v>
      </c>
      <c r="C474">
        <f>1.96*C473</f>
        <v>0.49773538708389453</v>
      </c>
    </row>
    <row r="475" spans="1:4" x14ac:dyDescent="0.3">
      <c r="A475">
        <v>4.5</v>
      </c>
    </row>
    <row r="476" spans="1:4" x14ac:dyDescent="0.3">
      <c r="A476">
        <v>4.7</v>
      </c>
    </row>
    <row r="477" spans="1:4" x14ac:dyDescent="0.3">
      <c r="A477">
        <v>5</v>
      </c>
    </row>
    <row r="478" spans="1:4" x14ac:dyDescent="0.3">
      <c r="A478">
        <v>5.3</v>
      </c>
      <c r="B478" t="s">
        <v>222</v>
      </c>
      <c r="C478">
        <f>C471-C474</f>
        <v>4.3422646129161064</v>
      </c>
      <c r="D478">
        <f>[1]Sheet1!$D$549</f>
        <v>5.3377353870838951</v>
      </c>
    </row>
    <row r="479" spans="1:4" x14ac:dyDescent="0.3">
      <c r="A479">
        <v>5.5</v>
      </c>
      <c r="B479" t="s">
        <v>223</v>
      </c>
      <c r="C479" t="s">
        <v>224</v>
      </c>
      <c r="D479">
        <f>QUARTILE(Table18[income],1)</f>
        <v>4.2750000000000004</v>
      </c>
    </row>
    <row r="480" spans="1:4" x14ac:dyDescent="0.3">
      <c r="A480">
        <v>5.7</v>
      </c>
      <c r="C480" t="s">
        <v>225</v>
      </c>
      <c r="D480">
        <f>QUARTILE(Table18[income],2)</f>
        <v>4.8499999999999996</v>
      </c>
    </row>
    <row r="481" spans="1:4" x14ac:dyDescent="0.3">
      <c r="A481">
        <v>6</v>
      </c>
      <c r="C481" t="s">
        <v>226</v>
      </c>
      <c r="D481">
        <f>QUARTILE(Table18[income],3)</f>
        <v>5.45</v>
      </c>
    </row>
    <row r="482" spans="1:4" x14ac:dyDescent="0.3">
      <c r="C482" t="s">
        <v>227</v>
      </c>
      <c r="D482">
        <f>D481-D479</f>
        <v>1.1749999999999998</v>
      </c>
    </row>
    <row r="483" spans="1:4" x14ac:dyDescent="0.3">
      <c r="C483" t="s">
        <v>228</v>
      </c>
      <c r="D483">
        <f>D479-1.5*D482</f>
        <v>2.5125000000000006</v>
      </c>
    </row>
    <row r="484" spans="1:4" x14ac:dyDescent="0.3">
      <c r="C484" t="s">
        <v>229</v>
      </c>
      <c r="D484">
        <f>D481+1.5*D482</f>
        <v>7.2125000000000004</v>
      </c>
    </row>
    <row r="485" spans="1:4" x14ac:dyDescent="0.3">
      <c r="A485" s="2" t="s">
        <v>230</v>
      </c>
    </row>
    <row r="495" spans="1:4" x14ac:dyDescent="0.3">
      <c r="A495" t="s">
        <v>231</v>
      </c>
    </row>
    <row r="496" spans="1:4" x14ac:dyDescent="0.3">
      <c r="A496">
        <v>25</v>
      </c>
    </row>
    <row r="497" spans="1:2" x14ac:dyDescent="0.3">
      <c r="A497">
        <v>26</v>
      </c>
    </row>
    <row r="498" spans="1:2" x14ac:dyDescent="0.3">
      <c r="A498">
        <v>27</v>
      </c>
    </row>
    <row r="499" spans="1:2" x14ac:dyDescent="0.3">
      <c r="A499">
        <v>28</v>
      </c>
    </row>
    <row r="500" spans="1:2" x14ac:dyDescent="0.3">
      <c r="A500">
        <v>29</v>
      </c>
    </row>
    <row r="501" spans="1:2" x14ac:dyDescent="0.3">
      <c r="A501">
        <v>30</v>
      </c>
    </row>
    <row r="502" spans="1:2" x14ac:dyDescent="0.3">
      <c r="A502">
        <v>31</v>
      </c>
    </row>
    <row r="503" spans="1:2" x14ac:dyDescent="0.3">
      <c r="A503">
        <v>32</v>
      </c>
    </row>
    <row r="504" spans="1:2" x14ac:dyDescent="0.3">
      <c r="A504">
        <v>33</v>
      </c>
    </row>
    <row r="505" spans="1:2" x14ac:dyDescent="0.3">
      <c r="A505">
        <v>34</v>
      </c>
    </row>
    <row r="506" spans="1:2" x14ac:dyDescent="0.3">
      <c r="A506">
        <v>35</v>
      </c>
    </row>
    <row r="507" spans="1:2" x14ac:dyDescent="0.3">
      <c r="A507">
        <v>36</v>
      </c>
    </row>
    <row r="508" spans="1:2" x14ac:dyDescent="0.3">
      <c r="A508">
        <v>37</v>
      </c>
    </row>
    <row r="509" spans="1:2" x14ac:dyDescent="0.3">
      <c r="A509">
        <v>38</v>
      </c>
    </row>
    <row r="510" spans="1:2" x14ac:dyDescent="0.3">
      <c r="A510" t="s">
        <v>224</v>
      </c>
      <c r="B510">
        <f>QUARTILE(Table19[temp],1)</f>
        <v>28.25</v>
      </c>
    </row>
    <row r="511" spans="1:2" x14ac:dyDescent="0.3">
      <c r="A511" t="s">
        <v>226</v>
      </c>
      <c r="B511">
        <f>QUARTILE(Table19[temp],3)</f>
        <v>34.75</v>
      </c>
    </row>
    <row r="512" spans="1:2" x14ac:dyDescent="0.3">
      <c r="A512" t="s">
        <v>227</v>
      </c>
      <c r="B512">
        <f>B511-B510</f>
        <v>6.5</v>
      </c>
    </row>
    <row r="513" spans="1:2" x14ac:dyDescent="0.3">
      <c r="A513" t="s">
        <v>228</v>
      </c>
      <c r="B513">
        <f>B510-1.5*B512</f>
        <v>18.5</v>
      </c>
    </row>
    <row r="514" spans="1:2" x14ac:dyDescent="0.3">
      <c r="A514" t="s">
        <v>229</v>
      </c>
      <c r="B514">
        <f>B511+1.5*B512</f>
        <v>44.5</v>
      </c>
    </row>
    <row r="516" spans="1:2" x14ac:dyDescent="0.3">
      <c r="A516" s="2" t="s">
        <v>230</v>
      </c>
    </row>
    <row r="541" spans="1:3" x14ac:dyDescent="0.3">
      <c r="A541" t="s">
        <v>76</v>
      </c>
      <c r="B541" t="s">
        <v>18</v>
      </c>
      <c r="C541" t="s">
        <v>232</v>
      </c>
    </row>
    <row r="542" spans="1:3" x14ac:dyDescent="0.3">
      <c r="A542">
        <v>10</v>
      </c>
      <c r="B542">
        <v>100</v>
      </c>
      <c r="C542">
        <v>100</v>
      </c>
    </row>
    <row r="543" spans="1:3" x14ac:dyDescent="0.3">
      <c r="A543">
        <v>20</v>
      </c>
      <c r="B543">
        <v>150</v>
      </c>
      <c r="C543">
        <f>0.5*Table20[[#This Row],[sales]]+(1-0.5)*C542</f>
        <v>125</v>
      </c>
    </row>
    <row r="544" spans="1:3" x14ac:dyDescent="0.3">
      <c r="A544">
        <v>30</v>
      </c>
      <c r="B544">
        <v>200</v>
      </c>
      <c r="C544">
        <f>0.5*Table20[[#This Row],[sales]]+(1-0.5)*C543</f>
        <v>162.5</v>
      </c>
    </row>
    <row r="545" spans="1:3" x14ac:dyDescent="0.3">
      <c r="A545">
        <v>40</v>
      </c>
      <c r="B545">
        <v>250</v>
      </c>
      <c r="C545">
        <f>0.5*Table20[[#This Row],[sales]]+(1-0.5)*C544</f>
        <v>206.25</v>
      </c>
    </row>
    <row r="546" spans="1:3" x14ac:dyDescent="0.3">
      <c r="A546">
        <v>50</v>
      </c>
      <c r="B546">
        <v>300</v>
      </c>
      <c r="C546">
        <f>0.5*Table20[[#This Row],[sales]]+(1-0.5)*C545</f>
        <v>253.125</v>
      </c>
    </row>
    <row r="571" spans="1:3" x14ac:dyDescent="0.3">
      <c r="A571" t="s">
        <v>233</v>
      </c>
      <c r="B571" t="s">
        <v>234</v>
      </c>
      <c r="C571" t="s">
        <v>235</v>
      </c>
    </row>
    <row r="572" spans="1:3" x14ac:dyDescent="0.3">
      <c r="A572">
        <v>1</v>
      </c>
      <c r="B572">
        <v>150</v>
      </c>
      <c r="C572" s="27">
        <v>150</v>
      </c>
    </row>
    <row r="573" spans="1:3" x14ac:dyDescent="0.3">
      <c r="A573">
        <v>2</v>
      </c>
      <c r="B573">
        <v>160</v>
      </c>
      <c r="C573" s="28">
        <v>155</v>
      </c>
    </row>
    <row r="574" spans="1:3" x14ac:dyDescent="0.3">
      <c r="A574">
        <v>3</v>
      </c>
      <c r="B574">
        <v>170</v>
      </c>
      <c r="C574" s="27">
        <v>162.5</v>
      </c>
    </row>
    <row r="575" spans="1:3" x14ac:dyDescent="0.3">
      <c r="A575">
        <v>4</v>
      </c>
      <c r="B575">
        <v>180</v>
      </c>
      <c r="C575" s="28">
        <v>171.25</v>
      </c>
    </row>
    <row r="576" spans="1:3" x14ac:dyDescent="0.3">
      <c r="A576">
        <v>5</v>
      </c>
      <c r="B576">
        <v>190</v>
      </c>
      <c r="C576" s="27">
        <v>180.625</v>
      </c>
    </row>
    <row r="577" spans="1:3" x14ac:dyDescent="0.3">
      <c r="A577">
        <v>6</v>
      </c>
      <c r="B577">
        <v>200</v>
      </c>
      <c r="C577" s="28">
        <v>190.3125</v>
      </c>
    </row>
    <row r="578" spans="1:3" x14ac:dyDescent="0.3">
      <c r="A578">
        <v>7</v>
      </c>
      <c r="B578">
        <v>210</v>
      </c>
      <c r="C578" s="27">
        <v>200.15625</v>
      </c>
    </row>
    <row r="579" spans="1:3" x14ac:dyDescent="0.3">
      <c r="A579">
        <v>8</v>
      </c>
      <c r="B579">
        <v>220</v>
      </c>
      <c r="C579" s="28">
        <v>210.078125</v>
      </c>
    </row>
    <row r="580" spans="1:3" x14ac:dyDescent="0.3">
      <c r="A580">
        <v>9</v>
      </c>
      <c r="B580">
        <v>230</v>
      </c>
      <c r="C580" s="27">
        <v>220.0390625</v>
      </c>
    </row>
    <row r="581" spans="1:3" x14ac:dyDescent="0.3">
      <c r="A581">
        <v>10</v>
      </c>
      <c r="B581">
        <v>240</v>
      </c>
      <c r="C581" s="28">
        <v>230.01953130000001</v>
      </c>
    </row>
    <row r="582" spans="1:3" x14ac:dyDescent="0.3">
      <c r="A582">
        <v>11</v>
      </c>
      <c r="B582">
        <v>250</v>
      </c>
      <c r="C582" s="27">
        <v>240.00976560000001</v>
      </c>
    </row>
    <row r="583" spans="1:3" x14ac:dyDescent="0.3">
      <c r="A583">
        <v>12</v>
      </c>
      <c r="B583">
        <v>260</v>
      </c>
      <c r="C583" s="29">
        <v>250.00488279999999</v>
      </c>
    </row>
    <row r="600" spans="1:10" x14ac:dyDescent="0.3">
      <c r="A600" t="s">
        <v>237</v>
      </c>
    </row>
    <row r="601" spans="1:10" ht="15" thickBot="1" x14ac:dyDescent="0.35"/>
    <row r="602" spans="1:10" x14ac:dyDescent="0.3">
      <c r="A602" s="14" t="s">
        <v>78</v>
      </c>
      <c r="B602" s="14"/>
      <c r="J602" s="14" t="s">
        <v>78</v>
      </c>
    </row>
    <row r="603" spans="1:10" x14ac:dyDescent="0.3">
      <c r="A603" t="s">
        <v>79</v>
      </c>
      <c r="B603">
        <v>1</v>
      </c>
      <c r="J603" t="s">
        <v>79</v>
      </c>
    </row>
    <row r="604" spans="1:10" x14ac:dyDescent="0.3">
      <c r="A604" t="s">
        <v>80</v>
      </c>
      <c r="B604">
        <v>1</v>
      </c>
      <c r="J604" t="s">
        <v>80</v>
      </c>
    </row>
    <row r="605" spans="1:10" x14ac:dyDescent="0.3">
      <c r="A605" t="s">
        <v>81</v>
      </c>
      <c r="B605">
        <v>1</v>
      </c>
      <c r="J605" t="s">
        <v>81</v>
      </c>
    </row>
    <row r="606" spans="1:10" x14ac:dyDescent="0.3">
      <c r="A606" t="s">
        <v>82</v>
      </c>
      <c r="B606">
        <v>0</v>
      </c>
      <c r="J606" t="s">
        <v>82</v>
      </c>
    </row>
    <row r="607" spans="1:10" ht="15" thickBot="1" x14ac:dyDescent="0.35">
      <c r="A607" t="s">
        <v>77</v>
      </c>
      <c r="J607" s="12" t="s">
        <v>83</v>
      </c>
    </row>
    <row r="608" spans="1:10" ht="15" thickBot="1" x14ac:dyDescent="0.35"/>
    <row r="609" spans="1:10" ht="15" thickBot="1" x14ac:dyDescent="0.35">
      <c r="A609" s="14" t="s">
        <v>78</v>
      </c>
      <c r="B609" s="14"/>
      <c r="J609" t="s">
        <v>84</v>
      </c>
    </row>
    <row r="610" spans="1:10" x14ac:dyDescent="0.3">
      <c r="A610" t="s">
        <v>79</v>
      </c>
      <c r="B610">
        <v>1</v>
      </c>
      <c r="J610" s="13"/>
    </row>
    <row r="611" spans="1:10" x14ac:dyDescent="0.3">
      <c r="A611" t="s">
        <v>80</v>
      </c>
      <c r="B611">
        <v>1</v>
      </c>
      <c r="J611" t="s">
        <v>85</v>
      </c>
    </row>
    <row r="612" spans="1:10" x14ac:dyDescent="0.3">
      <c r="A612" t="s">
        <v>81</v>
      </c>
      <c r="B612">
        <v>0.66666666666666663</v>
      </c>
      <c r="J612" t="s">
        <v>86</v>
      </c>
    </row>
    <row r="613" spans="1:10" ht="15" thickBot="1" x14ac:dyDescent="0.35">
      <c r="A613" t="s">
        <v>82</v>
      </c>
      <c r="B613">
        <v>0</v>
      </c>
      <c r="J613" s="12" t="s">
        <v>87</v>
      </c>
    </row>
    <row r="614" spans="1:10" ht="15" thickBot="1" x14ac:dyDescent="0.35">
      <c r="A614" s="12" t="s">
        <v>83</v>
      </c>
      <c r="B614" s="12">
        <v>5</v>
      </c>
    </row>
    <row r="615" spans="1:10" x14ac:dyDescent="0.3">
      <c r="J615" s="13"/>
    </row>
    <row r="616" spans="1:10" ht="15" thickBot="1" x14ac:dyDescent="0.35">
      <c r="A616" t="s">
        <v>84</v>
      </c>
      <c r="J616" t="s">
        <v>88</v>
      </c>
    </row>
    <row r="617" spans="1:10" ht="15" thickBot="1" x14ac:dyDescent="0.35">
      <c r="A617" s="13"/>
      <c r="B617" s="13" t="s">
        <v>89</v>
      </c>
      <c r="C617" s="13" t="s">
        <v>90</v>
      </c>
      <c r="D617" s="13" t="s">
        <v>91</v>
      </c>
      <c r="E617" s="13" t="s">
        <v>92</v>
      </c>
      <c r="F617" s="13" t="s">
        <v>93</v>
      </c>
      <c r="J617" s="12" t="s">
        <v>236</v>
      </c>
    </row>
    <row r="618" spans="1:10" x14ac:dyDescent="0.3">
      <c r="A618" t="s">
        <v>85</v>
      </c>
      <c r="B618">
        <v>2</v>
      </c>
      <c r="C618">
        <v>250</v>
      </c>
      <c r="D618">
        <v>125</v>
      </c>
      <c r="E618" t="e">
        <v>#NUM!</v>
      </c>
      <c r="F618" t="e">
        <v>#NUM!</v>
      </c>
    </row>
    <row r="619" spans="1:10" x14ac:dyDescent="0.3">
      <c r="A619" t="s">
        <v>86</v>
      </c>
      <c r="B619">
        <v>3</v>
      </c>
      <c r="C619">
        <v>0</v>
      </c>
      <c r="D619">
        <v>0</v>
      </c>
    </row>
    <row r="620" spans="1:10" ht="15" thickBot="1" x14ac:dyDescent="0.35">
      <c r="A620" s="12" t="s">
        <v>87</v>
      </c>
      <c r="B620" s="12">
        <v>5</v>
      </c>
      <c r="C620" s="12">
        <v>250</v>
      </c>
      <c r="D620" s="12"/>
      <c r="E620" s="12"/>
      <c r="F620" s="12"/>
    </row>
    <row r="622" spans="1:10" x14ac:dyDescent="0.3">
      <c r="B622" t="s">
        <v>94</v>
      </c>
      <c r="C622" t="s">
        <v>82</v>
      </c>
      <c r="D622" t="s">
        <v>95</v>
      </c>
      <c r="E622" t="s">
        <v>96</v>
      </c>
      <c r="F622" t="s">
        <v>97</v>
      </c>
      <c r="G622" t="s">
        <v>98</v>
      </c>
      <c r="H622" t="s">
        <v>99</v>
      </c>
      <c r="I622" t="s">
        <v>100</v>
      </c>
    </row>
    <row r="623" spans="1:10" x14ac:dyDescent="0.3">
      <c r="A623" t="s">
        <v>88</v>
      </c>
      <c r="B623">
        <v>-5</v>
      </c>
      <c r="C623">
        <v>0</v>
      </c>
      <c r="D623">
        <v>65535</v>
      </c>
      <c r="E623" t="e">
        <v>#NUM!</v>
      </c>
      <c r="F623">
        <v>-5</v>
      </c>
      <c r="G623">
        <v>-5</v>
      </c>
      <c r="H623">
        <v>-5</v>
      </c>
      <c r="I623">
        <v>-5</v>
      </c>
    </row>
    <row r="624" spans="1:10" x14ac:dyDescent="0.3">
      <c r="A624" t="s">
        <v>101</v>
      </c>
      <c r="B624">
        <v>0</v>
      </c>
      <c r="C624">
        <v>0</v>
      </c>
      <c r="D624">
        <v>65535</v>
      </c>
      <c r="E624" t="e">
        <v>#NUM!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 t="s">
        <v>236</v>
      </c>
      <c r="B625">
        <v>0.1</v>
      </c>
      <c r="C625">
        <v>0</v>
      </c>
      <c r="D625">
        <v>65535</v>
      </c>
      <c r="E625" t="e">
        <v>#NUM!</v>
      </c>
      <c r="F625">
        <v>0.1</v>
      </c>
      <c r="G625">
        <v>0.1</v>
      </c>
      <c r="H625">
        <v>0.1</v>
      </c>
      <c r="I625">
        <v>0.1</v>
      </c>
    </row>
    <row r="637" spans="1:9" x14ac:dyDescent="0.3">
      <c r="A637" s="25" t="s">
        <v>238</v>
      </c>
      <c r="B637" s="25" t="s">
        <v>18</v>
      </c>
      <c r="C637" s="25" t="s">
        <v>239</v>
      </c>
    </row>
    <row r="638" spans="1:9" x14ac:dyDescent="0.3">
      <c r="A638" s="30">
        <v>10</v>
      </c>
      <c r="B638" s="31">
        <v>100</v>
      </c>
      <c r="C638" s="27">
        <v>5</v>
      </c>
    </row>
    <row r="639" spans="1:9" x14ac:dyDescent="0.3">
      <c r="A639" s="32">
        <v>20</v>
      </c>
      <c r="B639" s="33">
        <v>150</v>
      </c>
      <c r="C639" s="28">
        <v>10</v>
      </c>
    </row>
    <row r="640" spans="1:9" x14ac:dyDescent="0.3">
      <c r="A640" s="30">
        <v>30</v>
      </c>
      <c r="B640" s="31">
        <v>200</v>
      </c>
      <c r="C640" s="27">
        <v>15</v>
      </c>
    </row>
    <row r="641" spans="1:7" x14ac:dyDescent="0.3">
      <c r="A641" s="32">
        <v>40</v>
      </c>
      <c r="B641" s="33">
        <v>250</v>
      </c>
      <c r="C641" s="28">
        <v>20</v>
      </c>
    </row>
    <row r="642" spans="1:7" x14ac:dyDescent="0.3">
      <c r="A642" s="34">
        <v>50</v>
      </c>
      <c r="B642" s="35">
        <v>300</v>
      </c>
      <c r="C642" s="36">
        <v>25</v>
      </c>
    </row>
    <row r="643" spans="1:7" x14ac:dyDescent="0.3">
      <c r="A643" t="s">
        <v>240</v>
      </c>
      <c r="B643" t="s">
        <v>241</v>
      </c>
      <c r="C643" t="s">
        <v>242</v>
      </c>
    </row>
    <row r="645" spans="1:7" x14ac:dyDescent="0.3">
      <c r="A645" t="s">
        <v>237</v>
      </c>
    </row>
    <row r="646" spans="1:7" ht="15" thickBot="1" x14ac:dyDescent="0.35"/>
    <row r="647" spans="1:7" x14ac:dyDescent="0.3">
      <c r="B647" s="14" t="s">
        <v>78</v>
      </c>
      <c r="C647" s="14"/>
    </row>
    <row r="648" spans="1:7" x14ac:dyDescent="0.3">
      <c r="B648" t="s">
        <v>79</v>
      </c>
      <c r="C648">
        <v>1</v>
      </c>
    </row>
    <row r="649" spans="1:7" x14ac:dyDescent="0.3">
      <c r="B649" t="s">
        <v>80</v>
      </c>
      <c r="C649">
        <v>1</v>
      </c>
    </row>
    <row r="650" spans="1:7" x14ac:dyDescent="0.3">
      <c r="B650" t="s">
        <v>81</v>
      </c>
      <c r="C650">
        <v>0.5</v>
      </c>
    </row>
    <row r="651" spans="1:7" x14ac:dyDescent="0.3">
      <c r="B651" t="s">
        <v>82</v>
      </c>
      <c r="C651">
        <v>0</v>
      </c>
    </row>
    <row r="652" spans="1:7" ht="15" thickBot="1" x14ac:dyDescent="0.35">
      <c r="B652" s="12" t="s">
        <v>83</v>
      </c>
      <c r="C652" s="12">
        <v>4</v>
      </c>
    </row>
    <row r="654" spans="1:7" ht="15" thickBot="1" x14ac:dyDescent="0.35">
      <c r="B654" t="s">
        <v>84</v>
      </c>
    </row>
    <row r="655" spans="1:7" x14ac:dyDescent="0.3">
      <c r="B655" s="13"/>
      <c r="C655" s="13" t="s">
        <v>89</v>
      </c>
      <c r="D655" s="13" t="s">
        <v>90</v>
      </c>
      <c r="E655" s="13" t="s">
        <v>91</v>
      </c>
      <c r="F655" s="13" t="s">
        <v>92</v>
      </c>
      <c r="G655" s="13" t="s">
        <v>93</v>
      </c>
    </row>
    <row r="656" spans="1:7" x14ac:dyDescent="0.3">
      <c r="B656" t="s">
        <v>85</v>
      </c>
      <c r="C656">
        <v>2</v>
      </c>
      <c r="D656">
        <v>125</v>
      </c>
      <c r="E656">
        <v>62.5</v>
      </c>
      <c r="F656" t="e">
        <v>#NUM!</v>
      </c>
      <c r="G656" t="e">
        <v>#NUM!</v>
      </c>
    </row>
    <row r="657" spans="1:10" x14ac:dyDescent="0.3">
      <c r="B657" t="s">
        <v>86</v>
      </c>
      <c r="C657">
        <v>2</v>
      </c>
      <c r="D657">
        <v>0</v>
      </c>
      <c r="E657">
        <v>0</v>
      </c>
    </row>
    <row r="658" spans="1:10" ht="15" thickBot="1" x14ac:dyDescent="0.35">
      <c r="B658" s="12" t="s">
        <v>87</v>
      </c>
      <c r="C658" s="12">
        <v>4</v>
      </c>
      <c r="D658" s="12">
        <v>125</v>
      </c>
      <c r="E658" s="12"/>
      <c r="F658" s="12"/>
      <c r="G658" s="12"/>
    </row>
    <row r="659" spans="1:10" ht="15" thickBot="1" x14ac:dyDescent="0.35"/>
    <row r="660" spans="1:10" x14ac:dyDescent="0.3">
      <c r="B660" s="13"/>
      <c r="C660" s="13" t="s">
        <v>94</v>
      </c>
      <c r="D660" s="13" t="s">
        <v>82</v>
      </c>
      <c r="E660" s="13" t="s">
        <v>95</v>
      </c>
      <c r="F660" s="13" t="s">
        <v>96</v>
      </c>
      <c r="G660" s="13" t="s">
        <v>97</v>
      </c>
      <c r="H660" s="13" t="s">
        <v>98</v>
      </c>
      <c r="I660" s="13" t="s">
        <v>99</v>
      </c>
      <c r="J660" s="13" t="s">
        <v>100</v>
      </c>
    </row>
    <row r="661" spans="1:10" x14ac:dyDescent="0.3">
      <c r="B661" t="s">
        <v>88</v>
      </c>
      <c r="C661">
        <v>-5</v>
      </c>
      <c r="D661">
        <v>0</v>
      </c>
      <c r="E661">
        <v>65535</v>
      </c>
      <c r="F661" t="e">
        <v>#NUM!</v>
      </c>
      <c r="G661">
        <v>-5</v>
      </c>
      <c r="H661">
        <v>-5</v>
      </c>
      <c r="I661">
        <v>-5</v>
      </c>
      <c r="J661">
        <v>-5</v>
      </c>
    </row>
    <row r="662" spans="1:10" x14ac:dyDescent="0.3">
      <c r="B662">
        <v>10</v>
      </c>
      <c r="C662">
        <v>0</v>
      </c>
      <c r="D662">
        <v>0</v>
      </c>
      <c r="E662">
        <v>65535</v>
      </c>
      <c r="F662" t="e">
        <v>#NUM!</v>
      </c>
      <c r="G662">
        <v>0</v>
      </c>
      <c r="H662">
        <v>0</v>
      </c>
      <c r="I662">
        <v>0</v>
      </c>
      <c r="J662">
        <v>0</v>
      </c>
    </row>
    <row r="663" spans="1:10" ht="15" thickBot="1" x14ac:dyDescent="0.35">
      <c r="B663" s="12">
        <v>100</v>
      </c>
      <c r="C663" s="12">
        <v>0.1</v>
      </c>
      <c r="D663" s="12">
        <v>0</v>
      </c>
      <c r="E663" s="12">
        <v>65535</v>
      </c>
      <c r="F663" s="12" t="e">
        <v>#NUM!</v>
      </c>
      <c r="G663" s="12">
        <v>0.1</v>
      </c>
      <c r="H663" s="12">
        <v>0.1</v>
      </c>
      <c r="I663" s="12">
        <v>0.1</v>
      </c>
      <c r="J663" s="12">
        <v>0.1</v>
      </c>
    </row>
    <row r="672" spans="1:10" x14ac:dyDescent="0.3">
      <c r="A672" t="s">
        <v>243</v>
      </c>
    </row>
    <row r="673" spans="1:2" x14ac:dyDescent="0.3">
      <c r="A673" t="s">
        <v>244</v>
      </c>
    </row>
    <row r="675" spans="1:2" x14ac:dyDescent="0.3">
      <c r="A675" t="s">
        <v>128</v>
      </c>
      <c r="B675">
        <v>0.05</v>
      </c>
    </row>
    <row r="676" spans="1:2" x14ac:dyDescent="0.3">
      <c r="A676" t="s">
        <v>178</v>
      </c>
      <c r="B676">
        <v>50</v>
      </c>
    </row>
    <row r="677" spans="1:2" x14ac:dyDescent="0.3">
      <c r="A677" t="s">
        <v>143</v>
      </c>
      <c r="B677">
        <v>3.5</v>
      </c>
    </row>
    <row r="678" spans="1:2" x14ac:dyDescent="0.3">
      <c r="A678" t="s">
        <v>245</v>
      </c>
      <c r="B678">
        <v>10</v>
      </c>
    </row>
    <row r="679" spans="1:2" x14ac:dyDescent="0.3">
      <c r="A679" t="s">
        <v>246</v>
      </c>
      <c r="B679">
        <v>9.5</v>
      </c>
    </row>
    <row r="680" spans="1:2" x14ac:dyDescent="0.3">
      <c r="A680" t="s">
        <v>180</v>
      </c>
      <c r="B680">
        <f>B677/SQRT(B676)</f>
        <v>0.49497474683058323</v>
      </c>
    </row>
    <row r="681" spans="1:2" x14ac:dyDescent="0.3">
      <c r="A681" t="s">
        <v>181</v>
      </c>
      <c r="B681">
        <f>(B678-B679)/B680</f>
        <v>1.0101525445522108</v>
      </c>
    </row>
    <row r="682" spans="1:2" x14ac:dyDescent="0.3">
      <c r="A682" t="s">
        <v>151</v>
      </c>
      <c r="B682">
        <v>49</v>
      </c>
    </row>
    <row r="683" spans="1:2" x14ac:dyDescent="0.3">
      <c r="A683" t="s">
        <v>211</v>
      </c>
      <c r="B683">
        <v>1.671</v>
      </c>
    </row>
    <row r="685" spans="1:2" x14ac:dyDescent="0.3">
      <c r="A685" t="s">
        <v>247</v>
      </c>
    </row>
    <row r="686" spans="1:2" x14ac:dyDescent="0.3">
      <c r="A686" t="s">
        <v>248</v>
      </c>
    </row>
    <row r="694" spans="1:5" x14ac:dyDescent="0.3">
      <c r="A694" t="s">
        <v>249</v>
      </c>
    </row>
    <row r="695" spans="1:5" x14ac:dyDescent="0.3">
      <c r="A695" t="s">
        <v>250</v>
      </c>
    </row>
    <row r="697" spans="1:5" x14ac:dyDescent="0.3">
      <c r="A697" t="s">
        <v>178</v>
      </c>
      <c r="B697">
        <v>100</v>
      </c>
    </row>
    <row r="698" spans="1:5" x14ac:dyDescent="0.3">
      <c r="A698" t="s">
        <v>245</v>
      </c>
      <c r="B698">
        <v>390</v>
      </c>
      <c r="D698" t="s">
        <v>251</v>
      </c>
      <c r="E698">
        <v>0.01</v>
      </c>
    </row>
    <row r="699" spans="1:5" x14ac:dyDescent="0.3">
      <c r="A699" t="s">
        <v>246</v>
      </c>
      <c r="B699">
        <v>400</v>
      </c>
      <c r="E699" t="s">
        <v>252</v>
      </c>
    </row>
    <row r="700" spans="1:5" x14ac:dyDescent="0.3">
      <c r="A700" t="s">
        <v>143</v>
      </c>
      <c r="B700">
        <v>20</v>
      </c>
    </row>
    <row r="701" spans="1:5" x14ac:dyDescent="0.3">
      <c r="A701" t="s">
        <v>180</v>
      </c>
      <c r="B701">
        <f>B700/SQRT(B697)</f>
        <v>2</v>
      </c>
    </row>
    <row r="702" spans="1:5" x14ac:dyDescent="0.3">
      <c r="A702" t="s">
        <v>181</v>
      </c>
      <c r="B702">
        <f>(B698-B699)/B701</f>
        <v>-5</v>
      </c>
    </row>
    <row r="703" spans="1:5" x14ac:dyDescent="0.3">
      <c r="A703" t="s">
        <v>211</v>
      </c>
      <c r="B703">
        <v>2.66</v>
      </c>
    </row>
    <row r="705" spans="1:5" x14ac:dyDescent="0.3">
      <c r="A705" t="s">
        <v>253</v>
      </c>
    </row>
    <row r="707" spans="1:5" x14ac:dyDescent="0.3">
      <c r="A707" t="s">
        <v>254</v>
      </c>
    </row>
    <row r="716" spans="1:5" x14ac:dyDescent="0.3">
      <c r="A716" t="s">
        <v>255</v>
      </c>
    </row>
    <row r="717" spans="1:5" x14ac:dyDescent="0.3">
      <c r="A717" t="s">
        <v>256</v>
      </c>
    </row>
    <row r="719" spans="1:5" x14ac:dyDescent="0.3">
      <c r="A719" t="s">
        <v>178</v>
      </c>
      <c r="B719">
        <v>400</v>
      </c>
      <c r="D719" t="s">
        <v>128</v>
      </c>
      <c r="E719">
        <v>0.05</v>
      </c>
    </row>
    <row r="720" spans="1:5" x14ac:dyDescent="0.3">
      <c r="A720" t="s">
        <v>245</v>
      </c>
      <c r="B720">
        <v>153.69999999999999</v>
      </c>
      <c r="D720" t="s">
        <v>252</v>
      </c>
    </row>
    <row r="721" spans="1:2" x14ac:dyDescent="0.3">
      <c r="A721" t="s">
        <v>246</v>
      </c>
      <c r="B721">
        <v>146.30000000000001</v>
      </c>
    </row>
    <row r="722" spans="1:2" x14ac:dyDescent="0.3">
      <c r="A722" t="s">
        <v>143</v>
      </c>
      <c r="B722">
        <v>17.2</v>
      </c>
    </row>
    <row r="723" spans="1:2" x14ac:dyDescent="0.3">
      <c r="A723" t="s">
        <v>180</v>
      </c>
      <c r="B723">
        <f>B722/SQRT(B719)</f>
        <v>0.86</v>
      </c>
    </row>
    <row r="724" spans="1:2" x14ac:dyDescent="0.3">
      <c r="A724" t="s">
        <v>181</v>
      </c>
      <c r="B724">
        <f>(B720-B721)/B723</f>
        <v>8.6046511627906721</v>
      </c>
    </row>
    <row r="725" spans="1:2" x14ac:dyDescent="0.3">
      <c r="A725" t="s">
        <v>211</v>
      </c>
      <c r="B725">
        <v>1.962</v>
      </c>
    </row>
    <row r="727" spans="1:2" x14ac:dyDescent="0.3">
      <c r="A727" t="s">
        <v>257</v>
      </c>
    </row>
    <row r="729" spans="1:2" x14ac:dyDescent="0.3">
      <c r="A729" t="s">
        <v>258</v>
      </c>
    </row>
  </sheetData>
  <sortState xmlns:xlrd2="http://schemas.microsoft.com/office/spreadsheetml/2017/richdata2" ref="C68:C72">
    <sortCondition ref="C68:C72"/>
  </sortState>
  <mergeCells count="4">
    <mergeCell ref="C362:F362"/>
    <mergeCell ref="C363:F363"/>
    <mergeCell ref="E367:G367"/>
    <mergeCell ref="E368:G368"/>
  </mergeCells>
  <phoneticPr fontId="5" type="noConversion"/>
  <pageMargins left="0.7" right="0.7" top="0.75" bottom="0.75" header="0.3" footer="0.3"/>
  <pageSetup orientation="portrait" r:id="rId1"/>
  <drawing r:id="rId2"/>
  <tableParts count="2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1A2-8481-412B-8176-6A568EE6B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T H</dc:creator>
  <cp:lastModifiedBy>Haritha T H</cp:lastModifiedBy>
  <cp:lastPrinted>2024-06-25T14:23:10Z</cp:lastPrinted>
  <dcterms:created xsi:type="dcterms:W3CDTF">2024-06-22T15:19:13Z</dcterms:created>
  <dcterms:modified xsi:type="dcterms:W3CDTF">2024-06-26T11:45:36Z</dcterms:modified>
</cp:coreProperties>
</file>